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Path\UnProcessed\"/>
    </mc:Choice>
  </mc:AlternateContent>
  <xr:revisionPtr revIDLastSave="0" documentId="13_ncr:1_{ACDB0702-9CD7-44C0-AD82-3522D08D242A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Power Query" sheetId="1" r:id="rId1"/>
    <sheet name="Master truck list" sheetId="2" r:id="rId2"/>
  </sheets>
  <definedNames>
    <definedName name="_xlnm._FilterDatabase" localSheetId="0" hidden="1">'Power Query'!$A$1:$V$2623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79" i="1" l="1"/>
  <c r="F1480" i="1"/>
  <c r="F1481" i="1"/>
  <c r="A1544" i="1"/>
  <c r="B1544" i="1"/>
  <c r="C1544" i="1" s="1"/>
  <c r="A1545" i="1"/>
  <c r="B1545" i="1" s="1"/>
  <c r="C1545" i="1" s="1"/>
  <c r="A1546" i="1"/>
  <c r="B1546" i="1" s="1"/>
  <c r="C1546" i="1" s="1"/>
  <c r="G1546" i="1" s="1"/>
  <c r="F1546" i="1"/>
  <c r="A1547" i="1"/>
  <c r="B1547" i="1" s="1"/>
  <c r="C1547" i="1" s="1"/>
  <c r="D1547" i="1" s="1"/>
  <c r="A1548" i="1"/>
  <c r="B1548" i="1"/>
  <c r="C1548" i="1" s="1"/>
  <c r="A1549" i="1"/>
  <c r="B1549" i="1" s="1"/>
  <c r="C1549" i="1" s="1"/>
  <c r="F1549" i="1" s="1"/>
  <c r="A1550" i="1"/>
  <c r="B1550" i="1" s="1"/>
  <c r="C1550" i="1" s="1"/>
  <c r="A1551" i="1"/>
  <c r="B1551" i="1" s="1"/>
  <c r="C1551" i="1" s="1"/>
  <c r="E1551" i="1" s="1"/>
  <c r="A1552" i="1"/>
  <c r="B1552" i="1" s="1"/>
  <c r="C1552" i="1" s="1"/>
  <c r="D1552" i="1" s="1"/>
  <c r="A1553" i="1"/>
  <c r="B1553" i="1" s="1"/>
  <c r="C1553" i="1" s="1"/>
  <c r="A1554" i="1"/>
  <c r="B1554" i="1" s="1"/>
  <c r="C1554" i="1" s="1"/>
  <c r="E1554" i="1" s="1"/>
  <c r="A1555" i="1"/>
  <c r="B1555" i="1" s="1"/>
  <c r="C1555" i="1" s="1"/>
  <c r="D1555" i="1" s="1"/>
  <c r="E1555" i="1"/>
  <c r="F1555" i="1"/>
  <c r="A1556" i="1"/>
  <c r="B1556" i="1" s="1"/>
  <c r="C1556" i="1" s="1"/>
  <c r="F1556" i="1" s="1"/>
  <c r="A1557" i="1"/>
  <c r="B1557" i="1" s="1"/>
  <c r="C1557" i="1" s="1"/>
  <c r="A1558" i="1"/>
  <c r="B1558" i="1"/>
  <c r="C1558" i="1" s="1"/>
  <c r="G1558" i="1" s="1"/>
  <c r="A1559" i="1"/>
  <c r="B1559" i="1" s="1"/>
  <c r="C1559" i="1" s="1"/>
  <c r="A1560" i="1"/>
  <c r="B1560" i="1" s="1"/>
  <c r="C1560" i="1" s="1"/>
  <c r="E1560" i="1" s="1"/>
  <c r="A1561" i="1"/>
  <c r="B1561" i="1" s="1"/>
  <c r="C1561" i="1" s="1"/>
  <c r="A1562" i="1"/>
  <c r="B1562" i="1" s="1"/>
  <c r="C1562" i="1" s="1"/>
  <c r="F1562" i="1" s="1"/>
  <c r="A1563" i="1"/>
  <c r="B1563" i="1" s="1"/>
  <c r="C1563" i="1" s="1"/>
  <c r="A1564" i="1"/>
  <c r="B1564" i="1" s="1"/>
  <c r="C1564" i="1" s="1"/>
  <c r="A1565" i="1"/>
  <c r="B1565" i="1" s="1"/>
  <c r="C1565" i="1" s="1"/>
  <c r="A1566" i="1"/>
  <c r="B1566" i="1" s="1"/>
  <c r="C1566" i="1" s="1"/>
  <c r="A1567" i="1"/>
  <c r="B1567" i="1" s="1"/>
  <c r="C1567" i="1" s="1"/>
  <c r="A1568" i="1"/>
  <c r="B1568" i="1" s="1"/>
  <c r="C1568" i="1" s="1"/>
  <c r="A1569" i="1"/>
  <c r="B1569" i="1"/>
  <c r="C1569" i="1" s="1"/>
  <c r="E1569" i="1" s="1"/>
  <c r="A1570" i="1"/>
  <c r="B1570" i="1" s="1"/>
  <c r="C1570" i="1" s="1"/>
  <c r="D1570" i="1" s="1"/>
  <c r="A1571" i="1"/>
  <c r="B1571" i="1"/>
  <c r="C1571" i="1" s="1"/>
  <c r="A1572" i="1"/>
  <c r="B1572" i="1" s="1"/>
  <c r="C1572" i="1" s="1"/>
  <c r="G1572" i="1" s="1"/>
  <c r="F1572" i="1"/>
  <c r="A1573" i="1"/>
  <c r="B1573" i="1" s="1"/>
  <c r="C1573" i="1"/>
  <c r="E1573" i="1" s="1"/>
  <c r="A1574" i="1"/>
  <c r="B1574" i="1"/>
  <c r="C1574" i="1"/>
  <c r="A1575" i="1"/>
  <c r="B1575" i="1"/>
  <c r="C1575" i="1" s="1"/>
  <c r="A1576" i="1"/>
  <c r="B1576" i="1" s="1"/>
  <c r="C1576" i="1" s="1"/>
  <c r="A1577" i="1"/>
  <c r="B1577" i="1" s="1"/>
  <c r="C1577" i="1" s="1"/>
  <c r="D1577" i="1" s="1"/>
  <c r="A1578" i="1"/>
  <c r="B1578" i="1" s="1"/>
  <c r="C1578" i="1" s="1"/>
  <c r="F1578" i="1" s="1"/>
  <c r="E1578" i="1"/>
  <c r="A1579" i="1"/>
  <c r="B1579" i="1" s="1"/>
  <c r="C1579" i="1" s="1"/>
  <c r="A1580" i="1"/>
  <c r="B1580" i="1" s="1"/>
  <c r="C1580" i="1" s="1"/>
  <c r="E1580" i="1" s="1"/>
  <c r="A1581" i="1"/>
  <c r="B1581" i="1" s="1"/>
  <c r="C1581" i="1" s="1"/>
  <c r="A1582" i="1"/>
  <c r="B1582" i="1" s="1"/>
  <c r="C1582" i="1" s="1"/>
  <c r="A1583" i="1"/>
  <c r="B1583" i="1"/>
  <c r="C1583" i="1" s="1"/>
  <c r="A1584" i="1"/>
  <c r="B1584" i="1" s="1"/>
  <c r="C1584" i="1" s="1"/>
  <c r="G1584" i="1"/>
  <c r="A1585" i="1"/>
  <c r="B1585" i="1"/>
  <c r="C1585" i="1" s="1"/>
  <c r="A1586" i="1"/>
  <c r="B1586" i="1" s="1"/>
  <c r="C1586" i="1" s="1"/>
  <c r="A1587" i="1"/>
  <c r="B1587" i="1" s="1"/>
  <c r="C1587" i="1" s="1"/>
  <c r="D1587" i="1"/>
  <c r="A1588" i="1"/>
  <c r="B1588" i="1" s="1"/>
  <c r="C1588" i="1" s="1"/>
  <c r="G1588" i="1"/>
  <c r="A1589" i="1"/>
  <c r="B1589" i="1" s="1"/>
  <c r="C1589" i="1" s="1"/>
  <c r="A1590" i="1"/>
  <c r="B1590" i="1" s="1"/>
  <c r="C1590" i="1" s="1"/>
  <c r="D1590" i="1" s="1"/>
  <c r="A1591" i="1"/>
  <c r="B1591" i="1" s="1"/>
  <c r="C1591" i="1" s="1"/>
  <c r="A1592" i="1"/>
  <c r="B1592" i="1" s="1"/>
  <c r="C1592" i="1" s="1"/>
  <c r="A1593" i="1"/>
  <c r="B1593" i="1"/>
  <c r="C1593" i="1" s="1"/>
  <c r="A1594" i="1"/>
  <c r="B1594" i="1" s="1"/>
  <c r="C1594" i="1" s="1"/>
  <c r="G1594" i="1" s="1"/>
  <c r="A1595" i="1"/>
  <c r="B1595" i="1" s="1"/>
  <c r="C1595" i="1" s="1"/>
  <c r="A1596" i="1"/>
  <c r="B1596" i="1" s="1"/>
  <c r="C1596" i="1" s="1"/>
  <c r="A1597" i="1"/>
  <c r="B1597" i="1" s="1"/>
  <c r="C1597" i="1" s="1"/>
  <c r="A1598" i="1"/>
  <c r="B1598" i="1" s="1"/>
  <c r="C1598" i="1" s="1"/>
  <c r="A1599" i="1"/>
  <c r="B1599" i="1" s="1"/>
  <c r="C1599" i="1" s="1"/>
  <c r="A1600" i="1"/>
  <c r="B1600" i="1" s="1"/>
  <c r="C1600" i="1" s="1"/>
  <c r="F1600" i="1" s="1"/>
  <c r="D1600" i="1"/>
  <c r="A1601" i="1"/>
  <c r="B1601" i="1" s="1"/>
  <c r="C1601" i="1" s="1"/>
  <c r="G1601" i="1" s="1"/>
  <c r="A1602" i="1"/>
  <c r="B1602" i="1" s="1"/>
  <c r="C1602" i="1" s="1"/>
  <c r="G1602" i="1"/>
  <c r="A1603" i="1"/>
  <c r="B1603" i="1"/>
  <c r="C1603" i="1" s="1"/>
  <c r="D1603" i="1" s="1"/>
  <c r="A1604" i="1"/>
  <c r="B1604" i="1" s="1"/>
  <c r="C1604" i="1" s="1"/>
  <c r="A1605" i="1"/>
  <c r="B1605" i="1" s="1"/>
  <c r="C1605" i="1"/>
  <c r="A1606" i="1"/>
  <c r="B1606" i="1"/>
  <c r="C1606" i="1" s="1"/>
  <c r="G1606" i="1" s="1"/>
  <c r="A1607" i="1"/>
  <c r="B1607" i="1" s="1"/>
  <c r="C1607" i="1" s="1"/>
  <c r="E1607" i="1" s="1"/>
  <c r="A1608" i="1"/>
  <c r="B1608" i="1" s="1"/>
  <c r="C1608" i="1" s="1"/>
  <c r="A1609" i="1"/>
  <c r="B1609" i="1"/>
  <c r="C1609" i="1" s="1"/>
  <c r="G1609" i="1" s="1"/>
  <c r="A1610" i="1"/>
  <c r="B1610" i="1" s="1"/>
  <c r="C1610" i="1" s="1"/>
  <c r="G1610" i="1" s="1"/>
  <c r="D1610" i="1"/>
  <c r="F1610" i="1"/>
  <c r="A1611" i="1"/>
  <c r="B1611" i="1" s="1"/>
  <c r="C1611" i="1" s="1"/>
  <c r="A1612" i="1"/>
  <c r="B1612" i="1"/>
  <c r="C1612" i="1" s="1"/>
  <c r="F1612" i="1" s="1"/>
  <c r="E1612" i="1"/>
  <c r="A1613" i="1"/>
  <c r="B1613" i="1" s="1"/>
  <c r="C1613" i="1" s="1"/>
  <c r="A1614" i="1"/>
  <c r="B1614" i="1" s="1"/>
  <c r="C1614" i="1" s="1"/>
  <c r="A1615" i="1"/>
  <c r="B1615" i="1" s="1"/>
  <c r="C1615" i="1" s="1"/>
  <c r="E1615" i="1" s="1"/>
  <c r="A1616" i="1"/>
  <c r="B1616" i="1" s="1"/>
  <c r="C1616" i="1"/>
  <c r="D1616" i="1" s="1"/>
  <c r="A1617" i="1"/>
  <c r="B1617" i="1" s="1"/>
  <c r="C1617" i="1" s="1"/>
  <c r="A1618" i="1"/>
  <c r="B1618" i="1" s="1"/>
  <c r="C1618" i="1" s="1"/>
  <c r="A1619" i="1"/>
  <c r="B1619" i="1" s="1"/>
  <c r="C1619" i="1" s="1"/>
  <c r="G1619" i="1" s="1"/>
  <c r="D1619" i="1"/>
  <c r="E1619" i="1"/>
  <c r="F1619" i="1"/>
  <c r="A1620" i="1"/>
  <c r="B1620" i="1" s="1"/>
  <c r="C1620" i="1" s="1"/>
  <c r="G1620" i="1" s="1"/>
  <c r="A1621" i="1"/>
  <c r="B1621" i="1" s="1"/>
  <c r="C1621" i="1" s="1"/>
  <c r="A1622" i="1"/>
  <c r="B1622" i="1"/>
  <c r="C1622" i="1" s="1"/>
  <c r="E1622" i="1" s="1"/>
  <c r="A1623" i="1"/>
  <c r="B1623" i="1"/>
  <c r="C1623" i="1" s="1"/>
  <c r="A1624" i="1"/>
  <c r="B1624" i="1" s="1"/>
  <c r="C1624" i="1"/>
  <c r="D1624" i="1" s="1"/>
  <c r="A1625" i="1"/>
  <c r="B1625" i="1" s="1"/>
  <c r="C1625" i="1" s="1"/>
  <c r="A1626" i="1"/>
  <c r="B1626" i="1"/>
  <c r="C1626" i="1" s="1"/>
  <c r="A1627" i="1"/>
  <c r="B1627" i="1"/>
  <c r="C1627" i="1" s="1"/>
  <c r="E1627" i="1" s="1"/>
  <c r="G1627" i="1"/>
  <c r="A1628" i="1"/>
  <c r="B1628" i="1" s="1"/>
  <c r="C1628" i="1" s="1"/>
  <c r="A1629" i="1"/>
  <c r="B1629" i="1"/>
  <c r="C1629" i="1" s="1"/>
  <c r="D1629" i="1" s="1"/>
  <c r="A1630" i="1"/>
  <c r="B1630" i="1" s="1"/>
  <c r="C1630" i="1" s="1"/>
  <c r="F1630" i="1" s="1"/>
  <c r="A1631" i="1"/>
  <c r="B1631" i="1"/>
  <c r="C1631" i="1" s="1"/>
  <c r="A1632" i="1"/>
  <c r="B1632" i="1" s="1"/>
  <c r="C1632" i="1"/>
  <c r="D1632" i="1" s="1"/>
  <c r="A1633" i="1"/>
  <c r="B1633" i="1" s="1"/>
  <c r="C1633" i="1" s="1"/>
  <c r="E1633" i="1" s="1"/>
  <c r="A1634" i="1"/>
  <c r="B1634" i="1" s="1"/>
  <c r="C1634" i="1" s="1"/>
  <c r="A1635" i="1"/>
  <c r="B1635" i="1" s="1"/>
  <c r="C1635" i="1" s="1"/>
  <c r="A1636" i="1"/>
  <c r="B1636" i="1" s="1"/>
  <c r="C1636" i="1" s="1"/>
  <c r="D1636" i="1" s="1"/>
  <c r="A1637" i="1"/>
  <c r="B1637" i="1" s="1"/>
  <c r="C1637" i="1" s="1"/>
  <c r="A1638" i="1"/>
  <c r="B1638" i="1"/>
  <c r="C1638" i="1"/>
  <c r="F1638" i="1" s="1"/>
  <c r="E1638" i="1"/>
  <c r="A1639" i="1"/>
  <c r="B1639" i="1" s="1"/>
  <c r="C1639" i="1" s="1"/>
  <c r="A1640" i="1"/>
  <c r="B1640" i="1" s="1"/>
  <c r="C1640" i="1" s="1"/>
  <c r="G1640" i="1" s="1"/>
  <c r="A1641" i="1"/>
  <c r="B1641" i="1" s="1"/>
  <c r="C1641" i="1" s="1"/>
  <c r="A1642" i="1"/>
  <c r="B1642" i="1" s="1"/>
  <c r="C1642" i="1" s="1"/>
  <c r="A1643" i="1"/>
  <c r="B1643" i="1" s="1"/>
  <c r="C1643" i="1" s="1"/>
  <c r="A1644" i="1"/>
  <c r="B1644" i="1" s="1"/>
  <c r="C1644" i="1" s="1"/>
  <c r="A1645" i="1"/>
  <c r="B1645" i="1" s="1"/>
  <c r="C1645" i="1" s="1"/>
  <c r="A1646" i="1"/>
  <c r="B1646" i="1"/>
  <c r="C1646" i="1" s="1"/>
  <c r="E1646" i="1" s="1"/>
  <c r="A1647" i="1"/>
  <c r="B1647" i="1" s="1"/>
  <c r="C1647" i="1"/>
  <c r="F1647" i="1"/>
  <c r="A1648" i="1"/>
  <c r="B1648" i="1"/>
  <c r="C1648" i="1" s="1"/>
  <c r="D1648" i="1" s="1"/>
  <c r="A1649" i="1"/>
  <c r="B1649" i="1"/>
  <c r="C1649" i="1" s="1"/>
  <c r="A1650" i="1"/>
  <c r="B1650" i="1" s="1"/>
  <c r="C1650" i="1" s="1"/>
  <c r="D1650" i="1" s="1"/>
  <c r="A1651" i="1"/>
  <c r="B1651" i="1" s="1"/>
  <c r="C1651" i="1" s="1"/>
  <c r="E1651" i="1" s="1"/>
  <c r="A1652" i="1"/>
  <c r="B1652" i="1" s="1"/>
  <c r="C1652" i="1" s="1"/>
  <c r="A1653" i="1"/>
  <c r="B1653" i="1" s="1"/>
  <c r="C1653" i="1" s="1"/>
  <c r="A1654" i="1"/>
  <c r="B1654" i="1" s="1"/>
  <c r="C1654" i="1" s="1"/>
  <c r="G1654" i="1" s="1"/>
  <c r="A1655" i="1"/>
  <c r="B1655" i="1" s="1"/>
  <c r="C1655" i="1" s="1"/>
  <c r="E1655" i="1" s="1"/>
  <c r="A1656" i="1"/>
  <c r="B1656" i="1"/>
  <c r="C1656" i="1" s="1"/>
  <c r="G1656" i="1" s="1"/>
  <c r="A1657" i="1"/>
  <c r="B1657" i="1"/>
  <c r="C1657" i="1" s="1"/>
  <c r="G1657" i="1" s="1"/>
  <c r="A1658" i="1"/>
  <c r="B1658" i="1" s="1"/>
  <c r="C1658" i="1" s="1"/>
  <c r="G1658" i="1" s="1"/>
  <c r="A1659" i="1"/>
  <c r="B1659" i="1" s="1"/>
  <c r="C1659" i="1" s="1"/>
  <c r="D1659" i="1"/>
  <c r="A1660" i="1"/>
  <c r="B1660" i="1"/>
  <c r="C1660" i="1" s="1"/>
  <c r="D1660" i="1" s="1"/>
  <c r="A1661" i="1"/>
  <c r="B1661" i="1" s="1"/>
  <c r="C1661" i="1" s="1"/>
  <c r="A1662" i="1"/>
  <c r="B1662" i="1" s="1"/>
  <c r="C1662" i="1" s="1"/>
  <c r="A1663" i="1"/>
  <c r="B1663" i="1" s="1"/>
  <c r="C1663" i="1" s="1"/>
  <c r="A1664" i="1"/>
  <c r="B1664" i="1" s="1"/>
  <c r="C1664" i="1" s="1"/>
  <c r="D1664" i="1" s="1"/>
  <c r="G1664" i="1"/>
  <c r="A1665" i="1"/>
  <c r="B1665" i="1" s="1"/>
  <c r="C1665" i="1" s="1"/>
  <c r="A1666" i="1"/>
  <c r="B1666" i="1" s="1"/>
  <c r="C1666" i="1" s="1"/>
  <c r="D1666" i="1" s="1"/>
  <c r="A1667" i="1"/>
  <c r="B1667" i="1" s="1"/>
  <c r="C1667" i="1" s="1"/>
  <c r="D1667" i="1" s="1"/>
  <c r="A1668" i="1"/>
  <c r="B1668" i="1" s="1"/>
  <c r="C1668" i="1" s="1"/>
  <c r="F1668" i="1" s="1"/>
  <c r="A1669" i="1"/>
  <c r="B1669" i="1" s="1"/>
  <c r="C1669" i="1" s="1"/>
  <c r="A1670" i="1"/>
  <c r="B1670" i="1"/>
  <c r="C1670" i="1" s="1"/>
  <c r="F1670" i="1" s="1"/>
  <c r="A1671" i="1"/>
  <c r="B1671" i="1" s="1"/>
  <c r="C1671" i="1" s="1"/>
  <c r="E1671" i="1" s="1"/>
  <c r="A1672" i="1"/>
  <c r="B1672" i="1" s="1"/>
  <c r="C1672" i="1" s="1"/>
  <c r="A1673" i="1"/>
  <c r="B1673" i="1" s="1"/>
  <c r="C1673" i="1"/>
  <c r="F1673" i="1" s="1"/>
  <c r="A1674" i="1"/>
  <c r="B1674" i="1" s="1"/>
  <c r="C1674" i="1" s="1"/>
  <c r="A1675" i="1"/>
  <c r="B1675" i="1"/>
  <c r="C1675" i="1" s="1"/>
  <c r="A1676" i="1"/>
  <c r="B1676" i="1" s="1"/>
  <c r="C1676" i="1" s="1"/>
  <c r="A1677" i="1"/>
  <c r="B1677" i="1" s="1"/>
  <c r="C1677" i="1" s="1"/>
  <c r="D1677" i="1" s="1"/>
  <c r="A1678" i="1"/>
  <c r="B1678" i="1" s="1"/>
  <c r="C1678" i="1" s="1"/>
  <c r="F1678" i="1" s="1"/>
  <c r="A1679" i="1"/>
  <c r="B1679" i="1" s="1"/>
  <c r="C1679" i="1" s="1"/>
  <c r="E1679" i="1" s="1"/>
  <c r="A1680" i="1"/>
  <c r="B1680" i="1"/>
  <c r="C1680" i="1" s="1"/>
  <c r="G1680" i="1" s="1"/>
  <c r="A1681" i="1"/>
  <c r="B1681" i="1" s="1"/>
  <c r="C1681" i="1" s="1"/>
  <c r="A1682" i="1"/>
  <c r="B1682" i="1" s="1"/>
  <c r="C1682" i="1" s="1"/>
  <c r="D1682" i="1"/>
  <c r="F1682" i="1"/>
  <c r="A1683" i="1"/>
  <c r="B1683" i="1" s="1"/>
  <c r="C1683" i="1" s="1"/>
  <c r="A1684" i="1"/>
  <c r="B1684" i="1" s="1"/>
  <c r="C1684" i="1" s="1"/>
  <c r="A1685" i="1"/>
  <c r="B1685" i="1" s="1"/>
  <c r="C1685" i="1" s="1"/>
  <c r="D1685" i="1" s="1"/>
  <c r="A1686" i="1"/>
  <c r="B1686" i="1" s="1"/>
  <c r="C1686" i="1" s="1"/>
  <c r="A1687" i="1"/>
  <c r="B1687" i="1" s="1"/>
  <c r="C1687" i="1" s="1"/>
  <c r="F1687" i="1" s="1"/>
  <c r="G1687" i="1"/>
  <c r="A1688" i="1"/>
  <c r="B1688" i="1" s="1"/>
  <c r="C1688" i="1" s="1"/>
  <c r="A1689" i="1"/>
  <c r="B1689" i="1" s="1"/>
  <c r="C1689" i="1"/>
  <c r="F1689" i="1" s="1"/>
  <c r="A1690" i="1"/>
  <c r="B1690" i="1"/>
  <c r="C1690" i="1" s="1"/>
  <c r="D1690" i="1" s="1"/>
  <c r="A1691" i="1"/>
  <c r="B1691" i="1"/>
  <c r="C1691" i="1" s="1"/>
  <c r="A1692" i="1"/>
  <c r="B1692" i="1" s="1"/>
  <c r="C1692" i="1" s="1"/>
  <c r="A1693" i="1"/>
  <c r="B1693" i="1" s="1"/>
  <c r="C1693" i="1"/>
  <c r="D1693" i="1" s="1"/>
  <c r="A1694" i="1"/>
  <c r="B1694" i="1"/>
  <c r="C1694" i="1" s="1"/>
  <c r="A1695" i="1"/>
  <c r="B1695" i="1" s="1"/>
  <c r="C1695" i="1"/>
  <c r="E1695" i="1" s="1"/>
  <c r="A1696" i="1"/>
  <c r="B1696" i="1"/>
  <c r="C1696" i="1" s="1"/>
  <c r="E1696" i="1" s="1"/>
  <c r="A1697" i="1"/>
  <c r="B1697" i="1" s="1"/>
  <c r="C1697" i="1" s="1"/>
  <c r="E1697" i="1" s="1"/>
  <c r="A1698" i="1"/>
  <c r="B1698" i="1" s="1"/>
  <c r="C1698" i="1" s="1"/>
  <c r="D1698" i="1" s="1"/>
  <c r="A1699" i="1"/>
  <c r="B1699" i="1" s="1"/>
  <c r="C1699" i="1" s="1"/>
  <c r="E1699" i="1" s="1"/>
  <c r="A1700" i="1"/>
  <c r="B1700" i="1" s="1"/>
  <c r="C1700" i="1" s="1"/>
  <c r="A1701" i="1"/>
  <c r="B1701" i="1" s="1"/>
  <c r="C1701" i="1" s="1"/>
  <c r="A1702" i="1"/>
  <c r="B1702" i="1"/>
  <c r="C1702" i="1" s="1"/>
  <c r="A1703" i="1"/>
  <c r="B1703" i="1" s="1"/>
  <c r="C1703" i="1" s="1"/>
  <c r="G1703" i="1" s="1"/>
  <c r="F1703" i="1"/>
  <c r="A1704" i="1"/>
  <c r="B1704" i="1" s="1"/>
  <c r="C1704" i="1" s="1"/>
  <c r="A1705" i="1"/>
  <c r="B1705" i="1" s="1"/>
  <c r="C1705" i="1" s="1"/>
  <c r="A1706" i="1"/>
  <c r="B1706" i="1"/>
  <c r="C1706" i="1" s="1"/>
  <c r="E1706" i="1" s="1"/>
  <c r="A1707" i="1"/>
  <c r="B1707" i="1" s="1"/>
  <c r="C1707" i="1" s="1"/>
  <c r="A1708" i="1"/>
  <c r="B1708" i="1" s="1"/>
  <c r="C1708" i="1" s="1"/>
  <c r="F1708" i="1" s="1"/>
  <c r="A1709" i="1"/>
  <c r="B1709" i="1" s="1"/>
  <c r="C1709" i="1" s="1"/>
  <c r="A1710" i="1"/>
  <c r="B1710" i="1" s="1"/>
  <c r="C1710" i="1" s="1"/>
  <c r="A1711" i="1"/>
  <c r="B1711" i="1" s="1"/>
  <c r="C1711" i="1" s="1"/>
  <c r="A1712" i="1"/>
  <c r="B1712" i="1"/>
  <c r="C1712" i="1" s="1"/>
  <c r="F1712" i="1" s="1"/>
  <c r="G1712" i="1"/>
  <c r="A1713" i="1"/>
  <c r="B1713" i="1" s="1"/>
  <c r="C1713" i="1" s="1"/>
  <c r="D1713" i="1" s="1"/>
  <c r="G1713" i="1"/>
  <c r="A1714" i="1"/>
  <c r="B1714" i="1" s="1"/>
  <c r="C1714" i="1" s="1"/>
  <c r="D1714" i="1"/>
  <c r="F1714" i="1"/>
  <c r="A1715" i="1"/>
  <c r="B1715" i="1"/>
  <c r="C1715" i="1" s="1"/>
  <c r="A1716" i="1"/>
  <c r="B1716" i="1" s="1"/>
  <c r="C1716" i="1" s="1"/>
  <c r="A1717" i="1"/>
  <c r="B1717" i="1"/>
  <c r="C1717" i="1" s="1"/>
  <c r="D1717" i="1" s="1"/>
  <c r="A1718" i="1"/>
  <c r="B1718" i="1" s="1"/>
  <c r="C1718" i="1" s="1"/>
  <c r="A1719" i="1"/>
  <c r="B1719" i="1" s="1"/>
  <c r="C1719" i="1" s="1"/>
  <c r="D1719" i="1" s="1"/>
  <c r="E1719" i="1"/>
  <c r="A1720" i="1"/>
  <c r="B1720" i="1" s="1"/>
  <c r="C1720" i="1" s="1"/>
  <c r="A1721" i="1"/>
  <c r="B1721" i="1" s="1"/>
  <c r="C1721" i="1" s="1"/>
  <c r="A1722" i="1"/>
  <c r="B1722" i="1" s="1"/>
  <c r="C1722" i="1" s="1"/>
  <c r="A1723" i="1"/>
  <c r="B1723" i="1" s="1"/>
  <c r="C1723" i="1" s="1"/>
  <c r="A1724" i="1"/>
  <c r="B1724" i="1"/>
  <c r="C1724" i="1" s="1"/>
  <c r="A1725" i="1"/>
  <c r="B1725" i="1" s="1"/>
  <c r="C1725" i="1" s="1"/>
  <c r="A1726" i="1"/>
  <c r="B1726" i="1" s="1"/>
  <c r="C1726" i="1" s="1"/>
  <c r="A1727" i="1"/>
  <c r="B1727" i="1" s="1"/>
  <c r="C1727" i="1" s="1"/>
  <c r="A1728" i="1"/>
  <c r="B1728" i="1"/>
  <c r="C1728" i="1" s="1"/>
  <c r="F1728" i="1" s="1"/>
  <c r="A1729" i="1"/>
  <c r="B1729" i="1" s="1"/>
  <c r="C1729" i="1" s="1"/>
  <c r="D1729" i="1" s="1"/>
  <c r="A1730" i="1"/>
  <c r="B1730" i="1" s="1"/>
  <c r="C1730" i="1" s="1"/>
  <c r="F1730" i="1" s="1"/>
  <c r="A1731" i="1"/>
  <c r="B1731" i="1" s="1"/>
  <c r="C1731" i="1" s="1"/>
  <c r="A1732" i="1"/>
  <c r="B1732" i="1"/>
  <c r="C1732" i="1" s="1"/>
  <c r="D1732" i="1" s="1"/>
  <c r="A1733" i="1"/>
  <c r="B1733" i="1" s="1"/>
  <c r="C1733" i="1" s="1"/>
  <c r="A1734" i="1"/>
  <c r="B1734" i="1"/>
  <c r="C1734" i="1" s="1"/>
  <c r="G1734" i="1" s="1"/>
  <c r="A1735" i="1"/>
  <c r="B1735" i="1" s="1"/>
  <c r="C1735" i="1" s="1"/>
  <c r="F1735" i="1" s="1"/>
  <c r="D1735" i="1"/>
  <c r="E1735" i="1"/>
  <c r="G1735" i="1"/>
  <c r="A1736" i="1"/>
  <c r="B1736" i="1" s="1"/>
  <c r="C1736" i="1" s="1"/>
  <c r="A1737" i="1"/>
  <c r="B1737" i="1" s="1"/>
  <c r="C1737" i="1" s="1"/>
  <c r="A1738" i="1"/>
  <c r="B1738" i="1"/>
  <c r="C1738" i="1" s="1"/>
  <c r="E1738" i="1" s="1"/>
  <c r="D1738" i="1"/>
  <c r="A1739" i="1"/>
  <c r="B1739" i="1" s="1"/>
  <c r="C1739" i="1" s="1"/>
  <c r="A1740" i="1"/>
  <c r="B1740" i="1"/>
  <c r="C1740" i="1" s="1"/>
  <c r="A1741" i="1"/>
  <c r="B1741" i="1" s="1"/>
  <c r="C1741" i="1" s="1"/>
  <c r="A1742" i="1"/>
  <c r="B1742" i="1" s="1"/>
  <c r="C1742" i="1" s="1"/>
  <c r="A1743" i="1"/>
  <c r="B1743" i="1" s="1"/>
  <c r="C1743" i="1"/>
  <c r="G1743" i="1" s="1"/>
  <c r="A1744" i="1"/>
  <c r="B1744" i="1"/>
  <c r="C1744" i="1" s="1"/>
  <c r="D1744" i="1" s="1"/>
  <c r="A1745" i="1"/>
  <c r="B1745" i="1" s="1"/>
  <c r="C1745" i="1" s="1"/>
  <c r="D1745" i="1" s="1"/>
  <c r="F1745" i="1"/>
  <c r="A1746" i="1"/>
  <c r="B1746" i="1" s="1"/>
  <c r="C1746" i="1" s="1"/>
  <c r="A1747" i="1"/>
  <c r="B1747" i="1" s="1"/>
  <c r="C1747" i="1" s="1"/>
  <c r="A1748" i="1"/>
  <c r="B1748" i="1"/>
  <c r="C1748" i="1" s="1"/>
  <c r="D1748" i="1" s="1"/>
  <c r="A1749" i="1"/>
  <c r="B1749" i="1"/>
  <c r="C1749" i="1" s="1"/>
  <c r="A1750" i="1"/>
  <c r="B1750" i="1"/>
  <c r="C1750" i="1"/>
  <c r="G1750" i="1" s="1"/>
  <c r="E1750" i="1"/>
  <c r="A1751" i="1"/>
  <c r="B1751" i="1" s="1"/>
  <c r="C1751" i="1" s="1"/>
  <c r="D1751" i="1" s="1"/>
  <c r="E1751" i="1"/>
  <c r="G1751" i="1"/>
  <c r="A1752" i="1"/>
  <c r="B1752" i="1"/>
  <c r="C1752" i="1" s="1"/>
  <c r="E1752" i="1" s="1"/>
  <c r="A1753" i="1"/>
  <c r="B1753" i="1" s="1"/>
  <c r="C1753" i="1"/>
  <c r="D1753" i="1" s="1"/>
  <c r="A1754" i="1"/>
  <c r="B1754" i="1"/>
  <c r="C1754" i="1" s="1"/>
  <c r="E1754" i="1" s="1"/>
  <c r="A1755" i="1"/>
  <c r="B1755" i="1" s="1"/>
  <c r="C1755" i="1" s="1"/>
  <c r="A1756" i="1"/>
  <c r="B1756" i="1" s="1"/>
  <c r="C1756" i="1" s="1"/>
  <c r="A1757" i="1"/>
  <c r="B1757" i="1" s="1"/>
  <c r="C1757" i="1"/>
  <c r="F1757" i="1" s="1"/>
  <c r="A1758" i="1"/>
  <c r="B1758" i="1"/>
  <c r="C1758" i="1" s="1"/>
  <c r="F992" i="1"/>
  <c r="F993" i="1"/>
  <c r="F994" i="1"/>
  <c r="F995" i="1"/>
  <c r="E992" i="1"/>
  <c r="E993" i="1"/>
  <c r="E994" i="1"/>
  <c r="E995" i="1"/>
  <c r="V1543" i="1"/>
  <c r="U1543" i="1"/>
  <c r="T1543" i="1"/>
  <c r="S1543" i="1"/>
  <c r="R1543" i="1"/>
  <c r="Q1543" i="1"/>
  <c r="P1543" i="1"/>
  <c r="O1543" i="1"/>
  <c r="N1543" i="1"/>
  <c r="M1543" i="1"/>
  <c r="L1543" i="1"/>
  <c r="K1543" i="1"/>
  <c r="J1543" i="1"/>
  <c r="I1543" i="1"/>
  <c r="H1543" i="1"/>
  <c r="V1542" i="1"/>
  <c r="U1542" i="1"/>
  <c r="T1542" i="1"/>
  <c r="S1542" i="1"/>
  <c r="R1542" i="1"/>
  <c r="Q1542" i="1"/>
  <c r="P1542" i="1"/>
  <c r="O1542" i="1"/>
  <c r="N1542" i="1"/>
  <c r="M1542" i="1"/>
  <c r="L1542" i="1"/>
  <c r="K1542" i="1"/>
  <c r="J1542" i="1"/>
  <c r="I1542" i="1"/>
  <c r="H1542" i="1"/>
  <c r="V1541" i="1"/>
  <c r="U1541" i="1"/>
  <c r="T1541" i="1"/>
  <c r="S1541" i="1"/>
  <c r="R1541" i="1"/>
  <c r="Q1541" i="1"/>
  <c r="P1541" i="1"/>
  <c r="O1541" i="1"/>
  <c r="N1541" i="1"/>
  <c r="M1541" i="1"/>
  <c r="L1541" i="1"/>
  <c r="K1541" i="1"/>
  <c r="J1541" i="1"/>
  <c r="I1541" i="1"/>
  <c r="H1541" i="1"/>
  <c r="V1540" i="1"/>
  <c r="U1540" i="1"/>
  <c r="T1540" i="1"/>
  <c r="S1540" i="1"/>
  <c r="R1540" i="1"/>
  <c r="Q1540" i="1"/>
  <c r="P1540" i="1"/>
  <c r="O1540" i="1"/>
  <c r="N1540" i="1"/>
  <c r="M1540" i="1"/>
  <c r="L1540" i="1"/>
  <c r="K1540" i="1"/>
  <c r="J1540" i="1"/>
  <c r="I1540" i="1"/>
  <c r="H1540" i="1"/>
  <c r="V1539" i="1"/>
  <c r="U1539" i="1"/>
  <c r="T1539" i="1"/>
  <c r="S1539" i="1"/>
  <c r="R1539" i="1"/>
  <c r="Q1539" i="1"/>
  <c r="P1539" i="1"/>
  <c r="O1539" i="1"/>
  <c r="N1539" i="1"/>
  <c r="M1539" i="1"/>
  <c r="L1539" i="1"/>
  <c r="K1539" i="1"/>
  <c r="J1539" i="1"/>
  <c r="I1539" i="1"/>
  <c r="H1539" i="1"/>
  <c r="V1538" i="1"/>
  <c r="U1538" i="1"/>
  <c r="T1538" i="1"/>
  <c r="S1538" i="1"/>
  <c r="R1538" i="1"/>
  <c r="Q1538" i="1"/>
  <c r="P1538" i="1"/>
  <c r="O1538" i="1"/>
  <c r="N1538" i="1"/>
  <c r="M1538" i="1"/>
  <c r="L1538" i="1"/>
  <c r="K1538" i="1"/>
  <c r="J1538" i="1"/>
  <c r="I1538" i="1"/>
  <c r="H1538" i="1"/>
  <c r="V1537" i="1"/>
  <c r="U1537" i="1"/>
  <c r="T1537" i="1"/>
  <c r="S1537" i="1"/>
  <c r="R1537" i="1"/>
  <c r="Q1537" i="1"/>
  <c r="P1537" i="1"/>
  <c r="O1537" i="1"/>
  <c r="N1537" i="1"/>
  <c r="M1537" i="1"/>
  <c r="L1537" i="1"/>
  <c r="K1537" i="1"/>
  <c r="J1537" i="1"/>
  <c r="I1537" i="1"/>
  <c r="H1537" i="1"/>
  <c r="V1536" i="1"/>
  <c r="U1536" i="1"/>
  <c r="T1536" i="1"/>
  <c r="S1536" i="1"/>
  <c r="R1536" i="1"/>
  <c r="Q1536" i="1"/>
  <c r="P1536" i="1"/>
  <c r="O1536" i="1"/>
  <c r="N1536" i="1"/>
  <c r="M1536" i="1"/>
  <c r="L1536" i="1"/>
  <c r="K1536" i="1"/>
  <c r="J1536" i="1"/>
  <c r="I1536" i="1"/>
  <c r="H1536" i="1"/>
  <c r="V1535" i="1"/>
  <c r="U1535" i="1"/>
  <c r="T1535" i="1"/>
  <c r="S1535" i="1"/>
  <c r="R1535" i="1"/>
  <c r="Q1535" i="1"/>
  <c r="P1535" i="1"/>
  <c r="O1535" i="1"/>
  <c r="N1535" i="1"/>
  <c r="M1535" i="1"/>
  <c r="L1535" i="1"/>
  <c r="K1535" i="1"/>
  <c r="J1535" i="1"/>
  <c r="I1535" i="1"/>
  <c r="H1535" i="1"/>
  <c r="V1534" i="1"/>
  <c r="U1534" i="1"/>
  <c r="T1534" i="1"/>
  <c r="S1534" i="1"/>
  <c r="R1534" i="1"/>
  <c r="Q1534" i="1"/>
  <c r="P1534" i="1"/>
  <c r="O1534" i="1"/>
  <c r="N1534" i="1"/>
  <c r="M1534" i="1"/>
  <c r="L1534" i="1"/>
  <c r="K1534" i="1"/>
  <c r="J1534" i="1"/>
  <c r="I1534" i="1"/>
  <c r="H1534" i="1"/>
  <c r="V1533" i="1"/>
  <c r="U1533" i="1"/>
  <c r="T1533" i="1"/>
  <c r="S1533" i="1"/>
  <c r="R1533" i="1"/>
  <c r="Q1533" i="1"/>
  <c r="P1533" i="1"/>
  <c r="O1533" i="1"/>
  <c r="N1533" i="1"/>
  <c r="M1533" i="1"/>
  <c r="L1533" i="1"/>
  <c r="K1533" i="1"/>
  <c r="J1533" i="1"/>
  <c r="I1533" i="1"/>
  <c r="H1533" i="1"/>
  <c r="V1532" i="1"/>
  <c r="U1532" i="1"/>
  <c r="T1532" i="1"/>
  <c r="S1532" i="1"/>
  <c r="R1532" i="1"/>
  <c r="Q1532" i="1"/>
  <c r="P1532" i="1"/>
  <c r="O1532" i="1"/>
  <c r="N1532" i="1"/>
  <c r="M1532" i="1"/>
  <c r="L1532" i="1"/>
  <c r="K1532" i="1"/>
  <c r="J1532" i="1"/>
  <c r="I1532" i="1"/>
  <c r="H1532" i="1"/>
  <c r="V1531" i="1"/>
  <c r="U1531" i="1"/>
  <c r="T1531" i="1"/>
  <c r="S1531" i="1"/>
  <c r="R1531" i="1"/>
  <c r="Q1531" i="1"/>
  <c r="P1531" i="1"/>
  <c r="O1531" i="1"/>
  <c r="N1531" i="1"/>
  <c r="M1531" i="1"/>
  <c r="L1531" i="1"/>
  <c r="K1531" i="1"/>
  <c r="J1531" i="1"/>
  <c r="I1531" i="1"/>
  <c r="H1531" i="1"/>
  <c r="V1530" i="1"/>
  <c r="U1530" i="1"/>
  <c r="T1530" i="1"/>
  <c r="S1530" i="1"/>
  <c r="R1530" i="1"/>
  <c r="Q1530" i="1"/>
  <c r="P1530" i="1"/>
  <c r="O1530" i="1"/>
  <c r="N1530" i="1"/>
  <c r="M1530" i="1"/>
  <c r="L1530" i="1"/>
  <c r="K1530" i="1"/>
  <c r="J1530" i="1"/>
  <c r="I1530" i="1"/>
  <c r="H1530" i="1"/>
  <c r="V1529" i="1"/>
  <c r="U1529" i="1"/>
  <c r="T1529" i="1"/>
  <c r="S1529" i="1"/>
  <c r="R1529" i="1"/>
  <c r="Q1529" i="1"/>
  <c r="P1529" i="1"/>
  <c r="O1529" i="1"/>
  <c r="N1529" i="1"/>
  <c r="M1529" i="1"/>
  <c r="L1529" i="1"/>
  <c r="K1529" i="1"/>
  <c r="J1529" i="1"/>
  <c r="I1529" i="1"/>
  <c r="H1529" i="1"/>
  <c r="V1528" i="1"/>
  <c r="U1528" i="1"/>
  <c r="T1528" i="1"/>
  <c r="S1528" i="1"/>
  <c r="R1528" i="1"/>
  <c r="Q1528" i="1"/>
  <c r="P1528" i="1"/>
  <c r="O1528" i="1"/>
  <c r="N1528" i="1"/>
  <c r="M1528" i="1"/>
  <c r="L1528" i="1"/>
  <c r="K1528" i="1"/>
  <c r="J1528" i="1"/>
  <c r="I1528" i="1"/>
  <c r="H1528" i="1"/>
  <c r="V1527" i="1"/>
  <c r="U1527" i="1"/>
  <c r="T1527" i="1"/>
  <c r="S1527" i="1"/>
  <c r="R1527" i="1"/>
  <c r="Q1527" i="1"/>
  <c r="P1527" i="1"/>
  <c r="O1527" i="1"/>
  <c r="N1527" i="1"/>
  <c r="M1527" i="1"/>
  <c r="L1527" i="1"/>
  <c r="K1527" i="1"/>
  <c r="J1527" i="1"/>
  <c r="I1527" i="1"/>
  <c r="H1527" i="1"/>
  <c r="V1526" i="1"/>
  <c r="U1526" i="1"/>
  <c r="T1526" i="1"/>
  <c r="S1526" i="1"/>
  <c r="R1526" i="1"/>
  <c r="Q1526" i="1"/>
  <c r="P1526" i="1"/>
  <c r="O1526" i="1"/>
  <c r="N1526" i="1"/>
  <c r="M1526" i="1"/>
  <c r="L1526" i="1"/>
  <c r="K1526" i="1"/>
  <c r="J1526" i="1"/>
  <c r="I1526" i="1"/>
  <c r="H1526" i="1"/>
  <c r="V1525" i="1"/>
  <c r="U1525" i="1"/>
  <c r="T1525" i="1"/>
  <c r="S1525" i="1"/>
  <c r="R1525" i="1"/>
  <c r="Q1525" i="1"/>
  <c r="P1525" i="1"/>
  <c r="O1525" i="1"/>
  <c r="N1525" i="1"/>
  <c r="M1525" i="1"/>
  <c r="L1525" i="1"/>
  <c r="K1525" i="1"/>
  <c r="J1525" i="1"/>
  <c r="I1525" i="1"/>
  <c r="H1525" i="1"/>
  <c r="V1524" i="1"/>
  <c r="U1524" i="1"/>
  <c r="T1524" i="1"/>
  <c r="S1524" i="1"/>
  <c r="R1524" i="1"/>
  <c r="Q1524" i="1"/>
  <c r="P1524" i="1"/>
  <c r="O1524" i="1"/>
  <c r="N1524" i="1"/>
  <c r="M1524" i="1"/>
  <c r="L1524" i="1"/>
  <c r="K1524" i="1"/>
  <c r="J1524" i="1"/>
  <c r="I1524" i="1"/>
  <c r="H1524" i="1"/>
  <c r="V1523" i="1"/>
  <c r="U1523" i="1"/>
  <c r="T1523" i="1"/>
  <c r="S1523" i="1"/>
  <c r="R1523" i="1"/>
  <c r="Q1523" i="1"/>
  <c r="P1523" i="1"/>
  <c r="O1523" i="1"/>
  <c r="N1523" i="1"/>
  <c r="M1523" i="1"/>
  <c r="L1523" i="1"/>
  <c r="K1523" i="1"/>
  <c r="J1523" i="1"/>
  <c r="I1523" i="1"/>
  <c r="H1523" i="1"/>
  <c r="V1522" i="1"/>
  <c r="U1522" i="1"/>
  <c r="T1522" i="1"/>
  <c r="S1522" i="1"/>
  <c r="R1522" i="1"/>
  <c r="Q1522" i="1"/>
  <c r="P1522" i="1"/>
  <c r="O1522" i="1"/>
  <c r="N1522" i="1"/>
  <c r="M1522" i="1"/>
  <c r="L1522" i="1"/>
  <c r="K1522" i="1"/>
  <c r="J1522" i="1"/>
  <c r="I1522" i="1"/>
  <c r="H1522" i="1"/>
  <c r="V1521" i="1"/>
  <c r="U1521" i="1"/>
  <c r="T1521" i="1"/>
  <c r="S1521" i="1"/>
  <c r="R1521" i="1"/>
  <c r="Q1521" i="1"/>
  <c r="P1521" i="1"/>
  <c r="O1521" i="1"/>
  <c r="N1521" i="1"/>
  <c r="M1521" i="1"/>
  <c r="L1521" i="1"/>
  <c r="K1521" i="1"/>
  <c r="J1521" i="1"/>
  <c r="I1521" i="1"/>
  <c r="H1521" i="1"/>
  <c r="V1520" i="1"/>
  <c r="U1520" i="1"/>
  <c r="T1520" i="1"/>
  <c r="S1520" i="1"/>
  <c r="R1520" i="1"/>
  <c r="Q1520" i="1"/>
  <c r="P1520" i="1"/>
  <c r="O1520" i="1"/>
  <c r="N1520" i="1"/>
  <c r="M1520" i="1"/>
  <c r="L1520" i="1"/>
  <c r="K1520" i="1"/>
  <c r="J1520" i="1"/>
  <c r="I1520" i="1"/>
  <c r="H1520" i="1"/>
  <c r="V1519" i="1"/>
  <c r="U1519" i="1"/>
  <c r="T1519" i="1"/>
  <c r="S1519" i="1"/>
  <c r="R1519" i="1"/>
  <c r="Q1519" i="1"/>
  <c r="P1519" i="1"/>
  <c r="O1519" i="1"/>
  <c r="N1519" i="1"/>
  <c r="M1519" i="1"/>
  <c r="L1519" i="1"/>
  <c r="K1519" i="1"/>
  <c r="J1519" i="1"/>
  <c r="I1519" i="1"/>
  <c r="H1519" i="1"/>
  <c r="V1518" i="1"/>
  <c r="U1518" i="1"/>
  <c r="T1518" i="1"/>
  <c r="S1518" i="1"/>
  <c r="R1518" i="1"/>
  <c r="Q1518" i="1"/>
  <c r="P1518" i="1"/>
  <c r="O1518" i="1"/>
  <c r="N1518" i="1"/>
  <c r="M1518" i="1"/>
  <c r="L1518" i="1"/>
  <c r="K1518" i="1"/>
  <c r="J1518" i="1"/>
  <c r="I1518" i="1"/>
  <c r="H1518" i="1"/>
  <c r="V1517" i="1"/>
  <c r="U1517" i="1"/>
  <c r="T1517" i="1"/>
  <c r="S1517" i="1"/>
  <c r="R1517" i="1"/>
  <c r="Q1517" i="1"/>
  <c r="P1517" i="1"/>
  <c r="O1517" i="1"/>
  <c r="N1517" i="1"/>
  <c r="M1517" i="1"/>
  <c r="L1517" i="1"/>
  <c r="K1517" i="1"/>
  <c r="J1517" i="1"/>
  <c r="I1517" i="1"/>
  <c r="H1517" i="1"/>
  <c r="V1516" i="1"/>
  <c r="U1516" i="1"/>
  <c r="T1516" i="1"/>
  <c r="S1516" i="1"/>
  <c r="R1516" i="1"/>
  <c r="Q1516" i="1"/>
  <c r="P1516" i="1"/>
  <c r="O1516" i="1"/>
  <c r="N1516" i="1"/>
  <c r="M1516" i="1"/>
  <c r="L1516" i="1"/>
  <c r="K1516" i="1"/>
  <c r="J1516" i="1"/>
  <c r="I1516" i="1"/>
  <c r="H1516" i="1"/>
  <c r="V1515" i="1"/>
  <c r="U1515" i="1"/>
  <c r="T1515" i="1"/>
  <c r="S1515" i="1"/>
  <c r="R1515" i="1"/>
  <c r="Q1515" i="1"/>
  <c r="P1515" i="1"/>
  <c r="O1515" i="1"/>
  <c r="N1515" i="1"/>
  <c r="M1515" i="1"/>
  <c r="L1515" i="1"/>
  <c r="K1515" i="1"/>
  <c r="J1515" i="1"/>
  <c r="I1515" i="1"/>
  <c r="H1515" i="1"/>
  <c r="V1514" i="1"/>
  <c r="U1514" i="1"/>
  <c r="T1514" i="1"/>
  <c r="S1514" i="1"/>
  <c r="R1514" i="1"/>
  <c r="Q1514" i="1"/>
  <c r="P1514" i="1"/>
  <c r="O1514" i="1"/>
  <c r="N1514" i="1"/>
  <c r="M1514" i="1"/>
  <c r="L1514" i="1"/>
  <c r="K1514" i="1"/>
  <c r="J1514" i="1"/>
  <c r="I1514" i="1"/>
  <c r="H1514" i="1"/>
  <c r="V1513" i="1"/>
  <c r="U1513" i="1"/>
  <c r="T1513" i="1"/>
  <c r="S1513" i="1"/>
  <c r="R1513" i="1"/>
  <c r="Q1513" i="1"/>
  <c r="P1513" i="1"/>
  <c r="O1513" i="1"/>
  <c r="N1513" i="1"/>
  <c r="M1513" i="1"/>
  <c r="L1513" i="1"/>
  <c r="K1513" i="1"/>
  <c r="J1513" i="1"/>
  <c r="I1513" i="1"/>
  <c r="H1513" i="1"/>
  <c r="V1512" i="1"/>
  <c r="U1512" i="1"/>
  <c r="T1512" i="1"/>
  <c r="S1512" i="1"/>
  <c r="R1512" i="1"/>
  <c r="Q1512" i="1"/>
  <c r="P1512" i="1"/>
  <c r="O1512" i="1"/>
  <c r="N1512" i="1"/>
  <c r="M1512" i="1"/>
  <c r="L1512" i="1"/>
  <c r="K1512" i="1"/>
  <c r="J1512" i="1"/>
  <c r="I1512" i="1"/>
  <c r="H1512" i="1"/>
  <c r="V1511" i="1"/>
  <c r="U1511" i="1"/>
  <c r="T1511" i="1"/>
  <c r="S1511" i="1"/>
  <c r="R1511" i="1"/>
  <c r="Q1511" i="1"/>
  <c r="P1511" i="1"/>
  <c r="O1511" i="1"/>
  <c r="N1511" i="1"/>
  <c r="M1511" i="1"/>
  <c r="L1511" i="1"/>
  <c r="K1511" i="1"/>
  <c r="J1511" i="1"/>
  <c r="I1511" i="1"/>
  <c r="H1511" i="1"/>
  <c r="V1510" i="1"/>
  <c r="U1510" i="1"/>
  <c r="T1510" i="1"/>
  <c r="S1510" i="1"/>
  <c r="R1510" i="1"/>
  <c r="Q1510" i="1"/>
  <c r="P1510" i="1"/>
  <c r="O1510" i="1"/>
  <c r="N1510" i="1"/>
  <c r="M1510" i="1"/>
  <c r="L1510" i="1"/>
  <c r="K1510" i="1"/>
  <c r="J1510" i="1"/>
  <c r="I1510" i="1"/>
  <c r="H1510" i="1"/>
  <c r="V1509" i="1"/>
  <c r="U1509" i="1"/>
  <c r="T1509" i="1"/>
  <c r="S1509" i="1"/>
  <c r="R1509" i="1"/>
  <c r="Q1509" i="1"/>
  <c r="P1509" i="1"/>
  <c r="O1509" i="1"/>
  <c r="N1509" i="1"/>
  <c r="M1509" i="1"/>
  <c r="L1509" i="1"/>
  <c r="K1509" i="1"/>
  <c r="J1509" i="1"/>
  <c r="I1509" i="1"/>
  <c r="H1509" i="1"/>
  <c r="V1508" i="1"/>
  <c r="U1508" i="1"/>
  <c r="T1508" i="1"/>
  <c r="S1508" i="1"/>
  <c r="R1508" i="1"/>
  <c r="Q1508" i="1"/>
  <c r="P1508" i="1"/>
  <c r="O1508" i="1"/>
  <c r="N1508" i="1"/>
  <c r="M1508" i="1"/>
  <c r="L1508" i="1"/>
  <c r="K1508" i="1"/>
  <c r="J1508" i="1"/>
  <c r="I1508" i="1"/>
  <c r="H1508" i="1"/>
  <c r="V1507" i="1"/>
  <c r="U1507" i="1"/>
  <c r="T1507" i="1"/>
  <c r="S1507" i="1"/>
  <c r="R1507" i="1"/>
  <c r="Q1507" i="1"/>
  <c r="P1507" i="1"/>
  <c r="O1507" i="1"/>
  <c r="N1507" i="1"/>
  <c r="M1507" i="1"/>
  <c r="L1507" i="1"/>
  <c r="K1507" i="1"/>
  <c r="J1507" i="1"/>
  <c r="I1507" i="1"/>
  <c r="H1507" i="1"/>
  <c r="V1506" i="1"/>
  <c r="U1506" i="1"/>
  <c r="T1506" i="1"/>
  <c r="S1506" i="1"/>
  <c r="R1506" i="1"/>
  <c r="Q1506" i="1"/>
  <c r="P1506" i="1"/>
  <c r="O1506" i="1"/>
  <c r="N1506" i="1"/>
  <c r="M1506" i="1"/>
  <c r="L1506" i="1"/>
  <c r="K1506" i="1"/>
  <c r="J1506" i="1"/>
  <c r="I1506" i="1"/>
  <c r="H1506" i="1"/>
  <c r="V1505" i="1"/>
  <c r="U1505" i="1"/>
  <c r="T1505" i="1"/>
  <c r="S1505" i="1"/>
  <c r="R1505" i="1"/>
  <c r="Q1505" i="1"/>
  <c r="P1505" i="1"/>
  <c r="O1505" i="1"/>
  <c r="N1505" i="1"/>
  <c r="M1505" i="1"/>
  <c r="L1505" i="1"/>
  <c r="K1505" i="1"/>
  <c r="J1505" i="1"/>
  <c r="I1505" i="1"/>
  <c r="H1505" i="1"/>
  <c r="V1504" i="1"/>
  <c r="U1504" i="1"/>
  <c r="T1504" i="1"/>
  <c r="S1504" i="1"/>
  <c r="R1504" i="1"/>
  <c r="Q1504" i="1"/>
  <c r="P1504" i="1"/>
  <c r="O1504" i="1"/>
  <c r="N1504" i="1"/>
  <c r="M1504" i="1"/>
  <c r="L1504" i="1"/>
  <c r="K1504" i="1"/>
  <c r="J1504" i="1"/>
  <c r="I1504" i="1"/>
  <c r="H1504" i="1"/>
  <c r="V1503" i="1"/>
  <c r="U1503" i="1"/>
  <c r="T1503" i="1"/>
  <c r="S1503" i="1"/>
  <c r="R1503" i="1"/>
  <c r="Q1503" i="1"/>
  <c r="P1503" i="1"/>
  <c r="O1503" i="1"/>
  <c r="N1503" i="1"/>
  <c r="M1503" i="1"/>
  <c r="L1503" i="1"/>
  <c r="K1503" i="1"/>
  <c r="J1503" i="1"/>
  <c r="I1503" i="1"/>
  <c r="H1503" i="1"/>
  <c r="V1502" i="1"/>
  <c r="U1502" i="1"/>
  <c r="T1502" i="1"/>
  <c r="S1502" i="1"/>
  <c r="R1502" i="1"/>
  <c r="Q1502" i="1"/>
  <c r="P1502" i="1"/>
  <c r="O1502" i="1"/>
  <c r="N1502" i="1"/>
  <c r="M1502" i="1"/>
  <c r="L1502" i="1"/>
  <c r="K1502" i="1"/>
  <c r="J1502" i="1"/>
  <c r="I1502" i="1"/>
  <c r="H1502" i="1"/>
  <c r="V1501" i="1"/>
  <c r="U1501" i="1"/>
  <c r="T1501" i="1"/>
  <c r="S1501" i="1"/>
  <c r="R1501" i="1"/>
  <c r="Q1501" i="1"/>
  <c r="P1501" i="1"/>
  <c r="O1501" i="1"/>
  <c r="N1501" i="1"/>
  <c r="M1501" i="1"/>
  <c r="L1501" i="1"/>
  <c r="K1501" i="1"/>
  <c r="J1501" i="1"/>
  <c r="I1501" i="1"/>
  <c r="H1501" i="1"/>
  <c r="V1500" i="1"/>
  <c r="U1500" i="1"/>
  <c r="T1500" i="1"/>
  <c r="S1500" i="1"/>
  <c r="R1500" i="1"/>
  <c r="Q1500" i="1"/>
  <c r="P1500" i="1"/>
  <c r="O1500" i="1"/>
  <c r="N1500" i="1"/>
  <c r="M1500" i="1"/>
  <c r="L1500" i="1"/>
  <c r="K1500" i="1"/>
  <c r="J1500" i="1"/>
  <c r="I1500" i="1"/>
  <c r="H1500" i="1"/>
  <c r="V1499" i="1"/>
  <c r="U1499" i="1"/>
  <c r="T1499" i="1"/>
  <c r="S1499" i="1"/>
  <c r="R1499" i="1"/>
  <c r="Q1499" i="1"/>
  <c r="P1499" i="1"/>
  <c r="O1499" i="1"/>
  <c r="N1499" i="1"/>
  <c r="M1499" i="1"/>
  <c r="L1499" i="1"/>
  <c r="K1499" i="1"/>
  <c r="J1499" i="1"/>
  <c r="I1499" i="1"/>
  <c r="H1499" i="1"/>
  <c r="V1498" i="1"/>
  <c r="U1498" i="1"/>
  <c r="T1498" i="1"/>
  <c r="S1498" i="1"/>
  <c r="R1498" i="1"/>
  <c r="Q1498" i="1"/>
  <c r="P1498" i="1"/>
  <c r="O1498" i="1"/>
  <c r="N1498" i="1"/>
  <c r="M1498" i="1"/>
  <c r="L1498" i="1"/>
  <c r="K1498" i="1"/>
  <c r="J1498" i="1"/>
  <c r="I1498" i="1"/>
  <c r="H1498" i="1"/>
  <c r="V1497" i="1"/>
  <c r="U1497" i="1"/>
  <c r="T1497" i="1"/>
  <c r="S1497" i="1"/>
  <c r="R1497" i="1"/>
  <c r="Q1497" i="1"/>
  <c r="P1497" i="1"/>
  <c r="O1497" i="1"/>
  <c r="N1497" i="1"/>
  <c r="M1497" i="1"/>
  <c r="L1497" i="1"/>
  <c r="K1497" i="1"/>
  <c r="J1497" i="1"/>
  <c r="I1497" i="1"/>
  <c r="H1497" i="1"/>
  <c r="V1496" i="1"/>
  <c r="U1496" i="1"/>
  <c r="T1496" i="1"/>
  <c r="S1496" i="1"/>
  <c r="R1496" i="1"/>
  <c r="Q1496" i="1"/>
  <c r="P1496" i="1"/>
  <c r="O1496" i="1"/>
  <c r="N1496" i="1"/>
  <c r="M1496" i="1"/>
  <c r="L1496" i="1"/>
  <c r="K1496" i="1"/>
  <c r="J1496" i="1"/>
  <c r="I1496" i="1"/>
  <c r="H1496" i="1"/>
  <c r="V1495" i="1"/>
  <c r="U1495" i="1"/>
  <c r="T1495" i="1"/>
  <c r="S1495" i="1"/>
  <c r="R1495" i="1"/>
  <c r="Q1495" i="1"/>
  <c r="P1495" i="1"/>
  <c r="O1495" i="1"/>
  <c r="N1495" i="1"/>
  <c r="M1495" i="1"/>
  <c r="L1495" i="1"/>
  <c r="K1495" i="1"/>
  <c r="J1495" i="1"/>
  <c r="I1495" i="1"/>
  <c r="H1495" i="1"/>
  <c r="V1494" i="1"/>
  <c r="U1494" i="1"/>
  <c r="T1494" i="1"/>
  <c r="S1494" i="1"/>
  <c r="R1494" i="1"/>
  <c r="Q1494" i="1"/>
  <c r="P1494" i="1"/>
  <c r="O1494" i="1"/>
  <c r="N1494" i="1"/>
  <c r="M1494" i="1"/>
  <c r="L1494" i="1"/>
  <c r="K1494" i="1"/>
  <c r="J1494" i="1"/>
  <c r="I1494" i="1"/>
  <c r="H1494" i="1"/>
  <c r="V1493" i="1"/>
  <c r="U1493" i="1"/>
  <c r="T1493" i="1"/>
  <c r="S1493" i="1"/>
  <c r="R1493" i="1"/>
  <c r="Q1493" i="1"/>
  <c r="P1493" i="1"/>
  <c r="O1493" i="1"/>
  <c r="N1493" i="1"/>
  <c r="M1493" i="1"/>
  <c r="L1493" i="1"/>
  <c r="K1493" i="1"/>
  <c r="J1493" i="1"/>
  <c r="I1493" i="1"/>
  <c r="H1493" i="1"/>
  <c r="V1492" i="1"/>
  <c r="U1492" i="1"/>
  <c r="T1492" i="1"/>
  <c r="S1492" i="1"/>
  <c r="R1492" i="1"/>
  <c r="Q1492" i="1"/>
  <c r="P1492" i="1"/>
  <c r="O1492" i="1"/>
  <c r="N1492" i="1"/>
  <c r="M1492" i="1"/>
  <c r="L1492" i="1"/>
  <c r="K1492" i="1"/>
  <c r="J1492" i="1"/>
  <c r="I1492" i="1"/>
  <c r="H1492" i="1"/>
  <c r="V1491" i="1"/>
  <c r="U1491" i="1"/>
  <c r="T1491" i="1"/>
  <c r="S1491" i="1"/>
  <c r="R1491" i="1"/>
  <c r="Q1491" i="1"/>
  <c r="P1491" i="1"/>
  <c r="O1491" i="1"/>
  <c r="N1491" i="1"/>
  <c r="M1491" i="1"/>
  <c r="L1491" i="1"/>
  <c r="K1491" i="1"/>
  <c r="J1491" i="1"/>
  <c r="I1491" i="1"/>
  <c r="H1491" i="1"/>
  <c r="V1490" i="1"/>
  <c r="U1490" i="1"/>
  <c r="T1490" i="1"/>
  <c r="S1490" i="1"/>
  <c r="R1490" i="1"/>
  <c r="Q1490" i="1"/>
  <c r="P1490" i="1"/>
  <c r="O1490" i="1"/>
  <c r="N1490" i="1"/>
  <c r="M1490" i="1"/>
  <c r="L1490" i="1"/>
  <c r="K1490" i="1"/>
  <c r="J1490" i="1"/>
  <c r="I1490" i="1"/>
  <c r="H1490" i="1"/>
  <c r="V1489" i="1"/>
  <c r="U1489" i="1"/>
  <c r="T1489" i="1"/>
  <c r="S1489" i="1"/>
  <c r="R1489" i="1"/>
  <c r="Q1489" i="1"/>
  <c r="P1489" i="1"/>
  <c r="O1489" i="1"/>
  <c r="N1489" i="1"/>
  <c r="M1489" i="1"/>
  <c r="L1489" i="1"/>
  <c r="K1489" i="1"/>
  <c r="J1489" i="1"/>
  <c r="I1489" i="1"/>
  <c r="H1489" i="1"/>
  <c r="V1488" i="1"/>
  <c r="U1488" i="1"/>
  <c r="T1488" i="1"/>
  <c r="S1488" i="1"/>
  <c r="R1488" i="1"/>
  <c r="Q1488" i="1"/>
  <c r="P1488" i="1"/>
  <c r="O1488" i="1"/>
  <c r="N1488" i="1"/>
  <c r="M1488" i="1"/>
  <c r="L1488" i="1"/>
  <c r="K1488" i="1"/>
  <c r="J1488" i="1"/>
  <c r="I1488" i="1"/>
  <c r="H1488" i="1"/>
  <c r="V1487" i="1"/>
  <c r="U1487" i="1"/>
  <c r="T1487" i="1"/>
  <c r="S1487" i="1"/>
  <c r="R1487" i="1"/>
  <c r="Q1487" i="1"/>
  <c r="P1487" i="1"/>
  <c r="O1487" i="1"/>
  <c r="N1487" i="1"/>
  <c r="M1487" i="1"/>
  <c r="L1487" i="1"/>
  <c r="K1487" i="1"/>
  <c r="J1487" i="1"/>
  <c r="I1487" i="1"/>
  <c r="H1487" i="1"/>
  <c r="V1486" i="1"/>
  <c r="U1486" i="1"/>
  <c r="T1486" i="1"/>
  <c r="S1486" i="1"/>
  <c r="R1486" i="1"/>
  <c r="Q1486" i="1"/>
  <c r="P1486" i="1"/>
  <c r="O1486" i="1"/>
  <c r="N1486" i="1"/>
  <c r="M1486" i="1"/>
  <c r="L1486" i="1"/>
  <c r="K1486" i="1"/>
  <c r="J1486" i="1"/>
  <c r="I1486" i="1"/>
  <c r="H1486" i="1"/>
  <c r="V1485" i="1"/>
  <c r="U1485" i="1"/>
  <c r="T1485" i="1"/>
  <c r="S1485" i="1"/>
  <c r="R1485" i="1"/>
  <c r="Q1485" i="1"/>
  <c r="P1485" i="1"/>
  <c r="O1485" i="1"/>
  <c r="N1485" i="1"/>
  <c r="M1485" i="1"/>
  <c r="L1485" i="1"/>
  <c r="K1485" i="1"/>
  <c r="J1485" i="1"/>
  <c r="I1485" i="1"/>
  <c r="H1485" i="1"/>
  <c r="V1484" i="1"/>
  <c r="U1484" i="1"/>
  <c r="T1484" i="1"/>
  <c r="S1484" i="1"/>
  <c r="R1484" i="1"/>
  <c r="Q1484" i="1"/>
  <c r="P1484" i="1"/>
  <c r="O1484" i="1"/>
  <c r="N1484" i="1"/>
  <c r="M1484" i="1"/>
  <c r="L1484" i="1"/>
  <c r="K1484" i="1"/>
  <c r="J1484" i="1"/>
  <c r="I1484" i="1"/>
  <c r="H1484" i="1"/>
  <c r="V1483" i="1"/>
  <c r="U1483" i="1"/>
  <c r="T1483" i="1"/>
  <c r="S1483" i="1"/>
  <c r="R1483" i="1"/>
  <c r="Q1483" i="1"/>
  <c r="P1483" i="1"/>
  <c r="O1483" i="1"/>
  <c r="N1483" i="1"/>
  <c r="M1483" i="1"/>
  <c r="L1483" i="1"/>
  <c r="K1483" i="1"/>
  <c r="J1483" i="1"/>
  <c r="I1483" i="1"/>
  <c r="H1483" i="1"/>
  <c r="V1482" i="1"/>
  <c r="U1482" i="1"/>
  <c r="T1482" i="1"/>
  <c r="S1482" i="1"/>
  <c r="R1482" i="1"/>
  <c r="Q1482" i="1"/>
  <c r="P1482" i="1"/>
  <c r="O1482" i="1"/>
  <c r="N1482" i="1"/>
  <c r="M1482" i="1"/>
  <c r="L1482" i="1"/>
  <c r="K1482" i="1"/>
  <c r="J1482" i="1"/>
  <c r="I1482" i="1"/>
  <c r="H1482" i="1"/>
  <c r="V1481" i="1"/>
  <c r="U1481" i="1"/>
  <c r="T1481" i="1"/>
  <c r="S1481" i="1"/>
  <c r="R1481" i="1"/>
  <c r="Q1481" i="1"/>
  <c r="P1481" i="1"/>
  <c r="O1481" i="1"/>
  <c r="N1481" i="1"/>
  <c r="M1481" i="1"/>
  <c r="L1481" i="1"/>
  <c r="K1481" i="1"/>
  <c r="J1481" i="1"/>
  <c r="I1481" i="1"/>
  <c r="H1481" i="1"/>
  <c r="V1480" i="1"/>
  <c r="U1480" i="1"/>
  <c r="T1480" i="1"/>
  <c r="S1480" i="1"/>
  <c r="R1480" i="1"/>
  <c r="Q1480" i="1"/>
  <c r="P1480" i="1"/>
  <c r="O1480" i="1"/>
  <c r="N1480" i="1"/>
  <c r="M1480" i="1"/>
  <c r="L1480" i="1"/>
  <c r="K1480" i="1"/>
  <c r="J1480" i="1"/>
  <c r="I1480" i="1"/>
  <c r="H1480" i="1"/>
  <c r="V1479" i="1"/>
  <c r="U1479" i="1"/>
  <c r="T1479" i="1"/>
  <c r="S1479" i="1"/>
  <c r="R1479" i="1"/>
  <c r="Q1479" i="1"/>
  <c r="P1479" i="1"/>
  <c r="O1479" i="1"/>
  <c r="N1479" i="1"/>
  <c r="M1479" i="1"/>
  <c r="L1479" i="1"/>
  <c r="K1479" i="1"/>
  <c r="J1479" i="1"/>
  <c r="I1479" i="1"/>
  <c r="H1479" i="1"/>
  <c r="V1478" i="1"/>
  <c r="U1478" i="1"/>
  <c r="T1478" i="1"/>
  <c r="S1478" i="1"/>
  <c r="R1478" i="1"/>
  <c r="Q1478" i="1"/>
  <c r="P1478" i="1"/>
  <c r="O1478" i="1"/>
  <c r="N1478" i="1"/>
  <c r="M1478" i="1"/>
  <c r="L1478" i="1"/>
  <c r="K1478" i="1"/>
  <c r="J1478" i="1"/>
  <c r="I1478" i="1"/>
  <c r="H1478" i="1"/>
  <c r="V1477" i="1"/>
  <c r="U1477" i="1"/>
  <c r="T1477" i="1"/>
  <c r="S1477" i="1"/>
  <c r="R1477" i="1"/>
  <c r="Q1477" i="1"/>
  <c r="P1477" i="1"/>
  <c r="O1477" i="1"/>
  <c r="N1477" i="1"/>
  <c r="M1477" i="1"/>
  <c r="L1477" i="1"/>
  <c r="K1477" i="1"/>
  <c r="J1477" i="1"/>
  <c r="I1477" i="1"/>
  <c r="H1477" i="1"/>
  <c r="V1476" i="1"/>
  <c r="U1476" i="1"/>
  <c r="T1476" i="1"/>
  <c r="S1476" i="1"/>
  <c r="R1476" i="1"/>
  <c r="Q1476" i="1"/>
  <c r="P1476" i="1"/>
  <c r="O1476" i="1"/>
  <c r="N1476" i="1"/>
  <c r="M1476" i="1"/>
  <c r="L1476" i="1"/>
  <c r="K1476" i="1"/>
  <c r="J1476" i="1"/>
  <c r="I1476" i="1"/>
  <c r="H1476" i="1"/>
  <c r="V1475" i="1"/>
  <c r="U1475" i="1"/>
  <c r="T1475" i="1"/>
  <c r="S1475" i="1"/>
  <c r="R1475" i="1"/>
  <c r="Q1475" i="1"/>
  <c r="P1475" i="1"/>
  <c r="O1475" i="1"/>
  <c r="N1475" i="1"/>
  <c r="M1475" i="1"/>
  <c r="L1475" i="1"/>
  <c r="K1475" i="1"/>
  <c r="J1475" i="1"/>
  <c r="I1475" i="1"/>
  <c r="H1475" i="1"/>
  <c r="V1474" i="1"/>
  <c r="U1474" i="1"/>
  <c r="T1474" i="1"/>
  <c r="S1474" i="1"/>
  <c r="R1474" i="1"/>
  <c r="Q1474" i="1"/>
  <c r="P1474" i="1"/>
  <c r="O1474" i="1"/>
  <c r="N1474" i="1"/>
  <c r="M1474" i="1"/>
  <c r="L1474" i="1"/>
  <c r="K1474" i="1"/>
  <c r="J1474" i="1"/>
  <c r="I1474" i="1"/>
  <c r="H1474" i="1"/>
  <c r="V1473" i="1"/>
  <c r="U1473" i="1"/>
  <c r="T1473" i="1"/>
  <c r="S1473" i="1"/>
  <c r="R1473" i="1"/>
  <c r="Q1473" i="1"/>
  <c r="P1473" i="1"/>
  <c r="O1473" i="1"/>
  <c r="N1473" i="1"/>
  <c r="M1473" i="1"/>
  <c r="L1473" i="1"/>
  <c r="K1473" i="1"/>
  <c r="J1473" i="1"/>
  <c r="I1473" i="1"/>
  <c r="H1473" i="1"/>
  <c r="V1472" i="1"/>
  <c r="U1472" i="1"/>
  <c r="T1472" i="1"/>
  <c r="S1472" i="1"/>
  <c r="R1472" i="1"/>
  <c r="Q1472" i="1"/>
  <c r="P1472" i="1"/>
  <c r="O1472" i="1"/>
  <c r="N1472" i="1"/>
  <c r="M1472" i="1"/>
  <c r="L1472" i="1"/>
  <c r="K1472" i="1"/>
  <c r="J1472" i="1"/>
  <c r="I1472" i="1"/>
  <c r="H1472" i="1"/>
  <c r="V1471" i="1"/>
  <c r="U1471" i="1"/>
  <c r="T1471" i="1"/>
  <c r="S1471" i="1"/>
  <c r="R1471" i="1"/>
  <c r="Q1471" i="1"/>
  <c r="P1471" i="1"/>
  <c r="O1471" i="1"/>
  <c r="N1471" i="1"/>
  <c r="M1471" i="1"/>
  <c r="L1471" i="1"/>
  <c r="K1471" i="1"/>
  <c r="J1471" i="1"/>
  <c r="I1471" i="1"/>
  <c r="H1471" i="1"/>
  <c r="V1470" i="1"/>
  <c r="U1470" i="1"/>
  <c r="T1470" i="1"/>
  <c r="S1470" i="1"/>
  <c r="R1470" i="1"/>
  <c r="Q1470" i="1"/>
  <c r="P1470" i="1"/>
  <c r="O1470" i="1"/>
  <c r="N1470" i="1"/>
  <c r="M1470" i="1"/>
  <c r="L1470" i="1"/>
  <c r="K1470" i="1"/>
  <c r="J1470" i="1"/>
  <c r="I1470" i="1"/>
  <c r="H1470" i="1"/>
  <c r="V1469" i="1"/>
  <c r="U1469" i="1"/>
  <c r="T1469" i="1"/>
  <c r="S1469" i="1"/>
  <c r="R1469" i="1"/>
  <c r="Q1469" i="1"/>
  <c r="P1469" i="1"/>
  <c r="O1469" i="1"/>
  <c r="N1469" i="1"/>
  <c r="M1469" i="1"/>
  <c r="L1469" i="1"/>
  <c r="K1469" i="1"/>
  <c r="J1469" i="1"/>
  <c r="I1469" i="1"/>
  <c r="H1469" i="1"/>
  <c r="V1468" i="1"/>
  <c r="U1468" i="1"/>
  <c r="T1468" i="1"/>
  <c r="S1468" i="1"/>
  <c r="R1468" i="1"/>
  <c r="Q1468" i="1"/>
  <c r="P1468" i="1"/>
  <c r="O1468" i="1"/>
  <c r="N1468" i="1"/>
  <c r="M1468" i="1"/>
  <c r="L1468" i="1"/>
  <c r="K1468" i="1"/>
  <c r="J1468" i="1"/>
  <c r="I1468" i="1"/>
  <c r="H1468" i="1"/>
  <c r="V1467" i="1"/>
  <c r="U1467" i="1"/>
  <c r="T1467" i="1"/>
  <c r="S1467" i="1"/>
  <c r="R1467" i="1"/>
  <c r="Q1467" i="1"/>
  <c r="P1467" i="1"/>
  <c r="O1467" i="1"/>
  <c r="N1467" i="1"/>
  <c r="M1467" i="1"/>
  <c r="L1467" i="1"/>
  <c r="K1467" i="1"/>
  <c r="J1467" i="1"/>
  <c r="I1467" i="1"/>
  <c r="H1467" i="1"/>
  <c r="V1466" i="1"/>
  <c r="U1466" i="1"/>
  <c r="T1466" i="1"/>
  <c r="S1466" i="1"/>
  <c r="R1466" i="1"/>
  <c r="Q1466" i="1"/>
  <c r="P1466" i="1"/>
  <c r="O1466" i="1"/>
  <c r="N1466" i="1"/>
  <c r="M1466" i="1"/>
  <c r="L1466" i="1"/>
  <c r="K1466" i="1"/>
  <c r="J1466" i="1"/>
  <c r="I1466" i="1"/>
  <c r="H1466" i="1"/>
  <c r="V1465" i="1"/>
  <c r="U1465" i="1"/>
  <c r="T1465" i="1"/>
  <c r="S1465" i="1"/>
  <c r="R1465" i="1"/>
  <c r="Q1465" i="1"/>
  <c r="P1465" i="1"/>
  <c r="O1465" i="1"/>
  <c r="N1465" i="1"/>
  <c r="M1465" i="1"/>
  <c r="L1465" i="1"/>
  <c r="K1465" i="1"/>
  <c r="J1465" i="1"/>
  <c r="I1465" i="1"/>
  <c r="H1465" i="1"/>
  <c r="V1464" i="1"/>
  <c r="U1464" i="1"/>
  <c r="T1464" i="1"/>
  <c r="S1464" i="1"/>
  <c r="R1464" i="1"/>
  <c r="Q1464" i="1"/>
  <c r="P1464" i="1"/>
  <c r="O1464" i="1"/>
  <c r="N1464" i="1"/>
  <c r="M1464" i="1"/>
  <c r="L1464" i="1"/>
  <c r="K1464" i="1"/>
  <c r="J1464" i="1"/>
  <c r="I1464" i="1"/>
  <c r="H1464" i="1"/>
  <c r="V1463" i="1"/>
  <c r="U1463" i="1"/>
  <c r="T1463" i="1"/>
  <c r="S1463" i="1"/>
  <c r="R1463" i="1"/>
  <c r="Q1463" i="1"/>
  <c r="P1463" i="1"/>
  <c r="O1463" i="1"/>
  <c r="N1463" i="1"/>
  <c r="M1463" i="1"/>
  <c r="L1463" i="1"/>
  <c r="K1463" i="1"/>
  <c r="J1463" i="1"/>
  <c r="I1463" i="1"/>
  <c r="H1463" i="1"/>
  <c r="V1462" i="1"/>
  <c r="U1462" i="1"/>
  <c r="T1462" i="1"/>
  <c r="S1462" i="1"/>
  <c r="R1462" i="1"/>
  <c r="Q1462" i="1"/>
  <c r="P1462" i="1"/>
  <c r="O1462" i="1"/>
  <c r="N1462" i="1"/>
  <c r="M1462" i="1"/>
  <c r="L1462" i="1"/>
  <c r="K1462" i="1"/>
  <c r="J1462" i="1"/>
  <c r="I1462" i="1"/>
  <c r="H1462" i="1"/>
  <c r="V1461" i="1"/>
  <c r="U1461" i="1"/>
  <c r="T1461" i="1"/>
  <c r="S1461" i="1"/>
  <c r="R1461" i="1"/>
  <c r="Q1461" i="1"/>
  <c r="P1461" i="1"/>
  <c r="O1461" i="1"/>
  <c r="N1461" i="1"/>
  <c r="M1461" i="1"/>
  <c r="L1461" i="1"/>
  <c r="K1461" i="1"/>
  <c r="J1461" i="1"/>
  <c r="I1461" i="1"/>
  <c r="H1461" i="1"/>
  <c r="V1460" i="1"/>
  <c r="U1460" i="1"/>
  <c r="T1460" i="1"/>
  <c r="S1460" i="1"/>
  <c r="R1460" i="1"/>
  <c r="Q1460" i="1"/>
  <c r="P1460" i="1"/>
  <c r="O1460" i="1"/>
  <c r="N1460" i="1"/>
  <c r="M1460" i="1"/>
  <c r="L1460" i="1"/>
  <c r="K1460" i="1"/>
  <c r="J1460" i="1"/>
  <c r="I1460" i="1"/>
  <c r="H1460" i="1"/>
  <c r="V1459" i="1"/>
  <c r="U1459" i="1"/>
  <c r="T1459" i="1"/>
  <c r="S1459" i="1"/>
  <c r="R1459" i="1"/>
  <c r="Q1459" i="1"/>
  <c r="P1459" i="1"/>
  <c r="O1459" i="1"/>
  <c r="N1459" i="1"/>
  <c r="M1459" i="1"/>
  <c r="L1459" i="1"/>
  <c r="K1459" i="1"/>
  <c r="J1459" i="1"/>
  <c r="I1459" i="1"/>
  <c r="H1459" i="1"/>
  <c r="V1458" i="1"/>
  <c r="U1458" i="1"/>
  <c r="T1458" i="1"/>
  <c r="S1458" i="1"/>
  <c r="R1458" i="1"/>
  <c r="Q1458" i="1"/>
  <c r="P1458" i="1"/>
  <c r="O1458" i="1"/>
  <c r="N1458" i="1"/>
  <c r="M1458" i="1"/>
  <c r="L1458" i="1"/>
  <c r="K1458" i="1"/>
  <c r="J1458" i="1"/>
  <c r="I1458" i="1"/>
  <c r="H1458" i="1"/>
  <c r="V1457" i="1"/>
  <c r="U1457" i="1"/>
  <c r="T1457" i="1"/>
  <c r="S1457" i="1"/>
  <c r="R1457" i="1"/>
  <c r="Q1457" i="1"/>
  <c r="P1457" i="1"/>
  <c r="O1457" i="1"/>
  <c r="N1457" i="1"/>
  <c r="M1457" i="1"/>
  <c r="L1457" i="1"/>
  <c r="K1457" i="1"/>
  <c r="J1457" i="1"/>
  <c r="I1457" i="1"/>
  <c r="H1457" i="1"/>
  <c r="V1456" i="1"/>
  <c r="U1456" i="1"/>
  <c r="T1456" i="1"/>
  <c r="S1456" i="1"/>
  <c r="R1456" i="1"/>
  <c r="Q1456" i="1"/>
  <c r="P1456" i="1"/>
  <c r="O1456" i="1"/>
  <c r="N1456" i="1"/>
  <c r="M1456" i="1"/>
  <c r="L1456" i="1"/>
  <c r="K1456" i="1"/>
  <c r="J1456" i="1"/>
  <c r="I1456" i="1"/>
  <c r="H1456" i="1"/>
  <c r="V1455" i="1"/>
  <c r="U1455" i="1"/>
  <c r="T1455" i="1"/>
  <c r="S1455" i="1"/>
  <c r="R1455" i="1"/>
  <c r="Q1455" i="1"/>
  <c r="P1455" i="1"/>
  <c r="O1455" i="1"/>
  <c r="N1455" i="1"/>
  <c r="M1455" i="1"/>
  <c r="L1455" i="1"/>
  <c r="K1455" i="1"/>
  <c r="J1455" i="1"/>
  <c r="I1455" i="1"/>
  <c r="H1455" i="1"/>
  <c r="V1454" i="1"/>
  <c r="U1454" i="1"/>
  <c r="T1454" i="1"/>
  <c r="S1454" i="1"/>
  <c r="R1454" i="1"/>
  <c r="Q1454" i="1"/>
  <c r="P1454" i="1"/>
  <c r="O1454" i="1"/>
  <c r="N1454" i="1"/>
  <c r="M1454" i="1"/>
  <c r="L1454" i="1"/>
  <c r="K1454" i="1"/>
  <c r="J1454" i="1"/>
  <c r="I1454" i="1"/>
  <c r="H1454" i="1"/>
  <c r="V1453" i="1"/>
  <c r="U1453" i="1"/>
  <c r="T1453" i="1"/>
  <c r="S1453" i="1"/>
  <c r="R1453" i="1"/>
  <c r="Q1453" i="1"/>
  <c r="P1453" i="1"/>
  <c r="O1453" i="1"/>
  <c r="N1453" i="1"/>
  <c r="M1453" i="1"/>
  <c r="L1453" i="1"/>
  <c r="K1453" i="1"/>
  <c r="J1453" i="1"/>
  <c r="I1453" i="1"/>
  <c r="H1453" i="1"/>
  <c r="V1452" i="1"/>
  <c r="U1452" i="1"/>
  <c r="T1452" i="1"/>
  <c r="S1452" i="1"/>
  <c r="R1452" i="1"/>
  <c r="Q1452" i="1"/>
  <c r="P1452" i="1"/>
  <c r="O1452" i="1"/>
  <c r="N1452" i="1"/>
  <c r="M1452" i="1"/>
  <c r="L1452" i="1"/>
  <c r="K1452" i="1"/>
  <c r="J1452" i="1"/>
  <c r="I1452" i="1"/>
  <c r="H1452" i="1"/>
  <c r="V1451" i="1"/>
  <c r="U1451" i="1"/>
  <c r="T1451" i="1"/>
  <c r="S1451" i="1"/>
  <c r="R1451" i="1"/>
  <c r="Q1451" i="1"/>
  <c r="P1451" i="1"/>
  <c r="O1451" i="1"/>
  <c r="N1451" i="1"/>
  <c r="M1451" i="1"/>
  <c r="L1451" i="1"/>
  <c r="K1451" i="1"/>
  <c r="J1451" i="1"/>
  <c r="I1451" i="1"/>
  <c r="H1451" i="1"/>
  <c r="V1450" i="1"/>
  <c r="U1450" i="1"/>
  <c r="T1450" i="1"/>
  <c r="S1450" i="1"/>
  <c r="R1450" i="1"/>
  <c r="Q1450" i="1"/>
  <c r="P1450" i="1"/>
  <c r="O1450" i="1"/>
  <c r="N1450" i="1"/>
  <c r="M1450" i="1"/>
  <c r="L1450" i="1"/>
  <c r="K1450" i="1"/>
  <c r="J1450" i="1"/>
  <c r="I1450" i="1"/>
  <c r="H1450" i="1"/>
  <c r="V1449" i="1"/>
  <c r="U1449" i="1"/>
  <c r="T1449" i="1"/>
  <c r="S1449" i="1"/>
  <c r="R1449" i="1"/>
  <c r="Q1449" i="1"/>
  <c r="P1449" i="1"/>
  <c r="O1449" i="1"/>
  <c r="N1449" i="1"/>
  <c r="M1449" i="1"/>
  <c r="L1449" i="1"/>
  <c r="K1449" i="1"/>
  <c r="J1449" i="1"/>
  <c r="I1449" i="1"/>
  <c r="H1449" i="1"/>
  <c r="V1448" i="1"/>
  <c r="U1448" i="1"/>
  <c r="T1448" i="1"/>
  <c r="S1448" i="1"/>
  <c r="R1448" i="1"/>
  <c r="Q1448" i="1"/>
  <c r="P1448" i="1"/>
  <c r="O1448" i="1"/>
  <c r="N1448" i="1"/>
  <c r="M1448" i="1"/>
  <c r="L1448" i="1"/>
  <c r="K1448" i="1"/>
  <c r="J1448" i="1"/>
  <c r="I1448" i="1"/>
  <c r="H1448" i="1"/>
  <c r="V1447" i="1"/>
  <c r="U1447" i="1"/>
  <c r="T1447" i="1"/>
  <c r="S1447" i="1"/>
  <c r="R1447" i="1"/>
  <c r="Q1447" i="1"/>
  <c r="P1447" i="1"/>
  <c r="O1447" i="1"/>
  <c r="N1447" i="1"/>
  <c r="M1447" i="1"/>
  <c r="L1447" i="1"/>
  <c r="K1447" i="1"/>
  <c r="J1447" i="1"/>
  <c r="I1447" i="1"/>
  <c r="H1447" i="1"/>
  <c r="V1446" i="1"/>
  <c r="U1446" i="1"/>
  <c r="T1446" i="1"/>
  <c r="S1446" i="1"/>
  <c r="R1446" i="1"/>
  <c r="Q1446" i="1"/>
  <c r="P1446" i="1"/>
  <c r="O1446" i="1"/>
  <c r="N1446" i="1"/>
  <c r="M1446" i="1"/>
  <c r="L1446" i="1"/>
  <c r="K1446" i="1"/>
  <c r="J1446" i="1"/>
  <c r="I1446" i="1"/>
  <c r="H1446" i="1"/>
  <c r="V1445" i="1"/>
  <c r="U1445" i="1"/>
  <c r="T1445" i="1"/>
  <c r="S1445" i="1"/>
  <c r="R1445" i="1"/>
  <c r="Q1445" i="1"/>
  <c r="P1445" i="1"/>
  <c r="O1445" i="1"/>
  <c r="N1445" i="1"/>
  <c r="M1445" i="1"/>
  <c r="L1445" i="1"/>
  <c r="K1445" i="1"/>
  <c r="J1445" i="1"/>
  <c r="I1445" i="1"/>
  <c r="H1445" i="1"/>
  <c r="V1444" i="1"/>
  <c r="U1444" i="1"/>
  <c r="T1444" i="1"/>
  <c r="S1444" i="1"/>
  <c r="R1444" i="1"/>
  <c r="Q1444" i="1"/>
  <c r="P1444" i="1"/>
  <c r="O1444" i="1"/>
  <c r="N1444" i="1"/>
  <c r="M1444" i="1"/>
  <c r="L1444" i="1"/>
  <c r="K1444" i="1"/>
  <c r="J1444" i="1"/>
  <c r="I1444" i="1"/>
  <c r="H1444" i="1"/>
  <c r="V1443" i="1"/>
  <c r="U1443" i="1"/>
  <c r="T1443" i="1"/>
  <c r="S1443" i="1"/>
  <c r="R1443" i="1"/>
  <c r="Q1443" i="1"/>
  <c r="P1443" i="1"/>
  <c r="O1443" i="1"/>
  <c r="N1443" i="1"/>
  <c r="M1443" i="1"/>
  <c r="L1443" i="1"/>
  <c r="K1443" i="1"/>
  <c r="J1443" i="1"/>
  <c r="I1443" i="1"/>
  <c r="H1443" i="1"/>
  <c r="V1442" i="1"/>
  <c r="U1442" i="1"/>
  <c r="T1442" i="1"/>
  <c r="S1442" i="1"/>
  <c r="R1442" i="1"/>
  <c r="Q1442" i="1"/>
  <c r="P1442" i="1"/>
  <c r="O1442" i="1"/>
  <c r="N1442" i="1"/>
  <c r="M1442" i="1"/>
  <c r="L1442" i="1"/>
  <c r="K1442" i="1"/>
  <c r="J1442" i="1"/>
  <c r="I1442" i="1"/>
  <c r="H1442" i="1"/>
  <c r="V1441" i="1"/>
  <c r="U1441" i="1"/>
  <c r="T1441" i="1"/>
  <c r="S1441" i="1"/>
  <c r="R1441" i="1"/>
  <c r="Q1441" i="1"/>
  <c r="P1441" i="1"/>
  <c r="O1441" i="1"/>
  <c r="N1441" i="1"/>
  <c r="M1441" i="1"/>
  <c r="L1441" i="1"/>
  <c r="K1441" i="1"/>
  <c r="J1441" i="1"/>
  <c r="I1441" i="1"/>
  <c r="H1441" i="1"/>
  <c r="V1440" i="1"/>
  <c r="U1440" i="1"/>
  <c r="T1440" i="1"/>
  <c r="S1440" i="1"/>
  <c r="R1440" i="1"/>
  <c r="Q1440" i="1"/>
  <c r="P1440" i="1"/>
  <c r="O1440" i="1"/>
  <c r="N1440" i="1"/>
  <c r="M1440" i="1"/>
  <c r="L1440" i="1"/>
  <c r="K1440" i="1"/>
  <c r="J1440" i="1"/>
  <c r="I1440" i="1"/>
  <c r="H1440" i="1"/>
  <c r="V1439" i="1"/>
  <c r="U1439" i="1"/>
  <c r="T1439" i="1"/>
  <c r="S1439" i="1"/>
  <c r="R1439" i="1"/>
  <c r="Q1439" i="1"/>
  <c r="P1439" i="1"/>
  <c r="O1439" i="1"/>
  <c r="N1439" i="1"/>
  <c r="M1439" i="1"/>
  <c r="L1439" i="1"/>
  <c r="K1439" i="1"/>
  <c r="J1439" i="1"/>
  <c r="I1439" i="1"/>
  <c r="H1439" i="1"/>
  <c r="V1438" i="1"/>
  <c r="U1438" i="1"/>
  <c r="T1438" i="1"/>
  <c r="S1438" i="1"/>
  <c r="R1438" i="1"/>
  <c r="Q1438" i="1"/>
  <c r="P1438" i="1"/>
  <c r="O1438" i="1"/>
  <c r="N1438" i="1"/>
  <c r="M1438" i="1"/>
  <c r="L1438" i="1"/>
  <c r="K1438" i="1"/>
  <c r="J1438" i="1"/>
  <c r="I1438" i="1"/>
  <c r="H1438" i="1"/>
  <c r="V1437" i="1"/>
  <c r="U1437" i="1"/>
  <c r="T1437" i="1"/>
  <c r="S1437" i="1"/>
  <c r="R1437" i="1"/>
  <c r="Q1437" i="1"/>
  <c r="P1437" i="1"/>
  <c r="O1437" i="1"/>
  <c r="N1437" i="1"/>
  <c r="M1437" i="1"/>
  <c r="L1437" i="1"/>
  <c r="K1437" i="1"/>
  <c r="J1437" i="1"/>
  <c r="I1437" i="1"/>
  <c r="H1437" i="1"/>
  <c r="V1436" i="1"/>
  <c r="U1436" i="1"/>
  <c r="T1436" i="1"/>
  <c r="S1436" i="1"/>
  <c r="R1436" i="1"/>
  <c r="Q1436" i="1"/>
  <c r="P1436" i="1"/>
  <c r="O1436" i="1"/>
  <c r="N1436" i="1"/>
  <c r="M1436" i="1"/>
  <c r="L1436" i="1"/>
  <c r="K1436" i="1"/>
  <c r="J1436" i="1"/>
  <c r="I1436" i="1"/>
  <c r="H1436" i="1"/>
  <c r="V1435" i="1"/>
  <c r="U1435" i="1"/>
  <c r="T1435" i="1"/>
  <c r="S1435" i="1"/>
  <c r="R1435" i="1"/>
  <c r="Q1435" i="1"/>
  <c r="P1435" i="1"/>
  <c r="O1435" i="1"/>
  <c r="N1435" i="1"/>
  <c r="M1435" i="1"/>
  <c r="L1435" i="1"/>
  <c r="K1435" i="1"/>
  <c r="J1435" i="1"/>
  <c r="I1435" i="1"/>
  <c r="H1435" i="1"/>
  <c r="V1434" i="1"/>
  <c r="U1434" i="1"/>
  <c r="T1434" i="1"/>
  <c r="S1434" i="1"/>
  <c r="R1434" i="1"/>
  <c r="Q1434" i="1"/>
  <c r="P1434" i="1"/>
  <c r="O1434" i="1"/>
  <c r="N1434" i="1"/>
  <c r="M1434" i="1"/>
  <c r="L1434" i="1"/>
  <c r="K1434" i="1"/>
  <c r="J1434" i="1"/>
  <c r="I1434" i="1"/>
  <c r="H1434" i="1"/>
  <c r="V1433" i="1"/>
  <c r="U1433" i="1"/>
  <c r="T1433" i="1"/>
  <c r="S1433" i="1"/>
  <c r="R1433" i="1"/>
  <c r="Q1433" i="1"/>
  <c r="P1433" i="1"/>
  <c r="O1433" i="1"/>
  <c r="N1433" i="1"/>
  <c r="M1433" i="1"/>
  <c r="L1433" i="1"/>
  <c r="K1433" i="1"/>
  <c r="J1433" i="1"/>
  <c r="I1433" i="1"/>
  <c r="H1433" i="1"/>
  <c r="V1432" i="1"/>
  <c r="U1432" i="1"/>
  <c r="T1432" i="1"/>
  <c r="S1432" i="1"/>
  <c r="R1432" i="1"/>
  <c r="Q1432" i="1"/>
  <c r="P1432" i="1"/>
  <c r="O1432" i="1"/>
  <c r="N1432" i="1"/>
  <c r="M1432" i="1"/>
  <c r="L1432" i="1"/>
  <c r="K1432" i="1"/>
  <c r="J1432" i="1"/>
  <c r="I1432" i="1"/>
  <c r="H1432" i="1"/>
  <c r="V1431" i="1"/>
  <c r="U1431" i="1"/>
  <c r="T1431" i="1"/>
  <c r="S1431" i="1"/>
  <c r="R1431" i="1"/>
  <c r="Q1431" i="1"/>
  <c r="P1431" i="1"/>
  <c r="O1431" i="1"/>
  <c r="N1431" i="1"/>
  <c r="M1431" i="1"/>
  <c r="L1431" i="1"/>
  <c r="K1431" i="1"/>
  <c r="J1431" i="1"/>
  <c r="I1431" i="1"/>
  <c r="H1431" i="1"/>
  <c r="V1430" i="1"/>
  <c r="U1430" i="1"/>
  <c r="T1430" i="1"/>
  <c r="S1430" i="1"/>
  <c r="R1430" i="1"/>
  <c r="Q1430" i="1"/>
  <c r="P1430" i="1"/>
  <c r="O1430" i="1"/>
  <c r="N1430" i="1"/>
  <c r="M1430" i="1"/>
  <c r="L1430" i="1"/>
  <c r="K1430" i="1"/>
  <c r="J1430" i="1"/>
  <c r="I1430" i="1"/>
  <c r="H1430" i="1"/>
  <c r="V1429" i="1"/>
  <c r="U1429" i="1"/>
  <c r="T1429" i="1"/>
  <c r="S1429" i="1"/>
  <c r="R1429" i="1"/>
  <c r="Q1429" i="1"/>
  <c r="P1429" i="1"/>
  <c r="O1429" i="1"/>
  <c r="N1429" i="1"/>
  <c r="M1429" i="1"/>
  <c r="L1429" i="1"/>
  <c r="K1429" i="1"/>
  <c r="J1429" i="1"/>
  <c r="I1429" i="1"/>
  <c r="H1429" i="1"/>
  <c r="V1428" i="1"/>
  <c r="U1428" i="1"/>
  <c r="T1428" i="1"/>
  <c r="S1428" i="1"/>
  <c r="R1428" i="1"/>
  <c r="Q1428" i="1"/>
  <c r="P1428" i="1"/>
  <c r="O1428" i="1"/>
  <c r="N1428" i="1"/>
  <c r="M1428" i="1"/>
  <c r="L1428" i="1"/>
  <c r="K1428" i="1"/>
  <c r="J1428" i="1"/>
  <c r="I1428" i="1"/>
  <c r="H1428" i="1"/>
  <c r="V1427" i="1"/>
  <c r="U1427" i="1"/>
  <c r="T1427" i="1"/>
  <c r="S1427" i="1"/>
  <c r="R1427" i="1"/>
  <c r="Q1427" i="1"/>
  <c r="P1427" i="1"/>
  <c r="O1427" i="1"/>
  <c r="N1427" i="1"/>
  <c r="M1427" i="1"/>
  <c r="L1427" i="1"/>
  <c r="K1427" i="1"/>
  <c r="J1427" i="1"/>
  <c r="I1427" i="1"/>
  <c r="H1427" i="1"/>
  <c r="V1426" i="1"/>
  <c r="U1426" i="1"/>
  <c r="T1426" i="1"/>
  <c r="S1426" i="1"/>
  <c r="R1426" i="1"/>
  <c r="Q1426" i="1"/>
  <c r="P1426" i="1"/>
  <c r="O1426" i="1"/>
  <c r="N1426" i="1"/>
  <c r="M1426" i="1"/>
  <c r="L1426" i="1"/>
  <c r="K1426" i="1"/>
  <c r="J1426" i="1"/>
  <c r="I1426" i="1"/>
  <c r="H1426" i="1"/>
  <c r="V1425" i="1"/>
  <c r="U1425" i="1"/>
  <c r="T1425" i="1"/>
  <c r="S1425" i="1"/>
  <c r="R1425" i="1"/>
  <c r="Q1425" i="1"/>
  <c r="P1425" i="1"/>
  <c r="O1425" i="1"/>
  <c r="N1425" i="1"/>
  <c r="M1425" i="1"/>
  <c r="L1425" i="1"/>
  <c r="K1425" i="1"/>
  <c r="J1425" i="1"/>
  <c r="I1425" i="1"/>
  <c r="H1425" i="1"/>
  <c r="V1424" i="1"/>
  <c r="U1424" i="1"/>
  <c r="T1424" i="1"/>
  <c r="S1424" i="1"/>
  <c r="R1424" i="1"/>
  <c r="Q1424" i="1"/>
  <c r="P1424" i="1"/>
  <c r="O1424" i="1"/>
  <c r="N1424" i="1"/>
  <c r="M1424" i="1"/>
  <c r="L1424" i="1"/>
  <c r="K1424" i="1"/>
  <c r="J1424" i="1"/>
  <c r="I1424" i="1"/>
  <c r="H1424" i="1"/>
  <c r="V1423" i="1"/>
  <c r="U1423" i="1"/>
  <c r="T1423" i="1"/>
  <c r="S1423" i="1"/>
  <c r="R1423" i="1"/>
  <c r="Q1423" i="1"/>
  <c r="P1423" i="1"/>
  <c r="O1423" i="1"/>
  <c r="N1423" i="1"/>
  <c r="M1423" i="1"/>
  <c r="L1423" i="1"/>
  <c r="K1423" i="1"/>
  <c r="J1423" i="1"/>
  <c r="I1423" i="1"/>
  <c r="H1423" i="1"/>
  <c r="V1422" i="1"/>
  <c r="U1422" i="1"/>
  <c r="T1422" i="1"/>
  <c r="S1422" i="1"/>
  <c r="R1422" i="1"/>
  <c r="Q1422" i="1"/>
  <c r="P1422" i="1"/>
  <c r="O1422" i="1"/>
  <c r="N1422" i="1"/>
  <c r="M1422" i="1"/>
  <c r="L1422" i="1"/>
  <c r="K1422" i="1"/>
  <c r="J1422" i="1"/>
  <c r="I1422" i="1"/>
  <c r="H1422" i="1"/>
  <c r="V1421" i="1"/>
  <c r="U1421" i="1"/>
  <c r="T1421" i="1"/>
  <c r="S1421" i="1"/>
  <c r="R1421" i="1"/>
  <c r="Q1421" i="1"/>
  <c r="P1421" i="1"/>
  <c r="O1421" i="1"/>
  <c r="N1421" i="1"/>
  <c r="M1421" i="1"/>
  <c r="L1421" i="1"/>
  <c r="K1421" i="1"/>
  <c r="J1421" i="1"/>
  <c r="I1421" i="1"/>
  <c r="H1421" i="1"/>
  <c r="V1420" i="1"/>
  <c r="U1420" i="1"/>
  <c r="T1420" i="1"/>
  <c r="S1420" i="1"/>
  <c r="R1420" i="1"/>
  <c r="Q1420" i="1"/>
  <c r="P1420" i="1"/>
  <c r="O1420" i="1"/>
  <c r="N1420" i="1"/>
  <c r="M1420" i="1"/>
  <c r="L1420" i="1"/>
  <c r="K1420" i="1"/>
  <c r="J1420" i="1"/>
  <c r="I1420" i="1"/>
  <c r="H1420" i="1"/>
  <c r="V1419" i="1"/>
  <c r="U1419" i="1"/>
  <c r="T1419" i="1"/>
  <c r="S1419" i="1"/>
  <c r="R1419" i="1"/>
  <c r="Q1419" i="1"/>
  <c r="P1419" i="1"/>
  <c r="O1419" i="1"/>
  <c r="N1419" i="1"/>
  <c r="M1419" i="1"/>
  <c r="L1419" i="1"/>
  <c r="K1419" i="1"/>
  <c r="J1419" i="1"/>
  <c r="I1419" i="1"/>
  <c r="H1419" i="1"/>
  <c r="V1418" i="1"/>
  <c r="U1418" i="1"/>
  <c r="T1418" i="1"/>
  <c r="S1418" i="1"/>
  <c r="R1418" i="1"/>
  <c r="Q1418" i="1"/>
  <c r="P1418" i="1"/>
  <c r="O1418" i="1"/>
  <c r="N1418" i="1"/>
  <c r="M1418" i="1"/>
  <c r="L1418" i="1"/>
  <c r="K1418" i="1"/>
  <c r="J1418" i="1"/>
  <c r="I1418" i="1"/>
  <c r="H1418" i="1"/>
  <c r="V1417" i="1"/>
  <c r="U1417" i="1"/>
  <c r="T1417" i="1"/>
  <c r="S1417" i="1"/>
  <c r="R1417" i="1"/>
  <c r="Q1417" i="1"/>
  <c r="P1417" i="1"/>
  <c r="O1417" i="1"/>
  <c r="N1417" i="1"/>
  <c r="M1417" i="1"/>
  <c r="L1417" i="1"/>
  <c r="K1417" i="1"/>
  <c r="J1417" i="1"/>
  <c r="I1417" i="1"/>
  <c r="H1417" i="1"/>
  <c r="V1416" i="1"/>
  <c r="U1416" i="1"/>
  <c r="T1416" i="1"/>
  <c r="S1416" i="1"/>
  <c r="R1416" i="1"/>
  <c r="Q1416" i="1"/>
  <c r="P1416" i="1"/>
  <c r="O1416" i="1"/>
  <c r="N1416" i="1"/>
  <c r="M1416" i="1"/>
  <c r="L1416" i="1"/>
  <c r="K1416" i="1"/>
  <c r="J1416" i="1"/>
  <c r="I1416" i="1"/>
  <c r="H1416" i="1"/>
  <c r="V1415" i="1"/>
  <c r="U1415" i="1"/>
  <c r="T1415" i="1"/>
  <c r="S1415" i="1"/>
  <c r="R1415" i="1"/>
  <c r="Q1415" i="1"/>
  <c r="P1415" i="1"/>
  <c r="O1415" i="1"/>
  <c r="N1415" i="1"/>
  <c r="M1415" i="1"/>
  <c r="L1415" i="1"/>
  <c r="K1415" i="1"/>
  <c r="J1415" i="1"/>
  <c r="I1415" i="1"/>
  <c r="H1415" i="1"/>
  <c r="V1414" i="1"/>
  <c r="U1414" i="1"/>
  <c r="T1414" i="1"/>
  <c r="S1414" i="1"/>
  <c r="R1414" i="1"/>
  <c r="Q1414" i="1"/>
  <c r="P1414" i="1"/>
  <c r="O1414" i="1"/>
  <c r="N1414" i="1"/>
  <c r="M1414" i="1"/>
  <c r="L1414" i="1"/>
  <c r="K1414" i="1"/>
  <c r="J1414" i="1"/>
  <c r="I1414" i="1"/>
  <c r="H1414" i="1"/>
  <c r="V1413" i="1"/>
  <c r="U1413" i="1"/>
  <c r="T1413" i="1"/>
  <c r="S1413" i="1"/>
  <c r="R1413" i="1"/>
  <c r="Q1413" i="1"/>
  <c r="P1413" i="1"/>
  <c r="O1413" i="1"/>
  <c r="N1413" i="1"/>
  <c r="M1413" i="1"/>
  <c r="L1413" i="1"/>
  <c r="K1413" i="1"/>
  <c r="J1413" i="1"/>
  <c r="I1413" i="1"/>
  <c r="H1413" i="1"/>
  <c r="V1412" i="1"/>
  <c r="U1412" i="1"/>
  <c r="T1412" i="1"/>
  <c r="S1412" i="1"/>
  <c r="R1412" i="1"/>
  <c r="Q1412" i="1"/>
  <c r="P1412" i="1"/>
  <c r="O1412" i="1"/>
  <c r="N1412" i="1"/>
  <c r="M1412" i="1"/>
  <c r="L1412" i="1"/>
  <c r="K1412" i="1"/>
  <c r="J1412" i="1"/>
  <c r="I1412" i="1"/>
  <c r="H1412" i="1"/>
  <c r="V1411" i="1"/>
  <c r="U1411" i="1"/>
  <c r="T1411" i="1"/>
  <c r="S1411" i="1"/>
  <c r="R1411" i="1"/>
  <c r="Q1411" i="1"/>
  <c r="P1411" i="1"/>
  <c r="O1411" i="1"/>
  <c r="N1411" i="1"/>
  <c r="M1411" i="1"/>
  <c r="L1411" i="1"/>
  <c r="K1411" i="1"/>
  <c r="J1411" i="1"/>
  <c r="I1411" i="1"/>
  <c r="H1411" i="1"/>
  <c r="V1410" i="1"/>
  <c r="U1410" i="1"/>
  <c r="T1410" i="1"/>
  <c r="S1410" i="1"/>
  <c r="R1410" i="1"/>
  <c r="Q1410" i="1"/>
  <c r="P1410" i="1"/>
  <c r="O1410" i="1"/>
  <c r="N1410" i="1"/>
  <c r="M1410" i="1"/>
  <c r="L1410" i="1"/>
  <c r="K1410" i="1"/>
  <c r="J1410" i="1"/>
  <c r="I1410" i="1"/>
  <c r="H1410" i="1"/>
  <c r="V1409" i="1"/>
  <c r="U1409" i="1"/>
  <c r="T1409" i="1"/>
  <c r="S1409" i="1"/>
  <c r="R1409" i="1"/>
  <c r="Q1409" i="1"/>
  <c r="P1409" i="1"/>
  <c r="O1409" i="1"/>
  <c r="N1409" i="1"/>
  <c r="M1409" i="1"/>
  <c r="L1409" i="1"/>
  <c r="K1409" i="1"/>
  <c r="J1409" i="1"/>
  <c r="I1409" i="1"/>
  <c r="H1409" i="1"/>
  <c r="V1408" i="1"/>
  <c r="U1408" i="1"/>
  <c r="T1408" i="1"/>
  <c r="S1408" i="1"/>
  <c r="R1408" i="1"/>
  <c r="Q1408" i="1"/>
  <c r="P1408" i="1"/>
  <c r="O1408" i="1"/>
  <c r="N1408" i="1"/>
  <c r="M1408" i="1"/>
  <c r="L1408" i="1"/>
  <c r="K1408" i="1"/>
  <c r="J1408" i="1"/>
  <c r="I1408" i="1"/>
  <c r="H1408" i="1"/>
  <c r="V1407" i="1"/>
  <c r="U1407" i="1"/>
  <c r="T1407" i="1"/>
  <c r="S1407" i="1"/>
  <c r="R1407" i="1"/>
  <c r="Q1407" i="1"/>
  <c r="P1407" i="1"/>
  <c r="O1407" i="1"/>
  <c r="N1407" i="1"/>
  <c r="M1407" i="1"/>
  <c r="L1407" i="1"/>
  <c r="K1407" i="1"/>
  <c r="J1407" i="1"/>
  <c r="I1407" i="1"/>
  <c r="H1407" i="1"/>
  <c r="V1406" i="1"/>
  <c r="U1406" i="1"/>
  <c r="T1406" i="1"/>
  <c r="S1406" i="1"/>
  <c r="R1406" i="1"/>
  <c r="Q1406" i="1"/>
  <c r="P1406" i="1"/>
  <c r="O1406" i="1"/>
  <c r="N1406" i="1"/>
  <c r="M1406" i="1"/>
  <c r="L1406" i="1"/>
  <c r="K1406" i="1"/>
  <c r="J1406" i="1"/>
  <c r="I1406" i="1"/>
  <c r="H1406" i="1"/>
  <c r="V1405" i="1"/>
  <c r="U1405" i="1"/>
  <c r="T1405" i="1"/>
  <c r="S1405" i="1"/>
  <c r="R1405" i="1"/>
  <c r="Q1405" i="1"/>
  <c r="P1405" i="1"/>
  <c r="O1405" i="1"/>
  <c r="N1405" i="1"/>
  <c r="M1405" i="1"/>
  <c r="L1405" i="1"/>
  <c r="K1405" i="1"/>
  <c r="J1405" i="1"/>
  <c r="I1405" i="1"/>
  <c r="H1405" i="1"/>
  <c r="V1404" i="1"/>
  <c r="U1404" i="1"/>
  <c r="T1404" i="1"/>
  <c r="S1404" i="1"/>
  <c r="R1404" i="1"/>
  <c r="Q1404" i="1"/>
  <c r="P1404" i="1"/>
  <c r="O1404" i="1"/>
  <c r="N1404" i="1"/>
  <c r="M1404" i="1"/>
  <c r="L1404" i="1"/>
  <c r="K1404" i="1"/>
  <c r="J1404" i="1"/>
  <c r="I1404" i="1"/>
  <c r="H1404" i="1"/>
  <c r="V1403" i="1"/>
  <c r="U1403" i="1"/>
  <c r="T1403" i="1"/>
  <c r="S1403" i="1"/>
  <c r="R1403" i="1"/>
  <c r="Q1403" i="1"/>
  <c r="P1403" i="1"/>
  <c r="O1403" i="1"/>
  <c r="N1403" i="1"/>
  <c r="M1403" i="1"/>
  <c r="L1403" i="1"/>
  <c r="K1403" i="1"/>
  <c r="J1403" i="1"/>
  <c r="I1403" i="1"/>
  <c r="H1403" i="1"/>
  <c r="V1402" i="1"/>
  <c r="U1402" i="1"/>
  <c r="T1402" i="1"/>
  <c r="S1402" i="1"/>
  <c r="R1402" i="1"/>
  <c r="Q1402" i="1"/>
  <c r="P1402" i="1"/>
  <c r="O1402" i="1"/>
  <c r="N1402" i="1"/>
  <c r="M1402" i="1"/>
  <c r="L1402" i="1"/>
  <c r="K1402" i="1"/>
  <c r="J1402" i="1"/>
  <c r="I1402" i="1"/>
  <c r="H1402" i="1"/>
  <c r="V1401" i="1"/>
  <c r="U1401" i="1"/>
  <c r="T1401" i="1"/>
  <c r="S1401" i="1"/>
  <c r="R1401" i="1"/>
  <c r="Q1401" i="1"/>
  <c r="P1401" i="1"/>
  <c r="O1401" i="1"/>
  <c r="N1401" i="1"/>
  <c r="M1401" i="1"/>
  <c r="L1401" i="1"/>
  <c r="K1401" i="1"/>
  <c r="J1401" i="1"/>
  <c r="I1401" i="1"/>
  <c r="H1401" i="1"/>
  <c r="V1400" i="1"/>
  <c r="U1400" i="1"/>
  <c r="T1400" i="1"/>
  <c r="S1400" i="1"/>
  <c r="R1400" i="1"/>
  <c r="Q1400" i="1"/>
  <c r="P1400" i="1"/>
  <c r="O1400" i="1"/>
  <c r="N1400" i="1"/>
  <c r="M1400" i="1"/>
  <c r="L1400" i="1"/>
  <c r="K1400" i="1"/>
  <c r="J1400" i="1"/>
  <c r="I1400" i="1"/>
  <c r="H1400" i="1"/>
  <c r="V1399" i="1"/>
  <c r="U1399" i="1"/>
  <c r="T1399" i="1"/>
  <c r="S1399" i="1"/>
  <c r="R1399" i="1"/>
  <c r="Q1399" i="1"/>
  <c r="P1399" i="1"/>
  <c r="O1399" i="1"/>
  <c r="N1399" i="1"/>
  <c r="M1399" i="1"/>
  <c r="L1399" i="1"/>
  <c r="K1399" i="1"/>
  <c r="J1399" i="1"/>
  <c r="I1399" i="1"/>
  <c r="H1399" i="1"/>
  <c r="V1398" i="1"/>
  <c r="U1398" i="1"/>
  <c r="T1398" i="1"/>
  <c r="S1398" i="1"/>
  <c r="R1398" i="1"/>
  <c r="Q1398" i="1"/>
  <c r="P1398" i="1"/>
  <c r="O1398" i="1"/>
  <c r="N1398" i="1"/>
  <c r="M1398" i="1"/>
  <c r="L1398" i="1"/>
  <c r="K1398" i="1"/>
  <c r="J1398" i="1"/>
  <c r="I1398" i="1"/>
  <c r="H1398" i="1"/>
  <c r="V1397" i="1"/>
  <c r="U1397" i="1"/>
  <c r="T1397" i="1"/>
  <c r="S1397" i="1"/>
  <c r="R1397" i="1"/>
  <c r="Q1397" i="1"/>
  <c r="P1397" i="1"/>
  <c r="O1397" i="1"/>
  <c r="N1397" i="1"/>
  <c r="M1397" i="1"/>
  <c r="L1397" i="1"/>
  <c r="K1397" i="1"/>
  <c r="J1397" i="1"/>
  <c r="I1397" i="1"/>
  <c r="H1397" i="1"/>
  <c r="V1396" i="1"/>
  <c r="U1396" i="1"/>
  <c r="T1396" i="1"/>
  <c r="S1396" i="1"/>
  <c r="R1396" i="1"/>
  <c r="Q1396" i="1"/>
  <c r="P1396" i="1"/>
  <c r="O1396" i="1"/>
  <c r="N1396" i="1"/>
  <c r="M1396" i="1"/>
  <c r="L1396" i="1"/>
  <c r="K1396" i="1"/>
  <c r="J1396" i="1"/>
  <c r="I1396" i="1"/>
  <c r="H1396" i="1"/>
  <c r="V1395" i="1"/>
  <c r="U1395" i="1"/>
  <c r="T1395" i="1"/>
  <c r="S1395" i="1"/>
  <c r="R1395" i="1"/>
  <c r="Q1395" i="1"/>
  <c r="P1395" i="1"/>
  <c r="O1395" i="1"/>
  <c r="N1395" i="1"/>
  <c r="M1395" i="1"/>
  <c r="L1395" i="1"/>
  <c r="K1395" i="1"/>
  <c r="J1395" i="1"/>
  <c r="I1395" i="1"/>
  <c r="H1395" i="1"/>
  <c r="V1394" i="1"/>
  <c r="U1394" i="1"/>
  <c r="T1394" i="1"/>
  <c r="S1394" i="1"/>
  <c r="R1394" i="1"/>
  <c r="Q1394" i="1"/>
  <c r="P1394" i="1"/>
  <c r="O1394" i="1"/>
  <c r="N1394" i="1"/>
  <c r="M1394" i="1"/>
  <c r="L1394" i="1"/>
  <c r="K1394" i="1"/>
  <c r="J1394" i="1"/>
  <c r="I1394" i="1"/>
  <c r="H1394" i="1"/>
  <c r="V1393" i="1"/>
  <c r="U1393" i="1"/>
  <c r="T1393" i="1"/>
  <c r="S1393" i="1"/>
  <c r="R1393" i="1"/>
  <c r="Q1393" i="1"/>
  <c r="P1393" i="1"/>
  <c r="O1393" i="1"/>
  <c r="N1393" i="1"/>
  <c r="M1393" i="1"/>
  <c r="L1393" i="1"/>
  <c r="K1393" i="1"/>
  <c r="J1393" i="1"/>
  <c r="I1393" i="1"/>
  <c r="H1393" i="1"/>
  <c r="V1392" i="1"/>
  <c r="U1392" i="1"/>
  <c r="T1392" i="1"/>
  <c r="S1392" i="1"/>
  <c r="R1392" i="1"/>
  <c r="Q1392" i="1"/>
  <c r="P1392" i="1"/>
  <c r="O1392" i="1"/>
  <c r="N1392" i="1"/>
  <c r="M1392" i="1"/>
  <c r="L1392" i="1"/>
  <c r="K1392" i="1"/>
  <c r="J1392" i="1"/>
  <c r="I1392" i="1"/>
  <c r="H1392" i="1"/>
  <c r="V1391" i="1"/>
  <c r="U1391" i="1"/>
  <c r="T1391" i="1"/>
  <c r="S1391" i="1"/>
  <c r="R1391" i="1"/>
  <c r="Q1391" i="1"/>
  <c r="P1391" i="1"/>
  <c r="O1391" i="1"/>
  <c r="N1391" i="1"/>
  <c r="M1391" i="1"/>
  <c r="L1391" i="1"/>
  <c r="K1391" i="1"/>
  <c r="J1391" i="1"/>
  <c r="I1391" i="1"/>
  <c r="H1391" i="1"/>
  <c r="V1390" i="1"/>
  <c r="U1390" i="1"/>
  <c r="T1390" i="1"/>
  <c r="S1390" i="1"/>
  <c r="R1390" i="1"/>
  <c r="Q1390" i="1"/>
  <c r="P1390" i="1"/>
  <c r="O1390" i="1"/>
  <c r="N1390" i="1"/>
  <c r="M1390" i="1"/>
  <c r="L1390" i="1"/>
  <c r="K1390" i="1"/>
  <c r="J1390" i="1"/>
  <c r="I1390" i="1"/>
  <c r="H1390" i="1"/>
  <c r="V1389" i="1"/>
  <c r="U1389" i="1"/>
  <c r="T1389" i="1"/>
  <c r="S1389" i="1"/>
  <c r="R1389" i="1"/>
  <c r="Q1389" i="1"/>
  <c r="P1389" i="1"/>
  <c r="O1389" i="1"/>
  <c r="N1389" i="1"/>
  <c r="M1389" i="1"/>
  <c r="L1389" i="1"/>
  <c r="K1389" i="1"/>
  <c r="J1389" i="1"/>
  <c r="I1389" i="1"/>
  <c r="H1389" i="1"/>
  <c r="V1388" i="1"/>
  <c r="U1388" i="1"/>
  <c r="T1388" i="1"/>
  <c r="S1388" i="1"/>
  <c r="R1388" i="1"/>
  <c r="Q1388" i="1"/>
  <c r="P1388" i="1"/>
  <c r="O1388" i="1"/>
  <c r="N1388" i="1"/>
  <c r="M1388" i="1"/>
  <c r="L1388" i="1"/>
  <c r="K1388" i="1"/>
  <c r="J1388" i="1"/>
  <c r="I1388" i="1"/>
  <c r="H1388" i="1"/>
  <c r="V1387" i="1"/>
  <c r="U1387" i="1"/>
  <c r="T1387" i="1"/>
  <c r="S1387" i="1"/>
  <c r="R1387" i="1"/>
  <c r="Q1387" i="1"/>
  <c r="P1387" i="1"/>
  <c r="O1387" i="1"/>
  <c r="N1387" i="1"/>
  <c r="M1387" i="1"/>
  <c r="L1387" i="1"/>
  <c r="K1387" i="1"/>
  <c r="J1387" i="1"/>
  <c r="I1387" i="1"/>
  <c r="H1387" i="1"/>
  <c r="V1386" i="1"/>
  <c r="U1386" i="1"/>
  <c r="T1386" i="1"/>
  <c r="S1386" i="1"/>
  <c r="R1386" i="1"/>
  <c r="Q1386" i="1"/>
  <c r="P1386" i="1"/>
  <c r="O1386" i="1"/>
  <c r="N1386" i="1"/>
  <c r="M1386" i="1"/>
  <c r="L1386" i="1"/>
  <c r="K1386" i="1"/>
  <c r="J1386" i="1"/>
  <c r="I1386" i="1"/>
  <c r="H1386" i="1"/>
  <c r="V1385" i="1"/>
  <c r="U1385" i="1"/>
  <c r="T1385" i="1"/>
  <c r="S1385" i="1"/>
  <c r="R1385" i="1"/>
  <c r="Q1385" i="1"/>
  <c r="P1385" i="1"/>
  <c r="O1385" i="1"/>
  <c r="N1385" i="1"/>
  <c r="M1385" i="1"/>
  <c r="L1385" i="1"/>
  <c r="K1385" i="1"/>
  <c r="J1385" i="1"/>
  <c r="I1385" i="1"/>
  <c r="H1385" i="1"/>
  <c r="V1384" i="1"/>
  <c r="U1384" i="1"/>
  <c r="T1384" i="1"/>
  <c r="S1384" i="1"/>
  <c r="R1384" i="1"/>
  <c r="Q1384" i="1"/>
  <c r="P1384" i="1"/>
  <c r="O1384" i="1"/>
  <c r="N1384" i="1"/>
  <c r="M1384" i="1"/>
  <c r="L1384" i="1"/>
  <c r="K1384" i="1"/>
  <c r="J1384" i="1"/>
  <c r="I1384" i="1"/>
  <c r="H1384" i="1"/>
  <c r="V1383" i="1"/>
  <c r="U1383" i="1"/>
  <c r="T1383" i="1"/>
  <c r="S1383" i="1"/>
  <c r="R1383" i="1"/>
  <c r="Q1383" i="1"/>
  <c r="P1383" i="1"/>
  <c r="O1383" i="1"/>
  <c r="N1383" i="1"/>
  <c r="M1383" i="1"/>
  <c r="L1383" i="1"/>
  <c r="K1383" i="1"/>
  <c r="J1383" i="1"/>
  <c r="I1383" i="1"/>
  <c r="H1383" i="1"/>
  <c r="V1382" i="1"/>
  <c r="U1382" i="1"/>
  <c r="T1382" i="1"/>
  <c r="S1382" i="1"/>
  <c r="R1382" i="1"/>
  <c r="Q1382" i="1"/>
  <c r="P1382" i="1"/>
  <c r="O1382" i="1"/>
  <c r="N1382" i="1"/>
  <c r="M1382" i="1"/>
  <c r="L1382" i="1"/>
  <c r="K1382" i="1"/>
  <c r="J1382" i="1"/>
  <c r="I1382" i="1"/>
  <c r="H1382" i="1"/>
  <c r="V1381" i="1"/>
  <c r="U1381" i="1"/>
  <c r="T1381" i="1"/>
  <c r="S1381" i="1"/>
  <c r="R1381" i="1"/>
  <c r="Q1381" i="1"/>
  <c r="P1381" i="1"/>
  <c r="O1381" i="1"/>
  <c r="N1381" i="1"/>
  <c r="M1381" i="1"/>
  <c r="L1381" i="1"/>
  <c r="K1381" i="1"/>
  <c r="J1381" i="1"/>
  <c r="I1381" i="1"/>
  <c r="H1381" i="1"/>
  <c r="V1380" i="1"/>
  <c r="U1380" i="1"/>
  <c r="T1380" i="1"/>
  <c r="S1380" i="1"/>
  <c r="R1380" i="1"/>
  <c r="Q1380" i="1"/>
  <c r="P1380" i="1"/>
  <c r="O1380" i="1"/>
  <c r="N1380" i="1"/>
  <c r="M1380" i="1"/>
  <c r="L1380" i="1"/>
  <c r="K1380" i="1"/>
  <c r="J1380" i="1"/>
  <c r="I1380" i="1"/>
  <c r="H1380" i="1"/>
  <c r="V1379" i="1"/>
  <c r="U1379" i="1"/>
  <c r="T1379" i="1"/>
  <c r="S1379" i="1"/>
  <c r="R1379" i="1"/>
  <c r="Q1379" i="1"/>
  <c r="P1379" i="1"/>
  <c r="O1379" i="1"/>
  <c r="N1379" i="1"/>
  <c r="M1379" i="1"/>
  <c r="L1379" i="1"/>
  <c r="K1379" i="1"/>
  <c r="J1379" i="1"/>
  <c r="I1379" i="1"/>
  <c r="H1379" i="1"/>
  <c r="V1378" i="1"/>
  <c r="U1378" i="1"/>
  <c r="T1378" i="1"/>
  <c r="S1378" i="1"/>
  <c r="R1378" i="1"/>
  <c r="Q1378" i="1"/>
  <c r="P1378" i="1"/>
  <c r="O1378" i="1"/>
  <c r="N1378" i="1"/>
  <c r="M1378" i="1"/>
  <c r="L1378" i="1"/>
  <c r="K1378" i="1"/>
  <c r="J1378" i="1"/>
  <c r="I1378" i="1"/>
  <c r="H1378" i="1"/>
  <c r="V1377" i="1"/>
  <c r="U1377" i="1"/>
  <c r="T1377" i="1"/>
  <c r="S1377" i="1"/>
  <c r="R1377" i="1"/>
  <c r="Q1377" i="1"/>
  <c r="P1377" i="1"/>
  <c r="O1377" i="1"/>
  <c r="N1377" i="1"/>
  <c r="M1377" i="1"/>
  <c r="L1377" i="1"/>
  <c r="K1377" i="1"/>
  <c r="J1377" i="1"/>
  <c r="I1377" i="1"/>
  <c r="H1377" i="1"/>
  <c r="V1376" i="1"/>
  <c r="U1376" i="1"/>
  <c r="T1376" i="1"/>
  <c r="S1376" i="1"/>
  <c r="R1376" i="1"/>
  <c r="Q1376" i="1"/>
  <c r="P1376" i="1"/>
  <c r="O1376" i="1"/>
  <c r="N1376" i="1"/>
  <c r="M1376" i="1"/>
  <c r="L1376" i="1"/>
  <c r="K1376" i="1"/>
  <c r="J1376" i="1"/>
  <c r="I1376" i="1"/>
  <c r="H1376" i="1"/>
  <c r="V1375" i="1"/>
  <c r="U1375" i="1"/>
  <c r="T1375" i="1"/>
  <c r="S1375" i="1"/>
  <c r="R1375" i="1"/>
  <c r="Q1375" i="1"/>
  <c r="P1375" i="1"/>
  <c r="O1375" i="1"/>
  <c r="N1375" i="1"/>
  <c r="M1375" i="1"/>
  <c r="L1375" i="1"/>
  <c r="K1375" i="1"/>
  <c r="J1375" i="1"/>
  <c r="I1375" i="1"/>
  <c r="H1375" i="1"/>
  <c r="V1374" i="1"/>
  <c r="U1374" i="1"/>
  <c r="T1374" i="1"/>
  <c r="S1374" i="1"/>
  <c r="R1374" i="1"/>
  <c r="Q1374" i="1"/>
  <c r="P1374" i="1"/>
  <c r="O1374" i="1"/>
  <c r="N1374" i="1"/>
  <c r="M1374" i="1"/>
  <c r="L1374" i="1"/>
  <c r="K1374" i="1"/>
  <c r="J1374" i="1"/>
  <c r="I1374" i="1"/>
  <c r="H1374" i="1"/>
  <c r="V1373" i="1"/>
  <c r="U1373" i="1"/>
  <c r="T1373" i="1"/>
  <c r="S1373" i="1"/>
  <c r="R1373" i="1"/>
  <c r="Q1373" i="1"/>
  <c r="P1373" i="1"/>
  <c r="O1373" i="1"/>
  <c r="N1373" i="1"/>
  <c r="M1373" i="1"/>
  <c r="L1373" i="1"/>
  <c r="K1373" i="1"/>
  <c r="J1373" i="1"/>
  <c r="I1373" i="1"/>
  <c r="H1373" i="1"/>
  <c r="V1372" i="1"/>
  <c r="U1372" i="1"/>
  <c r="T1372" i="1"/>
  <c r="S1372" i="1"/>
  <c r="R1372" i="1"/>
  <c r="Q1372" i="1"/>
  <c r="P1372" i="1"/>
  <c r="O1372" i="1"/>
  <c r="N1372" i="1"/>
  <c r="M1372" i="1"/>
  <c r="L1372" i="1"/>
  <c r="K1372" i="1"/>
  <c r="J1372" i="1"/>
  <c r="I1372" i="1"/>
  <c r="H1372" i="1"/>
  <c r="V1371" i="1"/>
  <c r="U1371" i="1"/>
  <c r="T1371" i="1"/>
  <c r="S1371" i="1"/>
  <c r="R1371" i="1"/>
  <c r="Q1371" i="1"/>
  <c r="P1371" i="1"/>
  <c r="O1371" i="1"/>
  <c r="N1371" i="1"/>
  <c r="M1371" i="1"/>
  <c r="L1371" i="1"/>
  <c r="K1371" i="1"/>
  <c r="J1371" i="1"/>
  <c r="I1371" i="1"/>
  <c r="H1371" i="1"/>
  <c r="V1370" i="1"/>
  <c r="U1370" i="1"/>
  <c r="T1370" i="1"/>
  <c r="S1370" i="1"/>
  <c r="R1370" i="1"/>
  <c r="Q1370" i="1"/>
  <c r="P1370" i="1"/>
  <c r="O1370" i="1"/>
  <c r="N1370" i="1"/>
  <c r="M1370" i="1"/>
  <c r="L1370" i="1"/>
  <c r="K1370" i="1"/>
  <c r="J1370" i="1"/>
  <c r="I1370" i="1"/>
  <c r="H1370" i="1"/>
  <c r="V1369" i="1"/>
  <c r="U1369" i="1"/>
  <c r="T1369" i="1"/>
  <c r="S1369" i="1"/>
  <c r="R1369" i="1"/>
  <c r="Q1369" i="1"/>
  <c r="P1369" i="1"/>
  <c r="O1369" i="1"/>
  <c r="N1369" i="1"/>
  <c r="M1369" i="1"/>
  <c r="L1369" i="1"/>
  <c r="K1369" i="1"/>
  <c r="J1369" i="1"/>
  <c r="I1369" i="1"/>
  <c r="H1369" i="1"/>
  <c r="V1368" i="1"/>
  <c r="U1368" i="1"/>
  <c r="T1368" i="1"/>
  <c r="S1368" i="1"/>
  <c r="R1368" i="1"/>
  <c r="Q1368" i="1"/>
  <c r="P1368" i="1"/>
  <c r="O1368" i="1"/>
  <c r="N1368" i="1"/>
  <c r="M1368" i="1"/>
  <c r="L1368" i="1"/>
  <c r="K1368" i="1"/>
  <c r="J1368" i="1"/>
  <c r="I1368" i="1"/>
  <c r="H1368" i="1"/>
  <c r="V1367" i="1"/>
  <c r="U1367" i="1"/>
  <c r="T1367" i="1"/>
  <c r="S1367" i="1"/>
  <c r="R1367" i="1"/>
  <c r="Q1367" i="1"/>
  <c r="P1367" i="1"/>
  <c r="O1367" i="1"/>
  <c r="N1367" i="1"/>
  <c r="M1367" i="1"/>
  <c r="L1367" i="1"/>
  <c r="K1367" i="1"/>
  <c r="J1367" i="1"/>
  <c r="I1367" i="1"/>
  <c r="H1367" i="1"/>
  <c r="V1366" i="1"/>
  <c r="U1366" i="1"/>
  <c r="T1366" i="1"/>
  <c r="S1366" i="1"/>
  <c r="R1366" i="1"/>
  <c r="Q1366" i="1"/>
  <c r="P1366" i="1"/>
  <c r="O1366" i="1"/>
  <c r="N1366" i="1"/>
  <c r="M1366" i="1"/>
  <c r="L1366" i="1"/>
  <c r="K1366" i="1"/>
  <c r="J1366" i="1"/>
  <c r="I1366" i="1"/>
  <c r="H1366" i="1"/>
  <c r="V1365" i="1"/>
  <c r="U1365" i="1"/>
  <c r="T1365" i="1"/>
  <c r="S1365" i="1"/>
  <c r="R1365" i="1"/>
  <c r="Q1365" i="1"/>
  <c r="P1365" i="1"/>
  <c r="O1365" i="1"/>
  <c r="N1365" i="1"/>
  <c r="M1365" i="1"/>
  <c r="L1365" i="1"/>
  <c r="K1365" i="1"/>
  <c r="J1365" i="1"/>
  <c r="I1365" i="1"/>
  <c r="H1365" i="1"/>
  <c r="V1364" i="1"/>
  <c r="U1364" i="1"/>
  <c r="T1364" i="1"/>
  <c r="S1364" i="1"/>
  <c r="R1364" i="1"/>
  <c r="Q1364" i="1"/>
  <c r="P1364" i="1"/>
  <c r="O1364" i="1"/>
  <c r="N1364" i="1"/>
  <c r="M1364" i="1"/>
  <c r="L1364" i="1"/>
  <c r="K1364" i="1"/>
  <c r="J1364" i="1"/>
  <c r="I1364" i="1"/>
  <c r="H1364" i="1"/>
  <c r="V1363" i="1"/>
  <c r="U1363" i="1"/>
  <c r="T1363" i="1"/>
  <c r="S1363" i="1"/>
  <c r="R1363" i="1"/>
  <c r="Q1363" i="1"/>
  <c r="P1363" i="1"/>
  <c r="O1363" i="1"/>
  <c r="N1363" i="1"/>
  <c r="M1363" i="1"/>
  <c r="L1363" i="1"/>
  <c r="K1363" i="1"/>
  <c r="J1363" i="1"/>
  <c r="I1363" i="1"/>
  <c r="H1363" i="1"/>
  <c r="V1362" i="1"/>
  <c r="U1362" i="1"/>
  <c r="T1362" i="1"/>
  <c r="S1362" i="1"/>
  <c r="R1362" i="1"/>
  <c r="Q1362" i="1"/>
  <c r="P1362" i="1"/>
  <c r="O1362" i="1"/>
  <c r="N1362" i="1"/>
  <c r="M1362" i="1"/>
  <c r="L1362" i="1"/>
  <c r="K1362" i="1"/>
  <c r="J1362" i="1"/>
  <c r="I1362" i="1"/>
  <c r="H1362" i="1"/>
  <c r="V1361" i="1"/>
  <c r="U1361" i="1"/>
  <c r="T1361" i="1"/>
  <c r="S1361" i="1"/>
  <c r="R1361" i="1"/>
  <c r="Q1361" i="1"/>
  <c r="P1361" i="1"/>
  <c r="O1361" i="1"/>
  <c r="N1361" i="1"/>
  <c r="M1361" i="1"/>
  <c r="L1361" i="1"/>
  <c r="K1361" i="1"/>
  <c r="J1361" i="1"/>
  <c r="I1361" i="1"/>
  <c r="H1361" i="1"/>
  <c r="V1360" i="1"/>
  <c r="U1360" i="1"/>
  <c r="T1360" i="1"/>
  <c r="S1360" i="1"/>
  <c r="R1360" i="1"/>
  <c r="Q1360" i="1"/>
  <c r="P1360" i="1"/>
  <c r="O1360" i="1"/>
  <c r="N1360" i="1"/>
  <c r="M1360" i="1"/>
  <c r="L1360" i="1"/>
  <c r="K1360" i="1"/>
  <c r="J1360" i="1"/>
  <c r="I1360" i="1"/>
  <c r="H1360" i="1"/>
  <c r="V1359" i="1"/>
  <c r="U1359" i="1"/>
  <c r="T1359" i="1"/>
  <c r="S1359" i="1"/>
  <c r="R1359" i="1"/>
  <c r="Q1359" i="1"/>
  <c r="P1359" i="1"/>
  <c r="O1359" i="1"/>
  <c r="N1359" i="1"/>
  <c r="M1359" i="1"/>
  <c r="L1359" i="1"/>
  <c r="K1359" i="1"/>
  <c r="J1359" i="1"/>
  <c r="I1359" i="1"/>
  <c r="H1359" i="1"/>
  <c r="V1358" i="1"/>
  <c r="U1358" i="1"/>
  <c r="T1358" i="1"/>
  <c r="S1358" i="1"/>
  <c r="R1358" i="1"/>
  <c r="Q1358" i="1"/>
  <c r="P1358" i="1"/>
  <c r="O1358" i="1"/>
  <c r="N1358" i="1"/>
  <c r="M1358" i="1"/>
  <c r="L1358" i="1"/>
  <c r="K1358" i="1"/>
  <c r="J1358" i="1"/>
  <c r="I1358" i="1"/>
  <c r="H1358" i="1"/>
  <c r="V1357" i="1"/>
  <c r="U1357" i="1"/>
  <c r="T1357" i="1"/>
  <c r="S1357" i="1"/>
  <c r="R1357" i="1"/>
  <c r="Q1357" i="1"/>
  <c r="P1357" i="1"/>
  <c r="O1357" i="1"/>
  <c r="N1357" i="1"/>
  <c r="M1357" i="1"/>
  <c r="L1357" i="1"/>
  <c r="K1357" i="1"/>
  <c r="J1357" i="1"/>
  <c r="I1357" i="1"/>
  <c r="H1357" i="1"/>
  <c r="V1356" i="1"/>
  <c r="U1356" i="1"/>
  <c r="T1356" i="1"/>
  <c r="S1356" i="1"/>
  <c r="R1356" i="1"/>
  <c r="Q1356" i="1"/>
  <c r="P1356" i="1"/>
  <c r="O1356" i="1"/>
  <c r="N1356" i="1"/>
  <c r="M1356" i="1"/>
  <c r="L1356" i="1"/>
  <c r="K1356" i="1"/>
  <c r="J1356" i="1"/>
  <c r="I1356" i="1"/>
  <c r="H1356" i="1"/>
  <c r="V1355" i="1"/>
  <c r="U1355" i="1"/>
  <c r="T1355" i="1"/>
  <c r="S1355" i="1"/>
  <c r="R1355" i="1"/>
  <c r="Q1355" i="1"/>
  <c r="P1355" i="1"/>
  <c r="O1355" i="1"/>
  <c r="N1355" i="1"/>
  <c r="M1355" i="1"/>
  <c r="L1355" i="1"/>
  <c r="K1355" i="1"/>
  <c r="J1355" i="1"/>
  <c r="I1355" i="1"/>
  <c r="H1355" i="1"/>
  <c r="V1354" i="1"/>
  <c r="U1354" i="1"/>
  <c r="T1354" i="1"/>
  <c r="S1354" i="1"/>
  <c r="R1354" i="1"/>
  <c r="Q1354" i="1"/>
  <c r="P1354" i="1"/>
  <c r="O1354" i="1"/>
  <c r="N1354" i="1"/>
  <c r="M1354" i="1"/>
  <c r="L1354" i="1"/>
  <c r="K1354" i="1"/>
  <c r="J1354" i="1"/>
  <c r="I1354" i="1"/>
  <c r="H1354" i="1"/>
  <c r="V1353" i="1"/>
  <c r="U1353" i="1"/>
  <c r="T1353" i="1"/>
  <c r="S1353" i="1"/>
  <c r="R1353" i="1"/>
  <c r="Q1353" i="1"/>
  <c r="P1353" i="1"/>
  <c r="O1353" i="1"/>
  <c r="N1353" i="1"/>
  <c r="M1353" i="1"/>
  <c r="L1353" i="1"/>
  <c r="K1353" i="1"/>
  <c r="J1353" i="1"/>
  <c r="I1353" i="1"/>
  <c r="H1353" i="1"/>
  <c r="V1352" i="1"/>
  <c r="U1352" i="1"/>
  <c r="T1352" i="1"/>
  <c r="S1352" i="1"/>
  <c r="R1352" i="1"/>
  <c r="Q1352" i="1"/>
  <c r="P1352" i="1"/>
  <c r="O1352" i="1"/>
  <c r="N1352" i="1"/>
  <c r="M1352" i="1"/>
  <c r="L1352" i="1"/>
  <c r="K1352" i="1"/>
  <c r="J1352" i="1"/>
  <c r="I1352" i="1"/>
  <c r="H1352" i="1"/>
  <c r="V1351" i="1"/>
  <c r="U1351" i="1"/>
  <c r="T1351" i="1"/>
  <c r="S1351" i="1"/>
  <c r="R1351" i="1"/>
  <c r="Q1351" i="1"/>
  <c r="P1351" i="1"/>
  <c r="O1351" i="1"/>
  <c r="N1351" i="1"/>
  <c r="M1351" i="1"/>
  <c r="L1351" i="1"/>
  <c r="K1351" i="1"/>
  <c r="J1351" i="1"/>
  <c r="I1351" i="1"/>
  <c r="H1351" i="1"/>
  <c r="V1350" i="1"/>
  <c r="U1350" i="1"/>
  <c r="T1350" i="1"/>
  <c r="S1350" i="1"/>
  <c r="R1350" i="1"/>
  <c r="Q1350" i="1"/>
  <c r="P1350" i="1"/>
  <c r="O1350" i="1"/>
  <c r="N1350" i="1"/>
  <c r="M1350" i="1"/>
  <c r="L1350" i="1"/>
  <c r="K1350" i="1"/>
  <c r="J1350" i="1"/>
  <c r="I1350" i="1"/>
  <c r="H1350" i="1"/>
  <c r="V1349" i="1"/>
  <c r="U1349" i="1"/>
  <c r="T1349" i="1"/>
  <c r="S1349" i="1"/>
  <c r="R1349" i="1"/>
  <c r="Q1349" i="1"/>
  <c r="P1349" i="1"/>
  <c r="O1349" i="1"/>
  <c r="N1349" i="1"/>
  <c r="M1349" i="1"/>
  <c r="L1349" i="1"/>
  <c r="K1349" i="1"/>
  <c r="J1349" i="1"/>
  <c r="I1349" i="1"/>
  <c r="H1349" i="1"/>
  <c r="V1348" i="1"/>
  <c r="U1348" i="1"/>
  <c r="T1348" i="1"/>
  <c r="S1348" i="1"/>
  <c r="R1348" i="1"/>
  <c r="Q1348" i="1"/>
  <c r="P1348" i="1"/>
  <c r="O1348" i="1"/>
  <c r="N1348" i="1"/>
  <c r="M1348" i="1"/>
  <c r="L1348" i="1"/>
  <c r="K1348" i="1"/>
  <c r="J1348" i="1"/>
  <c r="I1348" i="1"/>
  <c r="H1348" i="1"/>
  <c r="V1347" i="1"/>
  <c r="U1347" i="1"/>
  <c r="T1347" i="1"/>
  <c r="S1347" i="1"/>
  <c r="R1347" i="1"/>
  <c r="Q1347" i="1"/>
  <c r="P1347" i="1"/>
  <c r="O1347" i="1"/>
  <c r="N1347" i="1"/>
  <c r="M1347" i="1"/>
  <c r="L1347" i="1"/>
  <c r="K1347" i="1"/>
  <c r="J1347" i="1"/>
  <c r="I1347" i="1"/>
  <c r="H1347" i="1"/>
  <c r="V1346" i="1"/>
  <c r="U1346" i="1"/>
  <c r="T1346" i="1"/>
  <c r="S1346" i="1"/>
  <c r="R1346" i="1"/>
  <c r="Q1346" i="1"/>
  <c r="P1346" i="1"/>
  <c r="O1346" i="1"/>
  <c r="N1346" i="1"/>
  <c r="M1346" i="1"/>
  <c r="L1346" i="1"/>
  <c r="K1346" i="1"/>
  <c r="J1346" i="1"/>
  <c r="I1346" i="1"/>
  <c r="H1346" i="1"/>
  <c r="V1345" i="1"/>
  <c r="U1345" i="1"/>
  <c r="T1345" i="1"/>
  <c r="S1345" i="1"/>
  <c r="R1345" i="1"/>
  <c r="Q1345" i="1"/>
  <c r="P1345" i="1"/>
  <c r="O1345" i="1"/>
  <c r="N1345" i="1"/>
  <c r="M1345" i="1"/>
  <c r="L1345" i="1"/>
  <c r="K1345" i="1"/>
  <c r="J1345" i="1"/>
  <c r="I1345" i="1"/>
  <c r="H1345" i="1"/>
  <c r="V1344" i="1"/>
  <c r="U1344" i="1"/>
  <c r="T1344" i="1"/>
  <c r="S1344" i="1"/>
  <c r="R1344" i="1"/>
  <c r="Q1344" i="1"/>
  <c r="P1344" i="1"/>
  <c r="O1344" i="1"/>
  <c r="N1344" i="1"/>
  <c r="M1344" i="1"/>
  <c r="L1344" i="1"/>
  <c r="K1344" i="1"/>
  <c r="J1344" i="1"/>
  <c r="I1344" i="1"/>
  <c r="H1344" i="1"/>
  <c r="V1343" i="1"/>
  <c r="U1343" i="1"/>
  <c r="T1343" i="1"/>
  <c r="S1343" i="1"/>
  <c r="R1343" i="1"/>
  <c r="Q1343" i="1"/>
  <c r="P1343" i="1"/>
  <c r="O1343" i="1"/>
  <c r="N1343" i="1"/>
  <c r="M1343" i="1"/>
  <c r="L1343" i="1"/>
  <c r="K1343" i="1"/>
  <c r="J1343" i="1"/>
  <c r="I1343" i="1"/>
  <c r="H1343" i="1"/>
  <c r="V1342" i="1"/>
  <c r="U1342" i="1"/>
  <c r="T1342" i="1"/>
  <c r="S1342" i="1"/>
  <c r="R1342" i="1"/>
  <c r="Q1342" i="1"/>
  <c r="P1342" i="1"/>
  <c r="O1342" i="1"/>
  <c r="N1342" i="1"/>
  <c r="M1342" i="1"/>
  <c r="L1342" i="1"/>
  <c r="K1342" i="1"/>
  <c r="J1342" i="1"/>
  <c r="I1342" i="1"/>
  <c r="H1342" i="1"/>
  <c r="V1341" i="1"/>
  <c r="U1341" i="1"/>
  <c r="T1341" i="1"/>
  <c r="S1341" i="1"/>
  <c r="R1341" i="1"/>
  <c r="Q1341" i="1"/>
  <c r="P1341" i="1"/>
  <c r="O1341" i="1"/>
  <c r="N1341" i="1"/>
  <c r="M1341" i="1"/>
  <c r="L1341" i="1"/>
  <c r="K1341" i="1"/>
  <c r="J1341" i="1"/>
  <c r="I1341" i="1"/>
  <c r="H1341" i="1"/>
  <c r="V1340" i="1"/>
  <c r="U1340" i="1"/>
  <c r="T1340" i="1"/>
  <c r="S1340" i="1"/>
  <c r="R1340" i="1"/>
  <c r="Q1340" i="1"/>
  <c r="P1340" i="1"/>
  <c r="O1340" i="1"/>
  <c r="N1340" i="1"/>
  <c r="M1340" i="1"/>
  <c r="L1340" i="1"/>
  <c r="K1340" i="1"/>
  <c r="J1340" i="1"/>
  <c r="I1340" i="1"/>
  <c r="H1340" i="1"/>
  <c r="V1339" i="1"/>
  <c r="U1339" i="1"/>
  <c r="T1339" i="1"/>
  <c r="S1339" i="1"/>
  <c r="R1339" i="1"/>
  <c r="Q1339" i="1"/>
  <c r="P1339" i="1"/>
  <c r="O1339" i="1"/>
  <c r="N1339" i="1"/>
  <c r="M1339" i="1"/>
  <c r="L1339" i="1"/>
  <c r="K1339" i="1"/>
  <c r="J1339" i="1"/>
  <c r="I1339" i="1"/>
  <c r="H1339" i="1"/>
  <c r="V1338" i="1"/>
  <c r="U1338" i="1"/>
  <c r="T1338" i="1"/>
  <c r="S1338" i="1"/>
  <c r="R1338" i="1"/>
  <c r="Q1338" i="1"/>
  <c r="P1338" i="1"/>
  <c r="O1338" i="1"/>
  <c r="N1338" i="1"/>
  <c r="M1338" i="1"/>
  <c r="L1338" i="1"/>
  <c r="K1338" i="1"/>
  <c r="J1338" i="1"/>
  <c r="I1338" i="1"/>
  <c r="H1338" i="1"/>
  <c r="V1337" i="1"/>
  <c r="U1337" i="1"/>
  <c r="T1337" i="1"/>
  <c r="S1337" i="1"/>
  <c r="R1337" i="1"/>
  <c r="Q1337" i="1"/>
  <c r="P1337" i="1"/>
  <c r="O1337" i="1"/>
  <c r="N1337" i="1"/>
  <c r="M1337" i="1"/>
  <c r="L1337" i="1"/>
  <c r="K1337" i="1"/>
  <c r="J1337" i="1"/>
  <c r="I1337" i="1"/>
  <c r="H1337" i="1"/>
  <c r="V1336" i="1"/>
  <c r="U1336" i="1"/>
  <c r="T1336" i="1"/>
  <c r="S1336" i="1"/>
  <c r="R1336" i="1"/>
  <c r="Q1336" i="1"/>
  <c r="P1336" i="1"/>
  <c r="O1336" i="1"/>
  <c r="N1336" i="1"/>
  <c r="M1336" i="1"/>
  <c r="L1336" i="1"/>
  <c r="K1336" i="1"/>
  <c r="J1336" i="1"/>
  <c r="I1336" i="1"/>
  <c r="H1336" i="1"/>
  <c r="V1335" i="1"/>
  <c r="U1335" i="1"/>
  <c r="T1335" i="1"/>
  <c r="S1335" i="1"/>
  <c r="R1335" i="1"/>
  <c r="Q1335" i="1"/>
  <c r="P1335" i="1"/>
  <c r="O1335" i="1"/>
  <c r="N1335" i="1"/>
  <c r="M1335" i="1"/>
  <c r="L1335" i="1"/>
  <c r="K1335" i="1"/>
  <c r="J1335" i="1"/>
  <c r="I1335" i="1"/>
  <c r="H1335" i="1"/>
  <c r="V1334" i="1"/>
  <c r="U1334" i="1"/>
  <c r="T1334" i="1"/>
  <c r="S1334" i="1"/>
  <c r="R1334" i="1"/>
  <c r="Q1334" i="1"/>
  <c r="P1334" i="1"/>
  <c r="O1334" i="1"/>
  <c r="N1334" i="1"/>
  <c r="M1334" i="1"/>
  <c r="L1334" i="1"/>
  <c r="K1334" i="1"/>
  <c r="J1334" i="1"/>
  <c r="I1334" i="1"/>
  <c r="H1334" i="1"/>
  <c r="V1333" i="1"/>
  <c r="U1333" i="1"/>
  <c r="T1333" i="1"/>
  <c r="S1333" i="1"/>
  <c r="R1333" i="1"/>
  <c r="Q1333" i="1"/>
  <c r="P1333" i="1"/>
  <c r="O1333" i="1"/>
  <c r="N1333" i="1"/>
  <c r="M1333" i="1"/>
  <c r="L1333" i="1"/>
  <c r="K1333" i="1"/>
  <c r="J1333" i="1"/>
  <c r="I1333" i="1"/>
  <c r="H1333" i="1"/>
  <c r="V1332" i="1"/>
  <c r="U1332" i="1"/>
  <c r="T1332" i="1"/>
  <c r="S1332" i="1"/>
  <c r="R1332" i="1"/>
  <c r="Q1332" i="1"/>
  <c r="P1332" i="1"/>
  <c r="O1332" i="1"/>
  <c r="N1332" i="1"/>
  <c r="M1332" i="1"/>
  <c r="L1332" i="1"/>
  <c r="K1332" i="1"/>
  <c r="J1332" i="1"/>
  <c r="I1332" i="1"/>
  <c r="H1332" i="1"/>
  <c r="V1331" i="1"/>
  <c r="U1331" i="1"/>
  <c r="T1331" i="1"/>
  <c r="S1331" i="1"/>
  <c r="R1331" i="1"/>
  <c r="Q1331" i="1"/>
  <c r="P1331" i="1"/>
  <c r="O1331" i="1"/>
  <c r="N1331" i="1"/>
  <c r="M1331" i="1"/>
  <c r="L1331" i="1"/>
  <c r="K1331" i="1"/>
  <c r="J1331" i="1"/>
  <c r="I1331" i="1"/>
  <c r="H1331" i="1"/>
  <c r="V1330" i="1"/>
  <c r="U1330" i="1"/>
  <c r="T1330" i="1"/>
  <c r="S1330" i="1"/>
  <c r="R1330" i="1"/>
  <c r="Q1330" i="1"/>
  <c r="P1330" i="1"/>
  <c r="O1330" i="1"/>
  <c r="N1330" i="1"/>
  <c r="M1330" i="1"/>
  <c r="L1330" i="1"/>
  <c r="K1330" i="1"/>
  <c r="J1330" i="1"/>
  <c r="I1330" i="1"/>
  <c r="H1330" i="1"/>
  <c r="V1329" i="1"/>
  <c r="U1329" i="1"/>
  <c r="T1329" i="1"/>
  <c r="S1329" i="1"/>
  <c r="R1329" i="1"/>
  <c r="Q1329" i="1"/>
  <c r="P1329" i="1"/>
  <c r="O1329" i="1"/>
  <c r="N1329" i="1"/>
  <c r="M1329" i="1"/>
  <c r="L1329" i="1"/>
  <c r="K1329" i="1"/>
  <c r="J1329" i="1"/>
  <c r="I1329" i="1"/>
  <c r="H1329" i="1"/>
  <c r="V1328" i="1"/>
  <c r="U1328" i="1"/>
  <c r="T1328" i="1"/>
  <c r="S1328" i="1"/>
  <c r="R1328" i="1"/>
  <c r="Q1328" i="1"/>
  <c r="P1328" i="1"/>
  <c r="O1328" i="1"/>
  <c r="N1328" i="1"/>
  <c r="M1328" i="1"/>
  <c r="L1328" i="1"/>
  <c r="K1328" i="1"/>
  <c r="J1328" i="1"/>
  <c r="I1328" i="1"/>
  <c r="H1328" i="1"/>
  <c r="V1327" i="1"/>
  <c r="U1327" i="1"/>
  <c r="T1327" i="1"/>
  <c r="S1327" i="1"/>
  <c r="R1327" i="1"/>
  <c r="Q1327" i="1"/>
  <c r="P1327" i="1"/>
  <c r="O1327" i="1"/>
  <c r="N1327" i="1"/>
  <c r="M1327" i="1"/>
  <c r="L1327" i="1"/>
  <c r="K1327" i="1"/>
  <c r="J1327" i="1"/>
  <c r="I1327" i="1"/>
  <c r="H1327" i="1"/>
  <c r="V1326" i="1"/>
  <c r="U1326" i="1"/>
  <c r="T1326" i="1"/>
  <c r="S1326" i="1"/>
  <c r="R1326" i="1"/>
  <c r="Q1326" i="1"/>
  <c r="P1326" i="1"/>
  <c r="O1326" i="1"/>
  <c r="N1326" i="1"/>
  <c r="M1326" i="1"/>
  <c r="L1326" i="1"/>
  <c r="K1326" i="1"/>
  <c r="J1326" i="1"/>
  <c r="I1326" i="1"/>
  <c r="H1326" i="1"/>
  <c r="V1325" i="1"/>
  <c r="U1325" i="1"/>
  <c r="T1325" i="1"/>
  <c r="S1325" i="1"/>
  <c r="R1325" i="1"/>
  <c r="Q1325" i="1"/>
  <c r="P1325" i="1"/>
  <c r="O1325" i="1"/>
  <c r="N1325" i="1"/>
  <c r="M1325" i="1"/>
  <c r="L1325" i="1"/>
  <c r="K1325" i="1"/>
  <c r="J1325" i="1"/>
  <c r="I1325" i="1"/>
  <c r="H1325" i="1"/>
  <c r="V1324" i="1"/>
  <c r="U1324" i="1"/>
  <c r="T1324" i="1"/>
  <c r="S1324" i="1"/>
  <c r="R1324" i="1"/>
  <c r="Q1324" i="1"/>
  <c r="P1324" i="1"/>
  <c r="O1324" i="1"/>
  <c r="N1324" i="1"/>
  <c r="M1324" i="1"/>
  <c r="L1324" i="1"/>
  <c r="K1324" i="1"/>
  <c r="J1324" i="1"/>
  <c r="I1324" i="1"/>
  <c r="H1324" i="1"/>
  <c r="V1323" i="1"/>
  <c r="U1323" i="1"/>
  <c r="T1323" i="1"/>
  <c r="S1323" i="1"/>
  <c r="R1323" i="1"/>
  <c r="Q1323" i="1"/>
  <c r="P1323" i="1"/>
  <c r="O1323" i="1"/>
  <c r="N1323" i="1"/>
  <c r="M1323" i="1"/>
  <c r="L1323" i="1"/>
  <c r="K1323" i="1"/>
  <c r="J1323" i="1"/>
  <c r="I1323" i="1"/>
  <c r="H1323" i="1"/>
  <c r="V1322" i="1"/>
  <c r="U1322" i="1"/>
  <c r="T1322" i="1"/>
  <c r="S1322" i="1"/>
  <c r="R1322" i="1"/>
  <c r="Q1322" i="1"/>
  <c r="P1322" i="1"/>
  <c r="O1322" i="1"/>
  <c r="N1322" i="1"/>
  <c r="M1322" i="1"/>
  <c r="L1322" i="1"/>
  <c r="K1322" i="1"/>
  <c r="J1322" i="1"/>
  <c r="I1322" i="1"/>
  <c r="H1322" i="1"/>
  <c r="V1321" i="1"/>
  <c r="U1321" i="1"/>
  <c r="T1321" i="1"/>
  <c r="S1321" i="1"/>
  <c r="R1321" i="1"/>
  <c r="Q1321" i="1"/>
  <c r="P1321" i="1"/>
  <c r="O1321" i="1"/>
  <c r="N1321" i="1"/>
  <c r="M1321" i="1"/>
  <c r="L1321" i="1"/>
  <c r="K1321" i="1"/>
  <c r="J1321" i="1"/>
  <c r="I1321" i="1"/>
  <c r="H1321" i="1"/>
  <c r="V1320" i="1"/>
  <c r="U1320" i="1"/>
  <c r="T1320" i="1"/>
  <c r="S1320" i="1"/>
  <c r="R1320" i="1"/>
  <c r="Q1320" i="1"/>
  <c r="P1320" i="1"/>
  <c r="O1320" i="1"/>
  <c r="N1320" i="1"/>
  <c r="M1320" i="1"/>
  <c r="L1320" i="1"/>
  <c r="K1320" i="1"/>
  <c r="J1320" i="1"/>
  <c r="I1320" i="1"/>
  <c r="H1320" i="1"/>
  <c r="V1319" i="1"/>
  <c r="U1319" i="1"/>
  <c r="T1319" i="1"/>
  <c r="S1319" i="1"/>
  <c r="R1319" i="1"/>
  <c r="Q1319" i="1"/>
  <c r="P1319" i="1"/>
  <c r="O1319" i="1"/>
  <c r="N1319" i="1"/>
  <c r="M1319" i="1"/>
  <c r="L1319" i="1"/>
  <c r="K1319" i="1"/>
  <c r="J1319" i="1"/>
  <c r="I1319" i="1"/>
  <c r="H1319" i="1"/>
  <c r="V1318" i="1"/>
  <c r="U1318" i="1"/>
  <c r="T1318" i="1"/>
  <c r="S1318" i="1"/>
  <c r="R1318" i="1"/>
  <c r="Q1318" i="1"/>
  <c r="P1318" i="1"/>
  <c r="O1318" i="1"/>
  <c r="N1318" i="1"/>
  <c r="M1318" i="1"/>
  <c r="L1318" i="1"/>
  <c r="K1318" i="1"/>
  <c r="J1318" i="1"/>
  <c r="I1318" i="1"/>
  <c r="H1318" i="1"/>
  <c r="V1317" i="1"/>
  <c r="U1317" i="1"/>
  <c r="T1317" i="1"/>
  <c r="S1317" i="1"/>
  <c r="R1317" i="1"/>
  <c r="Q1317" i="1"/>
  <c r="P1317" i="1"/>
  <c r="O1317" i="1"/>
  <c r="N1317" i="1"/>
  <c r="M1317" i="1"/>
  <c r="L1317" i="1"/>
  <c r="K1317" i="1"/>
  <c r="J1317" i="1"/>
  <c r="I1317" i="1"/>
  <c r="H1317" i="1"/>
  <c r="V1316" i="1"/>
  <c r="U1316" i="1"/>
  <c r="T1316" i="1"/>
  <c r="S1316" i="1"/>
  <c r="R1316" i="1"/>
  <c r="Q1316" i="1"/>
  <c r="P1316" i="1"/>
  <c r="O1316" i="1"/>
  <c r="N1316" i="1"/>
  <c r="M1316" i="1"/>
  <c r="L1316" i="1"/>
  <c r="K1316" i="1"/>
  <c r="J1316" i="1"/>
  <c r="I1316" i="1"/>
  <c r="H1316" i="1"/>
  <c r="V1315" i="1"/>
  <c r="U1315" i="1"/>
  <c r="T1315" i="1"/>
  <c r="S1315" i="1"/>
  <c r="R1315" i="1"/>
  <c r="Q1315" i="1"/>
  <c r="P1315" i="1"/>
  <c r="O1315" i="1"/>
  <c r="N1315" i="1"/>
  <c r="M1315" i="1"/>
  <c r="L1315" i="1"/>
  <c r="K1315" i="1"/>
  <c r="J1315" i="1"/>
  <c r="I1315" i="1"/>
  <c r="H1315" i="1"/>
  <c r="V1314" i="1"/>
  <c r="U1314" i="1"/>
  <c r="T1314" i="1"/>
  <c r="S1314" i="1"/>
  <c r="R1314" i="1"/>
  <c r="Q1314" i="1"/>
  <c r="P1314" i="1"/>
  <c r="O1314" i="1"/>
  <c r="N1314" i="1"/>
  <c r="M1314" i="1"/>
  <c r="L1314" i="1"/>
  <c r="K1314" i="1"/>
  <c r="J1314" i="1"/>
  <c r="I1314" i="1"/>
  <c r="H1314" i="1"/>
  <c r="V1313" i="1"/>
  <c r="U1313" i="1"/>
  <c r="T1313" i="1"/>
  <c r="S1313" i="1"/>
  <c r="R1313" i="1"/>
  <c r="Q1313" i="1"/>
  <c r="P1313" i="1"/>
  <c r="O1313" i="1"/>
  <c r="N1313" i="1"/>
  <c r="M1313" i="1"/>
  <c r="L1313" i="1"/>
  <c r="K1313" i="1"/>
  <c r="J1313" i="1"/>
  <c r="I1313" i="1"/>
  <c r="H1313" i="1"/>
  <c r="V1312" i="1"/>
  <c r="U1312" i="1"/>
  <c r="T1312" i="1"/>
  <c r="S1312" i="1"/>
  <c r="R1312" i="1"/>
  <c r="Q1312" i="1"/>
  <c r="P1312" i="1"/>
  <c r="O1312" i="1"/>
  <c r="N1312" i="1"/>
  <c r="M1312" i="1"/>
  <c r="L1312" i="1"/>
  <c r="K1312" i="1"/>
  <c r="J1312" i="1"/>
  <c r="I1312" i="1"/>
  <c r="H1312" i="1"/>
  <c r="V1311" i="1"/>
  <c r="U1311" i="1"/>
  <c r="T1311" i="1"/>
  <c r="S1311" i="1"/>
  <c r="R1311" i="1"/>
  <c r="Q1311" i="1"/>
  <c r="P1311" i="1"/>
  <c r="O1311" i="1"/>
  <c r="N1311" i="1"/>
  <c r="M1311" i="1"/>
  <c r="L1311" i="1"/>
  <c r="K1311" i="1"/>
  <c r="J1311" i="1"/>
  <c r="I1311" i="1"/>
  <c r="H1311" i="1"/>
  <c r="V1310" i="1"/>
  <c r="U1310" i="1"/>
  <c r="T1310" i="1"/>
  <c r="S1310" i="1"/>
  <c r="R1310" i="1"/>
  <c r="Q1310" i="1"/>
  <c r="P1310" i="1"/>
  <c r="O1310" i="1"/>
  <c r="N1310" i="1"/>
  <c r="M1310" i="1"/>
  <c r="L1310" i="1"/>
  <c r="K1310" i="1"/>
  <c r="J1310" i="1"/>
  <c r="I1310" i="1"/>
  <c r="H1310" i="1"/>
  <c r="V1309" i="1"/>
  <c r="U1309" i="1"/>
  <c r="T1309" i="1"/>
  <c r="S1309" i="1"/>
  <c r="R1309" i="1"/>
  <c r="Q1309" i="1"/>
  <c r="P1309" i="1"/>
  <c r="O1309" i="1"/>
  <c r="N1309" i="1"/>
  <c r="M1309" i="1"/>
  <c r="L1309" i="1"/>
  <c r="K1309" i="1"/>
  <c r="J1309" i="1"/>
  <c r="I1309" i="1"/>
  <c r="H1309" i="1"/>
  <c r="V1308" i="1"/>
  <c r="U1308" i="1"/>
  <c r="T1308" i="1"/>
  <c r="S1308" i="1"/>
  <c r="R1308" i="1"/>
  <c r="Q1308" i="1"/>
  <c r="P1308" i="1"/>
  <c r="O1308" i="1"/>
  <c r="N1308" i="1"/>
  <c r="M1308" i="1"/>
  <c r="L1308" i="1"/>
  <c r="K1308" i="1"/>
  <c r="J1308" i="1"/>
  <c r="I1308" i="1"/>
  <c r="H1308" i="1"/>
  <c r="V1307" i="1"/>
  <c r="U1307" i="1"/>
  <c r="T1307" i="1"/>
  <c r="S1307" i="1"/>
  <c r="R1307" i="1"/>
  <c r="Q1307" i="1"/>
  <c r="P1307" i="1"/>
  <c r="O1307" i="1"/>
  <c r="N1307" i="1"/>
  <c r="M1307" i="1"/>
  <c r="L1307" i="1"/>
  <c r="K1307" i="1"/>
  <c r="J1307" i="1"/>
  <c r="I1307" i="1"/>
  <c r="H1307" i="1"/>
  <c r="V1306" i="1"/>
  <c r="U1306" i="1"/>
  <c r="T1306" i="1"/>
  <c r="S1306" i="1"/>
  <c r="R1306" i="1"/>
  <c r="Q1306" i="1"/>
  <c r="P1306" i="1"/>
  <c r="O1306" i="1"/>
  <c r="N1306" i="1"/>
  <c r="M1306" i="1"/>
  <c r="L1306" i="1"/>
  <c r="K1306" i="1"/>
  <c r="J1306" i="1"/>
  <c r="I1306" i="1"/>
  <c r="H1306" i="1"/>
  <c r="V1305" i="1"/>
  <c r="U1305" i="1"/>
  <c r="T1305" i="1"/>
  <c r="S1305" i="1"/>
  <c r="R1305" i="1"/>
  <c r="Q1305" i="1"/>
  <c r="P1305" i="1"/>
  <c r="O1305" i="1"/>
  <c r="N1305" i="1"/>
  <c r="M1305" i="1"/>
  <c r="L1305" i="1"/>
  <c r="K1305" i="1"/>
  <c r="J1305" i="1"/>
  <c r="I1305" i="1"/>
  <c r="H1305" i="1"/>
  <c r="V1304" i="1"/>
  <c r="U1304" i="1"/>
  <c r="T1304" i="1"/>
  <c r="S1304" i="1"/>
  <c r="R1304" i="1"/>
  <c r="Q1304" i="1"/>
  <c r="P1304" i="1"/>
  <c r="O1304" i="1"/>
  <c r="N1304" i="1"/>
  <c r="M1304" i="1"/>
  <c r="L1304" i="1"/>
  <c r="K1304" i="1"/>
  <c r="J1304" i="1"/>
  <c r="I1304" i="1"/>
  <c r="H1304" i="1"/>
  <c r="V1303" i="1"/>
  <c r="U1303" i="1"/>
  <c r="T1303" i="1"/>
  <c r="S1303" i="1"/>
  <c r="R1303" i="1"/>
  <c r="Q1303" i="1"/>
  <c r="P1303" i="1"/>
  <c r="O1303" i="1"/>
  <c r="N1303" i="1"/>
  <c r="M1303" i="1"/>
  <c r="L1303" i="1"/>
  <c r="K1303" i="1"/>
  <c r="J1303" i="1"/>
  <c r="I1303" i="1"/>
  <c r="H1303" i="1"/>
  <c r="V1302" i="1"/>
  <c r="U1302" i="1"/>
  <c r="T1302" i="1"/>
  <c r="S1302" i="1"/>
  <c r="R1302" i="1"/>
  <c r="Q1302" i="1"/>
  <c r="P1302" i="1"/>
  <c r="O1302" i="1"/>
  <c r="N1302" i="1"/>
  <c r="M1302" i="1"/>
  <c r="L1302" i="1"/>
  <c r="K1302" i="1"/>
  <c r="J1302" i="1"/>
  <c r="I1302" i="1"/>
  <c r="H1302" i="1"/>
  <c r="V1301" i="1"/>
  <c r="U1301" i="1"/>
  <c r="T1301" i="1"/>
  <c r="S1301" i="1"/>
  <c r="R1301" i="1"/>
  <c r="Q1301" i="1"/>
  <c r="P1301" i="1"/>
  <c r="O1301" i="1"/>
  <c r="N1301" i="1"/>
  <c r="M1301" i="1"/>
  <c r="L1301" i="1"/>
  <c r="K1301" i="1"/>
  <c r="J1301" i="1"/>
  <c r="I1301" i="1"/>
  <c r="H1301" i="1"/>
  <c r="V1300" i="1"/>
  <c r="U1300" i="1"/>
  <c r="T1300" i="1"/>
  <c r="S1300" i="1"/>
  <c r="R1300" i="1"/>
  <c r="Q1300" i="1"/>
  <c r="P1300" i="1"/>
  <c r="O1300" i="1"/>
  <c r="N1300" i="1"/>
  <c r="M1300" i="1"/>
  <c r="L1300" i="1"/>
  <c r="K1300" i="1"/>
  <c r="J1300" i="1"/>
  <c r="I1300" i="1"/>
  <c r="H1300" i="1"/>
  <c r="V1299" i="1"/>
  <c r="U1299" i="1"/>
  <c r="T1299" i="1"/>
  <c r="S1299" i="1"/>
  <c r="R1299" i="1"/>
  <c r="Q1299" i="1"/>
  <c r="P1299" i="1"/>
  <c r="O1299" i="1"/>
  <c r="N1299" i="1"/>
  <c r="M1299" i="1"/>
  <c r="L1299" i="1"/>
  <c r="K1299" i="1"/>
  <c r="J1299" i="1"/>
  <c r="I1299" i="1"/>
  <c r="H1299" i="1"/>
  <c r="V1298" i="1"/>
  <c r="U1298" i="1"/>
  <c r="T1298" i="1"/>
  <c r="S1298" i="1"/>
  <c r="R1298" i="1"/>
  <c r="Q1298" i="1"/>
  <c r="P1298" i="1"/>
  <c r="O1298" i="1"/>
  <c r="N1298" i="1"/>
  <c r="M1298" i="1"/>
  <c r="L1298" i="1"/>
  <c r="K1298" i="1"/>
  <c r="J1298" i="1"/>
  <c r="I1298" i="1"/>
  <c r="H1298" i="1"/>
  <c r="V1297" i="1"/>
  <c r="U1297" i="1"/>
  <c r="T1297" i="1"/>
  <c r="S1297" i="1"/>
  <c r="R1297" i="1"/>
  <c r="Q1297" i="1"/>
  <c r="P1297" i="1"/>
  <c r="O1297" i="1"/>
  <c r="N1297" i="1"/>
  <c r="M1297" i="1"/>
  <c r="L1297" i="1"/>
  <c r="K1297" i="1"/>
  <c r="J1297" i="1"/>
  <c r="I1297" i="1"/>
  <c r="H1297" i="1"/>
  <c r="V1296" i="1"/>
  <c r="U1296" i="1"/>
  <c r="T1296" i="1"/>
  <c r="S1296" i="1"/>
  <c r="R1296" i="1"/>
  <c r="Q1296" i="1"/>
  <c r="P1296" i="1"/>
  <c r="O1296" i="1"/>
  <c r="N1296" i="1"/>
  <c r="M1296" i="1"/>
  <c r="L1296" i="1"/>
  <c r="K1296" i="1"/>
  <c r="J1296" i="1"/>
  <c r="I1296" i="1"/>
  <c r="H1296" i="1"/>
  <c r="V1295" i="1"/>
  <c r="U1295" i="1"/>
  <c r="T1295" i="1"/>
  <c r="S1295" i="1"/>
  <c r="R1295" i="1"/>
  <c r="Q1295" i="1"/>
  <c r="P1295" i="1"/>
  <c r="O1295" i="1"/>
  <c r="N1295" i="1"/>
  <c r="M1295" i="1"/>
  <c r="L1295" i="1"/>
  <c r="K1295" i="1"/>
  <c r="J1295" i="1"/>
  <c r="I1295" i="1"/>
  <c r="H1295" i="1"/>
  <c r="V1294" i="1"/>
  <c r="U1294" i="1"/>
  <c r="T1294" i="1"/>
  <c r="S1294" i="1"/>
  <c r="R1294" i="1"/>
  <c r="Q1294" i="1"/>
  <c r="P1294" i="1"/>
  <c r="O1294" i="1"/>
  <c r="N1294" i="1"/>
  <c r="M1294" i="1"/>
  <c r="L1294" i="1"/>
  <c r="K1294" i="1"/>
  <c r="J1294" i="1"/>
  <c r="I1294" i="1"/>
  <c r="H1294" i="1"/>
  <c r="V1293" i="1"/>
  <c r="U1293" i="1"/>
  <c r="T1293" i="1"/>
  <c r="S1293" i="1"/>
  <c r="R1293" i="1"/>
  <c r="Q1293" i="1"/>
  <c r="P1293" i="1"/>
  <c r="O1293" i="1"/>
  <c r="N1293" i="1"/>
  <c r="M1293" i="1"/>
  <c r="L1293" i="1"/>
  <c r="K1293" i="1"/>
  <c r="J1293" i="1"/>
  <c r="I1293" i="1"/>
  <c r="H1293" i="1"/>
  <c r="V1292" i="1"/>
  <c r="U1292" i="1"/>
  <c r="T1292" i="1"/>
  <c r="S1292" i="1"/>
  <c r="R1292" i="1"/>
  <c r="Q1292" i="1"/>
  <c r="P1292" i="1"/>
  <c r="O1292" i="1"/>
  <c r="N1292" i="1"/>
  <c r="M1292" i="1"/>
  <c r="L1292" i="1"/>
  <c r="K1292" i="1"/>
  <c r="J1292" i="1"/>
  <c r="I1292" i="1"/>
  <c r="H1292" i="1"/>
  <c r="V1291" i="1"/>
  <c r="U1291" i="1"/>
  <c r="T1291" i="1"/>
  <c r="S1291" i="1"/>
  <c r="R1291" i="1"/>
  <c r="Q1291" i="1"/>
  <c r="P1291" i="1"/>
  <c r="O1291" i="1"/>
  <c r="N1291" i="1"/>
  <c r="M1291" i="1"/>
  <c r="L1291" i="1"/>
  <c r="K1291" i="1"/>
  <c r="J1291" i="1"/>
  <c r="I1291" i="1"/>
  <c r="H1291" i="1"/>
  <c r="V1290" i="1"/>
  <c r="U1290" i="1"/>
  <c r="T1290" i="1"/>
  <c r="S1290" i="1"/>
  <c r="R1290" i="1"/>
  <c r="Q1290" i="1"/>
  <c r="P1290" i="1"/>
  <c r="O1290" i="1"/>
  <c r="N1290" i="1"/>
  <c r="M1290" i="1"/>
  <c r="L1290" i="1"/>
  <c r="K1290" i="1"/>
  <c r="J1290" i="1"/>
  <c r="I1290" i="1"/>
  <c r="H1290" i="1"/>
  <c r="V1289" i="1"/>
  <c r="U1289" i="1"/>
  <c r="T1289" i="1"/>
  <c r="S1289" i="1"/>
  <c r="R1289" i="1"/>
  <c r="Q1289" i="1"/>
  <c r="P1289" i="1"/>
  <c r="O1289" i="1"/>
  <c r="N1289" i="1"/>
  <c r="M1289" i="1"/>
  <c r="L1289" i="1"/>
  <c r="K1289" i="1"/>
  <c r="J1289" i="1"/>
  <c r="I1289" i="1"/>
  <c r="H1289" i="1"/>
  <c r="V1288" i="1"/>
  <c r="U1288" i="1"/>
  <c r="T1288" i="1"/>
  <c r="S1288" i="1"/>
  <c r="R1288" i="1"/>
  <c r="Q1288" i="1"/>
  <c r="P1288" i="1"/>
  <c r="O1288" i="1"/>
  <c r="N1288" i="1"/>
  <c r="M1288" i="1"/>
  <c r="L1288" i="1"/>
  <c r="K1288" i="1"/>
  <c r="J1288" i="1"/>
  <c r="I1288" i="1"/>
  <c r="H1288" i="1"/>
  <c r="V1287" i="1"/>
  <c r="U1287" i="1"/>
  <c r="T1287" i="1"/>
  <c r="S1287" i="1"/>
  <c r="R1287" i="1"/>
  <c r="Q1287" i="1"/>
  <c r="P1287" i="1"/>
  <c r="O1287" i="1"/>
  <c r="N1287" i="1"/>
  <c r="M1287" i="1"/>
  <c r="L1287" i="1"/>
  <c r="K1287" i="1"/>
  <c r="J1287" i="1"/>
  <c r="I1287" i="1"/>
  <c r="H1287" i="1"/>
  <c r="V1286" i="1"/>
  <c r="U1286" i="1"/>
  <c r="T1286" i="1"/>
  <c r="S1286" i="1"/>
  <c r="R1286" i="1"/>
  <c r="Q1286" i="1"/>
  <c r="P1286" i="1"/>
  <c r="O1286" i="1"/>
  <c r="N1286" i="1"/>
  <c r="M1286" i="1"/>
  <c r="L1286" i="1"/>
  <c r="K1286" i="1"/>
  <c r="J1286" i="1"/>
  <c r="I1286" i="1"/>
  <c r="H1286" i="1"/>
  <c r="V1285" i="1"/>
  <c r="U1285" i="1"/>
  <c r="T1285" i="1"/>
  <c r="S1285" i="1"/>
  <c r="R1285" i="1"/>
  <c r="Q1285" i="1"/>
  <c r="P1285" i="1"/>
  <c r="O1285" i="1"/>
  <c r="N1285" i="1"/>
  <c r="M1285" i="1"/>
  <c r="L1285" i="1"/>
  <c r="K1285" i="1"/>
  <c r="J1285" i="1"/>
  <c r="I1285" i="1"/>
  <c r="H1285" i="1"/>
  <c r="V1284" i="1"/>
  <c r="U1284" i="1"/>
  <c r="T1284" i="1"/>
  <c r="S1284" i="1"/>
  <c r="R1284" i="1"/>
  <c r="Q1284" i="1"/>
  <c r="P1284" i="1"/>
  <c r="O1284" i="1"/>
  <c r="N1284" i="1"/>
  <c r="M1284" i="1"/>
  <c r="L1284" i="1"/>
  <c r="K1284" i="1"/>
  <c r="J1284" i="1"/>
  <c r="I1284" i="1"/>
  <c r="H1284" i="1"/>
  <c r="V1283" i="1"/>
  <c r="U1283" i="1"/>
  <c r="T1283" i="1"/>
  <c r="S1283" i="1"/>
  <c r="R1283" i="1"/>
  <c r="Q1283" i="1"/>
  <c r="P1283" i="1"/>
  <c r="O1283" i="1"/>
  <c r="N1283" i="1"/>
  <c r="M1283" i="1"/>
  <c r="L1283" i="1"/>
  <c r="K1283" i="1"/>
  <c r="J1283" i="1"/>
  <c r="I1283" i="1"/>
  <c r="H1283" i="1"/>
  <c r="V1282" i="1"/>
  <c r="U1282" i="1"/>
  <c r="T1282" i="1"/>
  <c r="S1282" i="1"/>
  <c r="R1282" i="1"/>
  <c r="Q1282" i="1"/>
  <c r="P1282" i="1"/>
  <c r="O1282" i="1"/>
  <c r="N1282" i="1"/>
  <c r="M1282" i="1"/>
  <c r="L1282" i="1"/>
  <c r="K1282" i="1"/>
  <c r="J1282" i="1"/>
  <c r="I1282" i="1"/>
  <c r="H1282" i="1"/>
  <c r="V1281" i="1"/>
  <c r="U1281" i="1"/>
  <c r="T1281" i="1"/>
  <c r="S1281" i="1"/>
  <c r="R1281" i="1"/>
  <c r="Q1281" i="1"/>
  <c r="P1281" i="1"/>
  <c r="O1281" i="1"/>
  <c r="N1281" i="1"/>
  <c r="M1281" i="1"/>
  <c r="L1281" i="1"/>
  <c r="K1281" i="1"/>
  <c r="J1281" i="1"/>
  <c r="I1281" i="1"/>
  <c r="H1281" i="1"/>
  <c r="V1280" i="1"/>
  <c r="U1280" i="1"/>
  <c r="T1280" i="1"/>
  <c r="S1280" i="1"/>
  <c r="R1280" i="1"/>
  <c r="Q1280" i="1"/>
  <c r="P1280" i="1"/>
  <c r="O1280" i="1"/>
  <c r="N1280" i="1"/>
  <c r="M1280" i="1"/>
  <c r="L1280" i="1"/>
  <c r="K1280" i="1"/>
  <c r="J1280" i="1"/>
  <c r="I1280" i="1"/>
  <c r="H1280" i="1"/>
  <c r="V1279" i="1"/>
  <c r="U1279" i="1"/>
  <c r="T1279" i="1"/>
  <c r="S1279" i="1"/>
  <c r="R1279" i="1"/>
  <c r="Q1279" i="1"/>
  <c r="P1279" i="1"/>
  <c r="O1279" i="1"/>
  <c r="N1279" i="1"/>
  <c r="M1279" i="1"/>
  <c r="L1279" i="1"/>
  <c r="K1279" i="1"/>
  <c r="J1279" i="1"/>
  <c r="I1279" i="1"/>
  <c r="H1279" i="1"/>
  <c r="V1278" i="1"/>
  <c r="U1278" i="1"/>
  <c r="T1278" i="1"/>
  <c r="S1278" i="1"/>
  <c r="R1278" i="1"/>
  <c r="Q1278" i="1"/>
  <c r="P1278" i="1"/>
  <c r="O1278" i="1"/>
  <c r="N1278" i="1"/>
  <c r="M1278" i="1"/>
  <c r="L1278" i="1"/>
  <c r="K1278" i="1"/>
  <c r="J1278" i="1"/>
  <c r="I1278" i="1"/>
  <c r="H1278" i="1"/>
  <c r="V1277" i="1"/>
  <c r="U1277" i="1"/>
  <c r="T1277" i="1"/>
  <c r="S1277" i="1"/>
  <c r="R1277" i="1"/>
  <c r="Q1277" i="1"/>
  <c r="P1277" i="1"/>
  <c r="O1277" i="1"/>
  <c r="N1277" i="1"/>
  <c r="M1277" i="1"/>
  <c r="L1277" i="1"/>
  <c r="K1277" i="1"/>
  <c r="J1277" i="1"/>
  <c r="I1277" i="1"/>
  <c r="H1277" i="1"/>
  <c r="V1276" i="1"/>
  <c r="U1276" i="1"/>
  <c r="T1276" i="1"/>
  <c r="S1276" i="1"/>
  <c r="R1276" i="1"/>
  <c r="Q1276" i="1"/>
  <c r="P1276" i="1"/>
  <c r="O1276" i="1"/>
  <c r="N1276" i="1"/>
  <c r="M1276" i="1"/>
  <c r="L1276" i="1"/>
  <c r="K1276" i="1"/>
  <c r="J1276" i="1"/>
  <c r="I1276" i="1"/>
  <c r="H1276" i="1"/>
  <c r="V1275" i="1"/>
  <c r="U1275" i="1"/>
  <c r="T1275" i="1"/>
  <c r="S1275" i="1"/>
  <c r="R1275" i="1"/>
  <c r="Q1275" i="1"/>
  <c r="P1275" i="1"/>
  <c r="O1275" i="1"/>
  <c r="N1275" i="1"/>
  <c r="M1275" i="1"/>
  <c r="L1275" i="1"/>
  <c r="K1275" i="1"/>
  <c r="J1275" i="1"/>
  <c r="I1275" i="1"/>
  <c r="H1275" i="1"/>
  <c r="V1274" i="1"/>
  <c r="U1274" i="1"/>
  <c r="T1274" i="1"/>
  <c r="S1274" i="1"/>
  <c r="R1274" i="1"/>
  <c r="Q1274" i="1"/>
  <c r="P1274" i="1"/>
  <c r="O1274" i="1"/>
  <c r="N1274" i="1"/>
  <c r="M1274" i="1"/>
  <c r="L1274" i="1"/>
  <c r="K1274" i="1"/>
  <c r="J1274" i="1"/>
  <c r="I1274" i="1"/>
  <c r="H1274" i="1"/>
  <c r="V1273" i="1"/>
  <c r="U1273" i="1"/>
  <c r="T1273" i="1"/>
  <c r="S1273" i="1"/>
  <c r="R1273" i="1"/>
  <c r="Q1273" i="1"/>
  <c r="P1273" i="1"/>
  <c r="O1273" i="1"/>
  <c r="N1273" i="1"/>
  <c r="M1273" i="1"/>
  <c r="L1273" i="1"/>
  <c r="K1273" i="1"/>
  <c r="J1273" i="1"/>
  <c r="I1273" i="1"/>
  <c r="H1273" i="1"/>
  <c r="V1272" i="1"/>
  <c r="U1272" i="1"/>
  <c r="T1272" i="1"/>
  <c r="S1272" i="1"/>
  <c r="R1272" i="1"/>
  <c r="Q1272" i="1"/>
  <c r="P1272" i="1"/>
  <c r="O1272" i="1"/>
  <c r="N1272" i="1"/>
  <c r="M1272" i="1"/>
  <c r="L1272" i="1"/>
  <c r="K1272" i="1"/>
  <c r="J1272" i="1"/>
  <c r="I1272" i="1"/>
  <c r="H1272" i="1"/>
  <c r="V1271" i="1"/>
  <c r="U1271" i="1"/>
  <c r="T1271" i="1"/>
  <c r="S1271" i="1"/>
  <c r="R1271" i="1"/>
  <c r="Q1271" i="1"/>
  <c r="P1271" i="1"/>
  <c r="O1271" i="1"/>
  <c r="N1271" i="1"/>
  <c r="M1271" i="1"/>
  <c r="L1271" i="1"/>
  <c r="K1271" i="1"/>
  <c r="J1271" i="1"/>
  <c r="I1271" i="1"/>
  <c r="H1271" i="1"/>
  <c r="V1270" i="1"/>
  <c r="U1270" i="1"/>
  <c r="T1270" i="1"/>
  <c r="S1270" i="1"/>
  <c r="R1270" i="1"/>
  <c r="Q1270" i="1"/>
  <c r="P1270" i="1"/>
  <c r="O1270" i="1"/>
  <c r="N1270" i="1"/>
  <c r="M1270" i="1"/>
  <c r="L1270" i="1"/>
  <c r="K1270" i="1"/>
  <c r="J1270" i="1"/>
  <c r="I1270" i="1"/>
  <c r="H1270" i="1"/>
  <c r="V1269" i="1"/>
  <c r="U1269" i="1"/>
  <c r="T1269" i="1"/>
  <c r="S1269" i="1"/>
  <c r="R1269" i="1"/>
  <c r="Q1269" i="1"/>
  <c r="P1269" i="1"/>
  <c r="O1269" i="1"/>
  <c r="N1269" i="1"/>
  <c r="M1269" i="1"/>
  <c r="L1269" i="1"/>
  <c r="K1269" i="1"/>
  <c r="J1269" i="1"/>
  <c r="I1269" i="1"/>
  <c r="H1269" i="1"/>
  <c r="V1268" i="1"/>
  <c r="U1268" i="1"/>
  <c r="T1268" i="1"/>
  <c r="S1268" i="1"/>
  <c r="R1268" i="1"/>
  <c r="Q1268" i="1"/>
  <c r="P1268" i="1"/>
  <c r="O1268" i="1"/>
  <c r="N1268" i="1"/>
  <c r="M1268" i="1"/>
  <c r="L1268" i="1"/>
  <c r="K1268" i="1"/>
  <c r="J1268" i="1"/>
  <c r="I1268" i="1"/>
  <c r="H1268" i="1"/>
  <c r="V1267" i="1"/>
  <c r="U1267" i="1"/>
  <c r="T1267" i="1"/>
  <c r="S1267" i="1"/>
  <c r="R1267" i="1"/>
  <c r="Q1267" i="1"/>
  <c r="P1267" i="1"/>
  <c r="O1267" i="1"/>
  <c r="N1267" i="1"/>
  <c r="M1267" i="1"/>
  <c r="L1267" i="1"/>
  <c r="K1267" i="1"/>
  <c r="J1267" i="1"/>
  <c r="I1267" i="1"/>
  <c r="H1267" i="1"/>
  <c r="V1266" i="1"/>
  <c r="U1266" i="1"/>
  <c r="T1266" i="1"/>
  <c r="S1266" i="1"/>
  <c r="R1266" i="1"/>
  <c r="Q1266" i="1"/>
  <c r="P1266" i="1"/>
  <c r="O1266" i="1"/>
  <c r="N1266" i="1"/>
  <c r="M1266" i="1"/>
  <c r="L1266" i="1"/>
  <c r="K1266" i="1"/>
  <c r="J1266" i="1"/>
  <c r="I1266" i="1"/>
  <c r="H1266" i="1"/>
  <c r="V1265" i="1"/>
  <c r="U1265" i="1"/>
  <c r="T1265" i="1"/>
  <c r="S1265" i="1"/>
  <c r="R1265" i="1"/>
  <c r="Q1265" i="1"/>
  <c r="P1265" i="1"/>
  <c r="O1265" i="1"/>
  <c r="N1265" i="1"/>
  <c r="M1265" i="1"/>
  <c r="L1265" i="1"/>
  <c r="K1265" i="1"/>
  <c r="J1265" i="1"/>
  <c r="I1265" i="1"/>
  <c r="H1265" i="1"/>
  <c r="V1264" i="1"/>
  <c r="U1264" i="1"/>
  <c r="T1264" i="1"/>
  <c r="S1264" i="1"/>
  <c r="R1264" i="1"/>
  <c r="Q1264" i="1"/>
  <c r="P1264" i="1"/>
  <c r="O1264" i="1"/>
  <c r="N1264" i="1"/>
  <c r="M1264" i="1"/>
  <c r="L1264" i="1"/>
  <c r="K1264" i="1"/>
  <c r="J1264" i="1"/>
  <c r="I1264" i="1"/>
  <c r="H1264" i="1"/>
  <c r="V1263" i="1"/>
  <c r="U1263" i="1"/>
  <c r="T1263" i="1"/>
  <c r="S1263" i="1"/>
  <c r="R1263" i="1"/>
  <c r="Q1263" i="1"/>
  <c r="P1263" i="1"/>
  <c r="O1263" i="1"/>
  <c r="N1263" i="1"/>
  <c r="M1263" i="1"/>
  <c r="L1263" i="1"/>
  <c r="K1263" i="1"/>
  <c r="J1263" i="1"/>
  <c r="I1263" i="1"/>
  <c r="H1263" i="1"/>
  <c r="V1262" i="1"/>
  <c r="U1262" i="1"/>
  <c r="T1262" i="1"/>
  <c r="S1262" i="1"/>
  <c r="R1262" i="1"/>
  <c r="Q1262" i="1"/>
  <c r="P1262" i="1"/>
  <c r="O1262" i="1"/>
  <c r="N1262" i="1"/>
  <c r="M1262" i="1"/>
  <c r="L1262" i="1"/>
  <c r="K1262" i="1"/>
  <c r="J1262" i="1"/>
  <c r="I1262" i="1"/>
  <c r="H1262" i="1"/>
  <c r="V1261" i="1"/>
  <c r="U1261" i="1"/>
  <c r="T1261" i="1"/>
  <c r="S1261" i="1"/>
  <c r="R1261" i="1"/>
  <c r="Q1261" i="1"/>
  <c r="P1261" i="1"/>
  <c r="O1261" i="1"/>
  <c r="N1261" i="1"/>
  <c r="M1261" i="1"/>
  <c r="L1261" i="1"/>
  <c r="K1261" i="1"/>
  <c r="J1261" i="1"/>
  <c r="I1261" i="1"/>
  <c r="H1261" i="1"/>
  <c r="V1260" i="1"/>
  <c r="U1260" i="1"/>
  <c r="T1260" i="1"/>
  <c r="S1260" i="1"/>
  <c r="R1260" i="1"/>
  <c r="Q1260" i="1"/>
  <c r="P1260" i="1"/>
  <c r="O1260" i="1"/>
  <c r="N1260" i="1"/>
  <c r="M1260" i="1"/>
  <c r="L1260" i="1"/>
  <c r="K1260" i="1"/>
  <c r="J1260" i="1"/>
  <c r="I1260" i="1"/>
  <c r="H1260" i="1"/>
  <c r="V1259" i="1"/>
  <c r="U1259" i="1"/>
  <c r="T1259" i="1"/>
  <c r="S1259" i="1"/>
  <c r="R1259" i="1"/>
  <c r="Q1259" i="1"/>
  <c r="P1259" i="1"/>
  <c r="O1259" i="1"/>
  <c r="N1259" i="1"/>
  <c r="M1259" i="1"/>
  <c r="L1259" i="1"/>
  <c r="K1259" i="1"/>
  <c r="J1259" i="1"/>
  <c r="I1259" i="1"/>
  <c r="H1259" i="1"/>
  <c r="V1258" i="1"/>
  <c r="U1258" i="1"/>
  <c r="T1258" i="1"/>
  <c r="S1258" i="1"/>
  <c r="R1258" i="1"/>
  <c r="Q1258" i="1"/>
  <c r="P1258" i="1"/>
  <c r="O1258" i="1"/>
  <c r="N1258" i="1"/>
  <c r="M1258" i="1"/>
  <c r="L1258" i="1"/>
  <c r="K1258" i="1"/>
  <c r="J1258" i="1"/>
  <c r="I1258" i="1"/>
  <c r="H1258" i="1"/>
  <c r="V1257" i="1"/>
  <c r="U1257" i="1"/>
  <c r="T1257" i="1"/>
  <c r="S1257" i="1"/>
  <c r="R1257" i="1"/>
  <c r="Q1257" i="1"/>
  <c r="P1257" i="1"/>
  <c r="O1257" i="1"/>
  <c r="N1257" i="1"/>
  <c r="M1257" i="1"/>
  <c r="L1257" i="1"/>
  <c r="K1257" i="1"/>
  <c r="J1257" i="1"/>
  <c r="I1257" i="1"/>
  <c r="H1257" i="1"/>
  <c r="V1256" i="1"/>
  <c r="U1256" i="1"/>
  <c r="T1256" i="1"/>
  <c r="S1256" i="1"/>
  <c r="R1256" i="1"/>
  <c r="Q1256" i="1"/>
  <c r="P1256" i="1"/>
  <c r="O1256" i="1"/>
  <c r="N1256" i="1"/>
  <c r="M1256" i="1"/>
  <c r="L1256" i="1"/>
  <c r="K1256" i="1"/>
  <c r="J1256" i="1"/>
  <c r="I1256" i="1"/>
  <c r="H1256" i="1"/>
  <c r="V1255" i="1"/>
  <c r="U1255" i="1"/>
  <c r="T1255" i="1"/>
  <c r="S1255" i="1"/>
  <c r="R1255" i="1"/>
  <c r="Q1255" i="1"/>
  <c r="P1255" i="1"/>
  <c r="O1255" i="1"/>
  <c r="N1255" i="1"/>
  <c r="M1255" i="1"/>
  <c r="L1255" i="1"/>
  <c r="K1255" i="1"/>
  <c r="J1255" i="1"/>
  <c r="I1255" i="1"/>
  <c r="H1255" i="1"/>
  <c r="V1254" i="1"/>
  <c r="U1254" i="1"/>
  <c r="T1254" i="1"/>
  <c r="S1254" i="1"/>
  <c r="R1254" i="1"/>
  <c r="Q1254" i="1"/>
  <c r="P1254" i="1"/>
  <c r="O1254" i="1"/>
  <c r="N1254" i="1"/>
  <c r="M1254" i="1"/>
  <c r="L1254" i="1"/>
  <c r="K1254" i="1"/>
  <c r="J1254" i="1"/>
  <c r="I1254" i="1"/>
  <c r="H1254" i="1"/>
  <c r="V1253" i="1"/>
  <c r="U1253" i="1"/>
  <c r="T1253" i="1"/>
  <c r="S1253" i="1"/>
  <c r="R1253" i="1"/>
  <c r="Q1253" i="1"/>
  <c r="P1253" i="1"/>
  <c r="O1253" i="1"/>
  <c r="N1253" i="1"/>
  <c r="M1253" i="1"/>
  <c r="L1253" i="1"/>
  <c r="K1253" i="1"/>
  <c r="J1253" i="1"/>
  <c r="I1253" i="1"/>
  <c r="H1253" i="1"/>
  <c r="V1252" i="1"/>
  <c r="U1252" i="1"/>
  <c r="T1252" i="1"/>
  <c r="S1252" i="1"/>
  <c r="R1252" i="1"/>
  <c r="Q1252" i="1"/>
  <c r="P1252" i="1"/>
  <c r="O1252" i="1"/>
  <c r="N1252" i="1"/>
  <c r="M1252" i="1"/>
  <c r="L1252" i="1"/>
  <c r="K1252" i="1"/>
  <c r="J1252" i="1"/>
  <c r="I1252" i="1"/>
  <c r="H1252" i="1"/>
  <c r="V1251" i="1"/>
  <c r="U1251" i="1"/>
  <c r="T1251" i="1"/>
  <c r="S1251" i="1"/>
  <c r="R1251" i="1"/>
  <c r="Q1251" i="1"/>
  <c r="P1251" i="1"/>
  <c r="O1251" i="1"/>
  <c r="N1251" i="1"/>
  <c r="M1251" i="1"/>
  <c r="L1251" i="1"/>
  <c r="K1251" i="1"/>
  <c r="J1251" i="1"/>
  <c r="I1251" i="1"/>
  <c r="H1251" i="1"/>
  <c r="V1250" i="1"/>
  <c r="U1250" i="1"/>
  <c r="T1250" i="1"/>
  <c r="S1250" i="1"/>
  <c r="R1250" i="1"/>
  <c r="Q1250" i="1"/>
  <c r="P1250" i="1"/>
  <c r="O1250" i="1"/>
  <c r="N1250" i="1"/>
  <c r="M1250" i="1"/>
  <c r="L1250" i="1"/>
  <c r="K1250" i="1"/>
  <c r="J1250" i="1"/>
  <c r="I1250" i="1"/>
  <c r="H1250" i="1"/>
  <c r="V1249" i="1"/>
  <c r="U1249" i="1"/>
  <c r="T1249" i="1"/>
  <c r="S1249" i="1"/>
  <c r="R1249" i="1"/>
  <c r="Q1249" i="1"/>
  <c r="P1249" i="1"/>
  <c r="O1249" i="1"/>
  <c r="N1249" i="1"/>
  <c r="M1249" i="1"/>
  <c r="L1249" i="1"/>
  <c r="K1249" i="1"/>
  <c r="J1249" i="1"/>
  <c r="I1249" i="1"/>
  <c r="H1249" i="1"/>
  <c r="V1248" i="1"/>
  <c r="U1248" i="1"/>
  <c r="T1248" i="1"/>
  <c r="S1248" i="1"/>
  <c r="R1248" i="1"/>
  <c r="Q1248" i="1"/>
  <c r="P1248" i="1"/>
  <c r="O1248" i="1"/>
  <c r="N1248" i="1"/>
  <c r="M1248" i="1"/>
  <c r="L1248" i="1"/>
  <c r="K1248" i="1"/>
  <c r="J1248" i="1"/>
  <c r="I1248" i="1"/>
  <c r="H1248" i="1"/>
  <c r="V1247" i="1"/>
  <c r="U1247" i="1"/>
  <c r="T1247" i="1"/>
  <c r="S1247" i="1"/>
  <c r="R1247" i="1"/>
  <c r="Q1247" i="1"/>
  <c r="P1247" i="1"/>
  <c r="O1247" i="1"/>
  <c r="N1247" i="1"/>
  <c r="M1247" i="1"/>
  <c r="L1247" i="1"/>
  <c r="K1247" i="1"/>
  <c r="J1247" i="1"/>
  <c r="I1247" i="1"/>
  <c r="H1247" i="1"/>
  <c r="V1246" i="1"/>
  <c r="U1246" i="1"/>
  <c r="T1246" i="1"/>
  <c r="S1246" i="1"/>
  <c r="R1246" i="1"/>
  <c r="Q1246" i="1"/>
  <c r="P1246" i="1"/>
  <c r="O1246" i="1"/>
  <c r="N1246" i="1"/>
  <c r="M1246" i="1"/>
  <c r="L1246" i="1"/>
  <c r="K1246" i="1"/>
  <c r="J1246" i="1"/>
  <c r="I1246" i="1"/>
  <c r="H1246" i="1"/>
  <c r="V1245" i="1"/>
  <c r="U1245" i="1"/>
  <c r="T1245" i="1"/>
  <c r="S1245" i="1"/>
  <c r="R1245" i="1"/>
  <c r="Q1245" i="1"/>
  <c r="P1245" i="1"/>
  <c r="O1245" i="1"/>
  <c r="N1245" i="1"/>
  <c r="M1245" i="1"/>
  <c r="L1245" i="1"/>
  <c r="K1245" i="1"/>
  <c r="J1245" i="1"/>
  <c r="I1245" i="1"/>
  <c r="H1245" i="1"/>
  <c r="V1244" i="1"/>
  <c r="U1244" i="1"/>
  <c r="T1244" i="1"/>
  <c r="S1244" i="1"/>
  <c r="R1244" i="1"/>
  <c r="Q1244" i="1"/>
  <c r="P1244" i="1"/>
  <c r="O1244" i="1"/>
  <c r="N1244" i="1"/>
  <c r="M1244" i="1"/>
  <c r="L1244" i="1"/>
  <c r="K1244" i="1"/>
  <c r="J1244" i="1"/>
  <c r="I1244" i="1"/>
  <c r="H1244" i="1"/>
  <c r="V1243" i="1"/>
  <c r="U1243" i="1"/>
  <c r="T1243" i="1"/>
  <c r="S1243" i="1"/>
  <c r="R1243" i="1"/>
  <c r="Q1243" i="1"/>
  <c r="P1243" i="1"/>
  <c r="O1243" i="1"/>
  <c r="N1243" i="1"/>
  <c r="M1243" i="1"/>
  <c r="L1243" i="1"/>
  <c r="K1243" i="1"/>
  <c r="J1243" i="1"/>
  <c r="I1243" i="1"/>
  <c r="H1243" i="1"/>
  <c r="V1242" i="1"/>
  <c r="U1242" i="1"/>
  <c r="T1242" i="1"/>
  <c r="S1242" i="1"/>
  <c r="R1242" i="1"/>
  <c r="Q1242" i="1"/>
  <c r="P1242" i="1"/>
  <c r="O1242" i="1"/>
  <c r="N1242" i="1"/>
  <c r="M1242" i="1"/>
  <c r="L1242" i="1"/>
  <c r="K1242" i="1"/>
  <c r="J1242" i="1"/>
  <c r="I1242" i="1"/>
  <c r="H1242" i="1"/>
  <c r="V1241" i="1"/>
  <c r="U1241" i="1"/>
  <c r="T1241" i="1"/>
  <c r="S1241" i="1"/>
  <c r="R1241" i="1"/>
  <c r="Q1241" i="1"/>
  <c r="P1241" i="1"/>
  <c r="O1241" i="1"/>
  <c r="N1241" i="1"/>
  <c r="M1241" i="1"/>
  <c r="L1241" i="1"/>
  <c r="K1241" i="1"/>
  <c r="J1241" i="1"/>
  <c r="I1241" i="1"/>
  <c r="H1241" i="1"/>
  <c r="V1240" i="1"/>
  <c r="U1240" i="1"/>
  <c r="T1240" i="1"/>
  <c r="S1240" i="1"/>
  <c r="R1240" i="1"/>
  <c r="Q1240" i="1"/>
  <c r="P1240" i="1"/>
  <c r="O1240" i="1"/>
  <c r="N1240" i="1"/>
  <c r="M1240" i="1"/>
  <c r="L1240" i="1"/>
  <c r="K1240" i="1"/>
  <c r="J1240" i="1"/>
  <c r="I1240" i="1"/>
  <c r="H1240" i="1"/>
  <c r="V1239" i="1"/>
  <c r="U1239" i="1"/>
  <c r="T1239" i="1"/>
  <c r="S1239" i="1"/>
  <c r="R1239" i="1"/>
  <c r="Q1239" i="1"/>
  <c r="P1239" i="1"/>
  <c r="O1239" i="1"/>
  <c r="N1239" i="1"/>
  <c r="M1239" i="1"/>
  <c r="L1239" i="1"/>
  <c r="K1239" i="1"/>
  <c r="J1239" i="1"/>
  <c r="I1239" i="1"/>
  <c r="H1239" i="1"/>
  <c r="V1238" i="1"/>
  <c r="U1238" i="1"/>
  <c r="T1238" i="1"/>
  <c r="S1238" i="1"/>
  <c r="R1238" i="1"/>
  <c r="Q1238" i="1"/>
  <c r="P1238" i="1"/>
  <c r="O1238" i="1"/>
  <c r="N1238" i="1"/>
  <c r="M1238" i="1"/>
  <c r="L1238" i="1"/>
  <c r="K1238" i="1"/>
  <c r="J1238" i="1"/>
  <c r="I1238" i="1"/>
  <c r="H1238" i="1"/>
  <c r="V1237" i="1"/>
  <c r="U1237" i="1"/>
  <c r="T1237" i="1"/>
  <c r="S1237" i="1"/>
  <c r="R1237" i="1"/>
  <c r="Q1237" i="1"/>
  <c r="P1237" i="1"/>
  <c r="O1237" i="1"/>
  <c r="N1237" i="1"/>
  <c r="M1237" i="1"/>
  <c r="L1237" i="1"/>
  <c r="K1237" i="1"/>
  <c r="J1237" i="1"/>
  <c r="I1237" i="1"/>
  <c r="H1237" i="1"/>
  <c r="V1236" i="1"/>
  <c r="U1236" i="1"/>
  <c r="T1236" i="1"/>
  <c r="S1236" i="1"/>
  <c r="R1236" i="1"/>
  <c r="Q1236" i="1"/>
  <c r="P1236" i="1"/>
  <c r="O1236" i="1"/>
  <c r="N1236" i="1"/>
  <c r="M1236" i="1"/>
  <c r="L1236" i="1"/>
  <c r="K1236" i="1"/>
  <c r="J1236" i="1"/>
  <c r="I1236" i="1"/>
  <c r="H1236" i="1"/>
  <c r="V1235" i="1"/>
  <c r="U1235" i="1"/>
  <c r="T1235" i="1"/>
  <c r="S1235" i="1"/>
  <c r="R1235" i="1"/>
  <c r="Q1235" i="1"/>
  <c r="P1235" i="1"/>
  <c r="O1235" i="1"/>
  <c r="N1235" i="1"/>
  <c r="M1235" i="1"/>
  <c r="L1235" i="1"/>
  <c r="K1235" i="1"/>
  <c r="J1235" i="1"/>
  <c r="I1235" i="1"/>
  <c r="H1235" i="1"/>
  <c r="V1234" i="1"/>
  <c r="U1234" i="1"/>
  <c r="T1234" i="1"/>
  <c r="S1234" i="1"/>
  <c r="R1234" i="1"/>
  <c r="Q1234" i="1"/>
  <c r="P1234" i="1"/>
  <c r="O1234" i="1"/>
  <c r="N1234" i="1"/>
  <c r="M1234" i="1"/>
  <c r="L1234" i="1"/>
  <c r="K1234" i="1"/>
  <c r="J1234" i="1"/>
  <c r="I1234" i="1"/>
  <c r="H1234" i="1"/>
  <c r="V1233" i="1"/>
  <c r="U1233" i="1"/>
  <c r="T1233" i="1"/>
  <c r="S1233" i="1"/>
  <c r="R1233" i="1"/>
  <c r="Q1233" i="1"/>
  <c r="P1233" i="1"/>
  <c r="O1233" i="1"/>
  <c r="N1233" i="1"/>
  <c r="M1233" i="1"/>
  <c r="L1233" i="1"/>
  <c r="K1233" i="1"/>
  <c r="J1233" i="1"/>
  <c r="I1233" i="1"/>
  <c r="H1233" i="1"/>
  <c r="V1232" i="1"/>
  <c r="U1232" i="1"/>
  <c r="T1232" i="1"/>
  <c r="S1232" i="1"/>
  <c r="R1232" i="1"/>
  <c r="Q1232" i="1"/>
  <c r="P1232" i="1"/>
  <c r="O1232" i="1"/>
  <c r="N1232" i="1"/>
  <c r="M1232" i="1"/>
  <c r="L1232" i="1"/>
  <c r="K1232" i="1"/>
  <c r="J1232" i="1"/>
  <c r="I1232" i="1"/>
  <c r="H1232" i="1"/>
  <c r="V1231" i="1"/>
  <c r="U1231" i="1"/>
  <c r="T1231" i="1"/>
  <c r="S1231" i="1"/>
  <c r="R1231" i="1"/>
  <c r="Q1231" i="1"/>
  <c r="P1231" i="1"/>
  <c r="O1231" i="1"/>
  <c r="N1231" i="1"/>
  <c r="M1231" i="1"/>
  <c r="L1231" i="1"/>
  <c r="K1231" i="1"/>
  <c r="J1231" i="1"/>
  <c r="I1231" i="1"/>
  <c r="H1231" i="1"/>
  <c r="V1230" i="1"/>
  <c r="U1230" i="1"/>
  <c r="T1230" i="1"/>
  <c r="S1230" i="1"/>
  <c r="R1230" i="1"/>
  <c r="Q1230" i="1"/>
  <c r="P1230" i="1"/>
  <c r="O1230" i="1"/>
  <c r="N1230" i="1"/>
  <c r="M1230" i="1"/>
  <c r="L1230" i="1"/>
  <c r="K1230" i="1"/>
  <c r="J1230" i="1"/>
  <c r="I1230" i="1"/>
  <c r="H1230" i="1"/>
  <c r="V1229" i="1"/>
  <c r="U1229" i="1"/>
  <c r="T1229" i="1"/>
  <c r="S1229" i="1"/>
  <c r="R1229" i="1"/>
  <c r="Q1229" i="1"/>
  <c r="P1229" i="1"/>
  <c r="O1229" i="1"/>
  <c r="N1229" i="1"/>
  <c r="M1229" i="1"/>
  <c r="L1229" i="1"/>
  <c r="K1229" i="1"/>
  <c r="J1229" i="1"/>
  <c r="I1229" i="1"/>
  <c r="H1229" i="1"/>
  <c r="V1228" i="1"/>
  <c r="U1228" i="1"/>
  <c r="T1228" i="1"/>
  <c r="S1228" i="1"/>
  <c r="R1228" i="1"/>
  <c r="Q1228" i="1"/>
  <c r="P1228" i="1"/>
  <c r="O1228" i="1"/>
  <c r="N1228" i="1"/>
  <c r="M1228" i="1"/>
  <c r="L1228" i="1"/>
  <c r="K1228" i="1"/>
  <c r="J1228" i="1"/>
  <c r="I1228" i="1"/>
  <c r="H1228" i="1"/>
  <c r="V1227" i="1"/>
  <c r="U1227" i="1"/>
  <c r="T1227" i="1"/>
  <c r="S1227" i="1"/>
  <c r="R1227" i="1"/>
  <c r="Q1227" i="1"/>
  <c r="P1227" i="1"/>
  <c r="O1227" i="1"/>
  <c r="N1227" i="1"/>
  <c r="M1227" i="1"/>
  <c r="L1227" i="1"/>
  <c r="K1227" i="1"/>
  <c r="J1227" i="1"/>
  <c r="I1227" i="1"/>
  <c r="H1227" i="1"/>
  <c r="V1226" i="1"/>
  <c r="U1226" i="1"/>
  <c r="T1226" i="1"/>
  <c r="S1226" i="1"/>
  <c r="R1226" i="1"/>
  <c r="Q1226" i="1"/>
  <c r="P1226" i="1"/>
  <c r="O1226" i="1"/>
  <c r="N1226" i="1"/>
  <c r="M1226" i="1"/>
  <c r="L1226" i="1"/>
  <c r="K1226" i="1"/>
  <c r="J1226" i="1"/>
  <c r="I1226" i="1"/>
  <c r="H1226" i="1"/>
  <c r="V1225" i="1"/>
  <c r="U1225" i="1"/>
  <c r="T1225" i="1"/>
  <c r="S1225" i="1"/>
  <c r="R1225" i="1"/>
  <c r="Q1225" i="1"/>
  <c r="P1225" i="1"/>
  <c r="O1225" i="1"/>
  <c r="N1225" i="1"/>
  <c r="M1225" i="1"/>
  <c r="L1225" i="1"/>
  <c r="K1225" i="1"/>
  <c r="J1225" i="1"/>
  <c r="I1225" i="1"/>
  <c r="H1225" i="1"/>
  <c r="V1224" i="1"/>
  <c r="U1224" i="1"/>
  <c r="T1224" i="1"/>
  <c r="S1224" i="1"/>
  <c r="R1224" i="1"/>
  <c r="Q1224" i="1"/>
  <c r="P1224" i="1"/>
  <c r="O1224" i="1"/>
  <c r="N1224" i="1"/>
  <c r="M1224" i="1"/>
  <c r="L1224" i="1"/>
  <c r="K1224" i="1"/>
  <c r="J1224" i="1"/>
  <c r="I1224" i="1"/>
  <c r="H1224" i="1"/>
  <c r="V1223" i="1"/>
  <c r="U1223" i="1"/>
  <c r="T1223" i="1"/>
  <c r="S1223" i="1"/>
  <c r="R1223" i="1"/>
  <c r="Q1223" i="1"/>
  <c r="P1223" i="1"/>
  <c r="O1223" i="1"/>
  <c r="N1223" i="1"/>
  <c r="M1223" i="1"/>
  <c r="L1223" i="1"/>
  <c r="K1223" i="1"/>
  <c r="J1223" i="1"/>
  <c r="I1223" i="1"/>
  <c r="H1223" i="1"/>
  <c r="V1222" i="1"/>
  <c r="U1222" i="1"/>
  <c r="T1222" i="1"/>
  <c r="S1222" i="1"/>
  <c r="R1222" i="1"/>
  <c r="Q1222" i="1"/>
  <c r="P1222" i="1"/>
  <c r="O1222" i="1"/>
  <c r="N1222" i="1"/>
  <c r="M1222" i="1"/>
  <c r="L1222" i="1"/>
  <c r="K1222" i="1"/>
  <c r="J1222" i="1"/>
  <c r="I1222" i="1"/>
  <c r="H1222" i="1"/>
  <c r="V1221" i="1"/>
  <c r="U1221" i="1"/>
  <c r="T1221" i="1"/>
  <c r="S1221" i="1"/>
  <c r="R1221" i="1"/>
  <c r="Q1221" i="1"/>
  <c r="P1221" i="1"/>
  <c r="O1221" i="1"/>
  <c r="N1221" i="1"/>
  <c r="M1221" i="1"/>
  <c r="L1221" i="1"/>
  <c r="K1221" i="1"/>
  <c r="J1221" i="1"/>
  <c r="I1221" i="1"/>
  <c r="H1221" i="1"/>
  <c r="V1220" i="1"/>
  <c r="U1220" i="1"/>
  <c r="T1220" i="1"/>
  <c r="S1220" i="1"/>
  <c r="R1220" i="1"/>
  <c r="Q1220" i="1"/>
  <c r="P1220" i="1"/>
  <c r="O1220" i="1"/>
  <c r="N1220" i="1"/>
  <c r="M1220" i="1"/>
  <c r="L1220" i="1"/>
  <c r="K1220" i="1"/>
  <c r="J1220" i="1"/>
  <c r="I1220" i="1"/>
  <c r="H1220" i="1"/>
  <c r="V1219" i="1"/>
  <c r="U1219" i="1"/>
  <c r="T1219" i="1"/>
  <c r="S1219" i="1"/>
  <c r="R1219" i="1"/>
  <c r="Q1219" i="1"/>
  <c r="P1219" i="1"/>
  <c r="O1219" i="1"/>
  <c r="N1219" i="1"/>
  <c r="M1219" i="1"/>
  <c r="L1219" i="1"/>
  <c r="K1219" i="1"/>
  <c r="J1219" i="1"/>
  <c r="I1219" i="1"/>
  <c r="H1219" i="1"/>
  <c r="V1218" i="1"/>
  <c r="U1218" i="1"/>
  <c r="T1218" i="1"/>
  <c r="S1218" i="1"/>
  <c r="R1218" i="1"/>
  <c r="Q1218" i="1"/>
  <c r="P1218" i="1"/>
  <c r="O1218" i="1"/>
  <c r="N1218" i="1"/>
  <c r="M1218" i="1"/>
  <c r="L1218" i="1"/>
  <c r="K1218" i="1"/>
  <c r="J1218" i="1"/>
  <c r="I1218" i="1"/>
  <c r="H1218" i="1"/>
  <c r="V1217" i="1"/>
  <c r="U1217" i="1"/>
  <c r="T1217" i="1"/>
  <c r="S1217" i="1"/>
  <c r="R1217" i="1"/>
  <c r="Q1217" i="1"/>
  <c r="P1217" i="1"/>
  <c r="O1217" i="1"/>
  <c r="N1217" i="1"/>
  <c r="M1217" i="1"/>
  <c r="L1217" i="1"/>
  <c r="K1217" i="1"/>
  <c r="J1217" i="1"/>
  <c r="I1217" i="1"/>
  <c r="H1217" i="1"/>
  <c r="V1216" i="1"/>
  <c r="U1216" i="1"/>
  <c r="T1216" i="1"/>
  <c r="S1216" i="1"/>
  <c r="R1216" i="1"/>
  <c r="Q1216" i="1"/>
  <c r="P1216" i="1"/>
  <c r="O1216" i="1"/>
  <c r="N1216" i="1"/>
  <c r="M1216" i="1"/>
  <c r="L1216" i="1"/>
  <c r="K1216" i="1"/>
  <c r="J1216" i="1"/>
  <c r="I1216" i="1"/>
  <c r="H1216" i="1"/>
  <c r="V1215" i="1"/>
  <c r="U1215" i="1"/>
  <c r="T1215" i="1"/>
  <c r="S1215" i="1"/>
  <c r="R1215" i="1"/>
  <c r="Q1215" i="1"/>
  <c r="P1215" i="1"/>
  <c r="O1215" i="1"/>
  <c r="N1215" i="1"/>
  <c r="M1215" i="1"/>
  <c r="L1215" i="1"/>
  <c r="K1215" i="1"/>
  <c r="J1215" i="1"/>
  <c r="I1215" i="1"/>
  <c r="H1215" i="1"/>
  <c r="V1214" i="1"/>
  <c r="U1214" i="1"/>
  <c r="T1214" i="1"/>
  <c r="S1214" i="1"/>
  <c r="R1214" i="1"/>
  <c r="Q1214" i="1"/>
  <c r="P1214" i="1"/>
  <c r="O1214" i="1"/>
  <c r="N1214" i="1"/>
  <c r="M1214" i="1"/>
  <c r="L1214" i="1"/>
  <c r="K1214" i="1"/>
  <c r="J1214" i="1"/>
  <c r="I1214" i="1"/>
  <c r="H1214" i="1"/>
  <c r="V1213" i="1"/>
  <c r="U1213" i="1"/>
  <c r="T1213" i="1"/>
  <c r="S1213" i="1"/>
  <c r="R1213" i="1"/>
  <c r="Q1213" i="1"/>
  <c r="P1213" i="1"/>
  <c r="O1213" i="1"/>
  <c r="N1213" i="1"/>
  <c r="M1213" i="1"/>
  <c r="L1213" i="1"/>
  <c r="K1213" i="1"/>
  <c r="J1213" i="1"/>
  <c r="I1213" i="1"/>
  <c r="H1213" i="1"/>
  <c r="V1212" i="1"/>
  <c r="U1212" i="1"/>
  <c r="T1212" i="1"/>
  <c r="S1212" i="1"/>
  <c r="R1212" i="1"/>
  <c r="Q1212" i="1"/>
  <c r="P1212" i="1"/>
  <c r="O1212" i="1"/>
  <c r="N1212" i="1"/>
  <c r="M1212" i="1"/>
  <c r="L1212" i="1"/>
  <c r="K1212" i="1"/>
  <c r="J1212" i="1"/>
  <c r="I1212" i="1"/>
  <c r="H1212" i="1"/>
  <c r="V1211" i="1"/>
  <c r="U1211" i="1"/>
  <c r="T1211" i="1"/>
  <c r="S1211" i="1"/>
  <c r="R1211" i="1"/>
  <c r="Q1211" i="1"/>
  <c r="P1211" i="1"/>
  <c r="O1211" i="1"/>
  <c r="N1211" i="1"/>
  <c r="M1211" i="1"/>
  <c r="L1211" i="1"/>
  <c r="K1211" i="1"/>
  <c r="J1211" i="1"/>
  <c r="I1211" i="1"/>
  <c r="H1211" i="1"/>
  <c r="V1210" i="1"/>
  <c r="U1210" i="1"/>
  <c r="T1210" i="1"/>
  <c r="S1210" i="1"/>
  <c r="R1210" i="1"/>
  <c r="Q1210" i="1"/>
  <c r="P1210" i="1"/>
  <c r="O1210" i="1"/>
  <c r="N1210" i="1"/>
  <c r="M1210" i="1"/>
  <c r="L1210" i="1"/>
  <c r="K1210" i="1"/>
  <c r="J1210" i="1"/>
  <c r="I1210" i="1"/>
  <c r="H1210" i="1"/>
  <c r="V1209" i="1"/>
  <c r="U1209" i="1"/>
  <c r="T1209" i="1"/>
  <c r="S1209" i="1"/>
  <c r="R1209" i="1"/>
  <c r="Q1209" i="1"/>
  <c r="P1209" i="1"/>
  <c r="O1209" i="1"/>
  <c r="N1209" i="1"/>
  <c r="M1209" i="1"/>
  <c r="L1209" i="1"/>
  <c r="K1209" i="1"/>
  <c r="J1209" i="1"/>
  <c r="I1209" i="1"/>
  <c r="H1209" i="1"/>
  <c r="V1208" i="1"/>
  <c r="U1208" i="1"/>
  <c r="T1208" i="1"/>
  <c r="S1208" i="1"/>
  <c r="R1208" i="1"/>
  <c r="Q1208" i="1"/>
  <c r="P1208" i="1"/>
  <c r="O1208" i="1"/>
  <c r="N1208" i="1"/>
  <c r="M1208" i="1"/>
  <c r="L1208" i="1"/>
  <c r="K1208" i="1"/>
  <c r="J1208" i="1"/>
  <c r="I1208" i="1"/>
  <c r="H1208" i="1"/>
  <c r="V1207" i="1"/>
  <c r="U1207" i="1"/>
  <c r="T1207" i="1"/>
  <c r="S1207" i="1"/>
  <c r="R1207" i="1"/>
  <c r="Q1207" i="1"/>
  <c r="P1207" i="1"/>
  <c r="O1207" i="1"/>
  <c r="N1207" i="1"/>
  <c r="M1207" i="1"/>
  <c r="L1207" i="1"/>
  <c r="K1207" i="1"/>
  <c r="J1207" i="1"/>
  <c r="I1207" i="1"/>
  <c r="H1207" i="1"/>
  <c r="V1206" i="1"/>
  <c r="U1206" i="1"/>
  <c r="T1206" i="1"/>
  <c r="S1206" i="1"/>
  <c r="R1206" i="1"/>
  <c r="Q1206" i="1"/>
  <c r="P1206" i="1"/>
  <c r="O1206" i="1"/>
  <c r="N1206" i="1"/>
  <c r="M1206" i="1"/>
  <c r="L1206" i="1"/>
  <c r="K1206" i="1"/>
  <c r="J1206" i="1"/>
  <c r="I1206" i="1"/>
  <c r="H1206" i="1"/>
  <c r="V1205" i="1"/>
  <c r="U1205" i="1"/>
  <c r="T1205" i="1"/>
  <c r="S1205" i="1"/>
  <c r="R1205" i="1"/>
  <c r="Q1205" i="1"/>
  <c r="P1205" i="1"/>
  <c r="O1205" i="1"/>
  <c r="N1205" i="1"/>
  <c r="M1205" i="1"/>
  <c r="L1205" i="1"/>
  <c r="K1205" i="1"/>
  <c r="J1205" i="1"/>
  <c r="I1205" i="1"/>
  <c r="H1205" i="1"/>
  <c r="V1204" i="1"/>
  <c r="U1204" i="1"/>
  <c r="T1204" i="1"/>
  <c r="S1204" i="1"/>
  <c r="R1204" i="1"/>
  <c r="Q1204" i="1"/>
  <c r="P1204" i="1"/>
  <c r="O1204" i="1"/>
  <c r="N1204" i="1"/>
  <c r="M1204" i="1"/>
  <c r="L1204" i="1"/>
  <c r="K1204" i="1"/>
  <c r="J1204" i="1"/>
  <c r="I1204" i="1"/>
  <c r="H1204" i="1"/>
  <c r="V1203" i="1"/>
  <c r="U1203" i="1"/>
  <c r="T1203" i="1"/>
  <c r="S1203" i="1"/>
  <c r="R1203" i="1"/>
  <c r="Q1203" i="1"/>
  <c r="P1203" i="1"/>
  <c r="O1203" i="1"/>
  <c r="N1203" i="1"/>
  <c r="M1203" i="1"/>
  <c r="L1203" i="1"/>
  <c r="K1203" i="1"/>
  <c r="J1203" i="1"/>
  <c r="I1203" i="1"/>
  <c r="H1203" i="1"/>
  <c r="V1202" i="1"/>
  <c r="U1202" i="1"/>
  <c r="T1202" i="1"/>
  <c r="S1202" i="1"/>
  <c r="R1202" i="1"/>
  <c r="Q1202" i="1"/>
  <c r="P1202" i="1"/>
  <c r="O1202" i="1"/>
  <c r="N1202" i="1"/>
  <c r="M1202" i="1"/>
  <c r="L1202" i="1"/>
  <c r="K1202" i="1"/>
  <c r="J1202" i="1"/>
  <c r="I1202" i="1"/>
  <c r="H1202" i="1"/>
  <c r="V1201" i="1"/>
  <c r="U1201" i="1"/>
  <c r="T1201" i="1"/>
  <c r="S1201" i="1"/>
  <c r="R1201" i="1"/>
  <c r="Q1201" i="1"/>
  <c r="P1201" i="1"/>
  <c r="O1201" i="1"/>
  <c r="N1201" i="1"/>
  <c r="M1201" i="1"/>
  <c r="L1201" i="1"/>
  <c r="K1201" i="1"/>
  <c r="J1201" i="1"/>
  <c r="I1201" i="1"/>
  <c r="H1201" i="1"/>
  <c r="V1200" i="1"/>
  <c r="U1200" i="1"/>
  <c r="T1200" i="1"/>
  <c r="S1200" i="1"/>
  <c r="R1200" i="1"/>
  <c r="Q1200" i="1"/>
  <c r="P1200" i="1"/>
  <c r="O1200" i="1"/>
  <c r="N1200" i="1"/>
  <c r="M1200" i="1"/>
  <c r="L1200" i="1"/>
  <c r="K1200" i="1"/>
  <c r="J1200" i="1"/>
  <c r="I1200" i="1"/>
  <c r="H1200" i="1"/>
  <c r="V1199" i="1"/>
  <c r="U1199" i="1"/>
  <c r="T1199" i="1"/>
  <c r="S1199" i="1"/>
  <c r="R1199" i="1"/>
  <c r="Q1199" i="1"/>
  <c r="P1199" i="1"/>
  <c r="O1199" i="1"/>
  <c r="N1199" i="1"/>
  <c r="M1199" i="1"/>
  <c r="L1199" i="1"/>
  <c r="K1199" i="1"/>
  <c r="J1199" i="1"/>
  <c r="I1199" i="1"/>
  <c r="H1199" i="1"/>
  <c r="V1198" i="1"/>
  <c r="U1198" i="1"/>
  <c r="T1198" i="1"/>
  <c r="S1198" i="1"/>
  <c r="R1198" i="1"/>
  <c r="Q1198" i="1"/>
  <c r="P1198" i="1"/>
  <c r="O1198" i="1"/>
  <c r="N1198" i="1"/>
  <c r="M1198" i="1"/>
  <c r="L1198" i="1"/>
  <c r="K1198" i="1"/>
  <c r="J1198" i="1"/>
  <c r="I1198" i="1"/>
  <c r="H1198" i="1"/>
  <c r="V1197" i="1"/>
  <c r="U1197" i="1"/>
  <c r="T1197" i="1"/>
  <c r="S1197" i="1"/>
  <c r="R1197" i="1"/>
  <c r="Q1197" i="1"/>
  <c r="P1197" i="1"/>
  <c r="O1197" i="1"/>
  <c r="N1197" i="1"/>
  <c r="M1197" i="1"/>
  <c r="L1197" i="1"/>
  <c r="K1197" i="1"/>
  <c r="J1197" i="1"/>
  <c r="I1197" i="1"/>
  <c r="H1197" i="1"/>
  <c r="V1196" i="1"/>
  <c r="U1196" i="1"/>
  <c r="T1196" i="1"/>
  <c r="S1196" i="1"/>
  <c r="R1196" i="1"/>
  <c r="Q1196" i="1"/>
  <c r="P1196" i="1"/>
  <c r="O1196" i="1"/>
  <c r="N1196" i="1"/>
  <c r="M1196" i="1"/>
  <c r="L1196" i="1"/>
  <c r="K1196" i="1"/>
  <c r="J1196" i="1"/>
  <c r="I1196" i="1"/>
  <c r="H1196" i="1"/>
  <c r="V1195" i="1"/>
  <c r="U1195" i="1"/>
  <c r="T1195" i="1"/>
  <c r="S1195" i="1"/>
  <c r="R1195" i="1"/>
  <c r="Q1195" i="1"/>
  <c r="P1195" i="1"/>
  <c r="O1195" i="1"/>
  <c r="N1195" i="1"/>
  <c r="M1195" i="1"/>
  <c r="L1195" i="1"/>
  <c r="K1195" i="1"/>
  <c r="J1195" i="1"/>
  <c r="I1195" i="1"/>
  <c r="H1195" i="1"/>
  <c r="V1194" i="1"/>
  <c r="U1194" i="1"/>
  <c r="T1194" i="1"/>
  <c r="S1194" i="1"/>
  <c r="R1194" i="1"/>
  <c r="Q1194" i="1"/>
  <c r="P1194" i="1"/>
  <c r="O1194" i="1"/>
  <c r="N1194" i="1"/>
  <c r="M1194" i="1"/>
  <c r="L1194" i="1"/>
  <c r="K1194" i="1"/>
  <c r="J1194" i="1"/>
  <c r="I1194" i="1"/>
  <c r="H1194" i="1"/>
  <c r="V1193" i="1"/>
  <c r="U1193" i="1"/>
  <c r="T1193" i="1"/>
  <c r="S1193" i="1"/>
  <c r="R1193" i="1"/>
  <c r="Q1193" i="1"/>
  <c r="P1193" i="1"/>
  <c r="O1193" i="1"/>
  <c r="N1193" i="1"/>
  <c r="M1193" i="1"/>
  <c r="L1193" i="1"/>
  <c r="K1193" i="1"/>
  <c r="J1193" i="1"/>
  <c r="I1193" i="1"/>
  <c r="H1193" i="1"/>
  <c r="V1192" i="1"/>
  <c r="U1192" i="1"/>
  <c r="T1192" i="1"/>
  <c r="S1192" i="1"/>
  <c r="R1192" i="1"/>
  <c r="Q1192" i="1"/>
  <c r="P1192" i="1"/>
  <c r="O1192" i="1"/>
  <c r="N1192" i="1"/>
  <c r="M1192" i="1"/>
  <c r="L1192" i="1"/>
  <c r="K1192" i="1"/>
  <c r="J1192" i="1"/>
  <c r="I1192" i="1"/>
  <c r="H1192" i="1"/>
  <c r="V1191" i="1"/>
  <c r="U1191" i="1"/>
  <c r="T1191" i="1"/>
  <c r="S1191" i="1"/>
  <c r="R1191" i="1"/>
  <c r="Q1191" i="1"/>
  <c r="P1191" i="1"/>
  <c r="O1191" i="1"/>
  <c r="N1191" i="1"/>
  <c r="M1191" i="1"/>
  <c r="L1191" i="1"/>
  <c r="K1191" i="1"/>
  <c r="J1191" i="1"/>
  <c r="I1191" i="1"/>
  <c r="H1191" i="1"/>
  <c r="V1190" i="1"/>
  <c r="U1190" i="1"/>
  <c r="T1190" i="1"/>
  <c r="S1190" i="1"/>
  <c r="R1190" i="1"/>
  <c r="Q1190" i="1"/>
  <c r="P1190" i="1"/>
  <c r="O1190" i="1"/>
  <c r="N1190" i="1"/>
  <c r="M1190" i="1"/>
  <c r="L1190" i="1"/>
  <c r="K1190" i="1"/>
  <c r="J1190" i="1"/>
  <c r="I1190" i="1"/>
  <c r="H1190" i="1"/>
  <c r="V1189" i="1"/>
  <c r="U1189" i="1"/>
  <c r="T1189" i="1"/>
  <c r="S1189" i="1"/>
  <c r="R1189" i="1"/>
  <c r="Q1189" i="1"/>
  <c r="P1189" i="1"/>
  <c r="O1189" i="1"/>
  <c r="N1189" i="1"/>
  <c r="M1189" i="1"/>
  <c r="L1189" i="1"/>
  <c r="K1189" i="1"/>
  <c r="J1189" i="1"/>
  <c r="I1189" i="1"/>
  <c r="H1189" i="1"/>
  <c r="V1188" i="1"/>
  <c r="U1188" i="1"/>
  <c r="T1188" i="1"/>
  <c r="S1188" i="1"/>
  <c r="R1188" i="1"/>
  <c r="Q1188" i="1"/>
  <c r="P1188" i="1"/>
  <c r="O1188" i="1"/>
  <c r="N1188" i="1"/>
  <c r="M1188" i="1"/>
  <c r="L1188" i="1"/>
  <c r="K1188" i="1"/>
  <c r="J1188" i="1"/>
  <c r="I1188" i="1"/>
  <c r="H1188" i="1"/>
  <c r="V1187" i="1"/>
  <c r="U1187" i="1"/>
  <c r="T1187" i="1"/>
  <c r="S1187" i="1"/>
  <c r="R1187" i="1"/>
  <c r="Q1187" i="1"/>
  <c r="P1187" i="1"/>
  <c r="O1187" i="1"/>
  <c r="N1187" i="1"/>
  <c r="M1187" i="1"/>
  <c r="L1187" i="1"/>
  <c r="K1187" i="1"/>
  <c r="J1187" i="1"/>
  <c r="I1187" i="1"/>
  <c r="H1187" i="1"/>
  <c r="V1186" i="1"/>
  <c r="U1186" i="1"/>
  <c r="T1186" i="1"/>
  <c r="S1186" i="1"/>
  <c r="R1186" i="1"/>
  <c r="Q1186" i="1"/>
  <c r="P1186" i="1"/>
  <c r="O1186" i="1"/>
  <c r="N1186" i="1"/>
  <c r="M1186" i="1"/>
  <c r="L1186" i="1"/>
  <c r="K1186" i="1"/>
  <c r="J1186" i="1"/>
  <c r="I1186" i="1"/>
  <c r="H1186" i="1"/>
  <c r="V1185" i="1"/>
  <c r="U1185" i="1"/>
  <c r="T1185" i="1"/>
  <c r="S1185" i="1"/>
  <c r="R1185" i="1"/>
  <c r="Q1185" i="1"/>
  <c r="P1185" i="1"/>
  <c r="O1185" i="1"/>
  <c r="N1185" i="1"/>
  <c r="M1185" i="1"/>
  <c r="L1185" i="1"/>
  <c r="K1185" i="1"/>
  <c r="J1185" i="1"/>
  <c r="I1185" i="1"/>
  <c r="H1185" i="1"/>
  <c r="V1184" i="1"/>
  <c r="U1184" i="1"/>
  <c r="T1184" i="1"/>
  <c r="S1184" i="1"/>
  <c r="R1184" i="1"/>
  <c r="Q1184" i="1"/>
  <c r="P1184" i="1"/>
  <c r="O1184" i="1"/>
  <c r="N1184" i="1"/>
  <c r="M1184" i="1"/>
  <c r="L1184" i="1"/>
  <c r="K1184" i="1"/>
  <c r="J1184" i="1"/>
  <c r="I1184" i="1"/>
  <c r="H1184" i="1"/>
  <c r="V1183" i="1"/>
  <c r="U1183" i="1"/>
  <c r="T1183" i="1"/>
  <c r="S1183" i="1"/>
  <c r="R1183" i="1"/>
  <c r="Q1183" i="1"/>
  <c r="P1183" i="1"/>
  <c r="O1183" i="1"/>
  <c r="N1183" i="1"/>
  <c r="M1183" i="1"/>
  <c r="L1183" i="1"/>
  <c r="K1183" i="1"/>
  <c r="J1183" i="1"/>
  <c r="I1183" i="1"/>
  <c r="H1183" i="1"/>
  <c r="V1182" i="1"/>
  <c r="U1182" i="1"/>
  <c r="T1182" i="1"/>
  <c r="S1182" i="1"/>
  <c r="R1182" i="1"/>
  <c r="Q1182" i="1"/>
  <c r="P1182" i="1"/>
  <c r="O1182" i="1"/>
  <c r="N1182" i="1"/>
  <c r="M1182" i="1"/>
  <c r="L1182" i="1"/>
  <c r="K1182" i="1"/>
  <c r="J1182" i="1"/>
  <c r="I1182" i="1"/>
  <c r="H1182" i="1"/>
  <c r="V1181" i="1"/>
  <c r="U1181" i="1"/>
  <c r="T1181" i="1"/>
  <c r="S1181" i="1"/>
  <c r="R1181" i="1"/>
  <c r="Q1181" i="1"/>
  <c r="P1181" i="1"/>
  <c r="O1181" i="1"/>
  <c r="N1181" i="1"/>
  <c r="M1181" i="1"/>
  <c r="L1181" i="1"/>
  <c r="K1181" i="1"/>
  <c r="J1181" i="1"/>
  <c r="I1181" i="1"/>
  <c r="H1181" i="1"/>
  <c r="V1180" i="1"/>
  <c r="U1180" i="1"/>
  <c r="T1180" i="1"/>
  <c r="S1180" i="1"/>
  <c r="R1180" i="1"/>
  <c r="Q1180" i="1"/>
  <c r="P1180" i="1"/>
  <c r="O1180" i="1"/>
  <c r="N1180" i="1"/>
  <c r="M1180" i="1"/>
  <c r="L1180" i="1"/>
  <c r="K1180" i="1"/>
  <c r="J1180" i="1"/>
  <c r="I1180" i="1"/>
  <c r="H1180" i="1"/>
  <c r="V1179" i="1"/>
  <c r="U1179" i="1"/>
  <c r="T1179" i="1"/>
  <c r="S1179" i="1"/>
  <c r="R1179" i="1"/>
  <c r="Q1179" i="1"/>
  <c r="P1179" i="1"/>
  <c r="O1179" i="1"/>
  <c r="N1179" i="1"/>
  <c r="M1179" i="1"/>
  <c r="L1179" i="1"/>
  <c r="K1179" i="1"/>
  <c r="J1179" i="1"/>
  <c r="I1179" i="1"/>
  <c r="H1179" i="1"/>
  <c r="V1178" i="1"/>
  <c r="U1178" i="1"/>
  <c r="T1178" i="1"/>
  <c r="S1178" i="1"/>
  <c r="R1178" i="1"/>
  <c r="Q1178" i="1"/>
  <c r="P1178" i="1"/>
  <c r="O1178" i="1"/>
  <c r="N1178" i="1"/>
  <c r="M1178" i="1"/>
  <c r="L1178" i="1"/>
  <c r="K1178" i="1"/>
  <c r="J1178" i="1"/>
  <c r="I1178" i="1"/>
  <c r="H1178" i="1"/>
  <c r="V1177" i="1"/>
  <c r="U1177" i="1"/>
  <c r="T1177" i="1"/>
  <c r="S1177" i="1"/>
  <c r="R1177" i="1"/>
  <c r="Q1177" i="1"/>
  <c r="P1177" i="1"/>
  <c r="O1177" i="1"/>
  <c r="N1177" i="1"/>
  <c r="M1177" i="1"/>
  <c r="L1177" i="1"/>
  <c r="K1177" i="1"/>
  <c r="J1177" i="1"/>
  <c r="I1177" i="1"/>
  <c r="H1177" i="1"/>
  <c r="V1176" i="1"/>
  <c r="U1176" i="1"/>
  <c r="T1176" i="1"/>
  <c r="S1176" i="1"/>
  <c r="R1176" i="1"/>
  <c r="Q1176" i="1"/>
  <c r="P1176" i="1"/>
  <c r="O1176" i="1"/>
  <c r="N1176" i="1"/>
  <c r="M1176" i="1"/>
  <c r="L1176" i="1"/>
  <c r="K1176" i="1"/>
  <c r="J1176" i="1"/>
  <c r="I1176" i="1"/>
  <c r="H1176" i="1"/>
  <c r="V1175" i="1"/>
  <c r="U1175" i="1"/>
  <c r="T1175" i="1"/>
  <c r="S1175" i="1"/>
  <c r="R1175" i="1"/>
  <c r="Q1175" i="1"/>
  <c r="P1175" i="1"/>
  <c r="O1175" i="1"/>
  <c r="N1175" i="1"/>
  <c r="M1175" i="1"/>
  <c r="L1175" i="1"/>
  <c r="K1175" i="1"/>
  <c r="J1175" i="1"/>
  <c r="I1175" i="1"/>
  <c r="H1175" i="1"/>
  <c r="V1174" i="1"/>
  <c r="U1174" i="1"/>
  <c r="T1174" i="1"/>
  <c r="S1174" i="1"/>
  <c r="R1174" i="1"/>
  <c r="Q1174" i="1"/>
  <c r="P1174" i="1"/>
  <c r="O1174" i="1"/>
  <c r="N1174" i="1"/>
  <c r="M1174" i="1"/>
  <c r="L1174" i="1"/>
  <c r="K1174" i="1"/>
  <c r="J1174" i="1"/>
  <c r="I1174" i="1"/>
  <c r="H1174" i="1"/>
  <c r="V1173" i="1"/>
  <c r="U1173" i="1"/>
  <c r="T1173" i="1"/>
  <c r="S1173" i="1"/>
  <c r="R1173" i="1"/>
  <c r="Q1173" i="1"/>
  <c r="P1173" i="1"/>
  <c r="O1173" i="1"/>
  <c r="N1173" i="1"/>
  <c r="M1173" i="1"/>
  <c r="L1173" i="1"/>
  <c r="K1173" i="1"/>
  <c r="J1173" i="1"/>
  <c r="I1173" i="1"/>
  <c r="H1173" i="1"/>
  <c r="V1172" i="1"/>
  <c r="U1172" i="1"/>
  <c r="T1172" i="1"/>
  <c r="S1172" i="1"/>
  <c r="R1172" i="1"/>
  <c r="Q1172" i="1"/>
  <c r="P1172" i="1"/>
  <c r="O1172" i="1"/>
  <c r="N1172" i="1"/>
  <c r="M1172" i="1"/>
  <c r="L1172" i="1"/>
  <c r="K1172" i="1"/>
  <c r="J1172" i="1"/>
  <c r="I1172" i="1"/>
  <c r="H1172" i="1"/>
  <c r="V1171" i="1"/>
  <c r="U1171" i="1"/>
  <c r="T1171" i="1"/>
  <c r="S1171" i="1"/>
  <c r="R1171" i="1"/>
  <c r="Q1171" i="1"/>
  <c r="P1171" i="1"/>
  <c r="O1171" i="1"/>
  <c r="N1171" i="1"/>
  <c r="M1171" i="1"/>
  <c r="L1171" i="1"/>
  <c r="K1171" i="1"/>
  <c r="J1171" i="1"/>
  <c r="I1171" i="1"/>
  <c r="H1171" i="1"/>
  <c r="V1170" i="1"/>
  <c r="U1170" i="1"/>
  <c r="T1170" i="1"/>
  <c r="S1170" i="1"/>
  <c r="R1170" i="1"/>
  <c r="Q1170" i="1"/>
  <c r="P1170" i="1"/>
  <c r="O1170" i="1"/>
  <c r="N1170" i="1"/>
  <c r="M1170" i="1"/>
  <c r="L1170" i="1"/>
  <c r="K1170" i="1"/>
  <c r="J1170" i="1"/>
  <c r="I1170" i="1"/>
  <c r="H1170" i="1"/>
  <c r="V1169" i="1"/>
  <c r="U1169" i="1"/>
  <c r="T1169" i="1"/>
  <c r="S1169" i="1"/>
  <c r="R1169" i="1"/>
  <c r="Q1169" i="1"/>
  <c r="P1169" i="1"/>
  <c r="O1169" i="1"/>
  <c r="N1169" i="1"/>
  <c r="M1169" i="1"/>
  <c r="L1169" i="1"/>
  <c r="K1169" i="1"/>
  <c r="J1169" i="1"/>
  <c r="I1169" i="1"/>
  <c r="H1169" i="1"/>
  <c r="V1168" i="1"/>
  <c r="U1168" i="1"/>
  <c r="T1168" i="1"/>
  <c r="S1168" i="1"/>
  <c r="R1168" i="1"/>
  <c r="Q1168" i="1"/>
  <c r="P1168" i="1"/>
  <c r="O1168" i="1"/>
  <c r="N1168" i="1"/>
  <c r="M1168" i="1"/>
  <c r="L1168" i="1"/>
  <c r="K1168" i="1"/>
  <c r="J1168" i="1"/>
  <c r="I1168" i="1"/>
  <c r="H1168" i="1"/>
  <c r="V1167" i="1"/>
  <c r="U1167" i="1"/>
  <c r="T1167" i="1"/>
  <c r="S1167" i="1"/>
  <c r="R1167" i="1"/>
  <c r="Q1167" i="1"/>
  <c r="P1167" i="1"/>
  <c r="O1167" i="1"/>
  <c r="N1167" i="1"/>
  <c r="M1167" i="1"/>
  <c r="L1167" i="1"/>
  <c r="K1167" i="1"/>
  <c r="J1167" i="1"/>
  <c r="I1167" i="1"/>
  <c r="H1167" i="1"/>
  <c r="V1166" i="1"/>
  <c r="U1166" i="1"/>
  <c r="T1166" i="1"/>
  <c r="S1166" i="1"/>
  <c r="R1166" i="1"/>
  <c r="Q1166" i="1"/>
  <c r="P1166" i="1"/>
  <c r="O1166" i="1"/>
  <c r="N1166" i="1"/>
  <c r="M1166" i="1"/>
  <c r="L1166" i="1"/>
  <c r="K1166" i="1"/>
  <c r="J1166" i="1"/>
  <c r="I1166" i="1"/>
  <c r="H1166" i="1"/>
  <c r="V1165" i="1"/>
  <c r="U1165" i="1"/>
  <c r="T1165" i="1"/>
  <c r="S1165" i="1"/>
  <c r="R1165" i="1"/>
  <c r="Q1165" i="1"/>
  <c r="P1165" i="1"/>
  <c r="O1165" i="1"/>
  <c r="N1165" i="1"/>
  <c r="M1165" i="1"/>
  <c r="L1165" i="1"/>
  <c r="K1165" i="1"/>
  <c r="J1165" i="1"/>
  <c r="I1165" i="1"/>
  <c r="H1165" i="1"/>
  <c r="V1164" i="1"/>
  <c r="U1164" i="1"/>
  <c r="T1164" i="1"/>
  <c r="S1164" i="1"/>
  <c r="R1164" i="1"/>
  <c r="Q1164" i="1"/>
  <c r="P1164" i="1"/>
  <c r="O1164" i="1"/>
  <c r="N1164" i="1"/>
  <c r="M1164" i="1"/>
  <c r="L1164" i="1"/>
  <c r="K1164" i="1"/>
  <c r="J1164" i="1"/>
  <c r="I1164" i="1"/>
  <c r="H1164" i="1"/>
  <c r="V1163" i="1"/>
  <c r="U1163" i="1"/>
  <c r="T1163" i="1"/>
  <c r="S1163" i="1"/>
  <c r="R1163" i="1"/>
  <c r="Q1163" i="1"/>
  <c r="P1163" i="1"/>
  <c r="O1163" i="1"/>
  <c r="N1163" i="1"/>
  <c r="M1163" i="1"/>
  <c r="L1163" i="1"/>
  <c r="K1163" i="1"/>
  <c r="J1163" i="1"/>
  <c r="I1163" i="1"/>
  <c r="H1163" i="1"/>
  <c r="V1162" i="1"/>
  <c r="U1162" i="1"/>
  <c r="T1162" i="1"/>
  <c r="S1162" i="1"/>
  <c r="R1162" i="1"/>
  <c r="Q1162" i="1"/>
  <c r="P1162" i="1"/>
  <c r="O1162" i="1"/>
  <c r="N1162" i="1"/>
  <c r="M1162" i="1"/>
  <c r="L1162" i="1"/>
  <c r="K1162" i="1"/>
  <c r="J1162" i="1"/>
  <c r="I1162" i="1"/>
  <c r="H1162" i="1"/>
  <c r="V1161" i="1"/>
  <c r="U1161" i="1"/>
  <c r="T1161" i="1"/>
  <c r="S1161" i="1"/>
  <c r="R1161" i="1"/>
  <c r="Q1161" i="1"/>
  <c r="P1161" i="1"/>
  <c r="O1161" i="1"/>
  <c r="N1161" i="1"/>
  <c r="M1161" i="1"/>
  <c r="L1161" i="1"/>
  <c r="K1161" i="1"/>
  <c r="J1161" i="1"/>
  <c r="I1161" i="1"/>
  <c r="H1161" i="1"/>
  <c r="V1160" i="1"/>
  <c r="U1160" i="1"/>
  <c r="T1160" i="1"/>
  <c r="S1160" i="1"/>
  <c r="R1160" i="1"/>
  <c r="Q1160" i="1"/>
  <c r="P1160" i="1"/>
  <c r="O1160" i="1"/>
  <c r="N1160" i="1"/>
  <c r="M1160" i="1"/>
  <c r="L1160" i="1"/>
  <c r="K1160" i="1"/>
  <c r="J1160" i="1"/>
  <c r="I1160" i="1"/>
  <c r="H1160" i="1"/>
  <c r="V1159" i="1"/>
  <c r="U1159" i="1"/>
  <c r="T1159" i="1"/>
  <c r="S1159" i="1"/>
  <c r="R1159" i="1"/>
  <c r="Q1159" i="1"/>
  <c r="P1159" i="1"/>
  <c r="O1159" i="1"/>
  <c r="N1159" i="1"/>
  <c r="M1159" i="1"/>
  <c r="L1159" i="1"/>
  <c r="K1159" i="1"/>
  <c r="J1159" i="1"/>
  <c r="I1159" i="1"/>
  <c r="H1159" i="1"/>
  <c r="V1158" i="1"/>
  <c r="U1158" i="1"/>
  <c r="T1158" i="1"/>
  <c r="S1158" i="1"/>
  <c r="R1158" i="1"/>
  <c r="Q1158" i="1"/>
  <c r="P1158" i="1"/>
  <c r="O1158" i="1"/>
  <c r="N1158" i="1"/>
  <c r="M1158" i="1"/>
  <c r="L1158" i="1"/>
  <c r="K1158" i="1"/>
  <c r="J1158" i="1"/>
  <c r="I1158" i="1"/>
  <c r="H1158" i="1"/>
  <c r="V1157" i="1"/>
  <c r="U1157" i="1"/>
  <c r="T1157" i="1"/>
  <c r="S1157" i="1"/>
  <c r="R1157" i="1"/>
  <c r="Q1157" i="1"/>
  <c r="P1157" i="1"/>
  <c r="O1157" i="1"/>
  <c r="N1157" i="1"/>
  <c r="M1157" i="1"/>
  <c r="L1157" i="1"/>
  <c r="K1157" i="1"/>
  <c r="J1157" i="1"/>
  <c r="I1157" i="1"/>
  <c r="H1157" i="1"/>
  <c r="V1156" i="1"/>
  <c r="U1156" i="1"/>
  <c r="T1156" i="1"/>
  <c r="S1156" i="1"/>
  <c r="R1156" i="1"/>
  <c r="Q1156" i="1"/>
  <c r="P1156" i="1"/>
  <c r="O1156" i="1"/>
  <c r="N1156" i="1"/>
  <c r="M1156" i="1"/>
  <c r="L1156" i="1"/>
  <c r="K1156" i="1"/>
  <c r="J1156" i="1"/>
  <c r="I1156" i="1"/>
  <c r="H1156" i="1"/>
  <c r="V1155" i="1"/>
  <c r="U1155" i="1"/>
  <c r="T1155" i="1"/>
  <c r="S1155" i="1"/>
  <c r="R1155" i="1"/>
  <c r="Q1155" i="1"/>
  <c r="P1155" i="1"/>
  <c r="O1155" i="1"/>
  <c r="N1155" i="1"/>
  <c r="M1155" i="1"/>
  <c r="L1155" i="1"/>
  <c r="K1155" i="1"/>
  <c r="J1155" i="1"/>
  <c r="I1155" i="1"/>
  <c r="H1155" i="1"/>
  <c r="V1154" i="1"/>
  <c r="U1154" i="1"/>
  <c r="T1154" i="1"/>
  <c r="S1154" i="1"/>
  <c r="R1154" i="1"/>
  <c r="Q1154" i="1"/>
  <c r="P1154" i="1"/>
  <c r="O1154" i="1"/>
  <c r="N1154" i="1"/>
  <c r="M1154" i="1"/>
  <c r="L1154" i="1"/>
  <c r="K1154" i="1"/>
  <c r="J1154" i="1"/>
  <c r="I1154" i="1"/>
  <c r="H1154" i="1"/>
  <c r="V1153" i="1"/>
  <c r="U1153" i="1"/>
  <c r="T1153" i="1"/>
  <c r="S1153" i="1"/>
  <c r="R1153" i="1"/>
  <c r="Q1153" i="1"/>
  <c r="P1153" i="1"/>
  <c r="O1153" i="1"/>
  <c r="N1153" i="1"/>
  <c r="M1153" i="1"/>
  <c r="L1153" i="1"/>
  <c r="K1153" i="1"/>
  <c r="J1153" i="1"/>
  <c r="I1153" i="1"/>
  <c r="H1153" i="1"/>
  <c r="V1152" i="1"/>
  <c r="U1152" i="1"/>
  <c r="T1152" i="1"/>
  <c r="S1152" i="1"/>
  <c r="R1152" i="1"/>
  <c r="Q1152" i="1"/>
  <c r="P1152" i="1"/>
  <c r="O1152" i="1"/>
  <c r="N1152" i="1"/>
  <c r="M1152" i="1"/>
  <c r="L1152" i="1"/>
  <c r="K1152" i="1"/>
  <c r="J1152" i="1"/>
  <c r="I1152" i="1"/>
  <c r="H1152" i="1"/>
  <c r="V1151" i="1"/>
  <c r="U1151" i="1"/>
  <c r="T1151" i="1"/>
  <c r="S1151" i="1"/>
  <c r="R1151" i="1"/>
  <c r="Q1151" i="1"/>
  <c r="P1151" i="1"/>
  <c r="O1151" i="1"/>
  <c r="N1151" i="1"/>
  <c r="M1151" i="1"/>
  <c r="L1151" i="1"/>
  <c r="K1151" i="1"/>
  <c r="J1151" i="1"/>
  <c r="I1151" i="1"/>
  <c r="H1151" i="1"/>
  <c r="V1150" i="1"/>
  <c r="U1150" i="1"/>
  <c r="T1150" i="1"/>
  <c r="S1150" i="1"/>
  <c r="R1150" i="1"/>
  <c r="Q1150" i="1"/>
  <c r="P1150" i="1"/>
  <c r="O1150" i="1"/>
  <c r="N1150" i="1"/>
  <c r="M1150" i="1"/>
  <c r="L1150" i="1"/>
  <c r="K1150" i="1"/>
  <c r="J1150" i="1"/>
  <c r="I1150" i="1"/>
  <c r="H1150" i="1"/>
  <c r="V1149" i="1"/>
  <c r="U1149" i="1"/>
  <c r="T1149" i="1"/>
  <c r="S1149" i="1"/>
  <c r="R1149" i="1"/>
  <c r="Q1149" i="1"/>
  <c r="P1149" i="1"/>
  <c r="O1149" i="1"/>
  <c r="N1149" i="1"/>
  <c r="M1149" i="1"/>
  <c r="L1149" i="1"/>
  <c r="K1149" i="1"/>
  <c r="J1149" i="1"/>
  <c r="I1149" i="1"/>
  <c r="H1149" i="1"/>
  <c r="V1148" i="1"/>
  <c r="U1148" i="1"/>
  <c r="T1148" i="1"/>
  <c r="S1148" i="1"/>
  <c r="R1148" i="1"/>
  <c r="Q1148" i="1"/>
  <c r="P1148" i="1"/>
  <c r="O1148" i="1"/>
  <c r="N1148" i="1"/>
  <c r="M1148" i="1"/>
  <c r="L1148" i="1"/>
  <c r="K1148" i="1"/>
  <c r="J1148" i="1"/>
  <c r="I1148" i="1"/>
  <c r="H1148" i="1"/>
  <c r="V1147" i="1"/>
  <c r="U1147" i="1"/>
  <c r="T1147" i="1"/>
  <c r="S1147" i="1"/>
  <c r="R1147" i="1"/>
  <c r="Q1147" i="1"/>
  <c r="P1147" i="1"/>
  <c r="O1147" i="1"/>
  <c r="N1147" i="1"/>
  <c r="M1147" i="1"/>
  <c r="L1147" i="1"/>
  <c r="K1147" i="1"/>
  <c r="J1147" i="1"/>
  <c r="I1147" i="1"/>
  <c r="H1147" i="1"/>
  <c r="V1146" i="1"/>
  <c r="U1146" i="1"/>
  <c r="T1146" i="1"/>
  <c r="S1146" i="1"/>
  <c r="R1146" i="1"/>
  <c r="Q1146" i="1"/>
  <c r="P1146" i="1"/>
  <c r="O1146" i="1"/>
  <c r="N1146" i="1"/>
  <c r="M1146" i="1"/>
  <c r="L1146" i="1"/>
  <c r="K1146" i="1"/>
  <c r="J1146" i="1"/>
  <c r="I1146" i="1"/>
  <c r="H1146" i="1"/>
  <c r="V1145" i="1"/>
  <c r="U1145" i="1"/>
  <c r="T1145" i="1"/>
  <c r="S1145" i="1"/>
  <c r="R1145" i="1"/>
  <c r="Q1145" i="1"/>
  <c r="P1145" i="1"/>
  <c r="O1145" i="1"/>
  <c r="N1145" i="1"/>
  <c r="M1145" i="1"/>
  <c r="L1145" i="1"/>
  <c r="K1145" i="1"/>
  <c r="J1145" i="1"/>
  <c r="I1145" i="1"/>
  <c r="H1145" i="1"/>
  <c r="V1144" i="1"/>
  <c r="U1144" i="1"/>
  <c r="T1144" i="1"/>
  <c r="S1144" i="1"/>
  <c r="R1144" i="1"/>
  <c r="Q1144" i="1"/>
  <c r="P1144" i="1"/>
  <c r="O1144" i="1"/>
  <c r="N1144" i="1"/>
  <c r="M1144" i="1"/>
  <c r="L1144" i="1"/>
  <c r="K1144" i="1"/>
  <c r="J1144" i="1"/>
  <c r="I1144" i="1"/>
  <c r="H1144" i="1"/>
  <c r="V1143" i="1"/>
  <c r="U1143" i="1"/>
  <c r="T1143" i="1"/>
  <c r="S1143" i="1"/>
  <c r="R1143" i="1"/>
  <c r="Q1143" i="1"/>
  <c r="P1143" i="1"/>
  <c r="O1143" i="1"/>
  <c r="N1143" i="1"/>
  <c r="M1143" i="1"/>
  <c r="L1143" i="1"/>
  <c r="K1143" i="1"/>
  <c r="J1143" i="1"/>
  <c r="I1143" i="1"/>
  <c r="H1143" i="1"/>
  <c r="V1142" i="1"/>
  <c r="U1142" i="1"/>
  <c r="T1142" i="1"/>
  <c r="S1142" i="1"/>
  <c r="R1142" i="1"/>
  <c r="Q1142" i="1"/>
  <c r="P1142" i="1"/>
  <c r="O1142" i="1"/>
  <c r="N1142" i="1"/>
  <c r="M1142" i="1"/>
  <c r="L1142" i="1"/>
  <c r="K1142" i="1"/>
  <c r="J1142" i="1"/>
  <c r="I1142" i="1"/>
  <c r="H1142" i="1"/>
  <c r="V1141" i="1"/>
  <c r="U1141" i="1"/>
  <c r="T1141" i="1"/>
  <c r="S1141" i="1"/>
  <c r="R1141" i="1"/>
  <c r="Q1141" i="1"/>
  <c r="P1141" i="1"/>
  <c r="O1141" i="1"/>
  <c r="N1141" i="1"/>
  <c r="M1141" i="1"/>
  <c r="L1141" i="1"/>
  <c r="K1141" i="1"/>
  <c r="J1141" i="1"/>
  <c r="I1141" i="1"/>
  <c r="H1141" i="1"/>
  <c r="V1140" i="1"/>
  <c r="U1140" i="1"/>
  <c r="T1140" i="1"/>
  <c r="S1140" i="1"/>
  <c r="R1140" i="1"/>
  <c r="Q1140" i="1"/>
  <c r="P1140" i="1"/>
  <c r="O1140" i="1"/>
  <c r="N1140" i="1"/>
  <c r="M1140" i="1"/>
  <c r="L1140" i="1"/>
  <c r="K1140" i="1"/>
  <c r="J1140" i="1"/>
  <c r="I1140" i="1"/>
  <c r="H1140" i="1"/>
  <c r="V1139" i="1"/>
  <c r="U1139" i="1"/>
  <c r="T1139" i="1"/>
  <c r="S1139" i="1"/>
  <c r="R1139" i="1"/>
  <c r="Q1139" i="1"/>
  <c r="P1139" i="1"/>
  <c r="O1139" i="1"/>
  <c r="N1139" i="1"/>
  <c r="M1139" i="1"/>
  <c r="L1139" i="1"/>
  <c r="K1139" i="1"/>
  <c r="J1139" i="1"/>
  <c r="I1139" i="1"/>
  <c r="H1139" i="1"/>
  <c r="V1138" i="1"/>
  <c r="U1138" i="1"/>
  <c r="T1138" i="1"/>
  <c r="S1138" i="1"/>
  <c r="R1138" i="1"/>
  <c r="Q1138" i="1"/>
  <c r="P1138" i="1"/>
  <c r="O1138" i="1"/>
  <c r="N1138" i="1"/>
  <c r="M1138" i="1"/>
  <c r="L1138" i="1"/>
  <c r="K1138" i="1"/>
  <c r="J1138" i="1"/>
  <c r="I1138" i="1"/>
  <c r="H1138" i="1"/>
  <c r="V1137" i="1"/>
  <c r="U1137" i="1"/>
  <c r="T1137" i="1"/>
  <c r="S1137" i="1"/>
  <c r="R1137" i="1"/>
  <c r="Q1137" i="1"/>
  <c r="P1137" i="1"/>
  <c r="O1137" i="1"/>
  <c r="N1137" i="1"/>
  <c r="M1137" i="1"/>
  <c r="L1137" i="1"/>
  <c r="K1137" i="1"/>
  <c r="J1137" i="1"/>
  <c r="I1137" i="1"/>
  <c r="H1137" i="1"/>
  <c r="V1136" i="1"/>
  <c r="U1136" i="1"/>
  <c r="T1136" i="1"/>
  <c r="S1136" i="1"/>
  <c r="R1136" i="1"/>
  <c r="Q1136" i="1"/>
  <c r="P1136" i="1"/>
  <c r="O1136" i="1"/>
  <c r="N1136" i="1"/>
  <c r="M1136" i="1"/>
  <c r="L1136" i="1"/>
  <c r="K1136" i="1"/>
  <c r="J1136" i="1"/>
  <c r="I1136" i="1"/>
  <c r="H1136" i="1"/>
  <c r="V1135" i="1"/>
  <c r="U1135" i="1"/>
  <c r="T1135" i="1"/>
  <c r="S1135" i="1"/>
  <c r="R1135" i="1"/>
  <c r="Q1135" i="1"/>
  <c r="P1135" i="1"/>
  <c r="O1135" i="1"/>
  <c r="N1135" i="1"/>
  <c r="M1135" i="1"/>
  <c r="L1135" i="1"/>
  <c r="K1135" i="1"/>
  <c r="J1135" i="1"/>
  <c r="I1135" i="1"/>
  <c r="H1135" i="1"/>
  <c r="V1134" i="1"/>
  <c r="U1134" i="1"/>
  <c r="T1134" i="1"/>
  <c r="S1134" i="1"/>
  <c r="R1134" i="1"/>
  <c r="Q1134" i="1"/>
  <c r="P1134" i="1"/>
  <c r="O1134" i="1"/>
  <c r="N1134" i="1"/>
  <c r="M1134" i="1"/>
  <c r="L1134" i="1"/>
  <c r="K1134" i="1"/>
  <c r="J1134" i="1"/>
  <c r="I1134" i="1"/>
  <c r="H1134" i="1"/>
  <c r="V1133" i="1"/>
  <c r="U1133" i="1"/>
  <c r="T1133" i="1"/>
  <c r="S1133" i="1"/>
  <c r="R1133" i="1"/>
  <c r="Q1133" i="1"/>
  <c r="P1133" i="1"/>
  <c r="O1133" i="1"/>
  <c r="N1133" i="1"/>
  <c r="M1133" i="1"/>
  <c r="L1133" i="1"/>
  <c r="K1133" i="1"/>
  <c r="J1133" i="1"/>
  <c r="I1133" i="1"/>
  <c r="H1133" i="1"/>
  <c r="V1132" i="1"/>
  <c r="U1132" i="1"/>
  <c r="T1132" i="1"/>
  <c r="S1132" i="1"/>
  <c r="R1132" i="1"/>
  <c r="Q1132" i="1"/>
  <c r="P1132" i="1"/>
  <c r="O1132" i="1"/>
  <c r="N1132" i="1"/>
  <c r="M1132" i="1"/>
  <c r="L1132" i="1"/>
  <c r="K1132" i="1"/>
  <c r="J1132" i="1"/>
  <c r="I1132" i="1"/>
  <c r="H1132" i="1"/>
  <c r="V1131" i="1"/>
  <c r="U1131" i="1"/>
  <c r="T1131" i="1"/>
  <c r="S1131" i="1"/>
  <c r="R1131" i="1"/>
  <c r="Q1131" i="1"/>
  <c r="P1131" i="1"/>
  <c r="O1131" i="1"/>
  <c r="N1131" i="1"/>
  <c r="M1131" i="1"/>
  <c r="L1131" i="1"/>
  <c r="K1131" i="1"/>
  <c r="J1131" i="1"/>
  <c r="I1131" i="1"/>
  <c r="H1131" i="1"/>
  <c r="V1130" i="1"/>
  <c r="U1130" i="1"/>
  <c r="T1130" i="1"/>
  <c r="S1130" i="1"/>
  <c r="R1130" i="1"/>
  <c r="Q1130" i="1"/>
  <c r="P1130" i="1"/>
  <c r="O1130" i="1"/>
  <c r="N1130" i="1"/>
  <c r="M1130" i="1"/>
  <c r="L1130" i="1"/>
  <c r="K1130" i="1"/>
  <c r="J1130" i="1"/>
  <c r="I1130" i="1"/>
  <c r="H1130" i="1"/>
  <c r="V1129" i="1"/>
  <c r="U1129" i="1"/>
  <c r="T1129" i="1"/>
  <c r="S1129" i="1"/>
  <c r="R1129" i="1"/>
  <c r="Q1129" i="1"/>
  <c r="P1129" i="1"/>
  <c r="O1129" i="1"/>
  <c r="N1129" i="1"/>
  <c r="M1129" i="1"/>
  <c r="L1129" i="1"/>
  <c r="K1129" i="1"/>
  <c r="J1129" i="1"/>
  <c r="I1129" i="1"/>
  <c r="H1129" i="1"/>
  <c r="V1128" i="1"/>
  <c r="U1128" i="1"/>
  <c r="T1128" i="1"/>
  <c r="S1128" i="1"/>
  <c r="R1128" i="1"/>
  <c r="Q1128" i="1"/>
  <c r="P1128" i="1"/>
  <c r="O1128" i="1"/>
  <c r="N1128" i="1"/>
  <c r="M1128" i="1"/>
  <c r="L1128" i="1"/>
  <c r="K1128" i="1"/>
  <c r="J1128" i="1"/>
  <c r="I1128" i="1"/>
  <c r="H1128" i="1"/>
  <c r="V1127" i="1"/>
  <c r="U1127" i="1"/>
  <c r="T1127" i="1"/>
  <c r="S1127" i="1"/>
  <c r="R1127" i="1"/>
  <c r="Q1127" i="1"/>
  <c r="P1127" i="1"/>
  <c r="O1127" i="1"/>
  <c r="N1127" i="1"/>
  <c r="M1127" i="1"/>
  <c r="L1127" i="1"/>
  <c r="K1127" i="1"/>
  <c r="J1127" i="1"/>
  <c r="I1127" i="1"/>
  <c r="H1127" i="1"/>
  <c r="V1126" i="1"/>
  <c r="U1126" i="1"/>
  <c r="T1126" i="1"/>
  <c r="S1126" i="1"/>
  <c r="R1126" i="1"/>
  <c r="Q1126" i="1"/>
  <c r="P1126" i="1"/>
  <c r="O1126" i="1"/>
  <c r="N1126" i="1"/>
  <c r="M1126" i="1"/>
  <c r="L1126" i="1"/>
  <c r="K1126" i="1"/>
  <c r="J1126" i="1"/>
  <c r="I1126" i="1"/>
  <c r="H1126" i="1"/>
  <c r="V1125" i="1"/>
  <c r="U1125" i="1"/>
  <c r="T1125" i="1"/>
  <c r="S1125" i="1"/>
  <c r="R1125" i="1"/>
  <c r="Q1125" i="1"/>
  <c r="P1125" i="1"/>
  <c r="O1125" i="1"/>
  <c r="N1125" i="1"/>
  <c r="M1125" i="1"/>
  <c r="L1125" i="1"/>
  <c r="K1125" i="1"/>
  <c r="J1125" i="1"/>
  <c r="I1125" i="1"/>
  <c r="H1125" i="1"/>
  <c r="V1124" i="1"/>
  <c r="U1124" i="1"/>
  <c r="T1124" i="1"/>
  <c r="S1124" i="1"/>
  <c r="R1124" i="1"/>
  <c r="Q1124" i="1"/>
  <c r="P1124" i="1"/>
  <c r="O1124" i="1"/>
  <c r="N1124" i="1"/>
  <c r="M1124" i="1"/>
  <c r="L1124" i="1"/>
  <c r="K1124" i="1"/>
  <c r="J1124" i="1"/>
  <c r="I1124" i="1"/>
  <c r="H1124" i="1"/>
  <c r="V1123" i="1"/>
  <c r="U1123" i="1"/>
  <c r="T1123" i="1"/>
  <c r="S1123" i="1"/>
  <c r="R1123" i="1"/>
  <c r="Q1123" i="1"/>
  <c r="P1123" i="1"/>
  <c r="O1123" i="1"/>
  <c r="N1123" i="1"/>
  <c r="M1123" i="1"/>
  <c r="L1123" i="1"/>
  <c r="K1123" i="1"/>
  <c r="J1123" i="1"/>
  <c r="I1123" i="1"/>
  <c r="H1123" i="1"/>
  <c r="V1122" i="1"/>
  <c r="U1122" i="1"/>
  <c r="T1122" i="1"/>
  <c r="S1122" i="1"/>
  <c r="R1122" i="1"/>
  <c r="Q1122" i="1"/>
  <c r="P1122" i="1"/>
  <c r="O1122" i="1"/>
  <c r="N1122" i="1"/>
  <c r="M1122" i="1"/>
  <c r="L1122" i="1"/>
  <c r="K1122" i="1"/>
  <c r="J1122" i="1"/>
  <c r="I1122" i="1"/>
  <c r="H1122" i="1"/>
  <c r="V1121" i="1"/>
  <c r="U1121" i="1"/>
  <c r="T1121" i="1"/>
  <c r="S1121" i="1"/>
  <c r="R1121" i="1"/>
  <c r="Q1121" i="1"/>
  <c r="P1121" i="1"/>
  <c r="O1121" i="1"/>
  <c r="N1121" i="1"/>
  <c r="M1121" i="1"/>
  <c r="L1121" i="1"/>
  <c r="K1121" i="1"/>
  <c r="J1121" i="1"/>
  <c r="I1121" i="1"/>
  <c r="H1121" i="1"/>
  <c r="V1120" i="1"/>
  <c r="U1120" i="1"/>
  <c r="T1120" i="1"/>
  <c r="S1120" i="1"/>
  <c r="R1120" i="1"/>
  <c r="Q1120" i="1"/>
  <c r="P1120" i="1"/>
  <c r="O1120" i="1"/>
  <c r="N1120" i="1"/>
  <c r="M1120" i="1"/>
  <c r="L1120" i="1"/>
  <c r="K1120" i="1"/>
  <c r="J1120" i="1"/>
  <c r="I1120" i="1"/>
  <c r="H1120" i="1"/>
  <c r="V1119" i="1"/>
  <c r="U1119" i="1"/>
  <c r="T1119" i="1"/>
  <c r="S1119" i="1"/>
  <c r="R1119" i="1"/>
  <c r="Q1119" i="1"/>
  <c r="P1119" i="1"/>
  <c r="O1119" i="1"/>
  <c r="N1119" i="1"/>
  <c r="M1119" i="1"/>
  <c r="L1119" i="1"/>
  <c r="K1119" i="1"/>
  <c r="J1119" i="1"/>
  <c r="I1119" i="1"/>
  <c r="H1119" i="1"/>
  <c r="V1118" i="1"/>
  <c r="U1118" i="1"/>
  <c r="T1118" i="1"/>
  <c r="S1118" i="1"/>
  <c r="R1118" i="1"/>
  <c r="Q1118" i="1"/>
  <c r="P1118" i="1"/>
  <c r="O1118" i="1"/>
  <c r="N1118" i="1"/>
  <c r="M1118" i="1"/>
  <c r="L1118" i="1"/>
  <c r="K1118" i="1"/>
  <c r="J1118" i="1"/>
  <c r="I1118" i="1"/>
  <c r="H1118" i="1"/>
  <c r="V1117" i="1"/>
  <c r="U1117" i="1"/>
  <c r="T1117" i="1"/>
  <c r="S1117" i="1"/>
  <c r="R1117" i="1"/>
  <c r="Q1117" i="1"/>
  <c r="P1117" i="1"/>
  <c r="O1117" i="1"/>
  <c r="N1117" i="1"/>
  <c r="M1117" i="1"/>
  <c r="L1117" i="1"/>
  <c r="K1117" i="1"/>
  <c r="J1117" i="1"/>
  <c r="I1117" i="1"/>
  <c r="H1117" i="1"/>
  <c r="V1116" i="1"/>
  <c r="U1116" i="1"/>
  <c r="T1116" i="1"/>
  <c r="S1116" i="1"/>
  <c r="R1116" i="1"/>
  <c r="Q1116" i="1"/>
  <c r="P1116" i="1"/>
  <c r="O1116" i="1"/>
  <c r="N1116" i="1"/>
  <c r="M1116" i="1"/>
  <c r="L1116" i="1"/>
  <c r="K1116" i="1"/>
  <c r="J1116" i="1"/>
  <c r="I1116" i="1"/>
  <c r="H1116" i="1"/>
  <c r="V1115" i="1"/>
  <c r="U1115" i="1"/>
  <c r="T1115" i="1"/>
  <c r="S1115" i="1"/>
  <c r="R1115" i="1"/>
  <c r="Q1115" i="1"/>
  <c r="P1115" i="1"/>
  <c r="O1115" i="1"/>
  <c r="N1115" i="1"/>
  <c r="M1115" i="1"/>
  <c r="L1115" i="1"/>
  <c r="K1115" i="1"/>
  <c r="J1115" i="1"/>
  <c r="I1115" i="1"/>
  <c r="H1115" i="1"/>
  <c r="V1114" i="1"/>
  <c r="U1114" i="1"/>
  <c r="T1114" i="1"/>
  <c r="S1114" i="1"/>
  <c r="R1114" i="1"/>
  <c r="Q1114" i="1"/>
  <c r="P1114" i="1"/>
  <c r="O1114" i="1"/>
  <c r="N1114" i="1"/>
  <c r="M1114" i="1"/>
  <c r="L1114" i="1"/>
  <c r="K1114" i="1"/>
  <c r="J1114" i="1"/>
  <c r="I1114" i="1"/>
  <c r="H1114" i="1"/>
  <c r="V1113" i="1"/>
  <c r="U1113" i="1"/>
  <c r="T1113" i="1"/>
  <c r="S1113" i="1"/>
  <c r="R1113" i="1"/>
  <c r="Q1113" i="1"/>
  <c r="P1113" i="1"/>
  <c r="O1113" i="1"/>
  <c r="N1113" i="1"/>
  <c r="M1113" i="1"/>
  <c r="L1113" i="1"/>
  <c r="K1113" i="1"/>
  <c r="J1113" i="1"/>
  <c r="I1113" i="1"/>
  <c r="H1113" i="1"/>
  <c r="V1112" i="1"/>
  <c r="U1112" i="1"/>
  <c r="T1112" i="1"/>
  <c r="S1112" i="1"/>
  <c r="R1112" i="1"/>
  <c r="Q1112" i="1"/>
  <c r="P1112" i="1"/>
  <c r="O1112" i="1"/>
  <c r="N1112" i="1"/>
  <c r="M1112" i="1"/>
  <c r="L1112" i="1"/>
  <c r="K1112" i="1"/>
  <c r="J1112" i="1"/>
  <c r="I1112" i="1"/>
  <c r="H1112" i="1"/>
  <c r="V1111" i="1"/>
  <c r="U1111" i="1"/>
  <c r="T1111" i="1"/>
  <c r="S1111" i="1"/>
  <c r="R1111" i="1"/>
  <c r="Q1111" i="1"/>
  <c r="P1111" i="1"/>
  <c r="O1111" i="1"/>
  <c r="N1111" i="1"/>
  <c r="M1111" i="1"/>
  <c r="L1111" i="1"/>
  <c r="K1111" i="1"/>
  <c r="J1111" i="1"/>
  <c r="I1111" i="1"/>
  <c r="H1111" i="1"/>
  <c r="V1110" i="1"/>
  <c r="U1110" i="1"/>
  <c r="T1110" i="1"/>
  <c r="S1110" i="1"/>
  <c r="R1110" i="1"/>
  <c r="Q1110" i="1"/>
  <c r="P1110" i="1"/>
  <c r="O1110" i="1"/>
  <c r="N1110" i="1"/>
  <c r="M1110" i="1"/>
  <c r="L1110" i="1"/>
  <c r="K1110" i="1"/>
  <c r="J1110" i="1"/>
  <c r="I1110" i="1"/>
  <c r="H1110" i="1"/>
  <c r="V1109" i="1"/>
  <c r="U1109" i="1"/>
  <c r="T1109" i="1"/>
  <c r="S1109" i="1"/>
  <c r="R1109" i="1"/>
  <c r="Q1109" i="1"/>
  <c r="P1109" i="1"/>
  <c r="O1109" i="1"/>
  <c r="N1109" i="1"/>
  <c r="M1109" i="1"/>
  <c r="L1109" i="1"/>
  <c r="K1109" i="1"/>
  <c r="J1109" i="1"/>
  <c r="I1109" i="1"/>
  <c r="H1109" i="1"/>
  <c r="V1108" i="1"/>
  <c r="U1108" i="1"/>
  <c r="T1108" i="1"/>
  <c r="S1108" i="1"/>
  <c r="R1108" i="1"/>
  <c r="Q1108" i="1"/>
  <c r="P1108" i="1"/>
  <c r="O1108" i="1"/>
  <c r="N1108" i="1"/>
  <c r="M1108" i="1"/>
  <c r="L1108" i="1"/>
  <c r="K1108" i="1"/>
  <c r="J1108" i="1"/>
  <c r="I1108" i="1"/>
  <c r="H1108" i="1"/>
  <c r="V1107" i="1"/>
  <c r="U1107" i="1"/>
  <c r="T1107" i="1"/>
  <c r="S1107" i="1"/>
  <c r="R1107" i="1"/>
  <c r="Q1107" i="1"/>
  <c r="P1107" i="1"/>
  <c r="O1107" i="1"/>
  <c r="N1107" i="1"/>
  <c r="M1107" i="1"/>
  <c r="L1107" i="1"/>
  <c r="K1107" i="1"/>
  <c r="J1107" i="1"/>
  <c r="I1107" i="1"/>
  <c r="H1107" i="1"/>
  <c r="V1106" i="1"/>
  <c r="U1106" i="1"/>
  <c r="T1106" i="1"/>
  <c r="S1106" i="1"/>
  <c r="R1106" i="1"/>
  <c r="Q1106" i="1"/>
  <c r="P1106" i="1"/>
  <c r="O1106" i="1"/>
  <c r="N1106" i="1"/>
  <c r="M1106" i="1"/>
  <c r="L1106" i="1"/>
  <c r="K1106" i="1"/>
  <c r="J1106" i="1"/>
  <c r="I1106" i="1"/>
  <c r="H1106" i="1"/>
  <c r="V1105" i="1"/>
  <c r="U1105" i="1"/>
  <c r="T1105" i="1"/>
  <c r="S1105" i="1"/>
  <c r="R1105" i="1"/>
  <c r="Q1105" i="1"/>
  <c r="P1105" i="1"/>
  <c r="O1105" i="1"/>
  <c r="N1105" i="1"/>
  <c r="M1105" i="1"/>
  <c r="L1105" i="1"/>
  <c r="K1105" i="1"/>
  <c r="J1105" i="1"/>
  <c r="I1105" i="1"/>
  <c r="H1105" i="1"/>
  <c r="V1104" i="1"/>
  <c r="U1104" i="1"/>
  <c r="T1104" i="1"/>
  <c r="S1104" i="1"/>
  <c r="R1104" i="1"/>
  <c r="Q1104" i="1"/>
  <c r="P1104" i="1"/>
  <c r="O1104" i="1"/>
  <c r="N1104" i="1"/>
  <c r="M1104" i="1"/>
  <c r="L1104" i="1"/>
  <c r="K1104" i="1"/>
  <c r="J1104" i="1"/>
  <c r="I1104" i="1"/>
  <c r="H1104" i="1"/>
  <c r="V1103" i="1"/>
  <c r="U1103" i="1"/>
  <c r="T1103" i="1"/>
  <c r="S1103" i="1"/>
  <c r="R1103" i="1"/>
  <c r="Q1103" i="1"/>
  <c r="P1103" i="1"/>
  <c r="O1103" i="1"/>
  <c r="N1103" i="1"/>
  <c r="M1103" i="1"/>
  <c r="L1103" i="1"/>
  <c r="K1103" i="1"/>
  <c r="J1103" i="1"/>
  <c r="I1103" i="1"/>
  <c r="H1103" i="1"/>
  <c r="V1102" i="1"/>
  <c r="U1102" i="1"/>
  <c r="T1102" i="1"/>
  <c r="S1102" i="1"/>
  <c r="R1102" i="1"/>
  <c r="Q1102" i="1"/>
  <c r="P1102" i="1"/>
  <c r="O1102" i="1"/>
  <c r="N1102" i="1"/>
  <c r="M1102" i="1"/>
  <c r="L1102" i="1"/>
  <c r="K1102" i="1"/>
  <c r="J1102" i="1"/>
  <c r="I1102" i="1"/>
  <c r="H1102" i="1"/>
  <c r="V1101" i="1"/>
  <c r="U1101" i="1"/>
  <c r="T1101" i="1"/>
  <c r="S1101" i="1"/>
  <c r="R1101" i="1"/>
  <c r="Q1101" i="1"/>
  <c r="P1101" i="1"/>
  <c r="O1101" i="1"/>
  <c r="N1101" i="1"/>
  <c r="M1101" i="1"/>
  <c r="L1101" i="1"/>
  <c r="K1101" i="1"/>
  <c r="J1101" i="1"/>
  <c r="I1101" i="1"/>
  <c r="H1101" i="1"/>
  <c r="V1100" i="1"/>
  <c r="U1100" i="1"/>
  <c r="T1100" i="1"/>
  <c r="S1100" i="1"/>
  <c r="R1100" i="1"/>
  <c r="Q1100" i="1"/>
  <c r="P1100" i="1"/>
  <c r="O1100" i="1"/>
  <c r="N1100" i="1"/>
  <c r="M1100" i="1"/>
  <c r="L1100" i="1"/>
  <c r="K1100" i="1"/>
  <c r="J1100" i="1"/>
  <c r="I1100" i="1"/>
  <c r="H1100" i="1"/>
  <c r="V1099" i="1"/>
  <c r="U1099" i="1"/>
  <c r="T1099" i="1"/>
  <c r="S1099" i="1"/>
  <c r="R1099" i="1"/>
  <c r="Q1099" i="1"/>
  <c r="P1099" i="1"/>
  <c r="O1099" i="1"/>
  <c r="N1099" i="1"/>
  <c r="M1099" i="1"/>
  <c r="L1099" i="1"/>
  <c r="K1099" i="1"/>
  <c r="J1099" i="1"/>
  <c r="I1099" i="1"/>
  <c r="H1099" i="1"/>
  <c r="V1098" i="1"/>
  <c r="U1098" i="1"/>
  <c r="T1098" i="1"/>
  <c r="S1098" i="1"/>
  <c r="R1098" i="1"/>
  <c r="Q1098" i="1"/>
  <c r="P1098" i="1"/>
  <c r="O1098" i="1"/>
  <c r="N1098" i="1"/>
  <c r="M1098" i="1"/>
  <c r="L1098" i="1"/>
  <c r="K1098" i="1"/>
  <c r="J1098" i="1"/>
  <c r="I1098" i="1"/>
  <c r="H1098" i="1"/>
  <c r="V1097" i="1"/>
  <c r="U1097" i="1"/>
  <c r="T1097" i="1"/>
  <c r="S1097" i="1"/>
  <c r="R1097" i="1"/>
  <c r="Q1097" i="1"/>
  <c r="P1097" i="1"/>
  <c r="O1097" i="1"/>
  <c r="N1097" i="1"/>
  <c r="M1097" i="1"/>
  <c r="L1097" i="1"/>
  <c r="K1097" i="1"/>
  <c r="J1097" i="1"/>
  <c r="I1097" i="1"/>
  <c r="H1097" i="1"/>
  <c r="V1096" i="1"/>
  <c r="U1096" i="1"/>
  <c r="T1096" i="1"/>
  <c r="S1096" i="1"/>
  <c r="R1096" i="1"/>
  <c r="Q1096" i="1"/>
  <c r="P1096" i="1"/>
  <c r="O1096" i="1"/>
  <c r="N1096" i="1"/>
  <c r="M1096" i="1"/>
  <c r="L1096" i="1"/>
  <c r="K1096" i="1"/>
  <c r="J1096" i="1"/>
  <c r="I1096" i="1"/>
  <c r="H1096" i="1"/>
  <c r="V1095" i="1"/>
  <c r="U1095" i="1"/>
  <c r="T1095" i="1"/>
  <c r="S1095" i="1"/>
  <c r="R1095" i="1"/>
  <c r="Q1095" i="1"/>
  <c r="P1095" i="1"/>
  <c r="O1095" i="1"/>
  <c r="N1095" i="1"/>
  <c r="M1095" i="1"/>
  <c r="L1095" i="1"/>
  <c r="K1095" i="1"/>
  <c r="J1095" i="1"/>
  <c r="I1095" i="1"/>
  <c r="H1095" i="1"/>
  <c r="V1094" i="1"/>
  <c r="U1094" i="1"/>
  <c r="T1094" i="1"/>
  <c r="S1094" i="1"/>
  <c r="R1094" i="1"/>
  <c r="Q1094" i="1"/>
  <c r="P1094" i="1"/>
  <c r="O1094" i="1"/>
  <c r="N1094" i="1"/>
  <c r="M1094" i="1"/>
  <c r="L1094" i="1"/>
  <c r="K1094" i="1"/>
  <c r="J1094" i="1"/>
  <c r="I1094" i="1"/>
  <c r="H1094" i="1"/>
  <c r="V1093" i="1"/>
  <c r="U1093" i="1"/>
  <c r="T1093" i="1"/>
  <c r="S1093" i="1"/>
  <c r="R1093" i="1"/>
  <c r="Q1093" i="1"/>
  <c r="P1093" i="1"/>
  <c r="O1093" i="1"/>
  <c r="N1093" i="1"/>
  <c r="M1093" i="1"/>
  <c r="L1093" i="1"/>
  <c r="K1093" i="1"/>
  <c r="J1093" i="1"/>
  <c r="I1093" i="1"/>
  <c r="H1093" i="1"/>
  <c r="V1092" i="1"/>
  <c r="U1092" i="1"/>
  <c r="T1092" i="1"/>
  <c r="S1092" i="1"/>
  <c r="R1092" i="1"/>
  <c r="Q1092" i="1"/>
  <c r="P1092" i="1"/>
  <c r="O1092" i="1"/>
  <c r="N1092" i="1"/>
  <c r="M1092" i="1"/>
  <c r="L1092" i="1"/>
  <c r="K1092" i="1"/>
  <c r="J1092" i="1"/>
  <c r="I1092" i="1"/>
  <c r="H1092" i="1"/>
  <c r="V1091" i="1"/>
  <c r="U1091" i="1"/>
  <c r="T1091" i="1"/>
  <c r="S1091" i="1"/>
  <c r="R1091" i="1"/>
  <c r="Q1091" i="1"/>
  <c r="P1091" i="1"/>
  <c r="O1091" i="1"/>
  <c r="N1091" i="1"/>
  <c r="M1091" i="1"/>
  <c r="L1091" i="1"/>
  <c r="K1091" i="1"/>
  <c r="J1091" i="1"/>
  <c r="I1091" i="1"/>
  <c r="H1091" i="1"/>
  <c r="V1090" i="1"/>
  <c r="U1090" i="1"/>
  <c r="T1090" i="1"/>
  <c r="S1090" i="1"/>
  <c r="R1090" i="1"/>
  <c r="Q1090" i="1"/>
  <c r="P1090" i="1"/>
  <c r="O1090" i="1"/>
  <c r="N1090" i="1"/>
  <c r="M1090" i="1"/>
  <c r="L1090" i="1"/>
  <c r="K1090" i="1"/>
  <c r="J1090" i="1"/>
  <c r="I1090" i="1"/>
  <c r="H1090" i="1"/>
  <c r="V1089" i="1"/>
  <c r="U1089" i="1"/>
  <c r="T1089" i="1"/>
  <c r="S1089" i="1"/>
  <c r="R1089" i="1"/>
  <c r="Q1089" i="1"/>
  <c r="P1089" i="1"/>
  <c r="O1089" i="1"/>
  <c r="N1089" i="1"/>
  <c r="M1089" i="1"/>
  <c r="L1089" i="1"/>
  <c r="K1089" i="1"/>
  <c r="J1089" i="1"/>
  <c r="I1089" i="1"/>
  <c r="H1089" i="1"/>
  <c r="V1088" i="1"/>
  <c r="U1088" i="1"/>
  <c r="T1088" i="1"/>
  <c r="S1088" i="1"/>
  <c r="R1088" i="1"/>
  <c r="Q1088" i="1"/>
  <c r="P1088" i="1"/>
  <c r="O1088" i="1"/>
  <c r="N1088" i="1"/>
  <c r="M1088" i="1"/>
  <c r="L1088" i="1"/>
  <c r="K1088" i="1"/>
  <c r="J1088" i="1"/>
  <c r="I1088" i="1"/>
  <c r="H1088" i="1"/>
  <c r="V1087" i="1"/>
  <c r="U1087" i="1"/>
  <c r="T1087" i="1"/>
  <c r="S1087" i="1"/>
  <c r="R1087" i="1"/>
  <c r="Q1087" i="1"/>
  <c r="P1087" i="1"/>
  <c r="O1087" i="1"/>
  <c r="N1087" i="1"/>
  <c r="M1087" i="1"/>
  <c r="L1087" i="1"/>
  <c r="K1087" i="1"/>
  <c r="J1087" i="1"/>
  <c r="I1087" i="1"/>
  <c r="H1087" i="1"/>
  <c r="V1086" i="1"/>
  <c r="U1086" i="1"/>
  <c r="T1086" i="1"/>
  <c r="S1086" i="1"/>
  <c r="R1086" i="1"/>
  <c r="Q1086" i="1"/>
  <c r="P1086" i="1"/>
  <c r="O1086" i="1"/>
  <c r="N1086" i="1"/>
  <c r="M1086" i="1"/>
  <c r="L1086" i="1"/>
  <c r="K1086" i="1"/>
  <c r="J1086" i="1"/>
  <c r="I1086" i="1"/>
  <c r="H1086" i="1"/>
  <c r="V1085" i="1"/>
  <c r="U1085" i="1"/>
  <c r="T1085" i="1"/>
  <c r="S1085" i="1"/>
  <c r="R1085" i="1"/>
  <c r="Q1085" i="1"/>
  <c r="P1085" i="1"/>
  <c r="O1085" i="1"/>
  <c r="N1085" i="1"/>
  <c r="M1085" i="1"/>
  <c r="L1085" i="1"/>
  <c r="K1085" i="1"/>
  <c r="J1085" i="1"/>
  <c r="I1085" i="1"/>
  <c r="H1085" i="1"/>
  <c r="V1084" i="1"/>
  <c r="U1084" i="1"/>
  <c r="T1084" i="1"/>
  <c r="S1084" i="1"/>
  <c r="R1084" i="1"/>
  <c r="Q1084" i="1"/>
  <c r="P1084" i="1"/>
  <c r="O1084" i="1"/>
  <c r="N1084" i="1"/>
  <c r="M1084" i="1"/>
  <c r="L1084" i="1"/>
  <c r="K1084" i="1"/>
  <c r="J1084" i="1"/>
  <c r="I1084" i="1"/>
  <c r="H1084" i="1"/>
  <c r="V1083" i="1"/>
  <c r="U1083" i="1"/>
  <c r="T1083" i="1"/>
  <c r="S1083" i="1"/>
  <c r="R1083" i="1"/>
  <c r="Q1083" i="1"/>
  <c r="P1083" i="1"/>
  <c r="O1083" i="1"/>
  <c r="N1083" i="1"/>
  <c r="M1083" i="1"/>
  <c r="L1083" i="1"/>
  <c r="K1083" i="1"/>
  <c r="J1083" i="1"/>
  <c r="I1083" i="1"/>
  <c r="H1083" i="1"/>
  <c r="V1082" i="1"/>
  <c r="U1082" i="1"/>
  <c r="T1082" i="1"/>
  <c r="S1082" i="1"/>
  <c r="R1082" i="1"/>
  <c r="Q1082" i="1"/>
  <c r="P1082" i="1"/>
  <c r="O1082" i="1"/>
  <c r="N1082" i="1"/>
  <c r="M1082" i="1"/>
  <c r="L1082" i="1"/>
  <c r="K1082" i="1"/>
  <c r="J1082" i="1"/>
  <c r="I1082" i="1"/>
  <c r="H1082" i="1"/>
  <c r="V1081" i="1"/>
  <c r="U1081" i="1"/>
  <c r="T1081" i="1"/>
  <c r="S1081" i="1"/>
  <c r="R1081" i="1"/>
  <c r="Q1081" i="1"/>
  <c r="P1081" i="1"/>
  <c r="O1081" i="1"/>
  <c r="N1081" i="1"/>
  <c r="M1081" i="1"/>
  <c r="L1081" i="1"/>
  <c r="K1081" i="1"/>
  <c r="J1081" i="1"/>
  <c r="I1081" i="1"/>
  <c r="H1081" i="1"/>
  <c r="V1080" i="1"/>
  <c r="U1080" i="1"/>
  <c r="T1080" i="1"/>
  <c r="S1080" i="1"/>
  <c r="R1080" i="1"/>
  <c r="Q1080" i="1"/>
  <c r="P1080" i="1"/>
  <c r="O1080" i="1"/>
  <c r="N1080" i="1"/>
  <c r="M1080" i="1"/>
  <c r="L1080" i="1"/>
  <c r="K1080" i="1"/>
  <c r="J1080" i="1"/>
  <c r="I1080" i="1"/>
  <c r="H1080" i="1"/>
  <c r="V1079" i="1"/>
  <c r="U1079" i="1"/>
  <c r="T1079" i="1"/>
  <c r="S1079" i="1"/>
  <c r="R1079" i="1"/>
  <c r="Q1079" i="1"/>
  <c r="P1079" i="1"/>
  <c r="O1079" i="1"/>
  <c r="N1079" i="1"/>
  <c r="M1079" i="1"/>
  <c r="L1079" i="1"/>
  <c r="K1079" i="1"/>
  <c r="J1079" i="1"/>
  <c r="I1079" i="1"/>
  <c r="H1079" i="1"/>
  <c r="V1078" i="1"/>
  <c r="U1078" i="1"/>
  <c r="T1078" i="1"/>
  <c r="S1078" i="1"/>
  <c r="R1078" i="1"/>
  <c r="Q1078" i="1"/>
  <c r="P1078" i="1"/>
  <c r="O1078" i="1"/>
  <c r="N1078" i="1"/>
  <c r="M1078" i="1"/>
  <c r="L1078" i="1"/>
  <c r="K1078" i="1"/>
  <c r="J1078" i="1"/>
  <c r="I1078" i="1"/>
  <c r="H1078" i="1"/>
  <c r="V1077" i="1"/>
  <c r="U1077" i="1"/>
  <c r="T1077" i="1"/>
  <c r="S1077" i="1"/>
  <c r="R1077" i="1"/>
  <c r="Q1077" i="1"/>
  <c r="P1077" i="1"/>
  <c r="O1077" i="1"/>
  <c r="N1077" i="1"/>
  <c r="M1077" i="1"/>
  <c r="L1077" i="1"/>
  <c r="K1077" i="1"/>
  <c r="J1077" i="1"/>
  <c r="I1077" i="1"/>
  <c r="H1077" i="1"/>
  <c r="V1076" i="1"/>
  <c r="U1076" i="1"/>
  <c r="T1076" i="1"/>
  <c r="S1076" i="1"/>
  <c r="R1076" i="1"/>
  <c r="Q1076" i="1"/>
  <c r="P1076" i="1"/>
  <c r="O1076" i="1"/>
  <c r="N1076" i="1"/>
  <c r="M1076" i="1"/>
  <c r="L1076" i="1"/>
  <c r="K1076" i="1"/>
  <c r="J1076" i="1"/>
  <c r="I1076" i="1"/>
  <c r="H1076" i="1"/>
  <c r="V1075" i="1"/>
  <c r="U1075" i="1"/>
  <c r="T1075" i="1"/>
  <c r="S1075" i="1"/>
  <c r="R1075" i="1"/>
  <c r="Q1075" i="1"/>
  <c r="P1075" i="1"/>
  <c r="O1075" i="1"/>
  <c r="N1075" i="1"/>
  <c r="M1075" i="1"/>
  <c r="L1075" i="1"/>
  <c r="K1075" i="1"/>
  <c r="J1075" i="1"/>
  <c r="I1075" i="1"/>
  <c r="H1075" i="1"/>
  <c r="V1074" i="1"/>
  <c r="U1074" i="1"/>
  <c r="T1074" i="1"/>
  <c r="S1074" i="1"/>
  <c r="R1074" i="1"/>
  <c r="Q1074" i="1"/>
  <c r="P1074" i="1"/>
  <c r="O1074" i="1"/>
  <c r="N1074" i="1"/>
  <c r="M1074" i="1"/>
  <c r="L1074" i="1"/>
  <c r="K1074" i="1"/>
  <c r="J1074" i="1"/>
  <c r="I1074" i="1"/>
  <c r="H1074" i="1"/>
  <c r="V1073" i="1"/>
  <c r="U1073" i="1"/>
  <c r="T1073" i="1"/>
  <c r="S1073" i="1"/>
  <c r="R1073" i="1"/>
  <c r="Q1073" i="1"/>
  <c r="P1073" i="1"/>
  <c r="O1073" i="1"/>
  <c r="N1073" i="1"/>
  <c r="M1073" i="1"/>
  <c r="L1073" i="1"/>
  <c r="K1073" i="1"/>
  <c r="J1073" i="1"/>
  <c r="I1073" i="1"/>
  <c r="H1073" i="1"/>
  <c r="V1072" i="1"/>
  <c r="U1072" i="1"/>
  <c r="T1072" i="1"/>
  <c r="S1072" i="1"/>
  <c r="R1072" i="1"/>
  <c r="Q1072" i="1"/>
  <c r="P1072" i="1"/>
  <c r="O1072" i="1"/>
  <c r="N1072" i="1"/>
  <c r="M1072" i="1"/>
  <c r="L1072" i="1"/>
  <c r="K1072" i="1"/>
  <c r="J1072" i="1"/>
  <c r="I1072" i="1"/>
  <c r="H1072" i="1"/>
  <c r="V1071" i="1"/>
  <c r="U1071" i="1"/>
  <c r="T1071" i="1"/>
  <c r="S1071" i="1"/>
  <c r="R1071" i="1"/>
  <c r="Q1071" i="1"/>
  <c r="P1071" i="1"/>
  <c r="O1071" i="1"/>
  <c r="N1071" i="1"/>
  <c r="M1071" i="1"/>
  <c r="L1071" i="1"/>
  <c r="K1071" i="1"/>
  <c r="J1071" i="1"/>
  <c r="I1071" i="1"/>
  <c r="H1071" i="1"/>
  <c r="V1070" i="1"/>
  <c r="U1070" i="1"/>
  <c r="T1070" i="1"/>
  <c r="S1070" i="1"/>
  <c r="R1070" i="1"/>
  <c r="Q1070" i="1"/>
  <c r="P1070" i="1"/>
  <c r="O1070" i="1"/>
  <c r="N1070" i="1"/>
  <c r="M1070" i="1"/>
  <c r="L1070" i="1"/>
  <c r="K1070" i="1"/>
  <c r="J1070" i="1"/>
  <c r="I1070" i="1"/>
  <c r="H1070" i="1"/>
  <c r="V1069" i="1"/>
  <c r="U1069" i="1"/>
  <c r="T1069" i="1"/>
  <c r="S1069" i="1"/>
  <c r="R1069" i="1"/>
  <c r="Q1069" i="1"/>
  <c r="P1069" i="1"/>
  <c r="O1069" i="1"/>
  <c r="N1069" i="1"/>
  <c r="M1069" i="1"/>
  <c r="L1069" i="1"/>
  <c r="K1069" i="1"/>
  <c r="J1069" i="1"/>
  <c r="I1069" i="1"/>
  <c r="H1069" i="1"/>
  <c r="V1068" i="1"/>
  <c r="U1068" i="1"/>
  <c r="T1068" i="1"/>
  <c r="S1068" i="1"/>
  <c r="R1068" i="1"/>
  <c r="Q1068" i="1"/>
  <c r="P1068" i="1"/>
  <c r="O1068" i="1"/>
  <c r="N1068" i="1"/>
  <c r="M1068" i="1"/>
  <c r="L1068" i="1"/>
  <c r="K1068" i="1"/>
  <c r="J1068" i="1"/>
  <c r="I1068" i="1"/>
  <c r="H1068" i="1"/>
  <c r="V1067" i="1"/>
  <c r="U1067" i="1"/>
  <c r="T1067" i="1"/>
  <c r="S1067" i="1"/>
  <c r="R1067" i="1"/>
  <c r="Q1067" i="1"/>
  <c r="P1067" i="1"/>
  <c r="O1067" i="1"/>
  <c r="N1067" i="1"/>
  <c r="M1067" i="1"/>
  <c r="L1067" i="1"/>
  <c r="K1067" i="1"/>
  <c r="J1067" i="1"/>
  <c r="I1067" i="1"/>
  <c r="H1067" i="1"/>
  <c r="V1066" i="1"/>
  <c r="U1066" i="1"/>
  <c r="T1066" i="1"/>
  <c r="S1066" i="1"/>
  <c r="R1066" i="1"/>
  <c r="Q1066" i="1"/>
  <c r="P1066" i="1"/>
  <c r="O1066" i="1"/>
  <c r="N1066" i="1"/>
  <c r="M1066" i="1"/>
  <c r="L1066" i="1"/>
  <c r="K1066" i="1"/>
  <c r="J1066" i="1"/>
  <c r="I1066" i="1"/>
  <c r="H1066" i="1"/>
  <c r="V1065" i="1"/>
  <c r="U1065" i="1"/>
  <c r="T1065" i="1"/>
  <c r="S1065" i="1"/>
  <c r="R1065" i="1"/>
  <c r="Q1065" i="1"/>
  <c r="P1065" i="1"/>
  <c r="O1065" i="1"/>
  <c r="N1065" i="1"/>
  <c r="M1065" i="1"/>
  <c r="L1065" i="1"/>
  <c r="K1065" i="1"/>
  <c r="J1065" i="1"/>
  <c r="I1065" i="1"/>
  <c r="H1065" i="1"/>
  <c r="V1064" i="1"/>
  <c r="U1064" i="1"/>
  <c r="T1064" i="1"/>
  <c r="S1064" i="1"/>
  <c r="R1064" i="1"/>
  <c r="Q1064" i="1"/>
  <c r="P1064" i="1"/>
  <c r="O1064" i="1"/>
  <c r="N1064" i="1"/>
  <c r="M1064" i="1"/>
  <c r="L1064" i="1"/>
  <c r="K1064" i="1"/>
  <c r="J1064" i="1"/>
  <c r="I1064" i="1"/>
  <c r="H1064" i="1"/>
  <c r="V1063" i="1"/>
  <c r="U1063" i="1"/>
  <c r="T1063" i="1"/>
  <c r="S1063" i="1"/>
  <c r="R1063" i="1"/>
  <c r="Q1063" i="1"/>
  <c r="P1063" i="1"/>
  <c r="O1063" i="1"/>
  <c r="N1063" i="1"/>
  <c r="M1063" i="1"/>
  <c r="L1063" i="1"/>
  <c r="K1063" i="1"/>
  <c r="J1063" i="1"/>
  <c r="I1063" i="1"/>
  <c r="H1063" i="1"/>
  <c r="V1062" i="1"/>
  <c r="U1062" i="1"/>
  <c r="T1062" i="1"/>
  <c r="S1062" i="1"/>
  <c r="R1062" i="1"/>
  <c r="Q1062" i="1"/>
  <c r="P1062" i="1"/>
  <c r="O1062" i="1"/>
  <c r="N1062" i="1"/>
  <c r="M1062" i="1"/>
  <c r="L1062" i="1"/>
  <c r="K1062" i="1"/>
  <c r="J1062" i="1"/>
  <c r="I1062" i="1"/>
  <c r="H1062" i="1"/>
  <c r="V1061" i="1"/>
  <c r="U1061" i="1"/>
  <c r="T1061" i="1"/>
  <c r="S1061" i="1"/>
  <c r="R1061" i="1"/>
  <c r="Q1061" i="1"/>
  <c r="P1061" i="1"/>
  <c r="O1061" i="1"/>
  <c r="N1061" i="1"/>
  <c r="M1061" i="1"/>
  <c r="L1061" i="1"/>
  <c r="K1061" i="1"/>
  <c r="J1061" i="1"/>
  <c r="I1061" i="1"/>
  <c r="H1061" i="1"/>
  <c r="V1060" i="1"/>
  <c r="U1060" i="1"/>
  <c r="T1060" i="1"/>
  <c r="S1060" i="1"/>
  <c r="R1060" i="1"/>
  <c r="Q1060" i="1"/>
  <c r="P1060" i="1"/>
  <c r="O1060" i="1"/>
  <c r="N1060" i="1"/>
  <c r="M1060" i="1"/>
  <c r="L1060" i="1"/>
  <c r="K1060" i="1"/>
  <c r="J1060" i="1"/>
  <c r="I1060" i="1"/>
  <c r="H1060" i="1"/>
  <c r="V1059" i="1"/>
  <c r="U1059" i="1"/>
  <c r="T1059" i="1"/>
  <c r="S1059" i="1"/>
  <c r="R1059" i="1"/>
  <c r="Q1059" i="1"/>
  <c r="P1059" i="1"/>
  <c r="O1059" i="1"/>
  <c r="N1059" i="1"/>
  <c r="M1059" i="1"/>
  <c r="L1059" i="1"/>
  <c r="K1059" i="1"/>
  <c r="J1059" i="1"/>
  <c r="I1059" i="1"/>
  <c r="H1059" i="1"/>
  <c r="V1058" i="1"/>
  <c r="U1058" i="1"/>
  <c r="T1058" i="1"/>
  <c r="S1058" i="1"/>
  <c r="R1058" i="1"/>
  <c r="Q1058" i="1"/>
  <c r="P1058" i="1"/>
  <c r="O1058" i="1"/>
  <c r="N1058" i="1"/>
  <c r="M1058" i="1"/>
  <c r="L1058" i="1"/>
  <c r="K1058" i="1"/>
  <c r="J1058" i="1"/>
  <c r="I1058" i="1"/>
  <c r="H1058" i="1"/>
  <c r="V1057" i="1"/>
  <c r="U1057" i="1"/>
  <c r="T1057" i="1"/>
  <c r="S1057" i="1"/>
  <c r="R1057" i="1"/>
  <c r="Q1057" i="1"/>
  <c r="P1057" i="1"/>
  <c r="O1057" i="1"/>
  <c r="N1057" i="1"/>
  <c r="M1057" i="1"/>
  <c r="L1057" i="1"/>
  <c r="K1057" i="1"/>
  <c r="J1057" i="1"/>
  <c r="I1057" i="1"/>
  <c r="H1057" i="1"/>
  <c r="V1056" i="1"/>
  <c r="U1056" i="1"/>
  <c r="T1056" i="1"/>
  <c r="S1056" i="1"/>
  <c r="R1056" i="1"/>
  <c r="Q1056" i="1"/>
  <c r="P1056" i="1"/>
  <c r="O1056" i="1"/>
  <c r="N1056" i="1"/>
  <c r="M1056" i="1"/>
  <c r="L1056" i="1"/>
  <c r="K1056" i="1"/>
  <c r="J1056" i="1"/>
  <c r="I1056" i="1"/>
  <c r="H1056" i="1"/>
  <c r="V1055" i="1"/>
  <c r="U1055" i="1"/>
  <c r="T1055" i="1"/>
  <c r="S1055" i="1"/>
  <c r="R1055" i="1"/>
  <c r="Q1055" i="1"/>
  <c r="P1055" i="1"/>
  <c r="O1055" i="1"/>
  <c r="N1055" i="1"/>
  <c r="M1055" i="1"/>
  <c r="L1055" i="1"/>
  <c r="K1055" i="1"/>
  <c r="J1055" i="1"/>
  <c r="I1055" i="1"/>
  <c r="H1055" i="1"/>
  <c r="V1054" i="1"/>
  <c r="U1054" i="1"/>
  <c r="T1054" i="1"/>
  <c r="S1054" i="1"/>
  <c r="R1054" i="1"/>
  <c r="Q1054" i="1"/>
  <c r="P1054" i="1"/>
  <c r="O1054" i="1"/>
  <c r="N1054" i="1"/>
  <c r="M1054" i="1"/>
  <c r="L1054" i="1"/>
  <c r="K1054" i="1"/>
  <c r="J1054" i="1"/>
  <c r="I1054" i="1"/>
  <c r="H1054" i="1"/>
  <c r="V1053" i="1"/>
  <c r="U1053" i="1"/>
  <c r="T1053" i="1"/>
  <c r="S1053" i="1"/>
  <c r="R1053" i="1"/>
  <c r="Q1053" i="1"/>
  <c r="P1053" i="1"/>
  <c r="O1053" i="1"/>
  <c r="N1053" i="1"/>
  <c r="M1053" i="1"/>
  <c r="L1053" i="1"/>
  <c r="K1053" i="1"/>
  <c r="J1053" i="1"/>
  <c r="I1053" i="1"/>
  <c r="H1053" i="1"/>
  <c r="V1052" i="1"/>
  <c r="U1052" i="1"/>
  <c r="T1052" i="1"/>
  <c r="S1052" i="1"/>
  <c r="R1052" i="1"/>
  <c r="Q1052" i="1"/>
  <c r="P1052" i="1"/>
  <c r="O1052" i="1"/>
  <c r="N1052" i="1"/>
  <c r="M1052" i="1"/>
  <c r="L1052" i="1"/>
  <c r="K1052" i="1"/>
  <c r="J1052" i="1"/>
  <c r="I1052" i="1"/>
  <c r="H1052" i="1"/>
  <c r="V1051" i="1"/>
  <c r="U1051" i="1"/>
  <c r="T1051" i="1"/>
  <c r="S1051" i="1"/>
  <c r="R1051" i="1"/>
  <c r="Q1051" i="1"/>
  <c r="P1051" i="1"/>
  <c r="O1051" i="1"/>
  <c r="N1051" i="1"/>
  <c r="M1051" i="1"/>
  <c r="L1051" i="1"/>
  <c r="K1051" i="1"/>
  <c r="J1051" i="1"/>
  <c r="I1051" i="1"/>
  <c r="H1051" i="1"/>
  <c r="V1050" i="1"/>
  <c r="U1050" i="1"/>
  <c r="T1050" i="1"/>
  <c r="S1050" i="1"/>
  <c r="R1050" i="1"/>
  <c r="Q1050" i="1"/>
  <c r="P1050" i="1"/>
  <c r="O1050" i="1"/>
  <c r="N1050" i="1"/>
  <c r="M1050" i="1"/>
  <c r="L1050" i="1"/>
  <c r="K1050" i="1"/>
  <c r="J1050" i="1"/>
  <c r="I1050" i="1"/>
  <c r="H1050" i="1"/>
  <c r="V1049" i="1"/>
  <c r="U1049" i="1"/>
  <c r="T1049" i="1"/>
  <c r="S1049" i="1"/>
  <c r="R1049" i="1"/>
  <c r="Q1049" i="1"/>
  <c r="P1049" i="1"/>
  <c r="O1049" i="1"/>
  <c r="N1049" i="1"/>
  <c r="M1049" i="1"/>
  <c r="L1049" i="1"/>
  <c r="K1049" i="1"/>
  <c r="J1049" i="1"/>
  <c r="I1049" i="1"/>
  <c r="H1049" i="1"/>
  <c r="V1048" i="1"/>
  <c r="U1048" i="1"/>
  <c r="T1048" i="1"/>
  <c r="S1048" i="1"/>
  <c r="R1048" i="1"/>
  <c r="Q1048" i="1"/>
  <c r="P1048" i="1"/>
  <c r="O1048" i="1"/>
  <c r="N1048" i="1"/>
  <c r="M1048" i="1"/>
  <c r="L1048" i="1"/>
  <c r="K1048" i="1"/>
  <c r="J1048" i="1"/>
  <c r="I1048" i="1"/>
  <c r="H1048" i="1"/>
  <c r="V1047" i="1"/>
  <c r="U1047" i="1"/>
  <c r="T1047" i="1"/>
  <c r="S1047" i="1"/>
  <c r="R1047" i="1"/>
  <c r="Q1047" i="1"/>
  <c r="P1047" i="1"/>
  <c r="O1047" i="1"/>
  <c r="N1047" i="1"/>
  <c r="M1047" i="1"/>
  <c r="L1047" i="1"/>
  <c r="K1047" i="1"/>
  <c r="J1047" i="1"/>
  <c r="I1047" i="1"/>
  <c r="H1047" i="1"/>
  <c r="V1046" i="1"/>
  <c r="U1046" i="1"/>
  <c r="T1046" i="1"/>
  <c r="S1046" i="1"/>
  <c r="R1046" i="1"/>
  <c r="Q1046" i="1"/>
  <c r="P1046" i="1"/>
  <c r="O1046" i="1"/>
  <c r="N1046" i="1"/>
  <c r="M1046" i="1"/>
  <c r="L1046" i="1"/>
  <c r="K1046" i="1"/>
  <c r="J1046" i="1"/>
  <c r="I1046" i="1"/>
  <c r="H1046" i="1"/>
  <c r="V1045" i="1"/>
  <c r="U1045" i="1"/>
  <c r="T1045" i="1"/>
  <c r="S1045" i="1"/>
  <c r="R1045" i="1"/>
  <c r="Q1045" i="1"/>
  <c r="P1045" i="1"/>
  <c r="O1045" i="1"/>
  <c r="N1045" i="1"/>
  <c r="M1045" i="1"/>
  <c r="L1045" i="1"/>
  <c r="K1045" i="1"/>
  <c r="J1045" i="1"/>
  <c r="I1045" i="1"/>
  <c r="H1045" i="1"/>
  <c r="V1044" i="1"/>
  <c r="U1044" i="1"/>
  <c r="T1044" i="1"/>
  <c r="S1044" i="1"/>
  <c r="R1044" i="1"/>
  <c r="Q1044" i="1"/>
  <c r="P1044" i="1"/>
  <c r="O1044" i="1"/>
  <c r="N1044" i="1"/>
  <c r="M1044" i="1"/>
  <c r="L1044" i="1"/>
  <c r="K1044" i="1"/>
  <c r="J1044" i="1"/>
  <c r="I1044" i="1"/>
  <c r="H1044" i="1"/>
  <c r="V1043" i="1"/>
  <c r="U1043" i="1"/>
  <c r="T1043" i="1"/>
  <c r="S1043" i="1"/>
  <c r="R1043" i="1"/>
  <c r="Q1043" i="1"/>
  <c r="P1043" i="1"/>
  <c r="O1043" i="1"/>
  <c r="N1043" i="1"/>
  <c r="M1043" i="1"/>
  <c r="L1043" i="1"/>
  <c r="K1043" i="1"/>
  <c r="J1043" i="1"/>
  <c r="I1043" i="1"/>
  <c r="H1043" i="1"/>
  <c r="V1042" i="1"/>
  <c r="U1042" i="1"/>
  <c r="T1042" i="1"/>
  <c r="S1042" i="1"/>
  <c r="R1042" i="1"/>
  <c r="Q1042" i="1"/>
  <c r="P1042" i="1"/>
  <c r="O1042" i="1"/>
  <c r="N1042" i="1"/>
  <c r="M1042" i="1"/>
  <c r="L1042" i="1"/>
  <c r="K1042" i="1"/>
  <c r="J1042" i="1"/>
  <c r="I1042" i="1"/>
  <c r="H1042" i="1"/>
  <c r="V1041" i="1"/>
  <c r="U1041" i="1"/>
  <c r="T1041" i="1"/>
  <c r="S1041" i="1"/>
  <c r="R1041" i="1"/>
  <c r="Q1041" i="1"/>
  <c r="P1041" i="1"/>
  <c r="O1041" i="1"/>
  <c r="N1041" i="1"/>
  <c r="M1041" i="1"/>
  <c r="L1041" i="1"/>
  <c r="K1041" i="1"/>
  <c r="J1041" i="1"/>
  <c r="I1041" i="1"/>
  <c r="H1041" i="1"/>
  <c r="V1040" i="1"/>
  <c r="U1040" i="1"/>
  <c r="T1040" i="1"/>
  <c r="S1040" i="1"/>
  <c r="R1040" i="1"/>
  <c r="Q1040" i="1"/>
  <c r="P1040" i="1"/>
  <c r="O1040" i="1"/>
  <c r="N1040" i="1"/>
  <c r="M1040" i="1"/>
  <c r="L1040" i="1"/>
  <c r="K1040" i="1"/>
  <c r="J1040" i="1"/>
  <c r="I1040" i="1"/>
  <c r="H1040" i="1"/>
  <c r="V1039" i="1"/>
  <c r="U1039" i="1"/>
  <c r="T1039" i="1"/>
  <c r="S1039" i="1"/>
  <c r="R1039" i="1"/>
  <c r="Q1039" i="1"/>
  <c r="P1039" i="1"/>
  <c r="O1039" i="1"/>
  <c r="N1039" i="1"/>
  <c r="M1039" i="1"/>
  <c r="L1039" i="1"/>
  <c r="K1039" i="1"/>
  <c r="J1039" i="1"/>
  <c r="I1039" i="1"/>
  <c r="H1039" i="1"/>
  <c r="V1038" i="1"/>
  <c r="U1038" i="1"/>
  <c r="T1038" i="1"/>
  <c r="S1038" i="1"/>
  <c r="R1038" i="1"/>
  <c r="Q1038" i="1"/>
  <c r="P1038" i="1"/>
  <c r="O1038" i="1"/>
  <c r="N1038" i="1"/>
  <c r="M1038" i="1"/>
  <c r="L1038" i="1"/>
  <c r="K1038" i="1"/>
  <c r="J1038" i="1"/>
  <c r="I1038" i="1"/>
  <c r="H1038" i="1"/>
  <c r="V1037" i="1"/>
  <c r="U1037" i="1"/>
  <c r="T1037" i="1"/>
  <c r="S1037" i="1"/>
  <c r="R1037" i="1"/>
  <c r="Q1037" i="1"/>
  <c r="P1037" i="1"/>
  <c r="O1037" i="1"/>
  <c r="N1037" i="1"/>
  <c r="M1037" i="1"/>
  <c r="L1037" i="1"/>
  <c r="K1037" i="1"/>
  <c r="J1037" i="1"/>
  <c r="I1037" i="1"/>
  <c r="H1037" i="1"/>
  <c r="V1036" i="1"/>
  <c r="U1036" i="1"/>
  <c r="T1036" i="1"/>
  <c r="S1036" i="1"/>
  <c r="R1036" i="1"/>
  <c r="Q1036" i="1"/>
  <c r="P1036" i="1"/>
  <c r="O1036" i="1"/>
  <c r="N1036" i="1"/>
  <c r="M1036" i="1"/>
  <c r="L1036" i="1"/>
  <c r="K1036" i="1"/>
  <c r="J1036" i="1"/>
  <c r="I1036" i="1"/>
  <c r="H1036" i="1"/>
  <c r="V1035" i="1"/>
  <c r="U1035" i="1"/>
  <c r="T1035" i="1"/>
  <c r="S1035" i="1"/>
  <c r="R1035" i="1"/>
  <c r="Q1035" i="1"/>
  <c r="P1035" i="1"/>
  <c r="O1035" i="1"/>
  <c r="N1035" i="1"/>
  <c r="M1035" i="1"/>
  <c r="L1035" i="1"/>
  <c r="K1035" i="1"/>
  <c r="J1035" i="1"/>
  <c r="I1035" i="1"/>
  <c r="H1035" i="1"/>
  <c r="V1034" i="1"/>
  <c r="U1034" i="1"/>
  <c r="T1034" i="1"/>
  <c r="S1034" i="1"/>
  <c r="R1034" i="1"/>
  <c r="Q1034" i="1"/>
  <c r="P1034" i="1"/>
  <c r="O1034" i="1"/>
  <c r="N1034" i="1"/>
  <c r="M1034" i="1"/>
  <c r="L1034" i="1"/>
  <c r="K1034" i="1"/>
  <c r="J1034" i="1"/>
  <c r="I1034" i="1"/>
  <c r="H1034" i="1"/>
  <c r="V1033" i="1"/>
  <c r="U1033" i="1"/>
  <c r="T1033" i="1"/>
  <c r="S1033" i="1"/>
  <c r="R1033" i="1"/>
  <c r="Q1033" i="1"/>
  <c r="P1033" i="1"/>
  <c r="O1033" i="1"/>
  <c r="N1033" i="1"/>
  <c r="M1033" i="1"/>
  <c r="L1033" i="1"/>
  <c r="K1033" i="1"/>
  <c r="J1033" i="1"/>
  <c r="I1033" i="1"/>
  <c r="H1033" i="1"/>
  <c r="V1032" i="1"/>
  <c r="U1032" i="1"/>
  <c r="T1032" i="1"/>
  <c r="S1032" i="1"/>
  <c r="R1032" i="1"/>
  <c r="Q1032" i="1"/>
  <c r="P1032" i="1"/>
  <c r="O1032" i="1"/>
  <c r="N1032" i="1"/>
  <c r="M1032" i="1"/>
  <c r="L1032" i="1"/>
  <c r="K1032" i="1"/>
  <c r="J1032" i="1"/>
  <c r="I1032" i="1"/>
  <c r="H1032" i="1"/>
  <c r="V1031" i="1"/>
  <c r="U1031" i="1"/>
  <c r="T1031" i="1"/>
  <c r="S1031" i="1"/>
  <c r="R1031" i="1"/>
  <c r="Q1031" i="1"/>
  <c r="P1031" i="1"/>
  <c r="O1031" i="1"/>
  <c r="N1031" i="1"/>
  <c r="M1031" i="1"/>
  <c r="L1031" i="1"/>
  <c r="K1031" i="1"/>
  <c r="J1031" i="1"/>
  <c r="I1031" i="1"/>
  <c r="H1031" i="1"/>
  <c r="V1030" i="1"/>
  <c r="U1030" i="1"/>
  <c r="T1030" i="1"/>
  <c r="S1030" i="1"/>
  <c r="R1030" i="1"/>
  <c r="Q1030" i="1"/>
  <c r="P1030" i="1"/>
  <c r="O1030" i="1"/>
  <c r="N1030" i="1"/>
  <c r="M1030" i="1"/>
  <c r="L1030" i="1"/>
  <c r="K1030" i="1"/>
  <c r="J1030" i="1"/>
  <c r="I1030" i="1"/>
  <c r="H1030" i="1"/>
  <c r="V1029" i="1"/>
  <c r="U1029" i="1"/>
  <c r="T1029" i="1"/>
  <c r="S1029" i="1"/>
  <c r="R1029" i="1"/>
  <c r="Q1029" i="1"/>
  <c r="P1029" i="1"/>
  <c r="O1029" i="1"/>
  <c r="N1029" i="1"/>
  <c r="M1029" i="1"/>
  <c r="L1029" i="1"/>
  <c r="K1029" i="1"/>
  <c r="J1029" i="1"/>
  <c r="I1029" i="1"/>
  <c r="H1029" i="1"/>
  <c r="V1028" i="1"/>
  <c r="U1028" i="1"/>
  <c r="T1028" i="1"/>
  <c r="S1028" i="1"/>
  <c r="R1028" i="1"/>
  <c r="Q1028" i="1"/>
  <c r="P1028" i="1"/>
  <c r="O1028" i="1"/>
  <c r="N1028" i="1"/>
  <c r="M1028" i="1"/>
  <c r="L1028" i="1"/>
  <c r="K1028" i="1"/>
  <c r="J1028" i="1"/>
  <c r="I1028" i="1"/>
  <c r="H1028" i="1"/>
  <c r="V1027" i="1"/>
  <c r="U1027" i="1"/>
  <c r="T1027" i="1"/>
  <c r="S1027" i="1"/>
  <c r="R1027" i="1"/>
  <c r="Q1027" i="1"/>
  <c r="P1027" i="1"/>
  <c r="O1027" i="1"/>
  <c r="N1027" i="1"/>
  <c r="M1027" i="1"/>
  <c r="L1027" i="1"/>
  <c r="K1027" i="1"/>
  <c r="J1027" i="1"/>
  <c r="I1027" i="1"/>
  <c r="H1027" i="1"/>
  <c r="V1026" i="1"/>
  <c r="U1026" i="1"/>
  <c r="T1026" i="1"/>
  <c r="S1026" i="1"/>
  <c r="R1026" i="1"/>
  <c r="Q1026" i="1"/>
  <c r="P1026" i="1"/>
  <c r="O1026" i="1"/>
  <c r="N1026" i="1"/>
  <c r="M1026" i="1"/>
  <c r="L1026" i="1"/>
  <c r="K1026" i="1"/>
  <c r="J1026" i="1"/>
  <c r="I1026" i="1"/>
  <c r="H1026" i="1"/>
  <c r="V1025" i="1"/>
  <c r="U1025" i="1"/>
  <c r="T1025" i="1"/>
  <c r="S1025" i="1"/>
  <c r="R1025" i="1"/>
  <c r="Q1025" i="1"/>
  <c r="P1025" i="1"/>
  <c r="O1025" i="1"/>
  <c r="N1025" i="1"/>
  <c r="M1025" i="1"/>
  <c r="L1025" i="1"/>
  <c r="K1025" i="1"/>
  <c r="J1025" i="1"/>
  <c r="I1025" i="1"/>
  <c r="H1025" i="1"/>
  <c r="V1024" i="1"/>
  <c r="U1024" i="1"/>
  <c r="T1024" i="1"/>
  <c r="S1024" i="1"/>
  <c r="R1024" i="1"/>
  <c r="Q1024" i="1"/>
  <c r="P1024" i="1"/>
  <c r="O1024" i="1"/>
  <c r="N1024" i="1"/>
  <c r="M1024" i="1"/>
  <c r="L1024" i="1"/>
  <c r="K1024" i="1"/>
  <c r="J1024" i="1"/>
  <c r="I1024" i="1"/>
  <c r="H1024" i="1"/>
  <c r="V1023" i="1"/>
  <c r="U1023" i="1"/>
  <c r="T1023" i="1"/>
  <c r="S1023" i="1"/>
  <c r="R1023" i="1"/>
  <c r="Q1023" i="1"/>
  <c r="P1023" i="1"/>
  <c r="O1023" i="1"/>
  <c r="N1023" i="1"/>
  <c r="M1023" i="1"/>
  <c r="L1023" i="1"/>
  <c r="K1023" i="1"/>
  <c r="J1023" i="1"/>
  <c r="I1023" i="1"/>
  <c r="H1023" i="1"/>
  <c r="V1022" i="1"/>
  <c r="U1022" i="1"/>
  <c r="T1022" i="1"/>
  <c r="S1022" i="1"/>
  <c r="R1022" i="1"/>
  <c r="Q1022" i="1"/>
  <c r="P1022" i="1"/>
  <c r="O1022" i="1"/>
  <c r="N1022" i="1"/>
  <c r="M1022" i="1"/>
  <c r="L1022" i="1"/>
  <c r="K1022" i="1"/>
  <c r="J1022" i="1"/>
  <c r="I1022" i="1"/>
  <c r="H1022" i="1"/>
  <c r="V1021" i="1"/>
  <c r="U1021" i="1"/>
  <c r="T1021" i="1"/>
  <c r="S1021" i="1"/>
  <c r="R1021" i="1"/>
  <c r="Q1021" i="1"/>
  <c r="P1021" i="1"/>
  <c r="O1021" i="1"/>
  <c r="N1021" i="1"/>
  <c r="M1021" i="1"/>
  <c r="L1021" i="1"/>
  <c r="K1021" i="1"/>
  <c r="J1021" i="1"/>
  <c r="I1021" i="1"/>
  <c r="H1021" i="1"/>
  <c r="V1020" i="1"/>
  <c r="U1020" i="1"/>
  <c r="T1020" i="1"/>
  <c r="S1020" i="1"/>
  <c r="R1020" i="1"/>
  <c r="Q1020" i="1"/>
  <c r="P1020" i="1"/>
  <c r="O1020" i="1"/>
  <c r="N1020" i="1"/>
  <c r="M1020" i="1"/>
  <c r="L1020" i="1"/>
  <c r="K1020" i="1"/>
  <c r="J1020" i="1"/>
  <c r="I1020" i="1"/>
  <c r="H1020" i="1"/>
  <c r="V1019" i="1"/>
  <c r="U1019" i="1"/>
  <c r="T1019" i="1"/>
  <c r="S1019" i="1"/>
  <c r="R1019" i="1"/>
  <c r="Q1019" i="1"/>
  <c r="P1019" i="1"/>
  <c r="O1019" i="1"/>
  <c r="N1019" i="1"/>
  <c r="M1019" i="1"/>
  <c r="L1019" i="1"/>
  <c r="K1019" i="1"/>
  <c r="J1019" i="1"/>
  <c r="I1019" i="1"/>
  <c r="H1019" i="1"/>
  <c r="V1018" i="1"/>
  <c r="U1018" i="1"/>
  <c r="T1018" i="1"/>
  <c r="S1018" i="1"/>
  <c r="R1018" i="1"/>
  <c r="Q1018" i="1"/>
  <c r="P1018" i="1"/>
  <c r="O1018" i="1"/>
  <c r="N1018" i="1"/>
  <c r="M1018" i="1"/>
  <c r="L1018" i="1"/>
  <c r="K1018" i="1"/>
  <c r="J1018" i="1"/>
  <c r="I1018" i="1"/>
  <c r="H1018" i="1"/>
  <c r="V1017" i="1"/>
  <c r="U1017" i="1"/>
  <c r="T1017" i="1"/>
  <c r="S1017" i="1"/>
  <c r="R1017" i="1"/>
  <c r="Q1017" i="1"/>
  <c r="P1017" i="1"/>
  <c r="O1017" i="1"/>
  <c r="N1017" i="1"/>
  <c r="M1017" i="1"/>
  <c r="L1017" i="1"/>
  <c r="K1017" i="1"/>
  <c r="J1017" i="1"/>
  <c r="I1017" i="1"/>
  <c r="H1017" i="1"/>
  <c r="V1016" i="1"/>
  <c r="U1016" i="1"/>
  <c r="T1016" i="1"/>
  <c r="S1016" i="1"/>
  <c r="R1016" i="1"/>
  <c r="Q1016" i="1"/>
  <c r="P1016" i="1"/>
  <c r="O1016" i="1"/>
  <c r="N1016" i="1"/>
  <c r="M1016" i="1"/>
  <c r="L1016" i="1"/>
  <c r="K1016" i="1"/>
  <c r="J1016" i="1"/>
  <c r="I1016" i="1"/>
  <c r="H1016" i="1"/>
  <c r="V1015" i="1"/>
  <c r="U1015" i="1"/>
  <c r="T1015" i="1"/>
  <c r="S1015" i="1"/>
  <c r="R1015" i="1"/>
  <c r="Q1015" i="1"/>
  <c r="P1015" i="1"/>
  <c r="O1015" i="1"/>
  <c r="N1015" i="1"/>
  <c r="M1015" i="1"/>
  <c r="L1015" i="1"/>
  <c r="K1015" i="1"/>
  <c r="J1015" i="1"/>
  <c r="I1015" i="1"/>
  <c r="H1015" i="1"/>
  <c r="V1014" i="1"/>
  <c r="U1014" i="1"/>
  <c r="T1014" i="1"/>
  <c r="S1014" i="1"/>
  <c r="R1014" i="1"/>
  <c r="Q1014" i="1"/>
  <c r="P1014" i="1"/>
  <c r="O1014" i="1"/>
  <c r="N1014" i="1"/>
  <c r="M1014" i="1"/>
  <c r="L1014" i="1"/>
  <c r="K1014" i="1"/>
  <c r="J1014" i="1"/>
  <c r="I1014" i="1"/>
  <c r="H1014" i="1"/>
  <c r="V1013" i="1"/>
  <c r="U1013" i="1"/>
  <c r="T1013" i="1"/>
  <c r="S1013" i="1"/>
  <c r="R1013" i="1"/>
  <c r="Q1013" i="1"/>
  <c r="P1013" i="1"/>
  <c r="O1013" i="1"/>
  <c r="N1013" i="1"/>
  <c r="M1013" i="1"/>
  <c r="L1013" i="1"/>
  <c r="K1013" i="1"/>
  <c r="J1013" i="1"/>
  <c r="I1013" i="1"/>
  <c r="H1013" i="1"/>
  <c r="V1012" i="1"/>
  <c r="U1012" i="1"/>
  <c r="T1012" i="1"/>
  <c r="S1012" i="1"/>
  <c r="R1012" i="1"/>
  <c r="Q1012" i="1"/>
  <c r="P1012" i="1"/>
  <c r="O1012" i="1"/>
  <c r="N1012" i="1"/>
  <c r="M1012" i="1"/>
  <c r="L1012" i="1"/>
  <c r="K1012" i="1"/>
  <c r="J1012" i="1"/>
  <c r="I1012" i="1"/>
  <c r="H1012" i="1"/>
  <c r="V1011" i="1"/>
  <c r="U1011" i="1"/>
  <c r="T1011" i="1"/>
  <c r="S1011" i="1"/>
  <c r="R1011" i="1"/>
  <c r="Q1011" i="1"/>
  <c r="P1011" i="1"/>
  <c r="O1011" i="1"/>
  <c r="N1011" i="1"/>
  <c r="M1011" i="1"/>
  <c r="L1011" i="1"/>
  <c r="K1011" i="1"/>
  <c r="J1011" i="1"/>
  <c r="I1011" i="1"/>
  <c r="H1011" i="1"/>
  <c r="V1010" i="1"/>
  <c r="U1010" i="1"/>
  <c r="T1010" i="1"/>
  <c r="S1010" i="1"/>
  <c r="R1010" i="1"/>
  <c r="Q1010" i="1"/>
  <c r="P1010" i="1"/>
  <c r="O1010" i="1"/>
  <c r="N1010" i="1"/>
  <c r="M1010" i="1"/>
  <c r="L1010" i="1"/>
  <c r="K1010" i="1"/>
  <c r="J1010" i="1"/>
  <c r="I1010" i="1"/>
  <c r="H1010" i="1"/>
  <c r="V1009" i="1"/>
  <c r="U1009" i="1"/>
  <c r="T1009" i="1"/>
  <c r="S1009" i="1"/>
  <c r="R1009" i="1"/>
  <c r="Q1009" i="1"/>
  <c r="P1009" i="1"/>
  <c r="O1009" i="1"/>
  <c r="N1009" i="1"/>
  <c r="M1009" i="1"/>
  <c r="L1009" i="1"/>
  <c r="K1009" i="1"/>
  <c r="J1009" i="1"/>
  <c r="I1009" i="1"/>
  <c r="H1009" i="1"/>
  <c r="V1008" i="1"/>
  <c r="U1008" i="1"/>
  <c r="T1008" i="1"/>
  <c r="S1008" i="1"/>
  <c r="R1008" i="1"/>
  <c r="Q1008" i="1"/>
  <c r="P1008" i="1"/>
  <c r="O1008" i="1"/>
  <c r="N1008" i="1"/>
  <c r="M1008" i="1"/>
  <c r="L1008" i="1"/>
  <c r="K1008" i="1"/>
  <c r="J1008" i="1"/>
  <c r="I1008" i="1"/>
  <c r="H1008" i="1"/>
  <c r="V1007" i="1"/>
  <c r="U1007" i="1"/>
  <c r="T1007" i="1"/>
  <c r="S1007" i="1"/>
  <c r="R1007" i="1"/>
  <c r="Q1007" i="1"/>
  <c r="P1007" i="1"/>
  <c r="O1007" i="1"/>
  <c r="N1007" i="1"/>
  <c r="M1007" i="1"/>
  <c r="L1007" i="1"/>
  <c r="K1007" i="1"/>
  <c r="J1007" i="1"/>
  <c r="I1007" i="1"/>
  <c r="H1007" i="1"/>
  <c r="V1006" i="1"/>
  <c r="U1006" i="1"/>
  <c r="T1006" i="1"/>
  <c r="S1006" i="1"/>
  <c r="R1006" i="1"/>
  <c r="Q1006" i="1"/>
  <c r="P1006" i="1"/>
  <c r="O1006" i="1"/>
  <c r="N1006" i="1"/>
  <c r="M1006" i="1"/>
  <c r="L1006" i="1"/>
  <c r="K1006" i="1"/>
  <c r="J1006" i="1"/>
  <c r="I1006" i="1"/>
  <c r="H1006" i="1"/>
  <c r="V1005" i="1"/>
  <c r="U1005" i="1"/>
  <c r="T1005" i="1"/>
  <c r="S1005" i="1"/>
  <c r="R1005" i="1"/>
  <c r="Q1005" i="1"/>
  <c r="P1005" i="1"/>
  <c r="O1005" i="1"/>
  <c r="N1005" i="1"/>
  <c r="M1005" i="1"/>
  <c r="L1005" i="1"/>
  <c r="K1005" i="1"/>
  <c r="J1005" i="1"/>
  <c r="I1005" i="1"/>
  <c r="H1005" i="1"/>
  <c r="V1004" i="1"/>
  <c r="U1004" i="1"/>
  <c r="T1004" i="1"/>
  <c r="S1004" i="1"/>
  <c r="R1004" i="1"/>
  <c r="Q1004" i="1"/>
  <c r="P1004" i="1"/>
  <c r="O1004" i="1"/>
  <c r="N1004" i="1"/>
  <c r="M1004" i="1"/>
  <c r="L1004" i="1"/>
  <c r="K1004" i="1"/>
  <c r="J1004" i="1"/>
  <c r="I1004" i="1"/>
  <c r="H1004" i="1"/>
  <c r="V1003" i="1"/>
  <c r="U1003" i="1"/>
  <c r="T1003" i="1"/>
  <c r="S1003" i="1"/>
  <c r="R1003" i="1"/>
  <c r="Q1003" i="1"/>
  <c r="P1003" i="1"/>
  <c r="O1003" i="1"/>
  <c r="N1003" i="1"/>
  <c r="M1003" i="1"/>
  <c r="L1003" i="1"/>
  <c r="K1003" i="1"/>
  <c r="J1003" i="1"/>
  <c r="I1003" i="1"/>
  <c r="H1003" i="1"/>
  <c r="V1002" i="1"/>
  <c r="U1002" i="1"/>
  <c r="T1002" i="1"/>
  <c r="S1002" i="1"/>
  <c r="R1002" i="1"/>
  <c r="Q1002" i="1"/>
  <c r="P1002" i="1"/>
  <c r="O1002" i="1"/>
  <c r="N1002" i="1"/>
  <c r="M1002" i="1"/>
  <c r="L1002" i="1"/>
  <c r="K1002" i="1"/>
  <c r="J1002" i="1"/>
  <c r="I1002" i="1"/>
  <c r="H1002" i="1"/>
  <c r="V1001" i="1"/>
  <c r="U1001" i="1"/>
  <c r="T1001" i="1"/>
  <c r="S1001" i="1"/>
  <c r="R1001" i="1"/>
  <c r="Q1001" i="1"/>
  <c r="P1001" i="1"/>
  <c r="O1001" i="1"/>
  <c r="N1001" i="1"/>
  <c r="M1001" i="1"/>
  <c r="L1001" i="1"/>
  <c r="K1001" i="1"/>
  <c r="J1001" i="1"/>
  <c r="I1001" i="1"/>
  <c r="H1001" i="1"/>
  <c r="V1000" i="1"/>
  <c r="U1000" i="1"/>
  <c r="T1000" i="1"/>
  <c r="S1000" i="1"/>
  <c r="R1000" i="1"/>
  <c r="Q1000" i="1"/>
  <c r="P1000" i="1"/>
  <c r="O1000" i="1"/>
  <c r="N1000" i="1"/>
  <c r="M1000" i="1"/>
  <c r="L1000" i="1"/>
  <c r="K1000" i="1"/>
  <c r="J1000" i="1"/>
  <c r="I1000" i="1"/>
  <c r="H1000" i="1"/>
  <c r="V999" i="1"/>
  <c r="U999" i="1"/>
  <c r="T999" i="1"/>
  <c r="S999" i="1"/>
  <c r="R999" i="1"/>
  <c r="Q999" i="1"/>
  <c r="P999" i="1"/>
  <c r="O999" i="1"/>
  <c r="N999" i="1"/>
  <c r="M999" i="1"/>
  <c r="L999" i="1"/>
  <c r="K999" i="1"/>
  <c r="J999" i="1"/>
  <c r="I999" i="1"/>
  <c r="H999" i="1"/>
  <c r="V998" i="1"/>
  <c r="U998" i="1"/>
  <c r="T998" i="1"/>
  <c r="S998" i="1"/>
  <c r="R998" i="1"/>
  <c r="Q998" i="1"/>
  <c r="P998" i="1"/>
  <c r="O998" i="1"/>
  <c r="N998" i="1"/>
  <c r="M998" i="1"/>
  <c r="L998" i="1"/>
  <c r="K998" i="1"/>
  <c r="J998" i="1"/>
  <c r="I998" i="1"/>
  <c r="H998" i="1"/>
  <c r="V997" i="1"/>
  <c r="U997" i="1"/>
  <c r="T997" i="1"/>
  <c r="S997" i="1"/>
  <c r="R997" i="1"/>
  <c r="Q997" i="1"/>
  <c r="P997" i="1"/>
  <c r="O997" i="1"/>
  <c r="N997" i="1"/>
  <c r="M997" i="1"/>
  <c r="L997" i="1"/>
  <c r="K997" i="1"/>
  <c r="J997" i="1"/>
  <c r="I997" i="1"/>
  <c r="H997" i="1"/>
  <c r="V996" i="1"/>
  <c r="U996" i="1"/>
  <c r="T996" i="1"/>
  <c r="S996" i="1"/>
  <c r="R996" i="1"/>
  <c r="Q996" i="1"/>
  <c r="P996" i="1"/>
  <c r="O996" i="1"/>
  <c r="N996" i="1"/>
  <c r="M996" i="1"/>
  <c r="L996" i="1"/>
  <c r="K996" i="1"/>
  <c r="J996" i="1"/>
  <c r="I996" i="1"/>
  <c r="H996" i="1"/>
  <c r="V995" i="1"/>
  <c r="U995" i="1"/>
  <c r="T995" i="1"/>
  <c r="S995" i="1"/>
  <c r="R995" i="1"/>
  <c r="Q995" i="1"/>
  <c r="P995" i="1"/>
  <c r="O995" i="1"/>
  <c r="N995" i="1"/>
  <c r="M995" i="1"/>
  <c r="L995" i="1"/>
  <c r="K995" i="1"/>
  <c r="J995" i="1"/>
  <c r="I995" i="1"/>
  <c r="H995" i="1"/>
  <c r="V994" i="1"/>
  <c r="U994" i="1"/>
  <c r="T994" i="1"/>
  <c r="S994" i="1"/>
  <c r="R994" i="1"/>
  <c r="Q994" i="1"/>
  <c r="P994" i="1"/>
  <c r="O994" i="1"/>
  <c r="N994" i="1"/>
  <c r="M994" i="1"/>
  <c r="L994" i="1"/>
  <c r="K994" i="1"/>
  <c r="J994" i="1"/>
  <c r="I994" i="1"/>
  <c r="H994" i="1"/>
  <c r="V993" i="1"/>
  <c r="U993" i="1"/>
  <c r="T993" i="1"/>
  <c r="S993" i="1"/>
  <c r="R993" i="1"/>
  <c r="Q993" i="1"/>
  <c r="P993" i="1"/>
  <c r="O993" i="1"/>
  <c r="N993" i="1"/>
  <c r="M993" i="1"/>
  <c r="L993" i="1"/>
  <c r="K993" i="1"/>
  <c r="J993" i="1"/>
  <c r="I993" i="1"/>
  <c r="H993" i="1"/>
  <c r="V992" i="1"/>
  <c r="U992" i="1"/>
  <c r="T992" i="1"/>
  <c r="S992" i="1"/>
  <c r="R992" i="1"/>
  <c r="Q992" i="1"/>
  <c r="P992" i="1"/>
  <c r="O992" i="1"/>
  <c r="N992" i="1"/>
  <c r="M992" i="1"/>
  <c r="L992" i="1"/>
  <c r="K992" i="1"/>
  <c r="J992" i="1"/>
  <c r="I992" i="1"/>
  <c r="H992" i="1"/>
  <c r="V991" i="1"/>
  <c r="U991" i="1"/>
  <c r="T991" i="1"/>
  <c r="S991" i="1"/>
  <c r="R991" i="1"/>
  <c r="Q991" i="1"/>
  <c r="P991" i="1"/>
  <c r="O991" i="1"/>
  <c r="N991" i="1"/>
  <c r="M991" i="1"/>
  <c r="L991" i="1"/>
  <c r="K991" i="1"/>
  <c r="J991" i="1"/>
  <c r="I991" i="1"/>
  <c r="H991" i="1"/>
  <c r="V990" i="1"/>
  <c r="U990" i="1"/>
  <c r="T990" i="1"/>
  <c r="S990" i="1"/>
  <c r="R990" i="1"/>
  <c r="Q990" i="1"/>
  <c r="P990" i="1"/>
  <c r="O990" i="1"/>
  <c r="N990" i="1"/>
  <c r="M990" i="1"/>
  <c r="L990" i="1"/>
  <c r="K990" i="1"/>
  <c r="J990" i="1"/>
  <c r="I990" i="1"/>
  <c r="H990" i="1"/>
  <c r="V989" i="1"/>
  <c r="U989" i="1"/>
  <c r="T989" i="1"/>
  <c r="S989" i="1"/>
  <c r="R989" i="1"/>
  <c r="Q989" i="1"/>
  <c r="P989" i="1"/>
  <c r="O989" i="1"/>
  <c r="N989" i="1"/>
  <c r="M989" i="1"/>
  <c r="L989" i="1"/>
  <c r="K989" i="1"/>
  <c r="J989" i="1"/>
  <c r="I989" i="1"/>
  <c r="H989" i="1"/>
  <c r="V988" i="1"/>
  <c r="U988" i="1"/>
  <c r="T988" i="1"/>
  <c r="S988" i="1"/>
  <c r="R988" i="1"/>
  <c r="Q988" i="1"/>
  <c r="P988" i="1"/>
  <c r="O988" i="1"/>
  <c r="N988" i="1"/>
  <c r="M988" i="1"/>
  <c r="L988" i="1"/>
  <c r="K988" i="1"/>
  <c r="J988" i="1"/>
  <c r="I988" i="1"/>
  <c r="H988" i="1"/>
  <c r="V987" i="1"/>
  <c r="U987" i="1"/>
  <c r="T987" i="1"/>
  <c r="S987" i="1"/>
  <c r="R987" i="1"/>
  <c r="Q987" i="1"/>
  <c r="P987" i="1"/>
  <c r="O987" i="1"/>
  <c r="N987" i="1"/>
  <c r="M987" i="1"/>
  <c r="L987" i="1"/>
  <c r="K987" i="1"/>
  <c r="J987" i="1"/>
  <c r="I987" i="1"/>
  <c r="H987" i="1"/>
  <c r="V986" i="1"/>
  <c r="U986" i="1"/>
  <c r="T986" i="1"/>
  <c r="S986" i="1"/>
  <c r="R986" i="1"/>
  <c r="Q986" i="1"/>
  <c r="P986" i="1"/>
  <c r="O986" i="1"/>
  <c r="N986" i="1"/>
  <c r="M986" i="1"/>
  <c r="L986" i="1"/>
  <c r="K986" i="1"/>
  <c r="J986" i="1"/>
  <c r="I986" i="1"/>
  <c r="H986" i="1"/>
  <c r="V985" i="1"/>
  <c r="U985" i="1"/>
  <c r="T985" i="1"/>
  <c r="S985" i="1"/>
  <c r="R985" i="1"/>
  <c r="Q985" i="1"/>
  <c r="P985" i="1"/>
  <c r="O985" i="1"/>
  <c r="N985" i="1"/>
  <c r="M985" i="1"/>
  <c r="L985" i="1"/>
  <c r="K985" i="1"/>
  <c r="J985" i="1"/>
  <c r="I985" i="1"/>
  <c r="H985" i="1"/>
  <c r="V984" i="1"/>
  <c r="U984" i="1"/>
  <c r="T984" i="1"/>
  <c r="S984" i="1"/>
  <c r="R984" i="1"/>
  <c r="Q984" i="1"/>
  <c r="P984" i="1"/>
  <c r="O984" i="1"/>
  <c r="N984" i="1"/>
  <c r="M984" i="1"/>
  <c r="L984" i="1"/>
  <c r="K984" i="1"/>
  <c r="J984" i="1"/>
  <c r="I984" i="1"/>
  <c r="H984" i="1"/>
  <c r="V983" i="1"/>
  <c r="U983" i="1"/>
  <c r="T983" i="1"/>
  <c r="S983" i="1"/>
  <c r="R983" i="1"/>
  <c r="Q983" i="1"/>
  <c r="P983" i="1"/>
  <c r="O983" i="1"/>
  <c r="N983" i="1"/>
  <c r="M983" i="1"/>
  <c r="L983" i="1"/>
  <c r="K983" i="1"/>
  <c r="J983" i="1"/>
  <c r="I983" i="1"/>
  <c r="H983" i="1"/>
  <c r="V982" i="1"/>
  <c r="U982" i="1"/>
  <c r="T982" i="1"/>
  <c r="S982" i="1"/>
  <c r="R982" i="1"/>
  <c r="Q982" i="1"/>
  <c r="P982" i="1"/>
  <c r="O982" i="1"/>
  <c r="N982" i="1"/>
  <c r="M982" i="1"/>
  <c r="L982" i="1"/>
  <c r="K982" i="1"/>
  <c r="J982" i="1"/>
  <c r="I982" i="1"/>
  <c r="H982" i="1"/>
  <c r="V981" i="1"/>
  <c r="U981" i="1"/>
  <c r="T981" i="1"/>
  <c r="S981" i="1"/>
  <c r="R981" i="1"/>
  <c r="Q981" i="1"/>
  <c r="P981" i="1"/>
  <c r="O981" i="1"/>
  <c r="N981" i="1"/>
  <c r="M981" i="1"/>
  <c r="L981" i="1"/>
  <c r="K981" i="1"/>
  <c r="J981" i="1"/>
  <c r="I981" i="1"/>
  <c r="H981" i="1"/>
  <c r="V980" i="1"/>
  <c r="U980" i="1"/>
  <c r="T980" i="1"/>
  <c r="S980" i="1"/>
  <c r="R980" i="1"/>
  <c r="Q980" i="1"/>
  <c r="P980" i="1"/>
  <c r="O980" i="1"/>
  <c r="N980" i="1"/>
  <c r="M980" i="1"/>
  <c r="L980" i="1"/>
  <c r="K980" i="1"/>
  <c r="J980" i="1"/>
  <c r="I980" i="1"/>
  <c r="H980" i="1"/>
  <c r="V979" i="1"/>
  <c r="U979" i="1"/>
  <c r="T979" i="1"/>
  <c r="S979" i="1"/>
  <c r="R979" i="1"/>
  <c r="Q979" i="1"/>
  <c r="P979" i="1"/>
  <c r="O979" i="1"/>
  <c r="N979" i="1"/>
  <c r="M979" i="1"/>
  <c r="L979" i="1"/>
  <c r="K979" i="1"/>
  <c r="J979" i="1"/>
  <c r="I979" i="1"/>
  <c r="H979" i="1"/>
  <c r="V978" i="1"/>
  <c r="U978" i="1"/>
  <c r="T978" i="1"/>
  <c r="S978" i="1"/>
  <c r="R978" i="1"/>
  <c r="Q978" i="1"/>
  <c r="P978" i="1"/>
  <c r="O978" i="1"/>
  <c r="N978" i="1"/>
  <c r="M978" i="1"/>
  <c r="L978" i="1"/>
  <c r="K978" i="1"/>
  <c r="J978" i="1"/>
  <c r="I978" i="1"/>
  <c r="H978" i="1"/>
  <c r="V977" i="1"/>
  <c r="U977" i="1"/>
  <c r="T977" i="1"/>
  <c r="S977" i="1"/>
  <c r="R977" i="1"/>
  <c r="Q977" i="1"/>
  <c r="P977" i="1"/>
  <c r="O977" i="1"/>
  <c r="N977" i="1"/>
  <c r="M977" i="1"/>
  <c r="L977" i="1"/>
  <c r="K977" i="1"/>
  <c r="J977" i="1"/>
  <c r="I977" i="1"/>
  <c r="H977" i="1"/>
  <c r="V976" i="1"/>
  <c r="U976" i="1"/>
  <c r="T976" i="1"/>
  <c r="S976" i="1"/>
  <c r="R976" i="1"/>
  <c r="Q976" i="1"/>
  <c r="P976" i="1"/>
  <c r="O976" i="1"/>
  <c r="N976" i="1"/>
  <c r="M976" i="1"/>
  <c r="L976" i="1"/>
  <c r="K976" i="1"/>
  <c r="J976" i="1"/>
  <c r="I976" i="1"/>
  <c r="H976" i="1"/>
  <c r="V975" i="1"/>
  <c r="U975" i="1"/>
  <c r="T975" i="1"/>
  <c r="S975" i="1"/>
  <c r="R975" i="1"/>
  <c r="Q975" i="1"/>
  <c r="P975" i="1"/>
  <c r="O975" i="1"/>
  <c r="N975" i="1"/>
  <c r="M975" i="1"/>
  <c r="L975" i="1"/>
  <c r="K975" i="1"/>
  <c r="J975" i="1"/>
  <c r="I975" i="1"/>
  <c r="H975" i="1"/>
  <c r="V974" i="1"/>
  <c r="U974" i="1"/>
  <c r="T974" i="1"/>
  <c r="S974" i="1"/>
  <c r="R974" i="1"/>
  <c r="Q974" i="1"/>
  <c r="P974" i="1"/>
  <c r="O974" i="1"/>
  <c r="N974" i="1"/>
  <c r="M974" i="1"/>
  <c r="L974" i="1"/>
  <c r="K974" i="1"/>
  <c r="J974" i="1"/>
  <c r="I974" i="1"/>
  <c r="H974" i="1"/>
  <c r="V973" i="1"/>
  <c r="U973" i="1"/>
  <c r="T973" i="1"/>
  <c r="S973" i="1"/>
  <c r="R973" i="1"/>
  <c r="Q973" i="1"/>
  <c r="P973" i="1"/>
  <c r="O973" i="1"/>
  <c r="N973" i="1"/>
  <c r="M973" i="1"/>
  <c r="L973" i="1"/>
  <c r="K973" i="1"/>
  <c r="J973" i="1"/>
  <c r="I973" i="1"/>
  <c r="H973" i="1"/>
  <c r="V972" i="1"/>
  <c r="U972" i="1"/>
  <c r="T972" i="1"/>
  <c r="S972" i="1"/>
  <c r="R972" i="1"/>
  <c r="Q972" i="1"/>
  <c r="P972" i="1"/>
  <c r="O972" i="1"/>
  <c r="N972" i="1"/>
  <c r="M972" i="1"/>
  <c r="L972" i="1"/>
  <c r="K972" i="1"/>
  <c r="J972" i="1"/>
  <c r="I972" i="1"/>
  <c r="H972" i="1"/>
  <c r="V971" i="1"/>
  <c r="U971" i="1"/>
  <c r="T971" i="1"/>
  <c r="S971" i="1"/>
  <c r="R971" i="1"/>
  <c r="Q971" i="1"/>
  <c r="P971" i="1"/>
  <c r="O971" i="1"/>
  <c r="N971" i="1"/>
  <c r="M971" i="1"/>
  <c r="L971" i="1"/>
  <c r="K971" i="1"/>
  <c r="J971" i="1"/>
  <c r="I971" i="1"/>
  <c r="H971" i="1"/>
  <c r="V970" i="1"/>
  <c r="U970" i="1"/>
  <c r="T970" i="1"/>
  <c r="S970" i="1"/>
  <c r="R970" i="1"/>
  <c r="Q970" i="1"/>
  <c r="P970" i="1"/>
  <c r="O970" i="1"/>
  <c r="N970" i="1"/>
  <c r="M970" i="1"/>
  <c r="L970" i="1"/>
  <c r="K970" i="1"/>
  <c r="J970" i="1"/>
  <c r="I970" i="1"/>
  <c r="H970" i="1"/>
  <c r="V969" i="1"/>
  <c r="U969" i="1"/>
  <c r="T969" i="1"/>
  <c r="S969" i="1"/>
  <c r="R969" i="1"/>
  <c r="Q969" i="1"/>
  <c r="P969" i="1"/>
  <c r="O969" i="1"/>
  <c r="N969" i="1"/>
  <c r="M969" i="1"/>
  <c r="L969" i="1"/>
  <c r="K969" i="1"/>
  <c r="J969" i="1"/>
  <c r="I969" i="1"/>
  <c r="H969" i="1"/>
  <c r="V968" i="1"/>
  <c r="U968" i="1"/>
  <c r="T968" i="1"/>
  <c r="S968" i="1"/>
  <c r="R968" i="1"/>
  <c r="Q968" i="1"/>
  <c r="P968" i="1"/>
  <c r="O968" i="1"/>
  <c r="N968" i="1"/>
  <c r="M968" i="1"/>
  <c r="L968" i="1"/>
  <c r="K968" i="1"/>
  <c r="J968" i="1"/>
  <c r="I968" i="1"/>
  <c r="H968" i="1"/>
  <c r="V967" i="1"/>
  <c r="U967" i="1"/>
  <c r="T967" i="1"/>
  <c r="S967" i="1"/>
  <c r="R967" i="1"/>
  <c r="Q967" i="1"/>
  <c r="P967" i="1"/>
  <c r="O967" i="1"/>
  <c r="N967" i="1"/>
  <c r="M967" i="1"/>
  <c r="L967" i="1"/>
  <c r="K967" i="1"/>
  <c r="J967" i="1"/>
  <c r="I967" i="1"/>
  <c r="H967" i="1"/>
  <c r="V966" i="1"/>
  <c r="U966" i="1"/>
  <c r="T966" i="1"/>
  <c r="S966" i="1"/>
  <c r="R966" i="1"/>
  <c r="Q966" i="1"/>
  <c r="P966" i="1"/>
  <c r="O966" i="1"/>
  <c r="N966" i="1"/>
  <c r="M966" i="1"/>
  <c r="L966" i="1"/>
  <c r="K966" i="1"/>
  <c r="J966" i="1"/>
  <c r="I966" i="1"/>
  <c r="H966" i="1"/>
  <c r="V965" i="1"/>
  <c r="U965" i="1"/>
  <c r="T965" i="1"/>
  <c r="S965" i="1"/>
  <c r="R965" i="1"/>
  <c r="Q965" i="1"/>
  <c r="P965" i="1"/>
  <c r="O965" i="1"/>
  <c r="N965" i="1"/>
  <c r="M965" i="1"/>
  <c r="L965" i="1"/>
  <c r="K965" i="1"/>
  <c r="J965" i="1"/>
  <c r="I965" i="1"/>
  <c r="H965" i="1"/>
  <c r="V964" i="1"/>
  <c r="U964" i="1"/>
  <c r="T964" i="1"/>
  <c r="S964" i="1"/>
  <c r="R964" i="1"/>
  <c r="Q964" i="1"/>
  <c r="P964" i="1"/>
  <c r="O964" i="1"/>
  <c r="N964" i="1"/>
  <c r="M964" i="1"/>
  <c r="L964" i="1"/>
  <c r="K964" i="1"/>
  <c r="J964" i="1"/>
  <c r="I964" i="1"/>
  <c r="H964" i="1"/>
  <c r="V963" i="1"/>
  <c r="U963" i="1"/>
  <c r="T963" i="1"/>
  <c r="S963" i="1"/>
  <c r="R963" i="1"/>
  <c r="Q963" i="1"/>
  <c r="P963" i="1"/>
  <c r="O963" i="1"/>
  <c r="N963" i="1"/>
  <c r="M963" i="1"/>
  <c r="L963" i="1"/>
  <c r="K963" i="1"/>
  <c r="J963" i="1"/>
  <c r="I963" i="1"/>
  <c r="H963" i="1"/>
  <c r="V962" i="1"/>
  <c r="U962" i="1"/>
  <c r="T962" i="1"/>
  <c r="S962" i="1"/>
  <c r="R962" i="1"/>
  <c r="Q962" i="1"/>
  <c r="P962" i="1"/>
  <c r="O962" i="1"/>
  <c r="N962" i="1"/>
  <c r="M962" i="1"/>
  <c r="L962" i="1"/>
  <c r="K962" i="1"/>
  <c r="J962" i="1"/>
  <c r="I962" i="1"/>
  <c r="H962" i="1"/>
  <c r="V961" i="1"/>
  <c r="U961" i="1"/>
  <c r="T961" i="1"/>
  <c r="S961" i="1"/>
  <c r="R961" i="1"/>
  <c r="Q961" i="1"/>
  <c r="P961" i="1"/>
  <c r="O961" i="1"/>
  <c r="N961" i="1"/>
  <c r="M961" i="1"/>
  <c r="L961" i="1"/>
  <c r="K961" i="1"/>
  <c r="J961" i="1"/>
  <c r="I961" i="1"/>
  <c r="H961" i="1"/>
  <c r="V960" i="1"/>
  <c r="U960" i="1"/>
  <c r="T960" i="1"/>
  <c r="S960" i="1"/>
  <c r="R960" i="1"/>
  <c r="Q960" i="1"/>
  <c r="P960" i="1"/>
  <c r="O960" i="1"/>
  <c r="N960" i="1"/>
  <c r="M960" i="1"/>
  <c r="L960" i="1"/>
  <c r="K960" i="1"/>
  <c r="J960" i="1"/>
  <c r="I960" i="1"/>
  <c r="H960" i="1"/>
  <c r="V959" i="1"/>
  <c r="U959" i="1"/>
  <c r="T959" i="1"/>
  <c r="S959" i="1"/>
  <c r="R959" i="1"/>
  <c r="Q959" i="1"/>
  <c r="P959" i="1"/>
  <c r="O959" i="1"/>
  <c r="N959" i="1"/>
  <c r="M959" i="1"/>
  <c r="L959" i="1"/>
  <c r="K959" i="1"/>
  <c r="J959" i="1"/>
  <c r="I959" i="1"/>
  <c r="H959" i="1"/>
  <c r="V958" i="1"/>
  <c r="U958" i="1"/>
  <c r="T958" i="1"/>
  <c r="S958" i="1"/>
  <c r="R958" i="1"/>
  <c r="Q958" i="1"/>
  <c r="P958" i="1"/>
  <c r="O958" i="1"/>
  <c r="N958" i="1"/>
  <c r="M958" i="1"/>
  <c r="L958" i="1"/>
  <c r="K958" i="1"/>
  <c r="J958" i="1"/>
  <c r="I958" i="1"/>
  <c r="H958" i="1"/>
  <c r="V957" i="1"/>
  <c r="U957" i="1"/>
  <c r="T957" i="1"/>
  <c r="S957" i="1"/>
  <c r="R957" i="1"/>
  <c r="Q957" i="1"/>
  <c r="P957" i="1"/>
  <c r="O957" i="1"/>
  <c r="N957" i="1"/>
  <c r="M957" i="1"/>
  <c r="L957" i="1"/>
  <c r="K957" i="1"/>
  <c r="J957" i="1"/>
  <c r="I957" i="1"/>
  <c r="H957" i="1"/>
  <c r="V956" i="1"/>
  <c r="U956" i="1"/>
  <c r="T956" i="1"/>
  <c r="S956" i="1"/>
  <c r="R956" i="1"/>
  <c r="Q956" i="1"/>
  <c r="P956" i="1"/>
  <c r="O956" i="1"/>
  <c r="N956" i="1"/>
  <c r="M956" i="1"/>
  <c r="L956" i="1"/>
  <c r="K956" i="1"/>
  <c r="J956" i="1"/>
  <c r="I956" i="1"/>
  <c r="H956" i="1"/>
  <c r="V955" i="1"/>
  <c r="U955" i="1"/>
  <c r="T955" i="1"/>
  <c r="S955" i="1"/>
  <c r="R955" i="1"/>
  <c r="Q955" i="1"/>
  <c r="P955" i="1"/>
  <c r="O955" i="1"/>
  <c r="N955" i="1"/>
  <c r="M955" i="1"/>
  <c r="L955" i="1"/>
  <c r="K955" i="1"/>
  <c r="J955" i="1"/>
  <c r="I955" i="1"/>
  <c r="H955" i="1"/>
  <c r="V954" i="1"/>
  <c r="U954" i="1"/>
  <c r="T954" i="1"/>
  <c r="S954" i="1"/>
  <c r="R954" i="1"/>
  <c r="Q954" i="1"/>
  <c r="P954" i="1"/>
  <c r="O954" i="1"/>
  <c r="N954" i="1"/>
  <c r="M954" i="1"/>
  <c r="L954" i="1"/>
  <c r="K954" i="1"/>
  <c r="J954" i="1"/>
  <c r="I954" i="1"/>
  <c r="H954" i="1"/>
  <c r="V953" i="1"/>
  <c r="U953" i="1"/>
  <c r="T953" i="1"/>
  <c r="S953" i="1"/>
  <c r="R953" i="1"/>
  <c r="Q953" i="1"/>
  <c r="P953" i="1"/>
  <c r="O953" i="1"/>
  <c r="N953" i="1"/>
  <c r="M953" i="1"/>
  <c r="L953" i="1"/>
  <c r="K953" i="1"/>
  <c r="J953" i="1"/>
  <c r="I953" i="1"/>
  <c r="H953" i="1"/>
  <c r="V952" i="1"/>
  <c r="U952" i="1"/>
  <c r="T952" i="1"/>
  <c r="S952" i="1"/>
  <c r="R952" i="1"/>
  <c r="Q952" i="1"/>
  <c r="P952" i="1"/>
  <c r="O952" i="1"/>
  <c r="N952" i="1"/>
  <c r="M952" i="1"/>
  <c r="L952" i="1"/>
  <c r="K952" i="1"/>
  <c r="J952" i="1"/>
  <c r="I952" i="1"/>
  <c r="H952" i="1"/>
  <c r="V951" i="1"/>
  <c r="U951" i="1"/>
  <c r="T951" i="1"/>
  <c r="S951" i="1"/>
  <c r="R951" i="1"/>
  <c r="Q951" i="1"/>
  <c r="P951" i="1"/>
  <c r="O951" i="1"/>
  <c r="N951" i="1"/>
  <c r="M951" i="1"/>
  <c r="L951" i="1"/>
  <c r="K951" i="1"/>
  <c r="J951" i="1"/>
  <c r="I951" i="1"/>
  <c r="H951" i="1"/>
  <c r="V950" i="1"/>
  <c r="U950" i="1"/>
  <c r="T950" i="1"/>
  <c r="S950" i="1"/>
  <c r="R950" i="1"/>
  <c r="Q950" i="1"/>
  <c r="P950" i="1"/>
  <c r="O950" i="1"/>
  <c r="N950" i="1"/>
  <c r="M950" i="1"/>
  <c r="L950" i="1"/>
  <c r="K950" i="1"/>
  <c r="J950" i="1"/>
  <c r="I950" i="1"/>
  <c r="H950" i="1"/>
  <c r="V949" i="1"/>
  <c r="U949" i="1"/>
  <c r="T949" i="1"/>
  <c r="S949" i="1"/>
  <c r="R949" i="1"/>
  <c r="Q949" i="1"/>
  <c r="P949" i="1"/>
  <c r="O949" i="1"/>
  <c r="N949" i="1"/>
  <c r="M949" i="1"/>
  <c r="L949" i="1"/>
  <c r="K949" i="1"/>
  <c r="J949" i="1"/>
  <c r="I949" i="1"/>
  <c r="H949" i="1"/>
  <c r="V948" i="1"/>
  <c r="U948" i="1"/>
  <c r="T948" i="1"/>
  <c r="S948" i="1"/>
  <c r="R948" i="1"/>
  <c r="Q948" i="1"/>
  <c r="P948" i="1"/>
  <c r="O948" i="1"/>
  <c r="N948" i="1"/>
  <c r="M948" i="1"/>
  <c r="L948" i="1"/>
  <c r="K948" i="1"/>
  <c r="J948" i="1"/>
  <c r="I948" i="1"/>
  <c r="H948" i="1"/>
  <c r="V947" i="1"/>
  <c r="U947" i="1"/>
  <c r="T947" i="1"/>
  <c r="S947" i="1"/>
  <c r="R947" i="1"/>
  <c r="Q947" i="1"/>
  <c r="P947" i="1"/>
  <c r="O947" i="1"/>
  <c r="N947" i="1"/>
  <c r="M947" i="1"/>
  <c r="L947" i="1"/>
  <c r="K947" i="1"/>
  <c r="J947" i="1"/>
  <c r="I947" i="1"/>
  <c r="H947" i="1"/>
  <c r="V946" i="1"/>
  <c r="U946" i="1"/>
  <c r="T946" i="1"/>
  <c r="S946" i="1"/>
  <c r="R946" i="1"/>
  <c r="Q946" i="1"/>
  <c r="P946" i="1"/>
  <c r="O946" i="1"/>
  <c r="N946" i="1"/>
  <c r="M946" i="1"/>
  <c r="L946" i="1"/>
  <c r="K946" i="1"/>
  <c r="J946" i="1"/>
  <c r="I946" i="1"/>
  <c r="H946" i="1"/>
  <c r="V945" i="1"/>
  <c r="U945" i="1"/>
  <c r="T945" i="1"/>
  <c r="S945" i="1"/>
  <c r="R945" i="1"/>
  <c r="Q945" i="1"/>
  <c r="P945" i="1"/>
  <c r="O945" i="1"/>
  <c r="N945" i="1"/>
  <c r="M945" i="1"/>
  <c r="L945" i="1"/>
  <c r="K945" i="1"/>
  <c r="J945" i="1"/>
  <c r="I945" i="1"/>
  <c r="H945" i="1"/>
  <c r="V944" i="1"/>
  <c r="U944" i="1"/>
  <c r="T944" i="1"/>
  <c r="S944" i="1"/>
  <c r="R944" i="1"/>
  <c r="Q944" i="1"/>
  <c r="P944" i="1"/>
  <c r="O944" i="1"/>
  <c r="N944" i="1"/>
  <c r="M944" i="1"/>
  <c r="L944" i="1"/>
  <c r="K944" i="1"/>
  <c r="J944" i="1"/>
  <c r="I944" i="1"/>
  <c r="H944" i="1"/>
  <c r="V943" i="1"/>
  <c r="U943" i="1"/>
  <c r="T943" i="1"/>
  <c r="S943" i="1"/>
  <c r="R943" i="1"/>
  <c r="Q943" i="1"/>
  <c r="P943" i="1"/>
  <c r="O943" i="1"/>
  <c r="N943" i="1"/>
  <c r="M943" i="1"/>
  <c r="L943" i="1"/>
  <c r="K943" i="1"/>
  <c r="J943" i="1"/>
  <c r="I943" i="1"/>
  <c r="H943" i="1"/>
  <c r="V942" i="1"/>
  <c r="U942" i="1"/>
  <c r="T942" i="1"/>
  <c r="S942" i="1"/>
  <c r="R942" i="1"/>
  <c r="Q942" i="1"/>
  <c r="P942" i="1"/>
  <c r="O942" i="1"/>
  <c r="N942" i="1"/>
  <c r="M942" i="1"/>
  <c r="L942" i="1"/>
  <c r="K942" i="1"/>
  <c r="J942" i="1"/>
  <c r="I942" i="1"/>
  <c r="H942" i="1"/>
  <c r="V941" i="1"/>
  <c r="U941" i="1"/>
  <c r="T941" i="1"/>
  <c r="S941" i="1"/>
  <c r="R941" i="1"/>
  <c r="Q941" i="1"/>
  <c r="P941" i="1"/>
  <c r="O941" i="1"/>
  <c r="N941" i="1"/>
  <c r="M941" i="1"/>
  <c r="L941" i="1"/>
  <c r="K941" i="1"/>
  <c r="J941" i="1"/>
  <c r="I941" i="1"/>
  <c r="H941" i="1"/>
  <c r="V940" i="1"/>
  <c r="U940" i="1"/>
  <c r="T940" i="1"/>
  <c r="S940" i="1"/>
  <c r="R940" i="1"/>
  <c r="Q940" i="1"/>
  <c r="P940" i="1"/>
  <c r="O940" i="1"/>
  <c r="N940" i="1"/>
  <c r="M940" i="1"/>
  <c r="L940" i="1"/>
  <c r="K940" i="1"/>
  <c r="J940" i="1"/>
  <c r="I940" i="1"/>
  <c r="H940" i="1"/>
  <c r="V939" i="1"/>
  <c r="U939" i="1"/>
  <c r="T939" i="1"/>
  <c r="S939" i="1"/>
  <c r="R939" i="1"/>
  <c r="Q939" i="1"/>
  <c r="P939" i="1"/>
  <c r="O939" i="1"/>
  <c r="N939" i="1"/>
  <c r="M939" i="1"/>
  <c r="L939" i="1"/>
  <c r="K939" i="1"/>
  <c r="J939" i="1"/>
  <c r="I939" i="1"/>
  <c r="H939" i="1"/>
  <c r="V938" i="1"/>
  <c r="U938" i="1"/>
  <c r="T938" i="1"/>
  <c r="S938" i="1"/>
  <c r="R938" i="1"/>
  <c r="Q938" i="1"/>
  <c r="P938" i="1"/>
  <c r="O938" i="1"/>
  <c r="N938" i="1"/>
  <c r="M938" i="1"/>
  <c r="L938" i="1"/>
  <c r="K938" i="1"/>
  <c r="J938" i="1"/>
  <c r="I938" i="1"/>
  <c r="H938" i="1"/>
  <c r="V937" i="1"/>
  <c r="U937" i="1"/>
  <c r="T937" i="1"/>
  <c r="S937" i="1"/>
  <c r="R937" i="1"/>
  <c r="Q937" i="1"/>
  <c r="P937" i="1"/>
  <c r="O937" i="1"/>
  <c r="N937" i="1"/>
  <c r="M937" i="1"/>
  <c r="L937" i="1"/>
  <c r="K937" i="1"/>
  <c r="J937" i="1"/>
  <c r="I937" i="1"/>
  <c r="H937" i="1"/>
  <c r="V936" i="1"/>
  <c r="U936" i="1"/>
  <c r="T936" i="1"/>
  <c r="S936" i="1"/>
  <c r="R936" i="1"/>
  <c r="Q936" i="1"/>
  <c r="P936" i="1"/>
  <c r="O936" i="1"/>
  <c r="N936" i="1"/>
  <c r="M936" i="1"/>
  <c r="L936" i="1"/>
  <c r="K936" i="1"/>
  <c r="J936" i="1"/>
  <c r="I936" i="1"/>
  <c r="H936" i="1"/>
  <c r="V935" i="1"/>
  <c r="U935" i="1"/>
  <c r="T935" i="1"/>
  <c r="S935" i="1"/>
  <c r="R935" i="1"/>
  <c r="Q935" i="1"/>
  <c r="P935" i="1"/>
  <c r="O935" i="1"/>
  <c r="N935" i="1"/>
  <c r="M935" i="1"/>
  <c r="L935" i="1"/>
  <c r="K935" i="1"/>
  <c r="J935" i="1"/>
  <c r="I935" i="1"/>
  <c r="H935" i="1"/>
  <c r="V934" i="1"/>
  <c r="U934" i="1"/>
  <c r="T934" i="1"/>
  <c r="S934" i="1"/>
  <c r="R934" i="1"/>
  <c r="Q934" i="1"/>
  <c r="P934" i="1"/>
  <c r="O934" i="1"/>
  <c r="N934" i="1"/>
  <c r="M934" i="1"/>
  <c r="L934" i="1"/>
  <c r="K934" i="1"/>
  <c r="J934" i="1"/>
  <c r="I934" i="1"/>
  <c r="H934" i="1"/>
  <c r="V933" i="1"/>
  <c r="U933" i="1"/>
  <c r="T933" i="1"/>
  <c r="S933" i="1"/>
  <c r="R933" i="1"/>
  <c r="Q933" i="1"/>
  <c r="P933" i="1"/>
  <c r="O933" i="1"/>
  <c r="N933" i="1"/>
  <c r="M933" i="1"/>
  <c r="L933" i="1"/>
  <c r="K933" i="1"/>
  <c r="J933" i="1"/>
  <c r="I933" i="1"/>
  <c r="H933" i="1"/>
  <c r="V932" i="1"/>
  <c r="U932" i="1"/>
  <c r="T932" i="1"/>
  <c r="S932" i="1"/>
  <c r="R932" i="1"/>
  <c r="Q932" i="1"/>
  <c r="P932" i="1"/>
  <c r="O932" i="1"/>
  <c r="N932" i="1"/>
  <c r="M932" i="1"/>
  <c r="L932" i="1"/>
  <c r="K932" i="1"/>
  <c r="J932" i="1"/>
  <c r="I932" i="1"/>
  <c r="H932" i="1"/>
  <c r="V931" i="1"/>
  <c r="U931" i="1"/>
  <c r="T931" i="1"/>
  <c r="S931" i="1"/>
  <c r="R931" i="1"/>
  <c r="Q931" i="1"/>
  <c r="P931" i="1"/>
  <c r="O931" i="1"/>
  <c r="N931" i="1"/>
  <c r="M931" i="1"/>
  <c r="L931" i="1"/>
  <c r="K931" i="1"/>
  <c r="J931" i="1"/>
  <c r="I931" i="1"/>
  <c r="H931" i="1"/>
  <c r="V930" i="1"/>
  <c r="U930" i="1"/>
  <c r="T930" i="1"/>
  <c r="S930" i="1"/>
  <c r="R930" i="1"/>
  <c r="Q930" i="1"/>
  <c r="P930" i="1"/>
  <c r="O930" i="1"/>
  <c r="N930" i="1"/>
  <c r="M930" i="1"/>
  <c r="L930" i="1"/>
  <c r="K930" i="1"/>
  <c r="J930" i="1"/>
  <c r="I930" i="1"/>
  <c r="H930" i="1"/>
  <c r="V929" i="1"/>
  <c r="U929" i="1"/>
  <c r="T929" i="1"/>
  <c r="S929" i="1"/>
  <c r="R929" i="1"/>
  <c r="Q929" i="1"/>
  <c r="P929" i="1"/>
  <c r="O929" i="1"/>
  <c r="N929" i="1"/>
  <c r="M929" i="1"/>
  <c r="L929" i="1"/>
  <c r="K929" i="1"/>
  <c r="J929" i="1"/>
  <c r="I929" i="1"/>
  <c r="H929" i="1"/>
  <c r="V928" i="1"/>
  <c r="U928" i="1"/>
  <c r="T928" i="1"/>
  <c r="S928" i="1"/>
  <c r="R928" i="1"/>
  <c r="Q928" i="1"/>
  <c r="P928" i="1"/>
  <c r="O928" i="1"/>
  <c r="N928" i="1"/>
  <c r="M928" i="1"/>
  <c r="L928" i="1"/>
  <c r="K928" i="1"/>
  <c r="J928" i="1"/>
  <c r="I928" i="1"/>
  <c r="H928" i="1"/>
  <c r="V927" i="1"/>
  <c r="U927" i="1"/>
  <c r="T927" i="1"/>
  <c r="S927" i="1"/>
  <c r="R927" i="1"/>
  <c r="Q927" i="1"/>
  <c r="P927" i="1"/>
  <c r="O927" i="1"/>
  <c r="N927" i="1"/>
  <c r="M927" i="1"/>
  <c r="L927" i="1"/>
  <c r="K927" i="1"/>
  <c r="J927" i="1"/>
  <c r="I927" i="1"/>
  <c r="H927" i="1"/>
  <c r="V926" i="1"/>
  <c r="U926" i="1"/>
  <c r="T926" i="1"/>
  <c r="S926" i="1"/>
  <c r="R926" i="1"/>
  <c r="Q926" i="1"/>
  <c r="P926" i="1"/>
  <c r="O926" i="1"/>
  <c r="N926" i="1"/>
  <c r="M926" i="1"/>
  <c r="L926" i="1"/>
  <c r="K926" i="1"/>
  <c r="J926" i="1"/>
  <c r="I926" i="1"/>
  <c r="H926" i="1"/>
  <c r="V925" i="1"/>
  <c r="U925" i="1"/>
  <c r="T925" i="1"/>
  <c r="S925" i="1"/>
  <c r="R925" i="1"/>
  <c r="Q925" i="1"/>
  <c r="P925" i="1"/>
  <c r="O925" i="1"/>
  <c r="N925" i="1"/>
  <c r="M925" i="1"/>
  <c r="L925" i="1"/>
  <c r="K925" i="1"/>
  <c r="J925" i="1"/>
  <c r="I925" i="1"/>
  <c r="H925" i="1"/>
  <c r="V924" i="1"/>
  <c r="U924" i="1"/>
  <c r="T924" i="1"/>
  <c r="S924" i="1"/>
  <c r="R924" i="1"/>
  <c r="Q924" i="1"/>
  <c r="P924" i="1"/>
  <c r="O924" i="1"/>
  <c r="N924" i="1"/>
  <c r="M924" i="1"/>
  <c r="L924" i="1"/>
  <c r="K924" i="1"/>
  <c r="J924" i="1"/>
  <c r="I924" i="1"/>
  <c r="H924" i="1"/>
  <c r="V923" i="1"/>
  <c r="U923" i="1"/>
  <c r="T923" i="1"/>
  <c r="S923" i="1"/>
  <c r="R923" i="1"/>
  <c r="Q923" i="1"/>
  <c r="P923" i="1"/>
  <c r="O923" i="1"/>
  <c r="N923" i="1"/>
  <c r="M923" i="1"/>
  <c r="L923" i="1"/>
  <c r="K923" i="1"/>
  <c r="J923" i="1"/>
  <c r="I923" i="1"/>
  <c r="H923" i="1"/>
  <c r="V922" i="1"/>
  <c r="U922" i="1"/>
  <c r="T922" i="1"/>
  <c r="S922" i="1"/>
  <c r="R922" i="1"/>
  <c r="Q922" i="1"/>
  <c r="P922" i="1"/>
  <c r="O922" i="1"/>
  <c r="N922" i="1"/>
  <c r="M922" i="1"/>
  <c r="L922" i="1"/>
  <c r="K922" i="1"/>
  <c r="J922" i="1"/>
  <c r="I922" i="1"/>
  <c r="H922" i="1"/>
  <c r="V921" i="1"/>
  <c r="U921" i="1"/>
  <c r="T921" i="1"/>
  <c r="S921" i="1"/>
  <c r="R921" i="1"/>
  <c r="Q921" i="1"/>
  <c r="P921" i="1"/>
  <c r="O921" i="1"/>
  <c r="N921" i="1"/>
  <c r="M921" i="1"/>
  <c r="L921" i="1"/>
  <c r="K921" i="1"/>
  <c r="J921" i="1"/>
  <c r="I921" i="1"/>
  <c r="H921" i="1"/>
  <c r="V920" i="1"/>
  <c r="U920" i="1"/>
  <c r="T920" i="1"/>
  <c r="S920" i="1"/>
  <c r="R920" i="1"/>
  <c r="Q920" i="1"/>
  <c r="P920" i="1"/>
  <c r="O920" i="1"/>
  <c r="N920" i="1"/>
  <c r="M920" i="1"/>
  <c r="L920" i="1"/>
  <c r="K920" i="1"/>
  <c r="J920" i="1"/>
  <c r="I920" i="1"/>
  <c r="H920" i="1"/>
  <c r="V919" i="1"/>
  <c r="U919" i="1"/>
  <c r="T919" i="1"/>
  <c r="S919" i="1"/>
  <c r="R919" i="1"/>
  <c r="Q919" i="1"/>
  <c r="P919" i="1"/>
  <c r="O919" i="1"/>
  <c r="N919" i="1"/>
  <c r="M919" i="1"/>
  <c r="L919" i="1"/>
  <c r="K919" i="1"/>
  <c r="J919" i="1"/>
  <c r="I919" i="1"/>
  <c r="H919" i="1"/>
  <c r="V918" i="1"/>
  <c r="U918" i="1"/>
  <c r="T918" i="1"/>
  <c r="S918" i="1"/>
  <c r="R918" i="1"/>
  <c r="Q918" i="1"/>
  <c r="P918" i="1"/>
  <c r="O918" i="1"/>
  <c r="N918" i="1"/>
  <c r="M918" i="1"/>
  <c r="L918" i="1"/>
  <c r="K918" i="1"/>
  <c r="J918" i="1"/>
  <c r="I918" i="1"/>
  <c r="H918" i="1"/>
  <c r="V917" i="1"/>
  <c r="U917" i="1"/>
  <c r="T917" i="1"/>
  <c r="S917" i="1"/>
  <c r="R917" i="1"/>
  <c r="Q917" i="1"/>
  <c r="P917" i="1"/>
  <c r="O917" i="1"/>
  <c r="N917" i="1"/>
  <c r="M917" i="1"/>
  <c r="L917" i="1"/>
  <c r="K917" i="1"/>
  <c r="J917" i="1"/>
  <c r="I917" i="1"/>
  <c r="H917" i="1"/>
  <c r="V916" i="1"/>
  <c r="U916" i="1"/>
  <c r="T916" i="1"/>
  <c r="S916" i="1"/>
  <c r="R916" i="1"/>
  <c r="Q916" i="1"/>
  <c r="P916" i="1"/>
  <c r="O916" i="1"/>
  <c r="N916" i="1"/>
  <c r="M916" i="1"/>
  <c r="L916" i="1"/>
  <c r="K916" i="1"/>
  <c r="J916" i="1"/>
  <c r="I916" i="1"/>
  <c r="H916" i="1"/>
  <c r="V915" i="1"/>
  <c r="U915" i="1"/>
  <c r="T915" i="1"/>
  <c r="S915" i="1"/>
  <c r="R915" i="1"/>
  <c r="Q915" i="1"/>
  <c r="P915" i="1"/>
  <c r="O915" i="1"/>
  <c r="N915" i="1"/>
  <c r="M915" i="1"/>
  <c r="L915" i="1"/>
  <c r="K915" i="1"/>
  <c r="J915" i="1"/>
  <c r="I915" i="1"/>
  <c r="H915" i="1"/>
  <c r="V914" i="1"/>
  <c r="U914" i="1"/>
  <c r="T914" i="1"/>
  <c r="S914" i="1"/>
  <c r="R914" i="1"/>
  <c r="Q914" i="1"/>
  <c r="P914" i="1"/>
  <c r="O914" i="1"/>
  <c r="N914" i="1"/>
  <c r="M914" i="1"/>
  <c r="L914" i="1"/>
  <c r="K914" i="1"/>
  <c r="J914" i="1"/>
  <c r="I914" i="1"/>
  <c r="H914" i="1"/>
  <c r="V913" i="1"/>
  <c r="U913" i="1"/>
  <c r="T913" i="1"/>
  <c r="S913" i="1"/>
  <c r="R913" i="1"/>
  <c r="Q913" i="1"/>
  <c r="P913" i="1"/>
  <c r="O913" i="1"/>
  <c r="N913" i="1"/>
  <c r="M913" i="1"/>
  <c r="L913" i="1"/>
  <c r="K913" i="1"/>
  <c r="J913" i="1"/>
  <c r="I913" i="1"/>
  <c r="H913" i="1"/>
  <c r="V912" i="1"/>
  <c r="U912" i="1"/>
  <c r="T912" i="1"/>
  <c r="S912" i="1"/>
  <c r="R912" i="1"/>
  <c r="Q912" i="1"/>
  <c r="P912" i="1"/>
  <c r="O912" i="1"/>
  <c r="N912" i="1"/>
  <c r="M912" i="1"/>
  <c r="L912" i="1"/>
  <c r="K912" i="1"/>
  <c r="J912" i="1"/>
  <c r="I912" i="1"/>
  <c r="H912" i="1"/>
  <c r="V911" i="1"/>
  <c r="U911" i="1"/>
  <c r="T911" i="1"/>
  <c r="S911" i="1"/>
  <c r="R911" i="1"/>
  <c r="Q911" i="1"/>
  <c r="P911" i="1"/>
  <c r="O911" i="1"/>
  <c r="N911" i="1"/>
  <c r="M911" i="1"/>
  <c r="L911" i="1"/>
  <c r="K911" i="1"/>
  <c r="J911" i="1"/>
  <c r="I911" i="1"/>
  <c r="H911" i="1"/>
  <c r="V910" i="1"/>
  <c r="U910" i="1"/>
  <c r="T910" i="1"/>
  <c r="S910" i="1"/>
  <c r="R910" i="1"/>
  <c r="Q910" i="1"/>
  <c r="P910" i="1"/>
  <c r="O910" i="1"/>
  <c r="N910" i="1"/>
  <c r="M910" i="1"/>
  <c r="L910" i="1"/>
  <c r="K910" i="1"/>
  <c r="J910" i="1"/>
  <c r="I910" i="1"/>
  <c r="H910" i="1"/>
  <c r="V909" i="1"/>
  <c r="U909" i="1"/>
  <c r="T909" i="1"/>
  <c r="S909" i="1"/>
  <c r="R909" i="1"/>
  <c r="Q909" i="1"/>
  <c r="P909" i="1"/>
  <c r="O909" i="1"/>
  <c r="N909" i="1"/>
  <c r="M909" i="1"/>
  <c r="L909" i="1"/>
  <c r="K909" i="1"/>
  <c r="J909" i="1"/>
  <c r="I909" i="1"/>
  <c r="H909" i="1"/>
  <c r="V908" i="1"/>
  <c r="U908" i="1"/>
  <c r="T908" i="1"/>
  <c r="S908" i="1"/>
  <c r="R908" i="1"/>
  <c r="Q908" i="1"/>
  <c r="P908" i="1"/>
  <c r="O908" i="1"/>
  <c r="N908" i="1"/>
  <c r="M908" i="1"/>
  <c r="L908" i="1"/>
  <c r="K908" i="1"/>
  <c r="J908" i="1"/>
  <c r="I908" i="1"/>
  <c r="H908" i="1"/>
  <c r="V907" i="1"/>
  <c r="U907" i="1"/>
  <c r="T907" i="1"/>
  <c r="S907" i="1"/>
  <c r="R907" i="1"/>
  <c r="Q907" i="1"/>
  <c r="P907" i="1"/>
  <c r="O907" i="1"/>
  <c r="N907" i="1"/>
  <c r="M907" i="1"/>
  <c r="L907" i="1"/>
  <c r="K907" i="1"/>
  <c r="J907" i="1"/>
  <c r="I907" i="1"/>
  <c r="H907" i="1"/>
  <c r="V906" i="1"/>
  <c r="U906" i="1"/>
  <c r="T906" i="1"/>
  <c r="S906" i="1"/>
  <c r="R906" i="1"/>
  <c r="Q906" i="1"/>
  <c r="P906" i="1"/>
  <c r="O906" i="1"/>
  <c r="N906" i="1"/>
  <c r="M906" i="1"/>
  <c r="L906" i="1"/>
  <c r="K906" i="1"/>
  <c r="J906" i="1"/>
  <c r="I906" i="1"/>
  <c r="H906" i="1"/>
  <c r="V905" i="1"/>
  <c r="U905" i="1"/>
  <c r="T905" i="1"/>
  <c r="S905" i="1"/>
  <c r="R905" i="1"/>
  <c r="Q905" i="1"/>
  <c r="P905" i="1"/>
  <c r="O905" i="1"/>
  <c r="N905" i="1"/>
  <c r="M905" i="1"/>
  <c r="L905" i="1"/>
  <c r="K905" i="1"/>
  <c r="J905" i="1"/>
  <c r="I905" i="1"/>
  <c r="H905" i="1"/>
  <c r="V904" i="1"/>
  <c r="U904" i="1"/>
  <c r="T904" i="1"/>
  <c r="S904" i="1"/>
  <c r="R904" i="1"/>
  <c r="Q904" i="1"/>
  <c r="P904" i="1"/>
  <c r="O904" i="1"/>
  <c r="N904" i="1"/>
  <c r="M904" i="1"/>
  <c r="L904" i="1"/>
  <c r="K904" i="1"/>
  <c r="J904" i="1"/>
  <c r="I904" i="1"/>
  <c r="H904" i="1"/>
  <c r="V903" i="1"/>
  <c r="U903" i="1"/>
  <c r="T903" i="1"/>
  <c r="S903" i="1"/>
  <c r="R903" i="1"/>
  <c r="Q903" i="1"/>
  <c r="P903" i="1"/>
  <c r="O903" i="1"/>
  <c r="N903" i="1"/>
  <c r="M903" i="1"/>
  <c r="L903" i="1"/>
  <c r="K903" i="1"/>
  <c r="J903" i="1"/>
  <c r="I903" i="1"/>
  <c r="H903" i="1"/>
  <c r="V902" i="1"/>
  <c r="U902" i="1"/>
  <c r="T902" i="1"/>
  <c r="S902" i="1"/>
  <c r="R902" i="1"/>
  <c r="Q902" i="1"/>
  <c r="P902" i="1"/>
  <c r="O902" i="1"/>
  <c r="N902" i="1"/>
  <c r="M902" i="1"/>
  <c r="L902" i="1"/>
  <c r="K902" i="1"/>
  <c r="J902" i="1"/>
  <c r="I902" i="1"/>
  <c r="H902" i="1"/>
  <c r="V901" i="1"/>
  <c r="U901" i="1"/>
  <c r="T901" i="1"/>
  <c r="S901" i="1"/>
  <c r="R901" i="1"/>
  <c r="Q901" i="1"/>
  <c r="P901" i="1"/>
  <c r="O901" i="1"/>
  <c r="N901" i="1"/>
  <c r="M901" i="1"/>
  <c r="L901" i="1"/>
  <c r="K901" i="1"/>
  <c r="J901" i="1"/>
  <c r="I901" i="1"/>
  <c r="H901" i="1"/>
  <c r="V900" i="1"/>
  <c r="U900" i="1"/>
  <c r="T900" i="1"/>
  <c r="S900" i="1"/>
  <c r="R900" i="1"/>
  <c r="Q900" i="1"/>
  <c r="P900" i="1"/>
  <c r="O900" i="1"/>
  <c r="N900" i="1"/>
  <c r="M900" i="1"/>
  <c r="L900" i="1"/>
  <c r="K900" i="1"/>
  <c r="J900" i="1"/>
  <c r="I900" i="1"/>
  <c r="H900" i="1"/>
  <c r="V899" i="1"/>
  <c r="U899" i="1"/>
  <c r="T899" i="1"/>
  <c r="S899" i="1"/>
  <c r="R899" i="1"/>
  <c r="Q899" i="1"/>
  <c r="P899" i="1"/>
  <c r="O899" i="1"/>
  <c r="N899" i="1"/>
  <c r="M899" i="1"/>
  <c r="L899" i="1"/>
  <c r="K899" i="1"/>
  <c r="J899" i="1"/>
  <c r="I899" i="1"/>
  <c r="H899" i="1"/>
  <c r="V898" i="1"/>
  <c r="U898" i="1"/>
  <c r="T898" i="1"/>
  <c r="S898" i="1"/>
  <c r="R898" i="1"/>
  <c r="Q898" i="1"/>
  <c r="P898" i="1"/>
  <c r="O898" i="1"/>
  <c r="N898" i="1"/>
  <c r="M898" i="1"/>
  <c r="L898" i="1"/>
  <c r="K898" i="1"/>
  <c r="J898" i="1"/>
  <c r="I898" i="1"/>
  <c r="H898" i="1"/>
  <c r="V897" i="1"/>
  <c r="U897" i="1"/>
  <c r="T897" i="1"/>
  <c r="S897" i="1"/>
  <c r="R897" i="1"/>
  <c r="Q897" i="1"/>
  <c r="P897" i="1"/>
  <c r="O897" i="1"/>
  <c r="N897" i="1"/>
  <c r="M897" i="1"/>
  <c r="L897" i="1"/>
  <c r="K897" i="1"/>
  <c r="J897" i="1"/>
  <c r="I897" i="1"/>
  <c r="H897" i="1"/>
  <c r="V896" i="1"/>
  <c r="U896" i="1"/>
  <c r="T896" i="1"/>
  <c r="S896" i="1"/>
  <c r="R896" i="1"/>
  <c r="Q896" i="1"/>
  <c r="P896" i="1"/>
  <c r="O896" i="1"/>
  <c r="N896" i="1"/>
  <c r="M896" i="1"/>
  <c r="L896" i="1"/>
  <c r="K896" i="1"/>
  <c r="J896" i="1"/>
  <c r="I896" i="1"/>
  <c r="H896" i="1"/>
  <c r="V895" i="1"/>
  <c r="U895" i="1"/>
  <c r="T895" i="1"/>
  <c r="S895" i="1"/>
  <c r="R895" i="1"/>
  <c r="Q895" i="1"/>
  <c r="P895" i="1"/>
  <c r="O895" i="1"/>
  <c r="N895" i="1"/>
  <c r="M895" i="1"/>
  <c r="L895" i="1"/>
  <c r="K895" i="1"/>
  <c r="J895" i="1"/>
  <c r="I895" i="1"/>
  <c r="H895" i="1"/>
  <c r="V894" i="1"/>
  <c r="U894" i="1"/>
  <c r="T894" i="1"/>
  <c r="S894" i="1"/>
  <c r="R894" i="1"/>
  <c r="Q894" i="1"/>
  <c r="P894" i="1"/>
  <c r="O894" i="1"/>
  <c r="N894" i="1"/>
  <c r="M894" i="1"/>
  <c r="L894" i="1"/>
  <c r="K894" i="1"/>
  <c r="J894" i="1"/>
  <c r="I894" i="1"/>
  <c r="H894" i="1"/>
  <c r="V893" i="1"/>
  <c r="U893" i="1"/>
  <c r="T893" i="1"/>
  <c r="S893" i="1"/>
  <c r="R893" i="1"/>
  <c r="Q893" i="1"/>
  <c r="P893" i="1"/>
  <c r="O893" i="1"/>
  <c r="N893" i="1"/>
  <c r="M893" i="1"/>
  <c r="L893" i="1"/>
  <c r="K893" i="1"/>
  <c r="J893" i="1"/>
  <c r="I893" i="1"/>
  <c r="H893" i="1"/>
  <c r="V892" i="1"/>
  <c r="U892" i="1"/>
  <c r="T892" i="1"/>
  <c r="S892" i="1"/>
  <c r="R892" i="1"/>
  <c r="Q892" i="1"/>
  <c r="P892" i="1"/>
  <c r="O892" i="1"/>
  <c r="N892" i="1"/>
  <c r="M892" i="1"/>
  <c r="L892" i="1"/>
  <c r="K892" i="1"/>
  <c r="J892" i="1"/>
  <c r="I892" i="1"/>
  <c r="H892" i="1"/>
  <c r="V891" i="1"/>
  <c r="U891" i="1"/>
  <c r="T891" i="1"/>
  <c r="S891" i="1"/>
  <c r="R891" i="1"/>
  <c r="Q891" i="1"/>
  <c r="P891" i="1"/>
  <c r="O891" i="1"/>
  <c r="N891" i="1"/>
  <c r="M891" i="1"/>
  <c r="L891" i="1"/>
  <c r="K891" i="1"/>
  <c r="J891" i="1"/>
  <c r="I891" i="1"/>
  <c r="H891" i="1"/>
  <c r="V890" i="1"/>
  <c r="U890" i="1"/>
  <c r="T890" i="1"/>
  <c r="S890" i="1"/>
  <c r="R890" i="1"/>
  <c r="Q890" i="1"/>
  <c r="P890" i="1"/>
  <c r="O890" i="1"/>
  <c r="N890" i="1"/>
  <c r="M890" i="1"/>
  <c r="L890" i="1"/>
  <c r="K890" i="1"/>
  <c r="J890" i="1"/>
  <c r="I890" i="1"/>
  <c r="H890" i="1"/>
  <c r="V889" i="1"/>
  <c r="U889" i="1"/>
  <c r="T889" i="1"/>
  <c r="S889" i="1"/>
  <c r="R889" i="1"/>
  <c r="Q889" i="1"/>
  <c r="P889" i="1"/>
  <c r="O889" i="1"/>
  <c r="N889" i="1"/>
  <c r="M889" i="1"/>
  <c r="L889" i="1"/>
  <c r="K889" i="1"/>
  <c r="J889" i="1"/>
  <c r="I889" i="1"/>
  <c r="H889" i="1"/>
  <c r="V888" i="1"/>
  <c r="U888" i="1"/>
  <c r="T888" i="1"/>
  <c r="S888" i="1"/>
  <c r="R888" i="1"/>
  <c r="Q888" i="1"/>
  <c r="P888" i="1"/>
  <c r="O888" i="1"/>
  <c r="N888" i="1"/>
  <c r="M888" i="1"/>
  <c r="L888" i="1"/>
  <c r="K888" i="1"/>
  <c r="J888" i="1"/>
  <c r="I888" i="1"/>
  <c r="H888" i="1"/>
  <c r="V887" i="1"/>
  <c r="U887" i="1"/>
  <c r="T887" i="1"/>
  <c r="S887" i="1"/>
  <c r="R887" i="1"/>
  <c r="Q887" i="1"/>
  <c r="P887" i="1"/>
  <c r="O887" i="1"/>
  <c r="N887" i="1"/>
  <c r="M887" i="1"/>
  <c r="L887" i="1"/>
  <c r="K887" i="1"/>
  <c r="J887" i="1"/>
  <c r="I887" i="1"/>
  <c r="H887" i="1"/>
  <c r="V886" i="1"/>
  <c r="U886" i="1"/>
  <c r="T886" i="1"/>
  <c r="S886" i="1"/>
  <c r="R886" i="1"/>
  <c r="Q886" i="1"/>
  <c r="P886" i="1"/>
  <c r="O886" i="1"/>
  <c r="N886" i="1"/>
  <c r="M886" i="1"/>
  <c r="L886" i="1"/>
  <c r="K886" i="1"/>
  <c r="J886" i="1"/>
  <c r="I886" i="1"/>
  <c r="H886" i="1"/>
  <c r="V885" i="1"/>
  <c r="U885" i="1"/>
  <c r="T885" i="1"/>
  <c r="S885" i="1"/>
  <c r="R885" i="1"/>
  <c r="Q885" i="1"/>
  <c r="P885" i="1"/>
  <c r="O885" i="1"/>
  <c r="N885" i="1"/>
  <c r="M885" i="1"/>
  <c r="L885" i="1"/>
  <c r="K885" i="1"/>
  <c r="J885" i="1"/>
  <c r="I885" i="1"/>
  <c r="H885" i="1"/>
  <c r="V884" i="1"/>
  <c r="U884" i="1"/>
  <c r="T884" i="1"/>
  <c r="S884" i="1"/>
  <c r="R884" i="1"/>
  <c r="Q884" i="1"/>
  <c r="P884" i="1"/>
  <c r="O884" i="1"/>
  <c r="N884" i="1"/>
  <c r="M884" i="1"/>
  <c r="L884" i="1"/>
  <c r="K884" i="1"/>
  <c r="J884" i="1"/>
  <c r="I884" i="1"/>
  <c r="H884" i="1"/>
  <c r="V883" i="1"/>
  <c r="U883" i="1"/>
  <c r="T883" i="1"/>
  <c r="S883" i="1"/>
  <c r="R883" i="1"/>
  <c r="Q883" i="1"/>
  <c r="P883" i="1"/>
  <c r="O883" i="1"/>
  <c r="N883" i="1"/>
  <c r="M883" i="1"/>
  <c r="L883" i="1"/>
  <c r="K883" i="1"/>
  <c r="J883" i="1"/>
  <c r="I883" i="1"/>
  <c r="H883" i="1"/>
  <c r="V882" i="1"/>
  <c r="U882" i="1"/>
  <c r="T882" i="1"/>
  <c r="S882" i="1"/>
  <c r="R882" i="1"/>
  <c r="Q882" i="1"/>
  <c r="P882" i="1"/>
  <c r="O882" i="1"/>
  <c r="N882" i="1"/>
  <c r="M882" i="1"/>
  <c r="L882" i="1"/>
  <c r="K882" i="1"/>
  <c r="J882" i="1"/>
  <c r="I882" i="1"/>
  <c r="H882" i="1"/>
  <c r="V881" i="1"/>
  <c r="U881" i="1"/>
  <c r="T881" i="1"/>
  <c r="S881" i="1"/>
  <c r="R881" i="1"/>
  <c r="Q881" i="1"/>
  <c r="P881" i="1"/>
  <c r="O881" i="1"/>
  <c r="N881" i="1"/>
  <c r="M881" i="1"/>
  <c r="L881" i="1"/>
  <c r="K881" i="1"/>
  <c r="J881" i="1"/>
  <c r="I881" i="1"/>
  <c r="H881" i="1"/>
  <c r="V880" i="1"/>
  <c r="U880" i="1"/>
  <c r="T880" i="1"/>
  <c r="S880" i="1"/>
  <c r="R880" i="1"/>
  <c r="Q880" i="1"/>
  <c r="P880" i="1"/>
  <c r="O880" i="1"/>
  <c r="N880" i="1"/>
  <c r="M880" i="1"/>
  <c r="L880" i="1"/>
  <c r="K880" i="1"/>
  <c r="J880" i="1"/>
  <c r="I880" i="1"/>
  <c r="H880" i="1"/>
  <c r="V879" i="1"/>
  <c r="U879" i="1"/>
  <c r="T879" i="1"/>
  <c r="S879" i="1"/>
  <c r="R879" i="1"/>
  <c r="Q879" i="1"/>
  <c r="P879" i="1"/>
  <c r="O879" i="1"/>
  <c r="N879" i="1"/>
  <c r="M879" i="1"/>
  <c r="L879" i="1"/>
  <c r="K879" i="1"/>
  <c r="J879" i="1"/>
  <c r="I879" i="1"/>
  <c r="H879" i="1"/>
  <c r="V878" i="1"/>
  <c r="U878" i="1"/>
  <c r="T878" i="1"/>
  <c r="S878" i="1"/>
  <c r="R878" i="1"/>
  <c r="Q878" i="1"/>
  <c r="P878" i="1"/>
  <c r="O878" i="1"/>
  <c r="N878" i="1"/>
  <c r="M878" i="1"/>
  <c r="L878" i="1"/>
  <c r="K878" i="1"/>
  <c r="J878" i="1"/>
  <c r="I878" i="1"/>
  <c r="H878" i="1"/>
  <c r="V877" i="1"/>
  <c r="U877" i="1"/>
  <c r="T877" i="1"/>
  <c r="S877" i="1"/>
  <c r="R877" i="1"/>
  <c r="Q877" i="1"/>
  <c r="P877" i="1"/>
  <c r="O877" i="1"/>
  <c r="N877" i="1"/>
  <c r="M877" i="1"/>
  <c r="L877" i="1"/>
  <c r="K877" i="1"/>
  <c r="J877" i="1"/>
  <c r="I877" i="1"/>
  <c r="H877" i="1"/>
  <c r="V876" i="1"/>
  <c r="U876" i="1"/>
  <c r="T876" i="1"/>
  <c r="S876" i="1"/>
  <c r="R876" i="1"/>
  <c r="Q876" i="1"/>
  <c r="P876" i="1"/>
  <c r="O876" i="1"/>
  <c r="N876" i="1"/>
  <c r="M876" i="1"/>
  <c r="L876" i="1"/>
  <c r="K876" i="1"/>
  <c r="J876" i="1"/>
  <c r="I876" i="1"/>
  <c r="H876" i="1"/>
  <c r="V875" i="1"/>
  <c r="U875" i="1"/>
  <c r="T875" i="1"/>
  <c r="S875" i="1"/>
  <c r="R875" i="1"/>
  <c r="Q875" i="1"/>
  <c r="P875" i="1"/>
  <c r="O875" i="1"/>
  <c r="N875" i="1"/>
  <c r="M875" i="1"/>
  <c r="L875" i="1"/>
  <c r="K875" i="1"/>
  <c r="J875" i="1"/>
  <c r="I875" i="1"/>
  <c r="H875" i="1"/>
  <c r="V874" i="1"/>
  <c r="U874" i="1"/>
  <c r="T874" i="1"/>
  <c r="S874" i="1"/>
  <c r="R874" i="1"/>
  <c r="Q874" i="1"/>
  <c r="P874" i="1"/>
  <c r="O874" i="1"/>
  <c r="N874" i="1"/>
  <c r="M874" i="1"/>
  <c r="L874" i="1"/>
  <c r="K874" i="1"/>
  <c r="J874" i="1"/>
  <c r="I874" i="1"/>
  <c r="H874" i="1"/>
  <c r="V873" i="1"/>
  <c r="U873" i="1"/>
  <c r="T873" i="1"/>
  <c r="S873" i="1"/>
  <c r="R873" i="1"/>
  <c r="Q873" i="1"/>
  <c r="P873" i="1"/>
  <c r="O873" i="1"/>
  <c r="N873" i="1"/>
  <c r="M873" i="1"/>
  <c r="L873" i="1"/>
  <c r="K873" i="1"/>
  <c r="J873" i="1"/>
  <c r="I873" i="1"/>
  <c r="H873" i="1"/>
  <c r="V872" i="1"/>
  <c r="U872" i="1"/>
  <c r="T872" i="1"/>
  <c r="S872" i="1"/>
  <c r="R872" i="1"/>
  <c r="Q872" i="1"/>
  <c r="P872" i="1"/>
  <c r="O872" i="1"/>
  <c r="N872" i="1"/>
  <c r="M872" i="1"/>
  <c r="L872" i="1"/>
  <c r="K872" i="1"/>
  <c r="J872" i="1"/>
  <c r="I872" i="1"/>
  <c r="H872" i="1"/>
  <c r="V871" i="1"/>
  <c r="U871" i="1"/>
  <c r="T871" i="1"/>
  <c r="S871" i="1"/>
  <c r="R871" i="1"/>
  <c r="Q871" i="1"/>
  <c r="P871" i="1"/>
  <c r="O871" i="1"/>
  <c r="N871" i="1"/>
  <c r="M871" i="1"/>
  <c r="L871" i="1"/>
  <c r="K871" i="1"/>
  <c r="J871" i="1"/>
  <c r="I871" i="1"/>
  <c r="H871" i="1"/>
  <c r="V870" i="1"/>
  <c r="U870" i="1"/>
  <c r="T870" i="1"/>
  <c r="S870" i="1"/>
  <c r="R870" i="1"/>
  <c r="Q870" i="1"/>
  <c r="P870" i="1"/>
  <c r="O870" i="1"/>
  <c r="N870" i="1"/>
  <c r="M870" i="1"/>
  <c r="L870" i="1"/>
  <c r="K870" i="1"/>
  <c r="J870" i="1"/>
  <c r="I870" i="1"/>
  <c r="H870" i="1"/>
  <c r="V869" i="1"/>
  <c r="U869" i="1"/>
  <c r="T869" i="1"/>
  <c r="S869" i="1"/>
  <c r="R869" i="1"/>
  <c r="Q869" i="1"/>
  <c r="P869" i="1"/>
  <c r="O869" i="1"/>
  <c r="N869" i="1"/>
  <c r="M869" i="1"/>
  <c r="L869" i="1"/>
  <c r="K869" i="1"/>
  <c r="J869" i="1"/>
  <c r="I869" i="1"/>
  <c r="H869" i="1"/>
  <c r="V868" i="1"/>
  <c r="U868" i="1"/>
  <c r="T868" i="1"/>
  <c r="S868" i="1"/>
  <c r="R868" i="1"/>
  <c r="Q868" i="1"/>
  <c r="P868" i="1"/>
  <c r="O868" i="1"/>
  <c r="N868" i="1"/>
  <c r="M868" i="1"/>
  <c r="L868" i="1"/>
  <c r="K868" i="1"/>
  <c r="J868" i="1"/>
  <c r="I868" i="1"/>
  <c r="H868" i="1"/>
  <c r="V867" i="1"/>
  <c r="U867" i="1"/>
  <c r="T867" i="1"/>
  <c r="S867" i="1"/>
  <c r="R867" i="1"/>
  <c r="Q867" i="1"/>
  <c r="P867" i="1"/>
  <c r="O867" i="1"/>
  <c r="N867" i="1"/>
  <c r="M867" i="1"/>
  <c r="L867" i="1"/>
  <c r="K867" i="1"/>
  <c r="J867" i="1"/>
  <c r="I867" i="1"/>
  <c r="H867" i="1"/>
  <c r="V866" i="1"/>
  <c r="U866" i="1"/>
  <c r="T866" i="1"/>
  <c r="S866" i="1"/>
  <c r="R866" i="1"/>
  <c r="Q866" i="1"/>
  <c r="P866" i="1"/>
  <c r="O866" i="1"/>
  <c r="N866" i="1"/>
  <c r="M866" i="1"/>
  <c r="L866" i="1"/>
  <c r="K866" i="1"/>
  <c r="J866" i="1"/>
  <c r="I866" i="1"/>
  <c r="H866" i="1"/>
  <c r="V865" i="1"/>
  <c r="U865" i="1"/>
  <c r="T865" i="1"/>
  <c r="S865" i="1"/>
  <c r="R865" i="1"/>
  <c r="Q865" i="1"/>
  <c r="P865" i="1"/>
  <c r="O865" i="1"/>
  <c r="N865" i="1"/>
  <c r="M865" i="1"/>
  <c r="L865" i="1"/>
  <c r="K865" i="1"/>
  <c r="J865" i="1"/>
  <c r="I865" i="1"/>
  <c r="H865" i="1"/>
  <c r="V864" i="1"/>
  <c r="U864" i="1"/>
  <c r="T864" i="1"/>
  <c r="S864" i="1"/>
  <c r="R864" i="1"/>
  <c r="Q864" i="1"/>
  <c r="P864" i="1"/>
  <c r="O864" i="1"/>
  <c r="N864" i="1"/>
  <c r="M864" i="1"/>
  <c r="L864" i="1"/>
  <c r="K864" i="1"/>
  <c r="J864" i="1"/>
  <c r="I864" i="1"/>
  <c r="H864" i="1"/>
  <c r="V863" i="1"/>
  <c r="U863" i="1"/>
  <c r="T863" i="1"/>
  <c r="S863" i="1"/>
  <c r="R863" i="1"/>
  <c r="Q863" i="1"/>
  <c r="P863" i="1"/>
  <c r="O863" i="1"/>
  <c r="N863" i="1"/>
  <c r="M863" i="1"/>
  <c r="L863" i="1"/>
  <c r="K863" i="1"/>
  <c r="J863" i="1"/>
  <c r="I863" i="1"/>
  <c r="H863" i="1"/>
  <c r="V862" i="1"/>
  <c r="U862" i="1"/>
  <c r="T862" i="1"/>
  <c r="S862" i="1"/>
  <c r="R862" i="1"/>
  <c r="Q862" i="1"/>
  <c r="P862" i="1"/>
  <c r="O862" i="1"/>
  <c r="N862" i="1"/>
  <c r="M862" i="1"/>
  <c r="L862" i="1"/>
  <c r="K862" i="1"/>
  <c r="J862" i="1"/>
  <c r="I862" i="1"/>
  <c r="H862" i="1"/>
  <c r="V861" i="1"/>
  <c r="U861" i="1"/>
  <c r="T861" i="1"/>
  <c r="S861" i="1"/>
  <c r="R861" i="1"/>
  <c r="Q861" i="1"/>
  <c r="P861" i="1"/>
  <c r="O861" i="1"/>
  <c r="N861" i="1"/>
  <c r="M861" i="1"/>
  <c r="L861" i="1"/>
  <c r="K861" i="1"/>
  <c r="J861" i="1"/>
  <c r="I861" i="1"/>
  <c r="H861" i="1"/>
  <c r="V860" i="1"/>
  <c r="U860" i="1"/>
  <c r="T860" i="1"/>
  <c r="S860" i="1"/>
  <c r="R860" i="1"/>
  <c r="Q860" i="1"/>
  <c r="P860" i="1"/>
  <c r="O860" i="1"/>
  <c r="N860" i="1"/>
  <c r="M860" i="1"/>
  <c r="L860" i="1"/>
  <c r="K860" i="1"/>
  <c r="J860" i="1"/>
  <c r="I860" i="1"/>
  <c r="H860" i="1"/>
  <c r="V859" i="1"/>
  <c r="U859" i="1"/>
  <c r="T859" i="1"/>
  <c r="S859" i="1"/>
  <c r="R859" i="1"/>
  <c r="Q859" i="1"/>
  <c r="P859" i="1"/>
  <c r="O859" i="1"/>
  <c r="N859" i="1"/>
  <c r="M859" i="1"/>
  <c r="L859" i="1"/>
  <c r="K859" i="1"/>
  <c r="J859" i="1"/>
  <c r="I859" i="1"/>
  <c r="H859" i="1"/>
  <c r="V858" i="1"/>
  <c r="U858" i="1"/>
  <c r="T858" i="1"/>
  <c r="S858" i="1"/>
  <c r="R858" i="1"/>
  <c r="Q858" i="1"/>
  <c r="P858" i="1"/>
  <c r="O858" i="1"/>
  <c r="N858" i="1"/>
  <c r="M858" i="1"/>
  <c r="L858" i="1"/>
  <c r="K858" i="1"/>
  <c r="J858" i="1"/>
  <c r="I858" i="1"/>
  <c r="H858" i="1"/>
  <c r="V857" i="1"/>
  <c r="U857" i="1"/>
  <c r="T857" i="1"/>
  <c r="S857" i="1"/>
  <c r="R857" i="1"/>
  <c r="Q857" i="1"/>
  <c r="P857" i="1"/>
  <c r="O857" i="1"/>
  <c r="N857" i="1"/>
  <c r="M857" i="1"/>
  <c r="L857" i="1"/>
  <c r="K857" i="1"/>
  <c r="J857" i="1"/>
  <c r="I857" i="1"/>
  <c r="H857" i="1"/>
  <c r="V856" i="1"/>
  <c r="U856" i="1"/>
  <c r="T856" i="1"/>
  <c r="S856" i="1"/>
  <c r="R856" i="1"/>
  <c r="Q856" i="1"/>
  <c r="P856" i="1"/>
  <c r="O856" i="1"/>
  <c r="N856" i="1"/>
  <c r="M856" i="1"/>
  <c r="L856" i="1"/>
  <c r="K856" i="1"/>
  <c r="J856" i="1"/>
  <c r="I856" i="1"/>
  <c r="H856" i="1"/>
  <c r="V855" i="1"/>
  <c r="U855" i="1"/>
  <c r="T855" i="1"/>
  <c r="S855" i="1"/>
  <c r="R855" i="1"/>
  <c r="Q855" i="1"/>
  <c r="P855" i="1"/>
  <c r="O855" i="1"/>
  <c r="N855" i="1"/>
  <c r="M855" i="1"/>
  <c r="L855" i="1"/>
  <c r="K855" i="1"/>
  <c r="J855" i="1"/>
  <c r="I855" i="1"/>
  <c r="H855" i="1"/>
  <c r="V854" i="1"/>
  <c r="U854" i="1"/>
  <c r="T854" i="1"/>
  <c r="S854" i="1"/>
  <c r="R854" i="1"/>
  <c r="Q854" i="1"/>
  <c r="P854" i="1"/>
  <c r="O854" i="1"/>
  <c r="N854" i="1"/>
  <c r="M854" i="1"/>
  <c r="L854" i="1"/>
  <c r="K854" i="1"/>
  <c r="J854" i="1"/>
  <c r="I854" i="1"/>
  <c r="H854" i="1"/>
  <c r="V853" i="1"/>
  <c r="U853" i="1"/>
  <c r="T853" i="1"/>
  <c r="S853" i="1"/>
  <c r="R853" i="1"/>
  <c r="Q853" i="1"/>
  <c r="P853" i="1"/>
  <c r="O853" i="1"/>
  <c r="N853" i="1"/>
  <c r="M853" i="1"/>
  <c r="L853" i="1"/>
  <c r="K853" i="1"/>
  <c r="J853" i="1"/>
  <c r="I853" i="1"/>
  <c r="H853" i="1"/>
  <c r="V852" i="1"/>
  <c r="U852" i="1"/>
  <c r="T852" i="1"/>
  <c r="S852" i="1"/>
  <c r="R852" i="1"/>
  <c r="Q852" i="1"/>
  <c r="P852" i="1"/>
  <c r="O852" i="1"/>
  <c r="N852" i="1"/>
  <c r="M852" i="1"/>
  <c r="L852" i="1"/>
  <c r="K852" i="1"/>
  <c r="J852" i="1"/>
  <c r="I852" i="1"/>
  <c r="H852" i="1"/>
  <c r="V851" i="1"/>
  <c r="U851" i="1"/>
  <c r="T851" i="1"/>
  <c r="S851" i="1"/>
  <c r="R851" i="1"/>
  <c r="Q851" i="1"/>
  <c r="P851" i="1"/>
  <c r="O851" i="1"/>
  <c r="N851" i="1"/>
  <c r="M851" i="1"/>
  <c r="L851" i="1"/>
  <c r="K851" i="1"/>
  <c r="J851" i="1"/>
  <c r="I851" i="1"/>
  <c r="H851" i="1"/>
  <c r="V850" i="1"/>
  <c r="U850" i="1"/>
  <c r="T850" i="1"/>
  <c r="S850" i="1"/>
  <c r="R850" i="1"/>
  <c r="Q850" i="1"/>
  <c r="P850" i="1"/>
  <c r="O850" i="1"/>
  <c r="N850" i="1"/>
  <c r="M850" i="1"/>
  <c r="L850" i="1"/>
  <c r="K850" i="1"/>
  <c r="J850" i="1"/>
  <c r="I850" i="1"/>
  <c r="H850" i="1"/>
  <c r="V849" i="1"/>
  <c r="U849" i="1"/>
  <c r="T849" i="1"/>
  <c r="S849" i="1"/>
  <c r="R849" i="1"/>
  <c r="Q849" i="1"/>
  <c r="P849" i="1"/>
  <c r="O849" i="1"/>
  <c r="N849" i="1"/>
  <c r="M849" i="1"/>
  <c r="L849" i="1"/>
  <c r="K849" i="1"/>
  <c r="J849" i="1"/>
  <c r="I849" i="1"/>
  <c r="H849" i="1"/>
  <c r="V848" i="1"/>
  <c r="U848" i="1"/>
  <c r="T848" i="1"/>
  <c r="S848" i="1"/>
  <c r="R848" i="1"/>
  <c r="Q848" i="1"/>
  <c r="P848" i="1"/>
  <c r="O848" i="1"/>
  <c r="N848" i="1"/>
  <c r="M848" i="1"/>
  <c r="L848" i="1"/>
  <c r="K848" i="1"/>
  <c r="J848" i="1"/>
  <c r="I848" i="1"/>
  <c r="H848" i="1"/>
  <c r="V847" i="1"/>
  <c r="U847" i="1"/>
  <c r="T847" i="1"/>
  <c r="S847" i="1"/>
  <c r="R847" i="1"/>
  <c r="Q847" i="1"/>
  <c r="P847" i="1"/>
  <c r="O847" i="1"/>
  <c r="N847" i="1"/>
  <c r="M847" i="1"/>
  <c r="L847" i="1"/>
  <c r="K847" i="1"/>
  <c r="J847" i="1"/>
  <c r="I847" i="1"/>
  <c r="H847" i="1"/>
  <c r="V846" i="1"/>
  <c r="U846" i="1"/>
  <c r="T846" i="1"/>
  <c r="S846" i="1"/>
  <c r="R846" i="1"/>
  <c r="Q846" i="1"/>
  <c r="P846" i="1"/>
  <c r="O846" i="1"/>
  <c r="N846" i="1"/>
  <c r="M846" i="1"/>
  <c r="L846" i="1"/>
  <c r="K846" i="1"/>
  <c r="J846" i="1"/>
  <c r="I846" i="1"/>
  <c r="H846" i="1"/>
  <c r="V845" i="1"/>
  <c r="U845" i="1"/>
  <c r="T845" i="1"/>
  <c r="S845" i="1"/>
  <c r="R845" i="1"/>
  <c r="Q845" i="1"/>
  <c r="P845" i="1"/>
  <c r="O845" i="1"/>
  <c r="N845" i="1"/>
  <c r="M845" i="1"/>
  <c r="L845" i="1"/>
  <c r="K845" i="1"/>
  <c r="J845" i="1"/>
  <c r="I845" i="1"/>
  <c r="H845" i="1"/>
  <c r="V844" i="1"/>
  <c r="U844" i="1"/>
  <c r="T844" i="1"/>
  <c r="S844" i="1"/>
  <c r="R844" i="1"/>
  <c r="Q844" i="1"/>
  <c r="P844" i="1"/>
  <c r="O844" i="1"/>
  <c r="N844" i="1"/>
  <c r="M844" i="1"/>
  <c r="L844" i="1"/>
  <c r="K844" i="1"/>
  <c r="J844" i="1"/>
  <c r="I844" i="1"/>
  <c r="H844" i="1"/>
  <c r="V843" i="1"/>
  <c r="U843" i="1"/>
  <c r="T843" i="1"/>
  <c r="S843" i="1"/>
  <c r="R843" i="1"/>
  <c r="Q843" i="1"/>
  <c r="P843" i="1"/>
  <c r="O843" i="1"/>
  <c r="N843" i="1"/>
  <c r="M843" i="1"/>
  <c r="L843" i="1"/>
  <c r="K843" i="1"/>
  <c r="J843" i="1"/>
  <c r="I843" i="1"/>
  <c r="H843" i="1"/>
  <c r="V842" i="1"/>
  <c r="U842" i="1"/>
  <c r="T842" i="1"/>
  <c r="S842" i="1"/>
  <c r="R842" i="1"/>
  <c r="Q842" i="1"/>
  <c r="P842" i="1"/>
  <c r="O842" i="1"/>
  <c r="N842" i="1"/>
  <c r="M842" i="1"/>
  <c r="L842" i="1"/>
  <c r="K842" i="1"/>
  <c r="J842" i="1"/>
  <c r="I842" i="1"/>
  <c r="H842" i="1"/>
  <c r="V841" i="1"/>
  <c r="U841" i="1"/>
  <c r="T841" i="1"/>
  <c r="S841" i="1"/>
  <c r="R841" i="1"/>
  <c r="Q841" i="1"/>
  <c r="P841" i="1"/>
  <c r="O841" i="1"/>
  <c r="N841" i="1"/>
  <c r="M841" i="1"/>
  <c r="L841" i="1"/>
  <c r="K841" i="1"/>
  <c r="J841" i="1"/>
  <c r="I841" i="1"/>
  <c r="H841" i="1"/>
  <c r="V840" i="1"/>
  <c r="U840" i="1"/>
  <c r="T840" i="1"/>
  <c r="S840" i="1"/>
  <c r="R840" i="1"/>
  <c r="Q840" i="1"/>
  <c r="P840" i="1"/>
  <c r="O840" i="1"/>
  <c r="N840" i="1"/>
  <c r="M840" i="1"/>
  <c r="L840" i="1"/>
  <c r="K840" i="1"/>
  <c r="J840" i="1"/>
  <c r="I840" i="1"/>
  <c r="H840" i="1"/>
  <c r="V839" i="1"/>
  <c r="U839" i="1"/>
  <c r="T839" i="1"/>
  <c r="S839" i="1"/>
  <c r="R839" i="1"/>
  <c r="Q839" i="1"/>
  <c r="P839" i="1"/>
  <c r="O839" i="1"/>
  <c r="N839" i="1"/>
  <c r="M839" i="1"/>
  <c r="L839" i="1"/>
  <c r="K839" i="1"/>
  <c r="J839" i="1"/>
  <c r="I839" i="1"/>
  <c r="H839" i="1"/>
  <c r="V838" i="1"/>
  <c r="U838" i="1"/>
  <c r="T838" i="1"/>
  <c r="S838" i="1"/>
  <c r="R838" i="1"/>
  <c r="Q838" i="1"/>
  <c r="P838" i="1"/>
  <c r="O838" i="1"/>
  <c r="N838" i="1"/>
  <c r="M838" i="1"/>
  <c r="L838" i="1"/>
  <c r="K838" i="1"/>
  <c r="J838" i="1"/>
  <c r="I838" i="1"/>
  <c r="H838" i="1"/>
  <c r="V837" i="1"/>
  <c r="U837" i="1"/>
  <c r="T837" i="1"/>
  <c r="S837" i="1"/>
  <c r="R837" i="1"/>
  <c r="Q837" i="1"/>
  <c r="P837" i="1"/>
  <c r="O837" i="1"/>
  <c r="N837" i="1"/>
  <c r="M837" i="1"/>
  <c r="L837" i="1"/>
  <c r="K837" i="1"/>
  <c r="J837" i="1"/>
  <c r="I837" i="1"/>
  <c r="H837" i="1"/>
  <c r="V836" i="1"/>
  <c r="U836" i="1"/>
  <c r="T836" i="1"/>
  <c r="S836" i="1"/>
  <c r="R836" i="1"/>
  <c r="Q836" i="1"/>
  <c r="P836" i="1"/>
  <c r="O836" i="1"/>
  <c r="N836" i="1"/>
  <c r="M836" i="1"/>
  <c r="L836" i="1"/>
  <c r="K836" i="1"/>
  <c r="J836" i="1"/>
  <c r="I836" i="1"/>
  <c r="H836" i="1"/>
  <c r="V835" i="1"/>
  <c r="U835" i="1"/>
  <c r="T835" i="1"/>
  <c r="S835" i="1"/>
  <c r="R835" i="1"/>
  <c r="Q835" i="1"/>
  <c r="P835" i="1"/>
  <c r="O835" i="1"/>
  <c r="N835" i="1"/>
  <c r="M835" i="1"/>
  <c r="L835" i="1"/>
  <c r="K835" i="1"/>
  <c r="J835" i="1"/>
  <c r="I835" i="1"/>
  <c r="H835" i="1"/>
  <c r="V834" i="1"/>
  <c r="U834" i="1"/>
  <c r="T834" i="1"/>
  <c r="S834" i="1"/>
  <c r="R834" i="1"/>
  <c r="Q834" i="1"/>
  <c r="P834" i="1"/>
  <c r="O834" i="1"/>
  <c r="N834" i="1"/>
  <c r="M834" i="1"/>
  <c r="L834" i="1"/>
  <c r="K834" i="1"/>
  <c r="J834" i="1"/>
  <c r="I834" i="1"/>
  <c r="H834" i="1"/>
  <c r="V833" i="1"/>
  <c r="U833" i="1"/>
  <c r="T833" i="1"/>
  <c r="S833" i="1"/>
  <c r="R833" i="1"/>
  <c r="Q833" i="1"/>
  <c r="P833" i="1"/>
  <c r="O833" i="1"/>
  <c r="N833" i="1"/>
  <c r="M833" i="1"/>
  <c r="L833" i="1"/>
  <c r="K833" i="1"/>
  <c r="J833" i="1"/>
  <c r="I833" i="1"/>
  <c r="H833" i="1"/>
  <c r="V832" i="1"/>
  <c r="U832" i="1"/>
  <c r="T832" i="1"/>
  <c r="S832" i="1"/>
  <c r="R832" i="1"/>
  <c r="Q832" i="1"/>
  <c r="P832" i="1"/>
  <c r="O832" i="1"/>
  <c r="N832" i="1"/>
  <c r="M832" i="1"/>
  <c r="L832" i="1"/>
  <c r="K832" i="1"/>
  <c r="J832" i="1"/>
  <c r="I832" i="1"/>
  <c r="H832" i="1"/>
  <c r="V831" i="1"/>
  <c r="U831" i="1"/>
  <c r="T831" i="1"/>
  <c r="S831" i="1"/>
  <c r="R831" i="1"/>
  <c r="Q831" i="1"/>
  <c r="P831" i="1"/>
  <c r="O831" i="1"/>
  <c r="N831" i="1"/>
  <c r="M831" i="1"/>
  <c r="L831" i="1"/>
  <c r="K831" i="1"/>
  <c r="J831" i="1"/>
  <c r="I831" i="1"/>
  <c r="H831" i="1"/>
  <c r="V830" i="1"/>
  <c r="U830" i="1"/>
  <c r="T830" i="1"/>
  <c r="S830" i="1"/>
  <c r="R830" i="1"/>
  <c r="Q830" i="1"/>
  <c r="P830" i="1"/>
  <c r="O830" i="1"/>
  <c r="N830" i="1"/>
  <c r="M830" i="1"/>
  <c r="L830" i="1"/>
  <c r="K830" i="1"/>
  <c r="J830" i="1"/>
  <c r="I830" i="1"/>
  <c r="H830" i="1"/>
  <c r="V829" i="1"/>
  <c r="U829" i="1"/>
  <c r="T829" i="1"/>
  <c r="S829" i="1"/>
  <c r="R829" i="1"/>
  <c r="Q829" i="1"/>
  <c r="P829" i="1"/>
  <c r="O829" i="1"/>
  <c r="N829" i="1"/>
  <c r="M829" i="1"/>
  <c r="L829" i="1"/>
  <c r="K829" i="1"/>
  <c r="J829" i="1"/>
  <c r="I829" i="1"/>
  <c r="H829" i="1"/>
  <c r="V828" i="1"/>
  <c r="U828" i="1"/>
  <c r="T828" i="1"/>
  <c r="S828" i="1"/>
  <c r="R828" i="1"/>
  <c r="Q828" i="1"/>
  <c r="P828" i="1"/>
  <c r="O828" i="1"/>
  <c r="N828" i="1"/>
  <c r="M828" i="1"/>
  <c r="L828" i="1"/>
  <c r="K828" i="1"/>
  <c r="J828" i="1"/>
  <c r="I828" i="1"/>
  <c r="H828" i="1"/>
  <c r="V827" i="1"/>
  <c r="U827" i="1"/>
  <c r="T827" i="1"/>
  <c r="S827" i="1"/>
  <c r="R827" i="1"/>
  <c r="Q827" i="1"/>
  <c r="P827" i="1"/>
  <c r="O827" i="1"/>
  <c r="N827" i="1"/>
  <c r="M827" i="1"/>
  <c r="L827" i="1"/>
  <c r="K827" i="1"/>
  <c r="J827" i="1"/>
  <c r="I827" i="1"/>
  <c r="H827" i="1"/>
  <c r="V826" i="1"/>
  <c r="U826" i="1"/>
  <c r="T826" i="1"/>
  <c r="S826" i="1"/>
  <c r="R826" i="1"/>
  <c r="Q826" i="1"/>
  <c r="P826" i="1"/>
  <c r="O826" i="1"/>
  <c r="N826" i="1"/>
  <c r="M826" i="1"/>
  <c r="L826" i="1"/>
  <c r="K826" i="1"/>
  <c r="J826" i="1"/>
  <c r="I826" i="1"/>
  <c r="H826" i="1"/>
  <c r="V825" i="1"/>
  <c r="U825" i="1"/>
  <c r="T825" i="1"/>
  <c r="S825" i="1"/>
  <c r="R825" i="1"/>
  <c r="Q825" i="1"/>
  <c r="P825" i="1"/>
  <c r="O825" i="1"/>
  <c r="N825" i="1"/>
  <c r="M825" i="1"/>
  <c r="L825" i="1"/>
  <c r="K825" i="1"/>
  <c r="J825" i="1"/>
  <c r="I825" i="1"/>
  <c r="H825" i="1"/>
  <c r="V824" i="1"/>
  <c r="U824" i="1"/>
  <c r="T824" i="1"/>
  <c r="S824" i="1"/>
  <c r="R824" i="1"/>
  <c r="Q824" i="1"/>
  <c r="P824" i="1"/>
  <c r="O824" i="1"/>
  <c r="N824" i="1"/>
  <c r="M824" i="1"/>
  <c r="L824" i="1"/>
  <c r="K824" i="1"/>
  <c r="J824" i="1"/>
  <c r="I824" i="1"/>
  <c r="H824" i="1"/>
  <c r="V823" i="1"/>
  <c r="U823" i="1"/>
  <c r="T823" i="1"/>
  <c r="S823" i="1"/>
  <c r="R823" i="1"/>
  <c r="Q823" i="1"/>
  <c r="P823" i="1"/>
  <c r="O823" i="1"/>
  <c r="N823" i="1"/>
  <c r="M823" i="1"/>
  <c r="L823" i="1"/>
  <c r="K823" i="1"/>
  <c r="J823" i="1"/>
  <c r="I823" i="1"/>
  <c r="H823" i="1"/>
  <c r="V822" i="1"/>
  <c r="U822" i="1"/>
  <c r="T822" i="1"/>
  <c r="S822" i="1"/>
  <c r="R822" i="1"/>
  <c r="Q822" i="1"/>
  <c r="P822" i="1"/>
  <c r="O822" i="1"/>
  <c r="N822" i="1"/>
  <c r="M822" i="1"/>
  <c r="L822" i="1"/>
  <c r="K822" i="1"/>
  <c r="J822" i="1"/>
  <c r="I822" i="1"/>
  <c r="H822" i="1"/>
  <c r="V821" i="1"/>
  <c r="U821" i="1"/>
  <c r="T821" i="1"/>
  <c r="S821" i="1"/>
  <c r="R821" i="1"/>
  <c r="Q821" i="1"/>
  <c r="P821" i="1"/>
  <c r="O821" i="1"/>
  <c r="N821" i="1"/>
  <c r="M821" i="1"/>
  <c r="L821" i="1"/>
  <c r="K821" i="1"/>
  <c r="J821" i="1"/>
  <c r="I821" i="1"/>
  <c r="H821" i="1"/>
  <c r="V820" i="1"/>
  <c r="U820" i="1"/>
  <c r="T820" i="1"/>
  <c r="S820" i="1"/>
  <c r="R820" i="1"/>
  <c r="Q820" i="1"/>
  <c r="P820" i="1"/>
  <c r="O820" i="1"/>
  <c r="N820" i="1"/>
  <c r="M820" i="1"/>
  <c r="L820" i="1"/>
  <c r="K820" i="1"/>
  <c r="J820" i="1"/>
  <c r="I820" i="1"/>
  <c r="H820" i="1"/>
  <c r="V819" i="1"/>
  <c r="U819" i="1"/>
  <c r="T819" i="1"/>
  <c r="S819" i="1"/>
  <c r="R819" i="1"/>
  <c r="Q819" i="1"/>
  <c r="P819" i="1"/>
  <c r="O819" i="1"/>
  <c r="N819" i="1"/>
  <c r="M819" i="1"/>
  <c r="L819" i="1"/>
  <c r="K819" i="1"/>
  <c r="J819" i="1"/>
  <c r="I819" i="1"/>
  <c r="H819" i="1"/>
  <c r="V818" i="1"/>
  <c r="U818" i="1"/>
  <c r="T818" i="1"/>
  <c r="S818" i="1"/>
  <c r="R818" i="1"/>
  <c r="Q818" i="1"/>
  <c r="P818" i="1"/>
  <c r="O818" i="1"/>
  <c r="N818" i="1"/>
  <c r="M818" i="1"/>
  <c r="L818" i="1"/>
  <c r="K818" i="1"/>
  <c r="J818" i="1"/>
  <c r="I818" i="1"/>
  <c r="H818" i="1"/>
  <c r="V817" i="1"/>
  <c r="U817" i="1"/>
  <c r="T817" i="1"/>
  <c r="S817" i="1"/>
  <c r="R817" i="1"/>
  <c r="Q817" i="1"/>
  <c r="P817" i="1"/>
  <c r="O817" i="1"/>
  <c r="N817" i="1"/>
  <c r="M817" i="1"/>
  <c r="L817" i="1"/>
  <c r="K817" i="1"/>
  <c r="J817" i="1"/>
  <c r="I817" i="1"/>
  <c r="H817" i="1"/>
  <c r="V816" i="1"/>
  <c r="U816" i="1"/>
  <c r="T816" i="1"/>
  <c r="S816" i="1"/>
  <c r="R816" i="1"/>
  <c r="Q816" i="1"/>
  <c r="P816" i="1"/>
  <c r="O816" i="1"/>
  <c r="N816" i="1"/>
  <c r="M816" i="1"/>
  <c r="L816" i="1"/>
  <c r="K816" i="1"/>
  <c r="J816" i="1"/>
  <c r="I816" i="1"/>
  <c r="H816" i="1"/>
  <c r="V815" i="1"/>
  <c r="U815" i="1"/>
  <c r="T815" i="1"/>
  <c r="S815" i="1"/>
  <c r="R815" i="1"/>
  <c r="Q815" i="1"/>
  <c r="P815" i="1"/>
  <c r="O815" i="1"/>
  <c r="N815" i="1"/>
  <c r="M815" i="1"/>
  <c r="L815" i="1"/>
  <c r="K815" i="1"/>
  <c r="J815" i="1"/>
  <c r="I815" i="1"/>
  <c r="H815" i="1"/>
  <c r="V814" i="1"/>
  <c r="U814" i="1"/>
  <c r="T814" i="1"/>
  <c r="S814" i="1"/>
  <c r="R814" i="1"/>
  <c r="Q814" i="1"/>
  <c r="P814" i="1"/>
  <c r="O814" i="1"/>
  <c r="N814" i="1"/>
  <c r="M814" i="1"/>
  <c r="L814" i="1"/>
  <c r="K814" i="1"/>
  <c r="J814" i="1"/>
  <c r="I814" i="1"/>
  <c r="H814" i="1"/>
  <c r="V813" i="1"/>
  <c r="U813" i="1"/>
  <c r="T813" i="1"/>
  <c r="S813" i="1"/>
  <c r="R813" i="1"/>
  <c r="Q813" i="1"/>
  <c r="P813" i="1"/>
  <c r="O813" i="1"/>
  <c r="N813" i="1"/>
  <c r="M813" i="1"/>
  <c r="L813" i="1"/>
  <c r="K813" i="1"/>
  <c r="J813" i="1"/>
  <c r="I813" i="1"/>
  <c r="H813" i="1"/>
  <c r="V812" i="1"/>
  <c r="U812" i="1"/>
  <c r="T812" i="1"/>
  <c r="S812" i="1"/>
  <c r="R812" i="1"/>
  <c r="Q812" i="1"/>
  <c r="P812" i="1"/>
  <c r="O812" i="1"/>
  <c r="N812" i="1"/>
  <c r="M812" i="1"/>
  <c r="L812" i="1"/>
  <c r="K812" i="1"/>
  <c r="J812" i="1"/>
  <c r="I812" i="1"/>
  <c r="H812" i="1"/>
  <c r="V811" i="1"/>
  <c r="U811" i="1"/>
  <c r="T811" i="1"/>
  <c r="S811" i="1"/>
  <c r="R811" i="1"/>
  <c r="Q811" i="1"/>
  <c r="P811" i="1"/>
  <c r="O811" i="1"/>
  <c r="N811" i="1"/>
  <c r="M811" i="1"/>
  <c r="L811" i="1"/>
  <c r="K811" i="1"/>
  <c r="J811" i="1"/>
  <c r="I811" i="1"/>
  <c r="H811" i="1"/>
  <c r="V810" i="1"/>
  <c r="U810" i="1"/>
  <c r="T810" i="1"/>
  <c r="S810" i="1"/>
  <c r="R810" i="1"/>
  <c r="Q810" i="1"/>
  <c r="P810" i="1"/>
  <c r="O810" i="1"/>
  <c r="N810" i="1"/>
  <c r="M810" i="1"/>
  <c r="L810" i="1"/>
  <c r="K810" i="1"/>
  <c r="J810" i="1"/>
  <c r="I810" i="1"/>
  <c r="H810" i="1"/>
  <c r="V809" i="1"/>
  <c r="U809" i="1"/>
  <c r="T809" i="1"/>
  <c r="S809" i="1"/>
  <c r="R809" i="1"/>
  <c r="Q809" i="1"/>
  <c r="P809" i="1"/>
  <c r="O809" i="1"/>
  <c r="N809" i="1"/>
  <c r="M809" i="1"/>
  <c r="L809" i="1"/>
  <c r="K809" i="1"/>
  <c r="J809" i="1"/>
  <c r="I809" i="1"/>
  <c r="H809" i="1"/>
  <c r="V808" i="1"/>
  <c r="U808" i="1"/>
  <c r="T808" i="1"/>
  <c r="S808" i="1"/>
  <c r="R808" i="1"/>
  <c r="Q808" i="1"/>
  <c r="P808" i="1"/>
  <c r="O808" i="1"/>
  <c r="N808" i="1"/>
  <c r="M808" i="1"/>
  <c r="L808" i="1"/>
  <c r="K808" i="1"/>
  <c r="J808" i="1"/>
  <c r="I808" i="1"/>
  <c r="H808" i="1"/>
  <c r="V807" i="1"/>
  <c r="U807" i="1"/>
  <c r="T807" i="1"/>
  <c r="S807" i="1"/>
  <c r="R807" i="1"/>
  <c r="Q807" i="1"/>
  <c r="P807" i="1"/>
  <c r="O807" i="1"/>
  <c r="N807" i="1"/>
  <c r="M807" i="1"/>
  <c r="L807" i="1"/>
  <c r="K807" i="1"/>
  <c r="J807" i="1"/>
  <c r="I807" i="1"/>
  <c r="H807" i="1"/>
  <c r="V806" i="1"/>
  <c r="U806" i="1"/>
  <c r="T806" i="1"/>
  <c r="S806" i="1"/>
  <c r="R806" i="1"/>
  <c r="Q806" i="1"/>
  <c r="P806" i="1"/>
  <c r="O806" i="1"/>
  <c r="N806" i="1"/>
  <c r="M806" i="1"/>
  <c r="L806" i="1"/>
  <c r="K806" i="1"/>
  <c r="J806" i="1"/>
  <c r="I806" i="1"/>
  <c r="H806" i="1"/>
  <c r="V805" i="1"/>
  <c r="U805" i="1"/>
  <c r="T805" i="1"/>
  <c r="S805" i="1"/>
  <c r="R805" i="1"/>
  <c r="Q805" i="1"/>
  <c r="P805" i="1"/>
  <c r="O805" i="1"/>
  <c r="N805" i="1"/>
  <c r="M805" i="1"/>
  <c r="L805" i="1"/>
  <c r="K805" i="1"/>
  <c r="J805" i="1"/>
  <c r="I805" i="1"/>
  <c r="H805" i="1"/>
  <c r="V804" i="1"/>
  <c r="U804" i="1"/>
  <c r="T804" i="1"/>
  <c r="S804" i="1"/>
  <c r="R804" i="1"/>
  <c r="Q804" i="1"/>
  <c r="P804" i="1"/>
  <c r="O804" i="1"/>
  <c r="N804" i="1"/>
  <c r="M804" i="1"/>
  <c r="L804" i="1"/>
  <c r="K804" i="1"/>
  <c r="J804" i="1"/>
  <c r="I804" i="1"/>
  <c r="H804" i="1"/>
  <c r="V803" i="1"/>
  <c r="U803" i="1"/>
  <c r="T803" i="1"/>
  <c r="S803" i="1"/>
  <c r="R803" i="1"/>
  <c r="Q803" i="1"/>
  <c r="P803" i="1"/>
  <c r="O803" i="1"/>
  <c r="N803" i="1"/>
  <c r="M803" i="1"/>
  <c r="L803" i="1"/>
  <c r="K803" i="1"/>
  <c r="J803" i="1"/>
  <c r="I803" i="1"/>
  <c r="H803" i="1"/>
  <c r="V802" i="1"/>
  <c r="U802" i="1"/>
  <c r="T802" i="1"/>
  <c r="S802" i="1"/>
  <c r="R802" i="1"/>
  <c r="Q802" i="1"/>
  <c r="P802" i="1"/>
  <c r="O802" i="1"/>
  <c r="N802" i="1"/>
  <c r="M802" i="1"/>
  <c r="L802" i="1"/>
  <c r="K802" i="1"/>
  <c r="J802" i="1"/>
  <c r="I802" i="1"/>
  <c r="H802" i="1"/>
  <c r="V801" i="1"/>
  <c r="U801" i="1"/>
  <c r="T801" i="1"/>
  <c r="S801" i="1"/>
  <c r="R801" i="1"/>
  <c r="Q801" i="1"/>
  <c r="P801" i="1"/>
  <c r="O801" i="1"/>
  <c r="N801" i="1"/>
  <c r="M801" i="1"/>
  <c r="L801" i="1"/>
  <c r="K801" i="1"/>
  <c r="J801" i="1"/>
  <c r="I801" i="1"/>
  <c r="H801" i="1"/>
  <c r="V800" i="1"/>
  <c r="U800" i="1"/>
  <c r="T800" i="1"/>
  <c r="S800" i="1"/>
  <c r="R800" i="1"/>
  <c r="Q800" i="1"/>
  <c r="P800" i="1"/>
  <c r="O800" i="1"/>
  <c r="N800" i="1"/>
  <c r="M800" i="1"/>
  <c r="L800" i="1"/>
  <c r="K800" i="1"/>
  <c r="J800" i="1"/>
  <c r="I800" i="1"/>
  <c r="H800" i="1"/>
  <c r="V799" i="1"/>
  <c r="U799" i="1"/>
  <c r="T799" i="1"/>
  <c r="S799" i="1"/>
  <c r="R799" i="1"/>
  <c r="Q799" i="1"/>
  <c r="P799" i="1"/>
  <c r="O799" i="1"/>
  <c r="N799" i="1"/>
  <c r="M799" i="1"/>
  <c r="L799" i="1"/>
  <c r="K799" i="1"/>
  <c r="J799" i="1"/>
  <c r="I799" i="1"/>
  <c r="H799" i="1"/>
  <c r="V798" i="1"/>
  <c r="U798" i="1"/>
  <c r="T798" i="1"/>
  <c r="S798" i="1"/>
  <c r="R798" i="1"/>
  <c r="Q798" i="1"/>
  <c r="P798" i="1"/>
  <c r="O798" i="1"/>
  <c r="N798" i="1"/>
  <c r="M798" i="1"/>
  <c r="L798" i="1"/>
  <c r="K798" i="1"/>
  <c r="J798" i="1"/>
  <c r="I798" i="1"/>
  <c r="H798" i="1"/>
  <c r="V797" i="1"/>
  <c r="U797" i="1"/>
  <c r="T797" i="1"/>
  <c r="S797" i="1"/>
  <c r="R797" i="1"/>
  <c r="Q797" i="1"/>
  <c r="P797" i="1"/>
  <c r="O797" i="1"/>
  <c r="N797" i="1"/>
  <c r="M797" i="1"/>
  <c r="L797" i="1"/>
  <c r="K797" i="1"/>
  <c r="J797" i="1"/>
  <c r="I797" i="1"/>
  <c r="H797" i="1"/>
  <c r="V796" i="1"/>
  <c r="U796" i="1"/>
  <c r="T796" i="1"/>
  <c r="S796" i="1"/>
  <c r="R796" i="1"/>
  <c r="Q796" i="1"/>
  <c r="P796" i="1"/>
  <c r="O796" i="1"/>
  <c r="N796" i="1"/>
  <c r="M796" i="1"/>
  <c r="L796" i="1"/>
  <c r="K796" i="1"/>
  <c r="J796" i="1"/>
  <c r="I796" i="1"/>
  <c r="H796" i="1"/>
  <c r="V795" i="1"/>
  <c r="U795" i="1"/>
  <c r="T795" i="1"/>
  <c r="S795" i="1"/>
  <c r="R795" i="1"/>
  <c r="Q795" i="1"/>
  <c r="P795" i="1"/>
  <c r="O795" i="1"/>
  <c r="N795" i="1"/>
  <c r="M795" i="1"/>
  <c r="L795" i="1"/>
  <c r="K795" i="1"/>
  <c r="J795" i="1"/>
  <c r="I795" i="1"/>
  <c r="H795" i="1"/>
  <c r="V794" i="1"/>
  <c r="U794" i="1"/>
  <c r="T794" i="1"/>
  <c r="S794" i="1"/>
  <c r="R794" i="1"/>
  <c r="Q794" i="1"/>
  <c r="P794" i="1"/>
  <c r="O794" i="1"/>
  <c r="N794" i="1"/>
  <c r="M794" i="1"/>
  <c r="L794" i="1"/>
  <c r="K794" i="1"/>
  <c r="J794" i="1"/>
  <c r="I794" i="1"/>
  <c r="H794" i="1"/>
  <c r="V793" i="1"/>
  <c r="U793" i="1"/>
  <c r="T793" i="1"/>
  <c r="S793" i="1"/>
  <c r="R793" i="1"/>
  <c r="Q793" i="1"/>
  <c r="P793" i="1"/>
  <c r="O793" i="1"/>
  <c r="N793" i="1"/>
  <c r="M793" i="1"/>
  <c r="L793" i="1"/>
  <c r="K793" i="1"/>
  <c r="J793" i="1"/>
  <c r="I793" i="1"/>
  <c r="H793" i="1"/>
  <c r="V792" i="1"/>
  <c r="U792" i="1"/>
  <c r="T792" i="1"/>
  <c r="S792" i="1"/>
  <c r="R792" i="1"/>
  <c r="Q792" i="1"/>
  <c r="P792" i="1"/>
  <c r="O792" i="1"/>
  <c r="N792" i="1"/>
  <c r="M792" i="1"/>
  <c r="L792" i="1"/>
  <c r="K792" i="1"/>
  <c r="J792" i="1"/>
  <c r="I792" i="1"/>
  <c r="H792" i="1"/>
  <c r="V791" i="1"/>
  <c r="U791" i="1"/>
  <c r="T791" i="1"/>
  <c r="S791" i="1"/>
  <c r="R791" i="1"/>
  <c r="Q791" i="1"/>
  <c r="P791" i="1"/>
  <c r="O791" i="1"/>
  <c r="N791" i="1"/>
  <c r="M791" i="1"/>
  <c r="L791" i="1"/>
  <c r="K791" i="1"/>
  <c r="J791" i="1"/>
  <c r="I791" i="1"/>
  <c r="H791" i="1"/>
  <c r="V790" i="1"/>
  <c r="U790" i="1"/>
  <c r="T790" i="1"/>
  <c r="S790" i="1"/>
  <c r="R790" i="1"/>
  <c r="Q790" i="1"/>
  <c r="P790" i="1"/>
  <c r="O790" i="1"/>
  <c r="N790" i="1"/>
  <c r="M790" i="1"/>
  <c r="L790" i="1"/>
  <c r="K790" i="1"/>
  <c r="J790" i="1"/>
  <c r="I790" i="1"/>
  <c r="H790" i="1"/>
  <c r="V789" i="1"/>
  <c r="U789" i="1"/>
  <c r="T789" i="1"/>
  <c r="S789" i="1"/>
  <c r="R789" i="1"/>
  <c r="Q789" i="1"/>
  <c r="P789" i="1"/>
  <c r="O789" i="1"/>
  <c r="N789" i="1"/>
  <c r="M789" i="1"/>
  <c r="L789" i="1"/>
  <c r="K789" i="1"/>
  <c r="J789" i="1"/>
  <c r="I789" i="1"/>
  <c r="H789" i="1"/>
  <c r="V788" i="1"/>
  <c r="U788" i="1"/>
  <c r="T788" i="1"/>
  <c r="S788" i="1"/>
  <c r="R788" i="1"/>
  <c r="Q788" i="1"/>
  <c r="P788" i="1"/>
  <c r="O788" i="1"/>
  <c r="N788" i="1"/>
  <c r="M788" i="1"/>
  <c r="L788" i="1"/>
  <c r="K788" i="1"/>
  <c r="J788" i="1"/>
  <c r="I788" i="1"/>
  <c r="H788" i="1"/>
  <c r="V787" i="1"/>
  <c r="U787" i="1"/>
  <c r="T787" i="1"/>
  <c r="S787" i="1"/>
  <c r="R787" i="1"/>
  <c r="Q787" i="1"/>
  <c r="P787" i="1"/>
  <c r="O787" i="1"/>
  <c r="N787" i="1"/>
  <c r="M787" i="1"/>
  <c r="L787" i="1"/>
  <c r="K787" i="1"/>
  <c r="J787" i="1"/>
  <c r="I787" i="1"/>
  <c r="H787" i="1"/>
  <c r="V786" i="1"/>
  <c r="U786" i="1"/>
  <c r="T786" i="1"/>
  <c r="S786" i="1"/>
  <c r="R786" i="1"/>
  <c r="Q786" i="1"/>
  <c r="P786" i="1"/>
  <c r="O786" i="1"/>
  <c r="N786" i="1"/>
  <c r="M786" i="1"/>
  <c r="L786" i="1"/>
  <c r="K786" i="1"/>
  <c r="J786" i="1"/>
  <c r="I786" i="1"/>
  <c r="H786" i="1"/>
  <c r="V785" i="1"/>
  <c r="U785" i="1"/>
  <c r="T785" i="1"/>
  <c r="S785" i="1"/>
  <c r="R785" i="1"/>
  <c r="Q785" i="1"/>
  <c r="P785" i="1"/>
  <c r="O785" i="1"/>
  <c r="N785" i="1"/>
  <c r="M785" i="1"/>
  <c r="L785" i="1"/>
  <c r="K785" i="1"/>
  <c r="J785" i="1"/>
  <c r="I785" i="1"/>
  <c r="H785" i="1"/>
  <c r="V784" i="1"/>
  <c r="U784" i="1"/>
  <c r="T784" i="1"/>
  <c r="S784" i="1"/>
  <c r="R784" i="1"/>
  <c r="Q784" i="1"/>
  <c r="P784" i="1"/>
  <c r="O784" i="1"/>
  <c r="N784" i="1"/>
  <c r="M784" i="1"/>
  <c r="L784" i="1"/>
  <c r="K784" i="1"/>
  <c r="J784" i="1"/>
  <c r="I784" i="1"/>
  <c r="H784" i="1"/>
  <c r="V783" i="1"/>
  <c r="U783" i="1"/>
  <c r="T783" i="1"/>
  <c r="S783" i="1"/>
  <c r="R783" i="1"/>
  <c r="Q783" i="1"/>
  <c r="P783" i="1"/>
  <c r="O783" i="1"/>
  <c r="N783" i="1"/>
  <c r="M783" i="1"/>
  <c r="L783" i="1"/>
  <c r="K783" i="1"/>
  <c r="J783" i="1"/>
  <c r="I783" i="1"/>
  <c r="H783" i="1"/>
  <c r="V782" i="1"/>
  <c r="U782" i="1"/>
  <c r="T782" i="1"/>
  <c r="S782" i="1"/>
  <c r="R782" i="1"/>
  <c r="Q782" i="1"/>
  <c r="P782" i="1"/>
  <c r="O782" i="1"/>
  <c r="N782" i="1"/>
  <c r="M782" i="1"/>
  <c r="L782" i="1"/>
  <c r="K782" i="1"/>
  <c r="J782" i="1"/>
  <c r="I782" i="1"/>
  <c r="H782" i="1"/>
  <c r="V781" i="1"/>
  <c r="U781" i="1"/>
  <c r="T781" i="1"/>
  <c r="S781" i="1"/>
  <c r="R781" i="1"/>
  <c r="Q781" i="1"/>
  <c r="P781" i="1"/>
  <c r="O781" i="1"/>
  <c r="N781" i="1"/>
  <c r="M781" i="1"/>
  <c r="L781" i="1"/>
  <c r="K781" i="1"/>
  <c r="J781" i="1"/>
  <c r="I781" i="1"/>
  <c r="H781" i="1"/>
  <c r="V780" i="1"/>
  <c r="U780" i="1"/>
  <c r="T780" i="1"/>
  <c r="S780" i="1"/>
  <c r="R780" i="1"/>
  <c r="Q780" i="1"/>
  <c r="P780" i="1"/>
  <c r="O780" i="1"/>
  <c r="N780" i="1"/>
  <c r="M780" i="1"/>
  <c r="L780" i="1"/>
  <c r="K780" i="1"/>
  <c r="J780" i="1"/>
  <c r="I780" i="1"/>
  <c r="H780" i="1"/>
  <c r="V779" i="1"/>
  <c r="U779" i="1"/>
  <c r="T779" i="1"/>
  <c r="S779" i="1"/>
  <c r="R779" i="1"/>
  <c r="Q779" i="1"/>
  <c r="P779" i="1"/>
  <c r="O779" i="1"/>
  <c r="N779" i="1"/>
  <c r="M779" i="1"/>
  <c r="L779" i="1"/>
  <c r="K779" i="1"/>
  <c r="J779" i="1"/>
  <c r="I779" i="1"/>
  <c r="H779" i="1"/>
  <c r="V778" i="1"/>
  <c r="U778" i="1"/>
  <c r="T778" i="1"/>
  <c r="S778" i="1"/>
  <c r="R778" i="1"/>
  <c r="Q778" i="1"/>
  <c r="P778" i="1"/>
  <c r="O778" i="1"/>
  <c r="N778" i="1"/>
  <c r="M778" i="1"/>
  <c r="L778" i="1"/>
  <c r="K778" i="1"/>
  <c r="J778" i="1"/>
  <c r="I778" i="1"/>
  <c r="H778" i="1"/>
  <c r="V777" i="1"/>
  <c r="U777" i="1"/>
  <c r="T777" i="1"/>
  <c r="S777" i="1"/>
  <c r="R777" i="1"/>
  <c r="Q777" i="1"/>
  <c r="P777" i="1"/>
  <c r="O777" i="1"/>
  <c r="N777" i="1"/>
  <c r="M777" i="1"/>
  <c r="L777" i="1"/>
  <c r="K777" i="1"/>
  <c r="J777" i="1"/>
  <c r="I777" i="1"/>
  <c r="H777" i="1"/>
  <c r="V776" i="1"/>
  <c r="U776" i="1"/>
  <c r="T776" i="1"/>
  <c r="S776" i="1"/>
  <c r="R776" i="1"/>
  <c r="Q776" i="1"/>
  <c r="P776" i="1"/>
  <c r="O776" i="1"/>
  <c r="N776" i="1"/>
  <c r="M776" i="1"/>
  <c r="L776" i="1"/>
  <c r="K776" i="1"/>
  <c r="J776" i="1"/>
  <c r="I776" i="1"/>
  <c r="H776" i="1"/>
  <c r="V775" i="1"/>
  <c r="U775" i="1"/>
  <c r="T775" i="1"/>
  <c r="S775" i="1"/>
  <c r="R775" i="1"/>
  <c r="Q775" i="1"/>
  <c r="P775" i="1"/>
  <c r="O775" i="1"/>
  <c r="N775" i="1"/>
  <c r="M775" i="1"/>
  <c r="L775" i="1"/>
  <c r="K775" i="1"/>
  <c r="J775" i="1"/>
  <c r="I775" i="1"/>
  <c r="H775" i="1"/>
  <c r="V774" i="1"/>
  <c r="U774" i="1"/>
  <c r="T774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V773" i="1"/>
  <c r="U773" i="1"/>
  <c r="T773" i="1"/>
  <c r="S773" i="1"/>
  <c r="R773" i="1"/>
  <c r="Q773" i="1"/>
  <c r="P773" i="1"/>
  <c r="O773" i="1"/>
  <c r="N773" i="1"/>
  <c r="M773" i="1"/>
  <c r="L773" i="1"/>
  <c r="K773" i="1"/>
  <c r="J773" i="1"/>
  <c r="I773" i="1"/>
  <c r="H773" i="1"/>
  <c r="V772" i="1"/>
  <c r="U772" i="1"/>
  <c r="T772" i="1"/>
  <c r="S772" i="1"/>
  <c r="R772" i="1"/>
  <c r="Q772" i="1"/>
  <c r="P772" i="1"/>
  <c r="O772" i="1"/>
  <c r="N772" i="1"/>
  <c r="M772" i="1"/>
  <c r="L772" i="1"/>
  <c r="K772" i="1"/>
  <c r="J772" i="1"/>
  <c r="I772" i="1"/>
  <c r="H772" i="1"/>
  <c r="V771" i="1"/>
  <c r="U771" i="1"/>
  <c r="T771" i="1"/>
  <c r="S771" i="1"/>
  <c r="R771" i="1"/>
  <c r="Q771" i="1"/>
  <c r="P771" i="1"/>
  <c r="O771" i="1"/>
  <c r="N771" i="1"/>
  <c r="M771" i="1"/>
  <c r="L771" i="1"/>
  <c r="K771" i="1"/>
  <c r="J771" i="1"/>
  <c r="I771" i="1"/>
  <c r="H771" i="1"/>
  <c r="V770" i="1"/>
  <c r="U770" i="1"/>
  <c r="T770" i="1"/>
  <c r="S770" i="1"/>
  <c r="R770" i="1"/>
  <c r="Q770" i="1"/>
  <c r="P770" i="1"/>
  <c r="O770" i="1"/>
  <c r="N770" i="1"/>
  <c r="M770" i="1"/>
  <c r="L770" i="1"/>
  <c r="K770" i="1"/>
  <c r="J770" i="1"/>
  <c r="I770" i="1"/>
  <c r="H770" i="1"/>
  <c r="V769" i="1"/>
  <c r="U769" i="1"/>
  <c r="T769" i="1"/>
  <c r="S769" i="1"/>
  <c r="R769" i="1"/>
  <c r="Q769" i="1"/>
  <c r="P769" i="1"/>
  <c r="O769" i="1"/>
  <c r="N769" i="1"/>
  <c r="M769" i="1"/>
  <c r="L769" i="1"/>
  <c r="K769" i="1"/>
  <c r="J769" i="1"/>
  <c r="I769" i="1"/>
  <c r="H769" i="1"/>
  <c r="V768" i="1"/>
  <c r="U768" i="1"/>
  <c r="T768" i="1"/>
  <c r="S768" i="1"/>
  <c r="R768" i="1"/>
  <c r="Q768" i="1"/>
  <c r="P768" i="1"/>
  <c r="O768" i="1"/>
  <c r="N768" i="1"/>
  <c r="M768" i="1"/>
  <c r="L768" i="1"/>
  <c r="K768" i="1"/>
  <c r="J768" i="1"/>
  <c r="I768" i="1"/>
  <c r="H768" i="1"/>
  <c r="V767" i="1"/>
  <c r="U767" i="1"/>
  <c r="T767" i="1"/>
  <c r="S767" i="1"/>
  <c r="R767" i="1"/>
  <c r="Q767" i="1"/>
  <c r="P767" i="1"/>
  <c r="O767" i="1"/>
  <c r="N767" i="1"/>
  <c r="M767" i="1"/>
  <c r="L767" i="1"/>
  <c r="K767" i="1"/>
  <c r="J767" i="1"/>
  <c r="I767" i="1"/>
  <c r="H767" i="1"/>
  <c r="V766" i="1"/>
  <c r="U766" i="1"/>
  <c r="T766" i="1"/>
  <c r="S766" i="1"/>
  <c r="R766" i="1"/>
  <c r="Q766" i="1"/>
  <c r="P766" i="1"/>
  <c r="O766" i="1"/>
  <c r="N766" i="1"/>
  <c r="M766" i="1"/>
  <c r="L766" i="1"/>
  <c r="K766" i="1"/>
  <c r="J766" i="1"/>
  <c r="I766" i="1"/>
  <c r="H766" i="1"/>
  <c r="V765" i="1"/>
  <c r="U765" i="1"/>
  <c r="T765" i="1"/>
  <c r="S765" i="1"/>
  <c r="R765" i="1"/>
  <c r="Q765" i="1"/>
  <c r="P765" i="1"/>
  <c r="O765" i="1"/>
  <c r="N765" i="1"/>
  <c r="M765" i="1"/>
  <c r="L765" i="1"/>
  <c r="K765" i="1"/>
  <c r="J765" i="1"/>
  <c r="I765" i="1"/>
  <c r="H765" i="1"/>
  <c r="V764" i="1"/>
  <c r="U764" i="1"/>
  <c r="T764" i="1"/>
  <c r="S764" i="1"/>
  <c r="R764" i="1"/>
  <c r="Q764" i="1"/>
  <c r="P764" i="1"/>
  <c r="O764" i="1"/>
  <c r="N764" i="1"/>
  <c r="M764" i="1"/>
  <c r="L764" i="1"/>
  <c r="K764" i="1"/>
  <c r="J764" i="1"/>
  <c r="I764" i="1"/>
  <c r="H764" i="1"/>
  <c r="V763" i="1"/>
  <c r="U763" i="1"/>
  <c r="T763" i="1"/>
  <c r="S763" i="1"/>
  <c r="R763" i="1"/>
  <c r="Q763" i="1"/>
  <c r="P763" i="1"/>
  <c r="O763" i="1"/>
  <c r="N763" i="1"/>
  <c r="M763" i="1"/>
  <c r="L763" i="1"/>
  <c r="K763" i="1"/>
  <c r="J763" i="1"/>
  <c r="I763" i="1"/>
  <c r="H763" i="1"/>
  <c r="V762" i="1"/>
  <c r="U762" i="1"/>
  <c r="T762" i="1"/>
  <c r="S762" i="1"/>
  <c r="R762" i="1"/>
  <c r="Q762" i="1"/>
  <c r="P762" i="1"/>
  <c r="O762" i="1"/>
  <c r="N762" i="1"/>
  <c r="M762" i="1"/>
  <c r="L762" i="1"/>
  <c r="K762" i="1"/>
  <c r="J762" i="1"/>
  <c r="I762" i="1"/>
  <c r="H762" i="1"/>
  <c r="V761" i="1"/>
  <c r="U761" i="1"/>
  <c r="T761" i="1"/>
  <c r="S761" i="1"/>
  <c r="R761" i="1"/>
  <c r="Q761" i="1"/>
  <c r="P761" i="1"/>
  <c r="O761" i="1"/>
  <c r="N761" i="1"/>
  <c r="M761" i="1"/>
  <c r="L761" i="1"/>
  <c r="K761" i="1"/>
  <c r="J761" i="1"/>
  <c r="I761" i="1"/>
  <c r="H761" i="1"/>
  <c r="V760" i="1"/>
  <c r="U760" i="1"/>
  <c r="T760" i="1"/>
  <c r="S760" i="1"/>
  <c r="R760" i="1"/>
  <c r="Q760" i="1"/>
  <c r="P760" i="1"/>
  <c r="O760" i="1"/>
  <c r="N760" i="1"/>
  <c r="M760" i="1"/>
  <c r="L760" i="1"/>
  <c r="K760" i="1"/>
  <c r="J760" i="1"/>
  <c r="I760" i="1"/>
  <c r="H760" i="1"/>
  <c r="V759" i="1"/>
  <c r="U759" i="1"/>
  <c r="T759" i="1"/>
  <c r="S759" i="1"/>
  <c r="R759" i="1"/>
  <c r="Q759" i="1"/>
  <c r="P759" i="1"/>
  <c r="O759" i="1"/>
  <c r="N759" i="1"/>
  <c r="M759" i="1"/>
  <c r="L759" i="1"/>
  <c r="K759" i="1"/>
  <c r="J759" i="1"/>
  <c r="I759" i="1"/>
  <c r="H759" i="1"/>
  <c r="V758" i="1"/>
  <c r="U758" i="1"/>
  <c r="T758" i="1"/>
  <c r="S758" i="1"/>
  <c r="R758" i="1"/>
  <c r="Q758" i="1"/>
  <c r="P758" i="1"/>
  <c r="O758" i="1"/>
  <c r="N758" i="1"/>
  <c r="M758" i="1"/>
  <c r="L758" i="1"/>
  <c r="K758" i="1"/>
  <c r="J758" i="1"/>
  <c r="I758" i="1"/>
  <c r="H758" i="1"/>
  <c r="V757" i="1"/>
  <c r="U757" i="1"/>
  <c r="T757" i="1"/>
  <c r="S757" i="1"/>
  <c r="R757" i="1"/>
  <c r="Q757" i="1"/>
  <c r="P757" i="1"/>
  <c r="O757" i="1"/>
  <c r="N757" i="1"/>
  <c r="M757" i="1"/>
  <c r="L757" i="1"/>
  <c r="K757" i="1"/>
  <c r="J757" i="1"/>
  <c r="I757" i="1"/>
  <c r="H757" i="1"/>
  <c r="V756" i="1"/>
  <c r="U756" i="1"/>
  <c r="T756" i="1"/>
  <c r="S756" i="1"/>
  <c r="R756" i="1"/>
  <c r="Q756" i="1"/>
  <c r="P756" i="1"/>
  <c r="O756" i="1"/>
  <c r="N756" i="1"/>
  <c r="M756" i="1"/>
  <c r="L756" i="1"/>
  <c r="K756" i="1"/>
  <c r="J756" i="1"/>
  <c r="I756" i="1"/>
  <c r="H756" i="1"/>
  <c r="V755" i="1"/>
  <c r="U755" i="1"/>
  <c r="T755" i="1"/>
  <c r="S755" i="1"/>
  <c r="R755" i="1"/>
  <c r="Q755" i="1"/>
  <c r="P755" i="1"/>
  <c r="O755" i="1"/>
  <c r="N755" i="1"/>
  <c r="M755" i="1"/>
  <c r="L755" i="1"/>
  <c r="K755" i="1"/>
  <c r="J755" i="1"/>
  <c r="I755" i="1"/>
  <c r="H755" i="1"/>
  <c r="V754" i="1"/>
  <c r="U754" i="1"/>
  <c r="T754" i="1"/>
  <c r="S754" i="1"/>
  <c r="R754" i="1"/>
  <c r="Q754" i="1"/>
  <c r="P754" i="1"/>
  <c r="O754" i="1"/>
  <c r="N754" i="1"/>
  <c r="M754" i="1"/>
  <c r="L754" i="1"/>
  <c r="K754" i="1"/>
  <c r="J754" i="1"/>
  <c r="I754" i="1"/>
  <c r="H754" i="1"/>
  <c r="V753" i="1"/>
  <c r="U753" i="1"/>
  <c r="T753" i="1"/>
  <c r="S753" i="1"/>
  <c r="R753" i="1"/>
  <c r="Q753" i="1"/>
  <c r="P753" i="1"/>
  <c r="O753" i="1"/>
  <c r="N753" i="1"/>
  <c r="M753" i="1"/>
  <c r="L753" i="1"/>
  <c r="K753" i="1"/>
  <c r="J753" i="1"/>
  <c r="I753" i="1"/>
  <c r="H753" i="1"/>
  <c r="V752" i="1"/>
  <c r="U752" i="1"/>
  <c r="T752" i="1"/>
  <c r="S752" i="1"/>
  <c r="R752" i="1"/>
  <c r="Q752" i="1"/>
  <c r="P752" i="1"/>
  <c r="O752" i="1"/>
  <c r="N752" i="1"/>
  <c r="M752" i="1"/>
  <c r="L752" i="1"/>
  <c r="K752" i="1"/>
  <c r="J752" i="1"/>
  <c r="I752" i="1"/>
  <c r="H752" i="1"/>
  <c r="V751" i="1"/>
  <c r="U751" i="1"/>
  <c r="T751" i="1"/>
  <c r="S751" i="1"/>
  <c r="R751" i="1"/>
  <c r="Q751" i="1"/>
  <c r="P751" i="1"/>
  <c r="O751" i="1"/>
  <c r="N751" i="1"/>
  <c r="M751" i="1"/>
  <c r="L751" i="1"/>
  <c r="K751" i="1"/>
  <c r="J751" i="1"/>
  <c r="I751" i="1"/>
  <c r="H751" i="1"/>
  <c r="V750" i="1"/>
  <c r="U750" i="1"/>
  <c r="T750" i="1"/>
  <c r="S750" i="1"/>
  <c r="R750" i="1"/>
  <c r="Q750" i="1"/>
  <c r="P750" i="1"/>
  <c r="O750" i="1"/>
  <c r="N750" i="1"/>
  <c r="M750" i="1"/>
  <c r="L750" i="1"/>
  <c r="K750" i="1"/>
  <c r="J750" i="1"/>
  <c r="I750" i="1"/>
  <c r="H750" i="1"/>
  <c r="V749" i="1"/>
  <c r="U749" i="1"/>
  <c r="T749" i="1"/>
  <c r="S749" i="1"/>
  <c r="R749" i="1"/>
  <c r="Q749" i="1"/>
  <c r="P749" i="1"/>
  <c r="O749" i="1"/>
  <c r="N749" i="1"/>
  <c r="M749" i="1"/>
  <c r="L749" i="1"/>
  <c r="K749" i="1"/>
  <c r="J749" i="1"/>
  <c r="I749" i="1"/>
  <c r="H749" i="1"/>
  <c r="V748" i="1"/>
  <c r="U748" i="1"/>
  <c r="T748" i="1"/>
  <c r="S748" i="1"/>
  <c r="R748" i="1"/>
  <c r="Q748" i="1"/>
  <c r="P748" i="1"/>
  <c r="O748" i="1"/>
  <c r="N748" i="1"/>
  <c r="M748" i="1"/>
  <c r="L748" i="1"/>
  <c r="K748" i="1"/>
  <c r="J748" i="1"/>
  <c r="I748" i="1"/>
  <c r="H748" i="1"/>
  <c r="V747" i="1"/>
  <c r="U747" i="1"/>
  <c r="T747" i="1"/>
  <c r="S747" i="1"/>
  <c r="R747" i="1"/>
  <c r="Q747" i="1"/>
  <c r="P747" i="1"/>
  <c r="O747" i="1"/>
  <c r="N747" i="1"/>
  <c r="M747" i="1"/>
  <c r="L747" i="1"/>
  <c r="K747" i="1"/>
  <c r="J747" i="1"/>
  <c r="I747" i="1"/>
  <c r="H747" i="1"/>
  <c r="V746" i="1"/>
  <c r="U746" i="1"/>
  <c r="T746" i="1"/>
  <c r="S746" i="1"/>
  <c r="R746" i="1"/>
  <c r="Q746" i="1"/>
  <c r="P746" i="1"/>
  <c r="O746" i="1"/>
  <c r="N746" i="1"/>
  <c r="M746" i="1"/>
  <c r="L746" i="1"/>
  <c r="K746" i="1"/>
  <c r="J746" i="1"/>
  <c r="I746" i="1"/>
  <c r="H746" i="1"/>
  <c r="V745" i="1"/>
  <c r="U745" i="1"/>
  <c r="T745" i="1"/>
  <c r="S745" i="1"/>
  <c r="R745" i="1"/>
  <c r="Q745" i="1"/>
  <c r="P745" i="1"/>
  <c r="O745" i="1"/>
  <c r="N745" i="1"/>
  <c r="M745" i="1"/>
  <c r="L745" i="1"/>
  <c r="K745" i="1"/>
  <c r="J745" i="1"/>
  <c r="I745" i="1"/>
  <c r="H745" i="1"/>
  <c r="V744" i="1"/>
  <c r="U744" i="1"/>
  <c r="T744" i="1"/>
  <c r="S744" i="1"/>
  <c r="R744" i="1"/>
  <c r="Q744" i="1"/>
  <c r="P744" i="1"/>
  <c r="O744" i="1"/>
  <c r="N744" i="1"/>
  <c r="M744" i="1"/>
  <c r="L744" i="1"/>
  <c r="K744" i="1"/>
  <c r="J744" i="1"/>
  <c r="I744" i="1"/>
  <c r="H744" i="1"/>
  <c r="V743" i="1"/>
  <c r="U743" i="1"/>
  <c r="T743" i="1"/>
  <c r="S743" i="1"/>
  <c r="R743" i="1"/>
  <c r="Q743" i="1"/>
  <c r="P743" i="1"/>
  <c r="O743" i="1"/>
  <c r="N743" i="1"/>
  <c r="M743" i="1"/>
  <c r="L743" i="1"/>
  <c r="K743" i="1"/>
  <c r="J743" i="1"/>
  <c r="I743" i="1"/>
  <c r="H743" i="1"/>
  <c r="V742" i="1"/>
  <c r="U742" i="1"/>
  <c r="T742" i="1"/>
  <c r="S742" i="1"/>
  <c r="R742" i="1"/>
  <c r="Q742" i="1"/>
  <c r="P742" i="1"/>
  <c r="O742" i="1"/>
  <c r="N742" i="1"/>
  <c r="M742" i="1"/>
  <c r="L742" i="1"/>
  <c r="K742" i="1"/>
  <c r="J742" i="1"/>
  <c r="I742" i="1"/>
  <c r="H742" i="1"/>
  <c r="V741" i="1"/>
  <c r="U741" i="1"/>
  <c r="T741" i="1"/>
  <c r="S741" i="1"/>
  <c r="R741" i="1"/>
  <c r="Q741" i="1"/>
  <c r="P741" i="1"/>
  <c r="O741" i="1"/>
  <c r="N741" i="1"/>
  <c r="M741" i="1"/>
  <c r="L741" i="1"/>
  <c r="K741" i="1"/>
  <c r="J741" i="1"/>
  <c r="I741" i="1"/>
  <c r="H741" i="1"/>
  <c r="V740" i="1"/>
  <c r="U740" i="1"/>
  <c r="T740" i="1"/>
  <c r="S740" i="1"/>
  <c r="R740" i="1"/>
  <c r="Q740" i="1"/>
  <c r="P740" i="1"/>
  <c r="O740" i="1"/>
  <c r="N740" i="1"/>
  <c r="M740" i="1"/>
  <c r="L740" i="1"/>
  <c r="K740" i="1"/>
  <c r="J740" i="1"/>
  <c r="I740" i="1"/>
  <c r="H740" i="1"/>
  <c r="V739" i="1"/>
  <c r="U739" i="1"/>
  <c r="T739" i="1"/>
  <c r="S739" i="1"/>
  <c r="R739" i="1"/>
  <c r="Q739" i="1"/>
  <c r="P739" i="1"/>
  <c r="O739" i="1"/>
  <c r="N739" i="1"/>
  <c r="M739" i="1"/>
  <c r="L739" i="1"/>
  <c r="K739" i="1"/>
  <c r="J739" i="1"/>
  <c r="I739" i="1"/>
  <c r="H739" i="1"/>
  <c r="V738" i="1"/>
  <c r="U738" i="1"/>
  <c r="T738" i="1"/>
  <c r="S738" i="1"/>
  <c r="R738" i="1"/>
  <c r="Q738" i="1"/>
  <c r="P738" i="1"/>
  <c r="O738" i="1"/>
  <c r="N738" i="1"/>
  <c r="M738" i="1"/>
  <c r="L738" i="1"/>
  <c r="K738" i="1"/>
  <c r="J738" i="1"/>
  <c r="I738" i="1"/>
  <c r="H738" i="1"/>
  <c r="V737" i="1"/>
  <c r="U737" i="1"/>
  <c r="T737" i="1"/>
  <c r="S737" i="1"/>
  <c r="R737" i="1"/>
  <c r="Q737" i="1"/>
  <c r="P737" i="1"/>
  <c r="O737" i="1"/>
  <c r="N737" i="1"/>
  <c r="M737" i="1"/>
  <c r="L737" i="1"/>
  <c r="K737" i="1"/>
  <c r="J737" i="1"/>
  <c r="I737" i="1"/>
  <c r="H737" i="1"/>
  <c r="V736" i="1"/>
  <c r="U736" i="1"/>
  <c r="T736" i="1"/>
  <c r="S736" i="1"/>
  <c r="R736" i="1"/>
  <c r="Q736" i="1"/>
  <c r="P736" i="1"/>
  <c r="O736" i="1"/>
  <c r="N736" i="1"/>
  <c r="M736" i="1"/>
  <c r="L736" i="1"/>
  <c r="K736" i="1"/>
  <c r="J736" i="1"/>
  <c r="I736" i="1"/>
  <c r="H736" i="1"/>
  <c r="V735" i="1"/>
  <c r="U735" i="1"/>
  <c r="T735" i="1"/>
  <c r="S735" i="1"/>
  <c r="R735" i="1"/>
  <c r="Q735" i="1"/>
  <c r="P735" i="1"/>
  <c r="O735" i="1"/>
  <c r="N735" i="1"/>
  <c r="M735" i="1"/>
  <c r="L735" i="1"/>
  <c r="K735" i="1"/>
  <c r="J735" i="1"/>
  <c r="I735" i="1"/>
  <c r="H735" i="1"/>
  <c r="V734" i="1"/>
  <c r="U734" i="1"/>
  <c r="T734" i="1"/>
  <c r="S734" i="1"/>
  <c r="R734" i="1"/>
  <c r="Q734" i="1"/>
  <c r="P734" i="1"/>
  <c r="O734" i="1"/>
  <c r="N734" i="1"/>
  <c r="M734" i="1"/>
  <c r="L734" i="1"/>
  <c r="K734" i="1"/>
  <c r="J734" i="1"/>
  <c r="I734" i="1"/>
  <c r="H734" i="1"/>
  <c r="V733" i="1"/>
  <c r="U733" i="1"/>
  <c r="T733" i="1"/>
  <c r="S733" i="1"/>
  <c r="R733" i="1"/>
  <c r="Q733" i="1"/>
  <c r="P733" i="1"/>
  <c r="O733" i="1"/>
  <c r="N733" i="1"/>
  <c r="M733" i="1"/>
  <c r="L733" i="1"/>
  <c r="K733" i="1"/>
  <c r="J733" i="1"/>
  <c r="I733" i="1"/>
  <c r="H733" i="1"/>
  <c r="V732" i="1"/>
  <c r="U732" i="1"/>
  <c r="T732" i="1"/>
  <c r="S732" i="1"/>
  <c r="R732" i="1"/>
  <c r="Q732" i="1"/>
  <c r="P732" i="1"/>
  <c r="O732" i="1"/>
  <c r="N732" i="1"/>
  <c r="M732" i="1"/>
  <c r="L732" i="1"/>
  <c r="K732" i="1"/>
  <c r="J732" i="1"/>
  <c r="I732" i="1"/>
  <c r="H732" i="1"/>
  <c r="V731" i="1"/>
  <c r="U731" i="1"/>
  <c r="T731" i="1"/>
  <c r="S731" i="1"/>
  <c r="R731" i="1"/>
  <c r="Q731" i="1"/>
  <c r="P731" i="1"/>
  <c r="O731" i="1"/>
  <c r="N731" i="1"/>
  <c r="M731" i="1"/>
  <c r="L731" i="1"/>
  <c r="K731" i="1"/>
  <c r="J731" i="1"/>
  <c r="I731" i="1"/>
  <c r="H731" i="1"/>
  <c r="V730" i="1"/>
  <c r="U730" i="1"/>
  <c r="T730" i="1"/>
  <c r="S730" i="1"/>
  <c r="R730" i="1"/>
  <c r="Q730" i="1"/>
  <c r="P730" i="1"/>
  <c r="O730" i="1"/>
  <c r="N730" i="1"/>
  <c r="M730" i="1"/>
  <c r="L730" i="1"/>
  <c r="K730" i="1"/>
  <c r="J730" i="1"/>
  <c r="I730" i="1"/>
  <c r="H730" i="1"/>
  <c r="V729" i="1"/>
  <c r="U729" i="1"/>
  <c r="T729" i="1"/>
  <c r="S729" i="1"/>
  <c r="R729" i="1"/>
  <c r="Q729" i="1"/>
  <c r="P729" i="1"/>
  <c r="O729" i="1"/>
  <c r="N729" i="1"/>
  <c r="M729" i="1"/>
  <c r="L729" i="1"/>
  <c r="K729" i="1"/>
  <c r="J729" i="1"/>
  <c r="I729" i="1"/>
  <c r="H729" i="1"/>
  <c r="V728" i="1"/>
  <c r="U728" i="1"/>
  <c r="T728" i="1"/>
  <c r="S728" i="1"/>
  <c r="R728" i="1"/>
  <c r="Q728" i="1"/>
  <c r="P728" i="1"/>
  <c r="O728" i="1"/>
  <c r="N728" i="1"/>
  <c r="M728" i="1"/>
  <c r="L728" i="1"/>
  <c r="K728" i="1"/>
  <c r="J728" i="1"/>
  <c r="I728" i="1"/>
  <c r="H728" i="1"/>
  <c r="V727" i="1"/>
  <c r="U727" i="1"/>
  <c r="T727" i="1"/>
  <c r="S727" i="1"/>
  <c r="R727" i="1"/>
  <c r="Q727" i="1"/>
  <c r="P727" i="1"/>
  <c r="O727" i="1"/>
  <c r="N727" i="1"/>
  <c r="M727" i="1"/>
  <c r="L727" i="1"/>
  <c r="K727" i="1"/>
  <c r="J727" i="1"/>
  <c r="I727" i="1"/>
  <c r="H727" i="1"/>
  <c r="V726" i="1"/>
  <c r="U726" i="1"/>
  <c r="T726" i="1"/>
  <c r="S726" i="1"/>
  <c r="R726" i="1"/>
  <c r="Q726" i="1"/>
  <c r="P726" i="1"/>
  <c r="O726" i="1"/>
  <c r="N726" i="1"/>
  <c r="M726" i="1"/>
  <c r="L726" i="1"/>
  <c r="K726" i="1"/>
  <c r="J726" i="1"/>
  <c r="I726" i="1"/>
  <c r="H726" i="1"/>
  <c r="V725" i="1"/>
  <c r="U725" i="1"/>
  <c r="T725" i="1"/>
  <c r="S725" i="1"/>
  <c r="R725" i="1"/>
  <c r="Q725" i="1"/>
  <c r="P725" i="1"/>
  <c r="O725" i="1"/>
  <c r="N725" i="1"/>
  <c r="M725" i="1"/>
  <c r="L725" i="1"/>
  <c r="K725" i="1"/>
  <c r="J725" i="1"/>
  <c r="I725" i="1"/>
  <c r="H725" i="1"/>
  <c r="V724" i="1"/>
  <c r="U724" i="1"/>
  <c r="T724" i="1"/>
  <c r="S724" i="1"/>
  <c r="R724" i="1"/>
  <c r="Q724" i="1"/>
  <c r="P724" i="1"/>
  <c r="O724" i="1"/>
  <c r="N724" i="1"/>
  <c r="M724" i="1"/>
  <c r="L724" i="1"/>
  <c r="K724" i="1"/>
  <c r="J724" i="1"/>
  <c r="I724" i="1"/>
  <c r="H724" i="1"/>
  <c r="V723" i="1"/>
  <c r="U723" i="1"/>
  <c r="T723" i="1"/>
  <c r="S723" i="1"/>
  <c r="R723" i="1"/>
  <c r="Q723" i="1"/>
  <c r="P723" i="1"/>
  <c r="O723" i="1"/>
  <c r="N723" i="1"/>
  <c r="M723" i="1"/>
  <c r="L723" i="1"/>
  <c r="K723" i="1"/>
  <c r="J723" i="1"/>
  <c r="I723" i="1"/>
  <c r="H723" i="1"/>
  <c r="V722" i="1"/>
  <c r="U722" i="1"/>
  <c r="T722" i="1"/>
  <c r="S722" i="1"/>
  <c r="R722" i="1"/>
  <c r="Q722" i="1"/>
  <c r="P722" i="1"/>
  <c r="O722" i="1"/>
  <c r="N722" i="1"/>
  <c r="M722" i="1"/>
  <c r="L722" i="1"/>
  <c r="K722" i="1"/>
  <c r="J722" i="1"/>
  <c r="I722" i="1"/>
  <c r="H722" i="1"/>
  <c r="V721" i="1"/>
  <c r="U721" i="1"/>
  <c r="T721" i="1"/>
  <c r="S721" i="1"/>
  <c r="R721" i="1"/>
  <c r="Q721" i="1"/>
  <c r="P721" i="1"/>
  <c r="O721" i="1"/>
  <c r="N721" i="1"/>
  <c r="M721" i="1"/>
  <c r="L721" i="1"/>
  <c r="K721" i="1"/>
  <c r="J721" i="1"/>
  <c r="I721" i="1"/>
  <c r="H721" i="1"/>
  <c r="V720" i="1"/>
  <c r="U720" i="1"/>
  <c r="T720" i="1"/>
  <c r="S720" i="1"/>
  <c r="R720" i="1"/>
  <c r="Q720" i="1"/>
  <c r="P720" i="1"/>
  <c r="O720" i="1"/>
  <c r="N720" i="1"/>
  <c r="M720" i="1"/>
  <c r="L720" i="1"/>
  <c r="K720" i="1"/>
  <c r="J720" i="1"/>
  <c r="I720" i="1"/>
  <c r="H720" i="1"/>
  <c r="V719" i="1"/>
  <c r="U719" i="1"/>
  <c r="T719" i="1"/>
  <c r="S719" i="1"/>
  <c r="R719" i="1"/>
  <c r="Q719" i="1"/>
  <c r="P719" i="1"/>
  <c r="O719" i="1"/>
  <c r="N719" i="1"/>
  <c r="M719" i="1"/>
  <c r="L719" i="1"/>
  <c r="K719" i="1"/>
  <c r="J719" i="1"/>
  <c r="I719" i="1"/>
  <c r="H719" i="1"/>
  <c r="V718" i="1"/>
  <c r="U718" i="1"/>
  <c r="T718" i="1"/>
  <c r="S718" i="1"/>
  <c r="R718" i="1"/>
  <c r="Q718" i="1"/>
  <c r="P718" i="1"/>
  <c r="O718" i="1"/>
  <c r="N718" i="1"/>
  <c r="M718" i="1"/>
  <c r="L718" i="1"/>
  <c r="K718" i="1"/>
  <c r="J718" i="1"/>
  <c r="I718" i="1"/>
  <c r="H718" i="1"/>
  <c r="V717" i="1"/>
  <c r="U717" i="1"/>
  <c r="T717" i="1"/>
  <c r="S717" i="1"/>
  <c r="R717" i="1"/>
  <c r="Q717" i="1"/>
  <c r="P717" i="1"/>
  <c r="O717" i="1"/>
  <c r="N717" i="1"/>
  <c r="M717" i="1"/>
  <c r="L717" i="1"/>
  <c r="K717" i="1"/>
  <c r="J717" i="1"/>
  <c r="I717" i="1"/>
  <c r="H717" i="1"/>
  <c r="V716" i="1"/>
  <c r="U716" i="1"/>
  <c r="T716" i="1"/>
  <c r="S716" i="1"/>
  <c r="R716" i="1"/>
  <c r="Q716" i="1"/>
  <c r="P716" i="1"/>
  <c r="O716" i="1"/>
  <c r="N716" i="1"/>
  <c r="M716" i="1"/>
  <c r="L716" i="1"/>
  <c r="K716" i="1"/>
  <c r="J716" i="1"/>
  <c r="I716" i="1"/>
  <c r="H716" i="1"/>
  <c r="V715" i="1"/>
  <c r="U715" i="1"/>
  <c r="T715" i="1"/>
  <c r="S715" i="1"/>
  <c r="R715" i="1"/>
  <c r="Q715" i="1"/>
  <c r="P715" i="1"/>
  <c r="O715" i="1"/>
  <c r="N715" i="1"/>
  <c r="M715" i="1"/>
  <c r="L715" i="1"/>
  <c r="K715" i="1"/>
  <c r="J715" i="1"/>
  <c r="I715" i="1"/>
  <c r="H715" i="1"/>
  <c r="V714" i="1"/>
  <c r="U714" i="1"/>
  <c r="T714" i="1"/>
  <c r="S714" i="1"/>
  <c r="R714" i="1"/>
  <c r="Q714" i="1"/>
  <c r="P714" i="1"/>
  <c r="O714" i="1"/>
  <c r="N714" i="1"/>
  <c r="M714" i="1"/>
  <c r="L714" i="1"/>
  <c r="K714" i="1"/>
  <c r="J714" i="1"/>
  <c r="I714" i="1"/>
  <c r="H714" i="1"/>
  <c r="V713" i="1"/>
  <c r="U713" i="1"/>
  <c r="T713" i="1"/>
  <c r="S713" i="1"/>
  <c r="R713" i="1"/>
  <c r="Q713" i="1"/>
  <c r="P713" i="1"/>
  <c r="O713" i="1"/>
  <c r="N713" i="1"/>
  <c r="M713" i="1"/>
  <c r="L713" i="1"/>
  <c r="K713" i="1"/>
  <c r="J713" i="1"/>
  <c r="I713" i="1"/>
  <c r="H713" i="1"/>
  <c r="V712" i="1"/>
  <c r="U712" i="1"/>
  <c r="T712" i="1"/>
  <c r="S712" i="1"/>
  <c r="R712" i="1"/>
  <c r="Q712" i="1"/>
  <c r="P712" i="1"/>
  <c r="O712" i="1"/>
  <c r="N712" i="1"/>
  <c r="M712" i="1"/>
  <c r="L712" i="1"/>
  <c r="K712" i="1"/>
  <c r="J712" i="1"/>
  <c r="I712" i="1"/>
  <c r="H712" i="1"/>
  <c r="V711" i="1"/>
  <c r="U711" i="1"/>
  <c r="T711" i="1"/>
  <c r="S711" i="1"/>
  <c r="R711" i="1"/>
  <c r="Q711" i="1"/>
  <c r="P711" i="1"/>
  <c r="O711" i="1"/>
  <c r="N711" i="1"/>
  <c r="M711" i="1"/>
  <c r="L711" i="1"/>
  <c r="K711" i="1"/>
  <c r="J711" i="1"/>
  <c r="I711" i="1"/>
  <c r="H711" i="1"/>
  <c r="V710" i="1"/>
  <c r="U710" i="1"/>
  <c r="T710" i="1"/>
  <c r="S710" i="1"/>
  <c r="R710" i="1"/>
  <c r="Q710" i="1"/>
  <c r="P710" i="1"/>
  <c r="O710" i="1"/>
  <c r="N710" i="1"/>
  <c r="M710" i="1"/>
  <c r="L710" i="1"/>
  <c r="K710" i="1"/>
  <c r="J710" i="1"/>
  <c r="I710" i="1"/>
  <c r="H710" i="1"/>
  <c r="V709" i="1"/>
  <c r="U709" i="1"/>
  <c r="T709" i="1"/>
  <c r="S709" i="1"/>
  <c r="R709" i="1"/>
  <c r="Q709" i="1"/>
  <c r="P709" i="1"/>
  <c r="O709" i="1"/>
  <c r="N709" i="1"/>
  <c r="M709" i="1"/>
  <c r="L709" i="1"/>
  <c r="K709" i="1"/>
  <c r="J709" i="1"/>
  <c r="I709" i="1"/>
  <c r="H709" i="1"/>
  <c r="V708" i="1"/>
  <c r="U708" i="1"/>
  <c r="T708" i="1"/>
  <c r="S708" i="1"/>
  <c r="R708" i="1"/>
  <c r="Q708" i="1"/>
  <c r="P708" i="1"/>
  <c r="O708" i="1"/>
  <c r="N708" i="1"/>
  <c r="M708" i="1"/>
  <c r="L708" i="1"/>
  <c r="K708" i="1"/>
  <c r="J708" i="1"/>
  <c r="I708" i="1"/>
  <c r="H708" i="1"/>
  <c r="V707" i="1"/>
  <c r="U707" i="1"/>
  <c r="T707" i="1"/>
  <c r="S707" i="1"/>
  <c r="R707" i="1"/>
  <c r="Q707" i="1"/>
  <c r="P707" i="1"/>
  <c r="O707" i="1"/>
  <c r="N707" i="1"/>
  <c r="M707" i="1"/>
  <c r="L707" i="1"/>
  <c r="K707" i="1"/>
  <c r="J707" i="1"/>
  <c r="I707" i="1"/>
  <c r="H707" i="1"/>
  <c r="V706" i="1"/>
  <c r="U706" i="1"/>
  <c r="T706" i="1"/>
  <c r="S706" i="1"/>
  <c r="R706" i="1"/>
  <c r="Q706" i="1"/>
  <c r="P706" i="1"/>
  <c r="O706" i="1"/>
  <c r="N706" i="1"/>
  <c r="M706" i="1"/>
  <c r="L706" i="1"/>
  <c r="K706" i="1"/>
  <c r="J706" i="1"/>
  <c r="I706" i="1"/>
  <c r="H706" i="1"/>
  <c r="V705" i="1"/>
  <c r="U705" i="1"/>
  <c r="T705" i="1"/>
  <c r="S705" i="1"/>
  <c r="R705" i="1"/>
  <c r="Q705" i="1"/>
  <c r="P705" i="1"/>
  <c r="O705" i="1"/>
  <c r="N705" i="1"/>
  <c r="M705" i="1"/>
  <c r="L705" i="1"/>
  <c r="K705" i="1"/>
  <c r="J705" i="1"/>
  <c r="I705" i="1"/>
  <c r="H705" i="1"/>
  <c r="V704" i="1"/>
  <c r="U704" i="1"/>
  <c r="T704" i="1"/>
  <c r="S704" i="1"/>
  <c r="R704" i="1"/>
  <c r="Q704" i="1"/>
  <c r="P704" i="1"/>
  <c r="O704" i="1"/>
  <c r="N704" i="1"/>
  <c r="M704" i="1"/>
  <c r="L704" i="1"/>
  <c r="K704" i="1"/>
  <c r="J704" i="1"/>
  <c r="I704" i="1"/>
  <c r="H704" i="1"/>
  <c r="V703" i="1"/>
  <c r="U703" i="1"/>
  <c r="T703" i="1"/>
  <c r="S703" i="1"/>
  <c r="R703" i="1"/>
  <c r="Q703" i="1"/>
  <c r="P703" i="1"/>
  <c r="O703" i="1"/>
  <c r="N703" i="1"/>
  <c r="M703" i="1"/>
  <c r="L703" i="1"/>
  <c r="K703" i="1"/>
  <c r="J703" i="1"/>
  <c r="I703" i="1"/>
  <c r="H703" i="1"/>
  <c r="V702" i="1"/>
  <c r="U702" i="1"/>
  <c r="T702" i="1"/>
  <c r="S702" i="1"/>
  <c r="R702" i="1"/>
  <c r="Q702" i="1"/>
  <c r="P702" i="1"/>
  <c r="O702" i="1"/>
  <c r="N702" i="1"/>
  <c r="M702" i="1"/>
  <c r="L702" i="1"/>
  <c r="K702" i="1"/>
  <c r="J702" i="1"/>
  <c r="I702" i="1"/>
  <c r="H702" i="1"/>
  <c r="V701" i="1"/>
  <c r="U701" i="1"/>
  <c r="T701" i="1"/>
  <c r="S701" i="1"/>
  <c r="R701" i="1"/>
  <c r="Q701" i="1"/>
  <c r="P701" i="1"/>
  <c r="O701" i="1"/>
  <c r="N701" i="1"/>
  <c r="M701" i="1"/>
  <c r="L701" i="1"/>
  <c r="K701" i="1"/>
  <c r="J701" i="1"/>
  <c r="I701" i="1"/>
  <c r="H701" i="1"/>
  <c r="V700" i="1"/>
  <c r="U700" i="1"/>
  <c r="T700" i="1"/>
  <c r="S700" i="1"/>
  <c r="R700" i="1"/>
  <c r="Q700" i="1"/>
  <c r="P700" i="1"/>
  <c r="O700" i="1"/>
  <c r="N700" i="1"/>
  <c r="M700" i="1"/>
  <c r="L700" i="1"/>
  <c r="K700" i="1"/>
  <c r="J700" i="1"/>
  <c r="I700" i="1"/>
  <c r="H700" i="1"/>
  <c r="V699" i="1"/>
  <c r="U699" i="1"/>
  <c r="T699" i="1"/>
  <c r="S699" i="1"/>
  <c r="R699" i="1"/>
  <c r="Q699" i="1"/>
  <c r="P699" i="1"/>
  <c r="O699" i="1"/>
  <c r="N699" i="1"/>
  <c r="M699" i="1"/>
  <c r="L699" i="1"/>
  <c r="K699" i="1"/>
  <c r="J699" i="1"/>
  <c r="I699" i="1"/>
  <c r="H699" i="1"/>
  <c r="V698" i="1"/>
  <c r="U698" i="1"/>
  <c r="T698" i="1"/>
  <c r="S698" i="1"/>
  <c r="R698" i="1"/>
  <c r="Q698" i="1"/>
  <c r="P698" i="1"/>
  <c r="O698" i="1"/>
  <c r="N698" i="1"/>
  <c r="M698" i="1"/>
  <c r="L698" i="1"/>
  <c r="K698" i="1"/>
  <c r="J698" i="1"/>
  <c r="I698" i="1"/>
  <c r="H698" i="1"/>
  <c r="V697" i="1"/>
  <c r="U697" i="1"/>
  <c r="T697" i="1"/>
  <c r="S697" i="1"/>
  <c r="R697" i="1"/>
  <c r="Q697" i="1"/>
  <c r="P697" i="1"/>
  <c r="O697" i="1"/>
  <c r="N697" i="1"/>
  <c r="M697" i="1"/>
  <c r="L697" i="1"/>
  <c r="K697" i="1"/>
  <c r="J697" i="1"/>
  <c r="I697" i="1"/>
  <c r="H697" i="1"/>
  <c r="V696" i="1"/>
  <c r="U696" i="1"/>
  <c r="T696" i="1"/>
  <c r="S696" i="1"/>
  <c r="R696" i="1"/>
  <c r="Q696" i="1"/>
  <c r="P696" i="1"/>
  <c r="O696" i="1"/>
  <c r="N696" i="1"/>
  <c r="M696" i="1"/>
  <c r="L696" i="1"/>
  <c r="K696" i="1"/>
  <c r="J696" i="1"/>
  <c r="I696" i="1"/>
  <c r="H696" i="1"/>
  <c r="V695" i="1"/>
  <c r="U695" i="1"/>
  <c r="T695" i="1"/>
  <c r="S695" i="1"/>
  <c r="R695" i="1"/>
  <c r="Q695" i="1"/>
  <c r="P695" i="1"/>
  <c r="O695" i="1"/>
  <c r="N695" i="1"/>
  <c r="M695" i="1"/>
  <c r="L695" i="1"/>
  <c r="K695" i="1"/>
  <c r="J695" i="1"/>
  <c r="I695" i="1"/>
  <c r="H695" i="1"/>
  <c r="V694" i="1"/>
  <c r="U694" i="1"/>
  <c r="T694" i="1"/>
  <c r="S694" i="1"/>
  <c r="R694" i="1"/>
  <c r="Q694" i="1"/>
  <c r="P694" i="1"/>
  <c r="O694" i="1"/>
  <c r="N694" i="1"/>
  <c r="M694" i="1"/>
  <c r="L694" i="1"/>
  <c r="K694" i="1"/>
  <c r="J694" i="1"/>
  <c r="I694" i="1"/>
  <c r="H694" i="1"/>
  <c r="V693" i="1"/>
  <c r="U693" i="1"/>
  <c r="T693" i="1"/>
  <c r="S693" i="1"/>
  <c r="R693" i="1"/>
  <c r="Q693" i="1"/>
  <c r="P693" i="1"/>
  <c r="O693" i="1"/>
  <c r="N693" i="1"/>
  <c r="M693" i="1"/>
  <c r="L693" i="1"/>
  <c r="K693" i="1"/>
  <c r="J693" i="1"/>
  <c r="I693" i="1"/>
  <c r="H693" i="1"/>
  <c r="V692" i="1"/>
  <c r="U692" i="1"/>
  <c r="T692" i="1"/>
  <c r="S692" i="1"/>
  <c r="R692" i="1"/>
  <c r="Q692" i="1"/>
  <c r="P692" i="1"/>
  <c r="O692" i="1"/>
  <c r="N692" i="1"/>
  <c r="M692" i="1"/>
  <c r="L692" i="1"/>
  <c r="K692" i="1"/>
  <c r="J692" i="1"/>
  <c r="I692" i="1"/>
  <c r="H692" i="1"/>
  <c r="V691" i="1"/>
  <c r="U691" i="1"/>
  <c r="T691" i="1"/>
  <c r="S691" i="1"/>
  <c r="R691" i="1"/>
  <c r="Q691" i="1"/>
  <c r="P691" i="1"/>
  <c r="O691" i="1"/>
  <c r="N691" i="1"/>
  <c r="M691" i="1"/>
  <c r="L691" i="1"/>
  <c r="K691" i="1"/>
  <c r="J691" i="1"/>
  <c r="I691" i="1"/>
  <c r="H691" i="1"/>
  <c r="V690" i="1"/>
  <c r="U690" i="1"/>
  <c r="T690" i="1"/>
  <c r="S690" i="1"/>
  <c r="R690" i="1"/>
  <c r="Q690" i="1"/>
  <c r="P690" i="1"/>
  <c r="O690" i="1"/>
  <c r="N690" i="1"/>
  <c r="M690" i="1"/>
  <c r="L690" i="1"/>
  <c r="K690" i="1"/>
  <c r="J690" i="1"/>
  <c r="I690" i="1"/>
  <c r="H690" i="1"/>
  <c r="V689" i="1"/>
  <c r="U689" i="1"/>
  <c r="T689" i="1"/>
  <c r="S689" i="1"/>
  <c r="R689" i="1"/>
  <c r="Q689" i="1"/>
  <c r="P689" i="1"/>
  <c r="O689" i="1"/>
  <c r="N689" i="1"/>
  <c r="M689" i="1"/>
  <c r="L689" i="1"/>
  <c r="K689" i="1"/>
  <c r="J689" i="1"/>
  <c r="I689" i="1"/>
  <c r="H689" i="1"/>
  <c r="V688" i="1"/>
  <c r="U688" i="1"/>
  <c r="T688" i="1"/>
  <c r="S688" i="1"/>
  <c r="R688" i="1"/>
  <c r="Q688" i="1"/>
  <c r="P688" i="1"/>
  <c r="O688" i="1"/>
  <c r="N688" i="1"/>
  <c r="M688" i="1"/>
  <c r="L688" i="1"/>
  <c r="K688" i="1"/>
  <c r="J688" i="1"/>
  <c r="I688" i="1"/>
  <c r="H688" i="1"/>
  <c r="V687" i="1"/>
  <c r="U687" i="1"/>
  <c r="T687" i="1"/>
  <c r="S687" i="1"/>
  <c r="R687" i="1"/>
  <c r="Q687" i="1"/>
  <c r="P687" i="1"/>
  <c r="O687" i="1"/>
  <c r="N687" i="1"/>
  <c r="M687" i="1"/>
  <c r="L687" i="1"/>
  <c r="K687" i="1"/>
  <c r="J687" i="1"/>
  <c r="I687" i="1"/>
  <c r="H687" i="1"/>
  <c r="V686" i="1"/>
  <c r="U686" i="1"/>
  <c r="T686" i="1"/>
  <c r="S686" i="1"/>
  <c r="R686" i="1"/>
  <c r="Q686" i="1"/>
  <c r="P686" i="1"/>
  <c r="O686" i="1"/>
  <c r="N686" i="1"/>
  <c r="M686" i="1"/>
  <c r="L686" i="1"/>
  <c r="K686" i="1"/>
  <c r="J686" i="1"/>
  <c r="I686" i="1"/>
  <c r="H686" i="1"/>
  <c r="V685" i="1"/>
  <c r="U685" i="1"/>
  <c r="T685" i="1"/>
  <c r="S685" i="1"/>
  <c r="R685" i="1"/>
  <c r="Q685" i="1"/>
  <c r="P685" i="1"/>
  <c r="O685" i="1"/>
  <c r="N685" i="1"/>
  <c r="M685" i="1"/>
  <c r="L685" i="1"/>
  <c r="K685" i="1"/>
  <c r="J685" i="1"/>
  <c r="I685" i="1"/>
  <c r="H685" i="1"/>
  <c r="V684" i="1"/>
  <c r="U684" i="1"/>
  <c r="T684" i="1"/>
  <c r="S684" i="1"/>
  <c r="R684" i="1"/>
  <c r="Q684" i="1"/>
  <c r="P684" i="1"/>
  <c r="O684" i="1"/>
  <c r="N684" i="1"/>
  <c r="M684" i="1"/>
  <c r="L684" i="1"/>
  <c r="K684" i="1"/>
  <c r="J684" i="1"/>
  <c r="I684" i="1"/>
  <c r="H684" i="1"/>
  <c r="V683" i="1"/>
  <c r="U683" i="1"/>
  <c r="T683" i="1"/>
  <c r="S683" i="1"/>
  <c r="R683" i="1"/>
  <c r="Q683" i="1"/>
  <c r="P683" i="1"/>
  <c r="O683" i="1"/>
  <c r="N683" i="1"/>
  <c r="M683" i="1"/>
  <c r="L683" i="1"/>
  <c r="K683" i="1"/>
  <c r="J683" i="1"/>
  <c r="I683" i="1"/>
  <c r="H683" i="1"/>
  <c r="V682" i="1"/>
  <c r="U682" i="1"/>
  <c r="T682" i="1"/>
  <c r="S682" i="1"/>
  <c r="R682" i="1"/>
  <c r="Q682" i="1"/>
  <c r="P682" i="1"/>
  <c r="O682" i="1"/>
  <c r="N682" i="1"/>
  <c r="M682" i="1"/>
  <c r="L682" i="1"/>
  <c r="K682" i="1"/>
  <c r="J682" i="1"/>
  <c r="I682" i="1"/>
  <c r="H682" i="1"/>
  <c r="V681" i="1"/>
  <c r="U681" i="1"/>
  <c r="T681" i="1"/>
  <c r="S681" i="1"/>
  <c r="R681" i="1"/>
  <c r="Q681" i="1"/>
  <c r="P681" i="1"/>
  <c r="O681" i="1"/>
  <c r="N681" i="1"/>
  <c r="M681" i="1"/>
  <c r="L681" i="1"/>
  <c r="K681" i="1"/>
  <c r="J681" i="1"/>
  <c r="I681" i="1"/>
  <c r="H681" i="1"/>
  <c r="V680" i="1"/>
  <c r="U680" i="1"/>
  <c r="T680" i="1"/>
  <c r="S680" i="1"/>
  <c r="R680" i="1"/>
  <c r="Q680" i="1"/>
  <c r="P680" i="1"/>
  <c r="O680" i="1"/>
  <c r="N680" i="1"/>
  <c r="M680" i="1"/>
  <c r="L680" i="1"/>
  <c r="K680" i="1"/>
  <c r="J680" i="1"/>
  <c r="I680" i="1"/>
  <c r="H680" i="1"/>
  <c r="V679" i="1"/>
  <c r="U679" i="1"/>
  <c r="T679" i="1"/>
  <c r="S679" i="1"/>
  <c r="R679" i="1"/>
  <c r="Q679" i="1"/>
  <c r="P679" i="1"/>
  <c r="O679" i="1"/>
  <c r="N679" i="1"/>
  <c r="M679" i="1"/>
  <c r="L679" i="1"/>
  <c r="K679" i="1"/>
  <c r="J679" i="1"/>
  <c r="I679" i="1"/>
  <c r="H679" i="1"/>
  <c r="V678" i="1"/>
  <c r="U678" i="1"/>
  <c r="T678" i="1"/>
  <c r="S678" i="1"/>
  <c r="R678" i="1"/>
  <c r="Q678" i="1"/>
  <c r="P678" i="1"/>
  <c r="O678" i="1"/>
  <c r="N678" i="1"/>
  <c r="M678" i="1"/>
  <c r="L678" i="1"/>
  <c r="K678" i="1"/>
  <c r="J678" i="1"/>
  <c r="I678" i="1"/>
  <c r="H678" i="1"/>
  <c r="V677" i="1"/>
  <c r="U677" i="1"/>
  <c r="T677" i="1"/>
  <c r="S677" i="1"/>
  <c r="R677" i="1"/>
  <c r="Q677" i="1"/>
  <c r="P677" i="1"/>
  <c r="O677" i="1"/>
  <c r="N677" i="1"/>
  <c r="M677" i="1"/>
  <c r="L677" i="1"/>
  <c r="K677" i="1"/>
  <c r="J677" i="1"/>
  <c r="I677" i="1"/>
  <c r="H677" i="1"/>
  <c r="V676" i="1"/>
  <c r="U676" i="1"/>
  <c r="T676" i="1"/>
  <c r="S676" i="1"/>
  <c r="R676" i="1"/>
  <c r="Q676" i="1"/>
  <c r="P676" i="1"/>
  <c r="O676" i="1"/>
  <c r="N676" i="1"/>
  <c r="M676" i="1"/>
  <c r="L676" i="1"/>
  <c r="K676" i="1"/>
  <c r="J676" i="1"/>
  <c r="I676" i="1"/>
  <c r="H676" i="1"/>
  <c r="V675" i="1"/>
  <c r="U675" i="1"/>
  <c r="T675" i="1"/>
  <c r="S675" i="1"/>
  <c r="R675" i="1"/>
  <c r="Q675" i="1"/>
  <c r="P675" i="1"/>
  <c r="O675" i="1"/>
  <c r="N675" i="1"/>
  <c r="M675" i="1"/>
  <c r="L675" i="1"/>
  <c r="K675" i="1"/>
  <c r="J675" i="1"/>
  <c r="I675" i="1"/>
  <c r="H675" i="1"/>
  <c r="V674" i="1"/>
  <c r="U674" i="1"/>
  <c r="T674" i="1"/>
  <c r="S674" i="1"/>
  <c r="R674" i="1"/>
  <c r="Q674" i="1"/>
  <c r="P674" i="1"/>
  <c r="O674" i="1"/>
  <c r="N674" i="1"/>
  <c r="M674" i="1"/>
  <c r="L674" i="1"/>
  <c r="K674" i="1"/>
  <c r="J674" i="1"/>
  <c r="I674" i="1"/>
  <c r="H674" i="1"/>
  <c r="V673" i="1"/>
  <c r="U673" i="1"/>
  <c r="T673" i="1"/>
  <c r="S673" i="1"/>
  <c r="R673" i="1"/>
  <c r="Q673" i="1"/>
  <c r="P673" i="1"/>
  <c r="O673" i="1"/>
  <c r="N673" i="1"/>
  <c r="M673" i="1"/>
  <c r="L673" i="1"/>
  <c r="K673" i="1"/>
  <c r="J673" i="1"/>
  <c r="I673" i="1"/>
  <c r="H673" i="1"/>
  <c r="V672" i="1"/>
  <c r="U672" i="1"/>
  <c r="T672" i="1"/>
  <c r="S672" i="1"/>
  <c r="R672" i="1"/>
  <c r="Q672" i="1"/>
  <c r="P672" i="1"/>
  <c r="O672" i="1"/>
  <c r="N672" i="1"/>
  <c r="M672" i="1"/>
  <c r="L672" i="1"/>
  <c r="K672" i="1"/>
  <c r="J672" i="1"/>
  <c r="I672" i="1"/>
  <c r="H672" i="1"/>
  <c r="V671" i="1"/>
  <c r="U671" i="1"/>
  <c r="T671" i="1"/>
  <c r="S671" i="1"/>
  <c r="R671" i="1"/>
  <c r="Q671" i="1"/>
  <c r="P671" i="1"/>
  <c r="O671" i="1"/>
  <c r="N671" i="1"/>
  <c r="M671" i="1"/>
  <c r="L671" i="1"/>
  <c r="K671" i="1"/>
  <c r="J671" i="1"/>
  <c r="I671" i="1"/>
  <c r="H671" i="1"/>
  <c r="V670" i="1"/>
  <c r="U670" i="1"/>
  <c r="T670" i="1"/>
  <c r="S670" i="1"/>
  <c r="R670" i="1"/>
  <c r="Q670" i="1"/>
  <c r="P670" i="1"/>
  <c r="O670" i="1"/>
  <c r="N670" i="1"/>
  <c r="M670" i="1"/>
  <c r="L670" i="1"/>
  <c r="K670" i="1"/>
  <c r="J670" i="1"/>
  <c r="I670" i="1"/>
  <c r="H670" i="1"/>
  <c r="V669" i="1"/>
  <c r="U669" i="1"/>
  <c r="T669" i="1"/>
  <c r="S669" i="1"/>
  <c r="R669" i="1"/>
  <c r="Q669" i="1"/>
  <c r="P669" i="1"/>
  <c r="O669" i="1"/>
  <c r="N669" i="1"/>
  <c r="M669" i="1"/>
  <c r="L669" i="1"/>
  <c r="K669" i="1"/>
  <c r="J669" i="1"/>
  <c r="I669" i="1"/>
  <c r="H669" i="1"/>
  <c r="V668" i="1"/>
  <c r="U668" i="1"/>
  <c r="T668" i="1"/>
  <c r="S668" i="1"/>
  <c r="R668" i="1"/>
  <c r="Q668" i="1"/>
  <c r="P668" i="1"/>
  <c r="O668" i="1"/>
  <c r="N668" i="1"/>
  <c r="M668" i="1"/>
  <c r="L668" i="1"/>
  <c r="K668" i="1"/>
  <c r="J668" i="1"/>
  <c r="I668" i="1"/>
  <c r="H668" i="1"/>
  <c r="V667" i="1"/>
  <c r="U667" i="1"/>
  <c r="T667" i="1"/>
  <c r="S667" i="1"/>
  <c r="R667" i="1"/>
  <c r="Q667" i="1"/>
  <c r="P667" i="1"/>
  <c r="O667" i="1"/>
  <c r="N667" i="1"/>
  <c r="M667" i="1"/>
  <c r="L667" i="1"/>
  <c r="K667" i="1"/>
  <c r="J667" i="1"/>
  <c r="I667" i="1"/>
  <c r="H667" i="1"/>
  <c r="V666" i="1"/>
  <c r="U666" i="1"/>
  <c r="T666" i="1"/>
  <c r="S666" i="1"/>
  <c r="R666" i="1"/>
  <c r="Q666" i="1"/>
  <c r="P666" i="1"/>
  <c r="O666" i="1"/>
  <c r="N666" i="1"/>
  <c r="M666" i="1"/>
  <c r="L666" i="1"/>
  <c r="K666" i="1"/>
  <c r="J666" i="1"/>
  <c r="I666" i="1"/>
  <c r="H666" i="1"/>
  <c r="V665" i="1"/>
  <c r="U665" i="1"/>
  <c r="T665" i="1"/>
  <c r="S665" i="1"/>
  <c r="R665" i="1"/>
  <c r="Q665" i="1"/>
  <c r="P665" i="1"/>
  <c r="O665" i="1"/>
  <c r="N665" i="1"/>
  <c r="M665" i="1"/>
  <c r="L665" i="1"/>
  <c r="K665" i="1"/>
  <c r="J665" i="1"/>
  <c r="I665" i="1"/>
  <c r="H665" i="1"/>
  <c r="V664" i="1"/>
  <c r="U664" i="1"/>
  <c r="T664" i="1"/>
  <c r="S664" i="1"/>
  <c r="R664" i="1"/>
  <c r="Q664" i="1"/>
  <c r="P664" i="1"/>
  <c r="O664" i="1"/>
  <c r="N664" i="1"/>
  <c r="M664" i="1"/>
  <c r="L664" i="1"/>
  <c r="K664" i="1"/>
  <c r="J664" i="1"/>
  <c r="I664" i="1"/>
  <c r="H664" i="1"/>
  <c r="V663" i="1"/>
  <c r="U663" i="1"/>
  <c r="T663" i="1"/>
  <c r="S663" i="1"/>
  <c r="R663" i="1"/>
  <c r="Q663" i="1"/>
  <c r="P663" i="1"/>
  <c r="O663" i="1"/>
  <c r="N663" i="1"/>
  <c r="M663" i="1"/>
  <c r="L663" i="1"/>
  <c r="K663" i="1"/>
  <c r="J663" i="1"/>
  <c r="I663" i="1"/>
  <c r="H663" i="1"/>
  <c r="V662" i="1"/>
  <c r="U662" i="1"/>
  <c r="T662" i="1"/>
  <c r="S662" i="1"/>
  <c r="R662" i="1"/>
  <c r="Q662" i="1"/>
  <c r="P662" i="1"/>
  <c r="O662" i="1"/>
  <c r="N662" i="1"/>
  <c r="M662" i="1"/>
  <c r="L662" i="1"/>
  <c r="K662" i="1"/>
  <c r="J662" i="1"/>
  <c r="I662" i="1"/>
  <c r="H662" i="1"/>
  <c r="V661" i="1"/>
  <c r="U661" i="1"/>
  <c r="T661" i="1"/>
  <c r="S661" i="1"/>
  <c r="R661" i="1"/>
  <c r="Q661" i="1"/>
  <c r="P661" i="1"/>
  <c r="O661" i="1"/>
  <c r="N661" i="1"/>
  <c r="M661" i="1"/>
  <c r="L661" i="1"/>
  <c r="K661" i="1"/>
  <c r="J661" i="1"/>
  <c r="I661" i="1"/>
  <c r="H661" i="1"/>
  <c r="V660" i="1"/>
  <c r="U660" i="1"/>
  <c r="T660" i="1"/>
  <c r="S660" i="1"/>
  <c r="R660" i="1"/>
  <c r="Q660" i="1"/>
  <c r="P660" i="1"/>
  <c r="O660" i="1"/>
  <c r="N660" i="1"/>
  <c r="M660" i="1"/>
  <c r="L660" i="1"/>
  <c r="K660" i="1"/>
  <c r="J660" i="1"/>
  <c r="I660" i="1"/>
  <c r="H660" i="1"/>
  <c r="V659" i="1"/>
  <c r="U659" i="1"/>
  <c r="T659" i="1"/>
  <c r="S659" i="1"/>
  <c r="R659" i="1"/>
  <c r="Q659" i="1"/>
  <c r="P659" i="1"/>
  <c r="O659" i="1"/>
  <c r="N659" i="1"/>
  <c r="M659" i="1"/>
  <c r="L659" i="1"/>
  <c r="K659" i="1"/>
  <c r="J659" i="1"/>
  <c r="I659" i="1"/>
  <c r="H659" i="1"/>
  <c r="V658" i="1"/>
  <c r="U658" i="1"/>
  <c r="T658" i="1"/>
  <c r="S658" i="1"/>
  <c r="R658" i="1"/>
  <c r="Q658" i="1"/>
  <c r="P658" i="1"/>
  <c r="O658" i="1"/>
  <c r="N658" i="1"/>
  <c r="M658" i="1"/>
  <c r="L658" i="1"/>
  <c r="K658" i="1"/>
  <c r="J658" i="1"/>
  <c r="I658" i="1"/>
  <c r="H658" i="1"/>
  <c r="V657" i="1"/>
  <c r="U657" i="1"/>
  <c r="T657" i="1"/>
  <c r="S657" i="1"/>
  <c r="R657" i="1"/>
  <c r="Q657" i="1"/>
  <c r="P657" i="1"/>
  <c r="O657" i="1"/>
  <c r="N657" i="1"/>
  <c r="M657" i="1"/>
  <c r="L657" i="1"/>
  <c r="K657" i="1"/>
  <c r="J657" i="1"/>
  <c r="I657" i="1"/>
  <c r="H657" i="1"/>
  <c r="V656" i="1"/>
  <c r="U656" i="1"/>
  <c r="T656" i="1"/>
  <c r="S656" i="1"/>
  <c r="R656" i="1"/>
  <c r="Q656" i="1"/>
  <c r="P656" i="1"/>
  <c r="O656" i="1"/>
  <c r="N656" i="1"/>
  <c r="M656" i="1"/>
  <c r="L656" i="1"/>
  <c r="K656" i="1"/>
  <c r="J656" i="1"/>
  <c r="I656" i="1"/>
  <c r="H656" i="1"/>
  <c r="V655" i="1"/>
  <c r="U655" i="1"/>
  <c r="T655" i="1"/>
  <c r="S655" i="1"/>
  <c r="R655" i="1"/>
  <c r="Q655" i="1"/>
  <c r="P655" i="1"/>
  <c r="O655" i="1"/>
  <c r="N655" i="1"/>
  <c r="M655" i="1"/>
  <c r="L655" i="1"/>
  <c r="K655" i="1"/>
  <c r="J655" i="1"/>
  <c r="I655" i="1"/>
  <c r="H655" i="1"/>
  <c r="V654" i="1"/>
  <c r="U654" i="1"/>
  <c r="T654" i="1"/>
  <c r="S654" i="1"/>
  <c r="R654" i="1"/>
  <c r="Q654" i="1"/>
  <c r="P654" i="1"/>
  <c r="O654" i="1"/>
  <c r="N654" i="1"/>
  <c r="M654" i="1"/>
  <c r="L654" i="1"/>
  <c r="K654" i="1"/>
  <c r="J654" i="1"/>
  <c r="I654" i="1"/>
  <c r="H654" i="1"/>
  <c r="V653" i="1"/>
  <c r="U653" i="1"/>
  <c r="T653" i="1"/>
  <c r="S653" i="1"/>
  <c r="R653" i="1"/>
  <c r="Q653" i="1"/>
  <c r="P653" i="1"/>
  <c r="O653" i="1"/>
  <c r="N653" i="1"/>
  <c r="M653" i="1"/>
  <c r="L653" i="1"/>
  <c r="K653" i="1"/>
  <c r="J653" i="1"/>
  <c r="I653" i="1"/>
  <c r="H653" i="1"/>
  <c r="V652" i="1"/>
  <c r="U652" i="1"/>
  <c r="T652" i="1"/>
  <c r="S652" i="1"/>
  <c r="R652" i="1"/>
  <c r="Q652" i="1"/>
  <c r="P652" i="1"/>
  <c r="O652" i="1"/>
  <c r="N652" i="1"/>
  <c r="M652" i="1"/>
  <c r="L652" i="1"/>
  <c r="K652" i="1"/>
  <c r="J652" i="1"/>
  <c r="I652" i="1"/>
  <c r="H652" i="1"/>
  <c r="V651" i="1"/>
  <c r="U651" i="1"/>
  <c r="T651" i="1"/>
  <c r="S651" i="1"/>
  <c r="R651" i="1"/>
  <c r="Q651" i="1"/>
  <c r="P651" i="1"/>
  <c r="O651" i="1"/>
  <c r="N651" i="1"/>
  <c r="M651" i="1"/>
  <c r="L651" i="1"/>
  <c r="K651" i="1"/>
  <c r="J651" i="1"/>
  <c r="I651" i="1"/>
  <c r="H651" i="1"/>
  <c r="V650" i="1"/>
  <c r="U650" i="1"/>
  <c r="T650" i="1"/>
  <c r="S650" i="1"/>
  <c r="R650" i="1"/>
  <c r="Q650" i="1"/>
  <c r="P650" i="1"/>
  <c r="O650" i="1"/>
  <c r="N650" i="1"/>
  <c r="M650" i="1"/>
  <c r="L650" i="1"/>
  <c r="K650" i="1"/>
  <c r="J650" i="1"/>
  <c r="I650" i="1"/>
  <c r="H650" i="1"/>
  <c r="V649" i="1"/>
  <c r="U649" i="1"/>
  <c r="T649" i="1"/>
  <c r="S649" i="1"/>
  <c r="R649" i="1"/>
  <c r="Q649" i="1"/>
  <c r="P649" i="1"/>
  <c r="O649" i="1"/>
  <c r="N649" i="1"/>
  <c r="M649" i="1"/>
  <c r="L649" i="1"/>
  <c r="K649" i="1"/>
  <c r="J649" i="1"/>
  <c r="I649" i="1"/>
  <c r="H649" i="1"/>
  <c r="V648" i="1"/>
  <c r="U648" i="1"/>
  <c r="T648" i="1"/>
  <c r="S648" i="1"/>
  <c r="R648" i="1"/>
  <c r="Q648" i="1"/>
  <c r="P648" i="1"/>
  <c r="O648" i="1"/>
  <c r="N648" i="1"/>
  <c r="M648" i="1"/>
  <c r="L648" i="1"/>
  <c r="K648" i="1"/>
  <c r="J648" i="1"/>
  <c r="I648" i="1"/>
  <c r="H648" i="1"/>
  <c r="V647" i="1"/>
  <c r="U647" i="1"/>
  <c r="T647" i="1"/>
  <c r="S647" i="1"/>
  <c r="R647" i="1"/>
  <c r="Q647" i="1"/>
  <c r="P647" i="1"/>
  <c r="O647" i="1"/>
  <c r="N647" i="1"/>
  <c r="M647" i="1"/>
  <c r="L647" i="1"/>
  <c r="K647" i="1"/>
  <c r="J647" i="1"/>
  <c r="I647" i="1"/>
  <c r="H647" i="1"/>
  <c r="V646" i="1"/>
  <c r="U646" i="1"/>
  <c r="T646" i="1"/>
  <c r="S646" i="1"/>
  <c r="R646" i="1"/>
  <c r="Q646" i="1"/>
  <c r="P646" i="1"/>
  <c r="O646" i="1"/>
  <c r="N646" i="1"/>
  <c r="M646" i="1"/>
  <c r="L646" i="1"/>
  <c r="K646" i="1"/>
  <c r="J646" i="1"/>
  <c r="I646" i="1"/>
  <c r="H646" i="1"/>
  <c r="V645" i="1"/>
  <c r="U645" i="1"/>
  <c r="T645" i="1"/>
  <c r="S645" i="1"/>
  <c r="R645" i="1"/>
  <c r="Q645" i="1"/>
  <c r="P645" i="1"/>
  <c r="O645" i="1"/>
  <c r="N645" i="1"/>
  <c r="M645" i="1"/>
  <c r="L645" i="1"/>
  <c r="K645" i="1"/>
  <c r="J645" i="1"/>
  <c r="I645" i="1"/>
  <c r="H645" i="1"/>
  <c r="V644" i="1"/>
  <c r="U644" i="1"/>
  <c r="T644" i="1"/>
  <c r="S644" i="1"/>
  <c r="R644" i="1"/>
  <c r="Q644" i="1"/>
  <c r="P644" i="1"/>
  <c r="O644" i="1"/>
  <c r="N644" i="1"/>
  <c r="M644" i="1"/>
  <c r="L644" i="1"/>
  <c r="K644" i="1"/>
  <c r="J644" i="1"/>
  <c r="I644" i="1"/>
  <c r="H644" i="1"/>
  <c r="V643" i="1"/>
  <c r="U643" i="1"/>
  <c r="T643" i="1"/>
  <c r="S643" i="1"/>
  <c r="R643" i="1"/>
  <c r="Q643" i="1"/>
  <c r="P643" i="1"/>
  <c r="O643" i="1"/>
  <c r="N643" i="1"/>
  <c r="M643" i="1"/>
  <c r="L643" i="1"/>
  <c r="K643" i="1"/>
  <c r="J643" i="1"/>
  <c r="I643" i="1"/>
  <c r="H643" i="1"/>
  <c r="V642" i="1"/>
  <c r="U642" i="1"/>
  <c r="T642" i="1"/>
  <c r="S642" i="1"/>
  <c r="R642" i="1"/>
  <c r="Q642" i="1"/>
  <c r="P642" i="1"/>
  <c r="O642" i="1"/>
  <c r="N642" i="1"/>
  <c r="M642" i="1"/>
  <c r="L642" i="1"/>
  <c r="K642" i="1"/>
  <c r="J642" i="1"/>
  <c r="I642" i="1"/>
  <c r="H642" i="1"/>
  <c r="V641" i="1"/>
  <c r="U641" i="1"/>
  <c r="T641" i="1"/>
  <c r="S641" i="1"/>
  <c r="R641" i="1"/>
  <c r="Q641" i="1"/>
  <c r="P641" i="1"/>
  <c r="O641" i="1"/>
  <c r="N641" i="1"/>
  <c r="M641" i="1"/>
  <c r="L641" i="1"/>
  <c r="K641" i="1"/>
  <c r="J641" i="1"/>
  <c r="I641" i="1"/>
  <c r="H641" i="1"/>
  <c r="V640" i="1"/>
  <c r="U640" i="1"/>
  <c r="T640" i="1"/>
  <c r="S640" i="1"/>
  <c r="R640" i="1"/>
  <c r="Q640" i="1"/>
  <c r="P640" i="1"/>
  <c r="O640" i="1"/>
  <c r="N640" i="1"/>
  <c r="M640" i="1"/>
  <c r="L640" i="1"/>
  <c r="K640" i="1"/>
  <c r="J640" i="1"/>
  <c r="I640" i="1"/>
  <c r="H640" i="1"/>
  <c r="V639" i="1"/>
  <c r="U639" i="1"/>
  <c r="T639" i="1"/>
  <c r="S639" i="1"/>
  <c r="R639" i="1"/>
  <c r="Q639" i="1"/>
  <c r="P639" i="1"/>
  <c r="O639" i="1"/>
  <c r="N639" i="1"/>
  <c r="M639" i="1"/>
  <c r="L639" i="1"/>
  <c r="K639" i="1"/>
  <c r="J639" i="1"/>
  <c r="I639" i="1"/>
  <c r="H639" i="1"/>
  <c r="V638" i="1"/>
  <c r="U638" i="1"/>
  <c r="T638" i="1"/>
  <c r="S638" i="1"/>
  <c r="R638" i="1"/>
  <c r="Q638" i="1"/>
  <c r="P638" i="1"/>
  <c r="O638" i="1"/>
  <c r="N638" i="1"/>
  <c r="M638" i="1"/>
  <c r="L638" i="1"/>
  <c r="K638" i="1"/>
  <c r="J638" i="1"/>
  <c r="I638" i="1"/>
  <c r="H638" i="1"/>
  <c r="V637" i="1"/>
  <c r="U637" i="1"/>
  <c r="T637" i="1"/>
  <c r="S637" i="1"/>
  <c r="R637" i="1"/>
  <c r="Q637" i="1"/>
  <c r="P637" i="1"/>
  <c r="O637" i="1"/>
  <c r="N637" i="1"/>
  <c r="M637" i="1"/>
  <c r="L637" i="1"/>
  <c r="K637" i="1"/>
  <c r="J637" i="1"/>
  <c r="I637" i="1"/>
  <c r="H637" i="1"/>
  <c r="V636" i="1"/>
  <c r="U636" i="1"/>
  <c r="T636" i="1"/>
  <c r="S636" i="1"/>
  <c r="R636" i="1"/>
  <c r="Q636" i="1"/>
  <c r="P636" i="1"/>
  <c r="O636" i="1"/>
  <c r="N636" i="1"/>
  <c r="M636" i="1"/>
  <c r="L636" i="1"/>
  <c r="K636" i="1"/>
  <c r="J636" i="1"/>
  <c r="I636" i="1"/>
  <c r="H636" i="1"/>
  <c r="V635" i="1"/>
  <c r="U635" i="1"/>
  <c r="T635" i="1"/>
  <c r="S635" i="1"/>
  <c r="R635" i="1"/>
  <c r="Q635" i="1"/>
  <c r="P635" i="1"/>
  <c r="O635" i="1"/>
  <c r="N635" i="1"/>
  <c r="M635" i="1"/>
  <c r="L635" i="1"/>
  <c r="K635" i="1"/>
  <c r="J635" i="1"/>
  <c r="I635" i="1"/>
  <c r="H635" i="1"/>
  <c r="V634" i="1"/>
  <c r="U634" i="1"/>
  <c r="T634" i="1"/>
  <c r="S634" i="1"/>
  <c r="R634" i="1"/>
  <c r="Q634" i="1"/>
  <c r="P634" i="1"/>
  <c r="O634" i="1"/>
  <c r="N634" i="1"/>
  <c r="M634" i="1"/>
  <c r="L634" i="1"/>
  <c r="K634" i="1"/>
  <c r="J634" i="1"/>
  <c r="I634" i="1"/>
  <c r="H634" i="1"/>
  <c r="V633" i="1"/>
  <c r="U633" i="1"/>
  <c r="T633" i="1"/>
  <c r="S633" i="1"/>
  <c r="R633" i="1"/>
  <c r="Q633" i="1"/>
  <c r="P633" i="1"/>
  <c r="O633" i="1"/>
  <c r="N633" i="1"/>
  <c r="M633" i="1"/>
  <c r="L633" i="1"/>
  <c r="K633" i="1"/>
  <c r="J633" i="1"/>
  <c r="I633" i="1"/>
  <c r="H633" i="1"/>
  <c r="V632" i="1"/>
  <c r="U632" i="1"/>
  <c r="T632" i="1"/>
  <c r="S632" i="1"/>
  <c r="R632" i="1"/>
  <c r="Q632" i="1"/>
  <c r="P632" i="1"/>
  <c r="O632" i="1"/>
  <c r="N632" i="1"/>
  <c r="M632" i="1"/>
  <c r="L632" i="1"/>
  <c r="K632" i="1"/>
  <c r="J632" i="1"/>
  <c r="I632" i="1"/>
  <c r="H632" i="1"/>
  <c r="V631" i="1"/>
  <c r="U631" i="1"/>
  <c r="T631" i="1"/>
  <c r="S631" i="1"/>
  <c r="R631" i="1"/>
  <c r="Q631" i="1"/>
  <c r="P631" i="1"/>
  <c r="O631" i="1"/>
  <c r="N631" i="1"/>
  <c r="M631" i="1"/>
  <c r="L631" i="1"/>
  <c r="K631" i="1"/>
  <c r="J631" i="1"/>
  <c r="I631" i="1"/>
  <c r="H631" i="1"/>
  <c r="V630" i="1"/>
  <c r="U630" i="1"/>
  <c r="T630" i="1"/>
  <c r="S630" i="1"/>
  <c r="R630" i="1"/>
  <c r="Q630" i="1"/>
  <c r="P630" i="1"/>
  <c r="O630" i="1"/>
  <c r="N630" i="1"/>
  <c r="M630" i="1"/>
  <c r="L630" i="1"/>
  <c r="K630" i="1"/>
  <c r="J630" i="1"/>
  <c r="I630" i="1"/>
  <c r="H630" i="1"/>
  <c r="V629" i="1"/>
  <c r="U629" i="1"/>
  <c r="T629" i="1"/>
  <c r="S629" i="1"/>
  <c r="R629" i="1"/>
  <c r="Q629" i="1"/>
  <c r="P629" i="1"/>
  <c r="O629" i="1"/>
  <c r="N629" i="1"/>
  <c r="M629" i="1"/>
  <c r="L629" i="1"/>
  <c r="K629" i="1"/>
  <c r="J629" i="1"/>
  <c r="I629" i="1"/>
  <c r="H629" i="1"/>
  <c r="V628" i="1"/>
  <c r="U628" i="1"/>
  <c r="T628" i="1"/>
  <c r="S628" i="1"/>
  <c r="R628" i="1"/>
  <c r="Q628" i="1"/>
  <c r="P628" i="1"/>
  <c r="O628" i="1"/>
  <c r="N628" i="1"/>
  <c r="M628" i="1"/>
  <c r="L628" i="1"/>
  <c r="K628" i="1"/>
  <c r="J628" i="1"/>
  <c r="I628" i="1"/>
  <c r="H628" i="1"/>
  <c r="V627" i="1"/>
  <c r="U627" i="1"/>
  <c r="T627" i="1"/>
  <c r="S627" i="1"/>
  <c r="R627" i="1"/>
  <c r="Q627" i="1"/>
  <c r="P627" i="1"/>
  <c r="O627" i="1"/>
  <c r="N627" i="1"/>
  <c r="M627" i="1"/>
  <c r="L627" i="1"/>
  <c r="K627" i="1"/>
  <c r="J627" i="1"/>
  <c r="I627" i="1"/>
  <c r="H627" i="1"/>
  <c r="V626" i="1"/>
  <c r="U626" i="1"/>
  <c r="T626" i="1"/>
  <c r="S626" i="1"/>
  <c r="R626" i="1"/>
  <c r="Q626" i="1"/>
  <c r="P626" i="1"/>
  <c r="O626" i="1"/>
  <c r="N626" i="1"/>
  <c r="M626" i="1"/>
  <c r="L626" i="1"/>
  <c r="K626" i="1"/>
  <c r="J626" i="1"/>
  <c r="I626" i="1"/>
  <c r="H626" i="1"/>
  <c r="V625" i="1"/>
  <c r="U625" i="1"/>
  <c r="T625" i="1"/>
  <c r="S625" i="1"/>
  <c r="R625" i="1"/>
  <c r="Q625" i="1"/>
  <c r="P625" i="1"/>
  <c r="O625" i="1"/>
  <c r="N625" i="1"/>
  <c r="M625" i="1"/>
  <c r="L625" i="1"/>
  <c r="K625" i="1"/>
  <c r="J625" i="1"/>
  <c r="I625" i="1"/>
  <c r="H625" i="1"/>
  <c r="V624" i="1"/>
  <c r="U624" i="1"/>
  <c r="T624" i="1"/>
  <c r="S624" i="1"/>
  <c r="R624" i="1"/>
  <c r="Q624" i="1"/>
  <c r="P624" i="1"/>
  <c r="O624" i="1"/>
  <c r="N624" i="1"/>
  <c r="M624" i="1"/>
  <c r="L624" i="1"/>
  <c r="K624" i="1"/>
  <c r="J624" i="1"/>
  <c r="I624" i="1"/>
  <c r="H624" i="1"/>
  <c r="V623" i="1"/>
  <c r="U623" i="1"/>
  <c r="T623" i="1"/>
  <c r="S623" i="1"/>
  <c r="R623" i="1"/>
  <c r="Q623" i="1"/>
  <c r="P623" i="1"/>
  <c r="O623" i="1"/>
  <c r="N623" i="1"/>
  <c r="M623" i="1"/>
  <c r="L623" i="1"/>
  <c r="K623" i="1"/>
  <c r="J623" i="1"/>
  <c r="I623" i="1"/>
  <c r="H623" i="1"/>
  <c r="V622" i="1"/>
  <c r="U622" i="1"/>
  <c r="T622" i="1"/>
  <c r="S622" i="1"/>
  <c r="R622" i="1"/>
  <c r="Q622" i="1"/>
  <c r="P622" i="1"/>
  <c r="O622" i="1"/>
  <c r="N622" i="1"/>
  <c r="M622" i="1"/>
  <c r="L622" i="1"/>
  <c r="K622" i="1"/>
  <c r="J622" i="1"/>
  <c r="I622" i="1"/>
  <c r="H622" i="1"/>
  <c r="V621" i="1"/>
  <c r="U621" i="1"/>
  <c r="T621" i="1"/>
  <c r="S621" i="1"/>
  <c r="R621" i="1"/>
  <c r="Q621" i="1"/>
  <c r="P621" i="1"/>
  <c r="O621" i="1"/>
  <c r="N621" i="1"/>
  <c r="M621" i="1"/>
  <c r="L621" i="1"/>
  <c r="K621" i="1"/>
  <c r="J621" i="1"/>
  <c r="I621" i="1"/>
  <c r="H621" i="1"/>
  <c r="V620" i="1"/>
  <c r="U620" i="1"/>
  <c r="T620" i="1"/>
  <c r="S620" i="1"/>
  <c r="R620" i="1"/>
  <c r="Q620" i="1"/>
  <c r="P620" i="1"/>
  <c r="O620" i="1"/>
  <c r="N620" i="1"/>
  <c r="M620" i="1"/>
  <c r="L620" i="1"/>
  <c r="K620" i="1"/>
  <c r="J620" i="1"/>
  <c r="I620" i="1"/>
  <c r="H620" i="1"/>
  <c r="V619" i="1"/>
  <c r="U619" i="1"/>
  <c r="T619" i="1"/>
  <c r="S619" i="1"/>
  <c r="R619" i="1"/>
  <c r="Q619" i="1"/>
  <c r="P619" i="1"/>
  <c r="O619" i="1"/>
  <c r="N619" i="1"/>
  <c r="M619" i="1"/>
  <c r="L619" i="1"/>
  <c r="K619" i="1"/>
  <c r="J619" i="1"/>
  <c r="I619" i="1"/>
  <c r="H619" i="1"/>
  <c r="V618" i="1"/>
  <c r="U618" i="1"/>
  <c r="T618" i="1"/>
  <c r="S618" i="1"/>
  <c r="R618" i="1"/>
  <c r="Q618" i="1"/>
  <c r="P618" i="1"/>
  <c r="O618" i="1"/>
  <c r="N618" i="1"/>
  <c r="M618" i="1"/>
  <c r="L618" i="1"/>
  <c r="K618" i="1"/>
  <c r="J618" i="1"/>
  <c r="I618" i="1"/>
  <c r="H618" i="1"/>
  <c r="V617" i="1"/>
  <c r="U617" i="1"/>
  <c r="T617" i="1"/>
  <c r="S617" i="1"/>
  <c r="R617" i="1"/>
  <c r="Q617" i="1"/>
  <c r="P617" i="1"/>
  <c r="O617" i="1"/>
  <c r="N617" i="1"/>
  <c r="M617" i="1"/>
  <c r="L617" i="1"/>
  <c r="K617" i="1"/>
  <c r="J617" i="1"/>
  <c r="I617" i="1"/>
  <c r="H617" i="1"/>
  <c r="V616" i="1"/>
  <c r="U616" i="1"/>
  <c r="T616" i="1"/>
  <c r="S616" i="1"/>
  <c r="R616" i="1"/>
  <c r="Q616" i="1"/>
  <c r="P616" i="1"/>
  <c r="O616" i="1"/>
  <c r="N616" i="1"/>
  <c r="M616" i="1"/>
  <c r="L616" i="1"/>
  <c r="K616" i="1"/>
  <c r="J616" i="1"/>
  <c r="I616" i="1"/>
  <c r="H616" i="1"/>
  <c r="V615" i="1"/>
  <c r="U615" i="1"/>
  <c r="T615" i="1"/>
  <c r="S615" i="1"/>
  <c r="R615" i="1"/>
  <c r="Q615" i="1"/>
  <c r="P615" i="1"/>
  <c r="O615" i="1"/>
  <c r="N615" i="1"/>
  <c r="M615" i="1"/>
  <c r="L615" i="1"/>
  <c r="K615" i="1"/>
  <c r="J615" i="1"/>
  <c r="I615" i="1"/>
  <c r="H615" i="1"/>
  <c r="V614" i="1"/>
  <c r="U614" i="1"/>
  <c r="T614" i="1"/>
  <c r="S614" i="1"/>
  <c r="R614" i="1"/>
  <c r="Q614" i="1"/>
  <c r="P614" i="1"/>
  <c r="O614" i="1"/>
  <c r="N614" i="1"/>
  <c r="M614" i="1"/>
  <c r="L614" i="1"/>
  <c r="K614" i="1"/>
  <c r="J614" i="1"/>
  <c r="I614" i="1"/>
  <c r="H614" i="1"/>
  <c r="V613" i="1"/>
  <c r="U613" i="1"/>
  <c r="T613" i="1"/>
  <c r="S613" i="1"/>
  <c r="R613" i="1"/>
  <c r="Q613" i="1"/>
  <c r="P613" i="1"/>
  <c r="O613" i="1"/>
  <c r="N613" i="1"/>
  <c r="M613" i="1"/>
  <c r="L613" i="1"/>
  <c r="K613" i="1"/>
  <c r="J613" i="1"/>
  <c r="I613" i="1"/>
  <c r="H613" i="1"/>
  <c r="V612" i="1"/>
  <c r="U612" i="1"/>
  <c r="T612" i="1"/>
  <c r="S612" i="1"/>
  <c r="R612" i="1"/>
  <c r="Q612" i="1"/>
  <c r="P612" i="1"/>
  <c r="O612" i="1"/>
  <c r="N612" i="1"/>
  <c r="M612" i="1"/>
  <c r="L612" i="1"/>
  <c r="K612" i="1"/>
  <c r="J612" i="1"/>
  <c r="I612" i="1"/>
  <c r="H612" i="1"/>
  <c r="V611" i="1"/>
  <c r="U611" i="1"/>
  <c r="T611" i="1"/>
  <c r="S611" i="1"/>
  <c r="R611" i="1"/>
  <c r="Q611" i="1"/>
  <c r="P611" i="1"/>
  <c r="O611" i="1"/>
  <c r="N611" i="1"/>
  <c r="M611" i="1"/>
  <c r="L611" i="1"/>
  <c r="K611" i="1"/>
  <c r="J611" i="1"/>
  <c r="I611" i="1"/>
  <c r="H611" i="1"/>
  <c r="V610" i="1"/>
  <c r="U610" i="1"/>
  <c r="T610" i="1"/>
  <c r="S610" i="1"/>
  <c r="R610" i="1"/>
  <c r="Q610" i="1"/>
  <c r="P610" i="1"/>
  <c r="O610" i="1"/>
  <c r="N610" i="1"/>
  <c r="M610" i="1"/>
  <c r="L610" i="1"/>
  <c r="K610" i="1"/>
  <c r="J610" i="1"/>
  <c r="I610" i="1"/>
  <c r="H610" i="1"/>
  <c r="V609" i="1"/>
  <c r="U609" i="1"/>
  <c r="T609" i="1"/>
  <c r="S609" i="1"/>
  <c r="R609" i="1"/>
  <c r="Q609" i="1"/>
  <c r="P609" i="1"/>
  <c r="O609" i="1"/>
  <c r="N609" i="1"/>
  <c r="M609" i="1"/>
  <c r="L609" i="1"/>
  <c r="K609" i="1"/>
  <c r="J609" i="1"/>
  <c r="I609" i="1"/>
  <c r="H609" i="1"/>
  <c r="V608" i="1"/>
  <c r="U608" i="1"/>
  <c r="T608" i="1"/>
  <c r="S608" i="1"/>
  <c r="R608" i="1"/>
  <c r="Q608" i="1"/>
  <c r="P608" i="1"/>
  <c r="O608" i="1"/>
  <c r="N608" i="1"/>
  <c r="M608" i="1"/>
  <c r="L608" i="1"/>
  <c r="K608" i="1"/>
  <c r="J608" i="1"/>
  <c r="I608" i="1"/>
  <c r="H608" i="1"/>
  <c r="V607" i="1"/>
  <c r="U607" i="1"/>
  <c r="T607" i="1"/>
  <c r="S607" i="1"/>
  <c r="R607" i="1"/>
  <c r="Q607" i="1"/>
  <c r="P607" i="1"/>
  <c r="O607" i="1"/>
  <c r="N607" i="1"/>
  <c r="M607" i="1"/>
  <c r="L607" i="1"/>
  <c r="K607" i="1"/>
  <c r="J607" i="1"/>
  <c r="I607" i="1"/>
  <c r="H607" i="1"/>
  <c r="V606" i="1"/>
  <c r="U606" i="1"/>
  <c r="T606" i="1"/>
  <c r="S606" i="1"/>
  <c r="R606" i="1"/>
  <c r="Q606" i="1"/>
  <c r="P606" i="1"/>
  <c r="O606" i="1"/>
  <c r="N606" i="1"/>
  <c r="M606" i="1"/>
  <c r="L606" i="1"/>
  <c r="K606" i="1"/>
  <c r="J606" i="1"/>
  <c r="I606" i="1"/>
  <c r="H606" i="1"/>
  <c r="V605" i="1"/>
  <c r="U605" i="1"/>
  <c r="T605" i="1"/>
  <c r="S605" i="1"/>
  <c r="R605" i="1"/>
  <c r="Q605" i="1"/>
  <c r="P605" i="1"/>
  <c r="O605" i="1"/>
  <c r="N605" i="1"/>
  <c r="M605" i="1"/>
  <c r="L605" i="1"/>
  <c r="K605" i="1"/>
  <c r="J605" i="1"/>
  <c r="I605" i="1"/>
  <c r="H605" i="1"/>
  <c r="V604" i="1"/>
  <c r="U604" i="1"/>
  <c r="T604" i="1"/>
  <c r="S604" i="1"/>
  <c r="R604" i="1"/>
  <c r="Q604" i="1"/>
  <c r="P604" i="1"/>
  <c r="O604" i="1"/>
  <c r="N604" i="1"/>
  <c r="M604" i="1"/>
  <c r="L604" i="1"/>
  <c r="K604" i="1"/>
  <c r="J604" i="1"/>
  <c r="I604" i="1"/>
  <c r="H604" i="1"/>
  <c r="V603" i="1"/>
  <c r="U603" i="1"/>
  <c r="T603" i="1"/>
  <c r="S603" i="1"/>
  <c r="R603" i="1"/>
  <c r="Q603" i="1"/>
  <c r="P603" i="1"/>
  <c r="O603" i="1"/>
  <c r="N603" i="1"/>
  <c r="M603" i="1"/>
  <c r="L603" i="1"/>
  <c r="K603" i="1"/>
  <c r="J603" i="1"/>
  <c r="I603" i="1"/>
  <c r="H603" i="1"/>
  <c r="V602" i="1"/>
  <c r="U602" i="1"/>
  <c r="T602" i="1"/>
  <c r="S602" i="1"/>
  <c r="R602" i="1"/>
  <c r="Q602" i="1"/>
  <c r="P602" i="1"/>
  <c r="O602" i="1"/>
  <c r="N602" i="1"/>
  <c r="M602" i="1"/>
  <c r="L602" i="1"/>
  <c r="K602" i="1"/>
  <c r="J602" i="1"/>
  <c r="I602" i="1"/>
  <c r="H602" i="1"/>
  <c r="V601" i="1"/>
  <c r="U601" i="1"/>
  <c r="T601" i="1"/>
  <c r="S601" i="1"/>
  <c r="R601" i="1"/>
  <c r="Q601" i="1"/>
  <c r="P601" i="1"/>
  <c r="O601" i="1"/>
  <c r="N601" i="1"/>
  <c r="M601" i="1"/>
  <c r="L601" i="1"/>
  <c r="K601" i="1"/>
  <c r="J601" i="1"/>
  <c r="I601" i="1"/>
  <c r="H601" i="1"/>
  <c r="V600" i="1"/>
  <c r="U600" i="1"/>
  <c r="T600" i="1"/>
  <c r="S600" i="1"/>
  <c r="R600" i="1"/>
  <c r="Q600" i="1"/>
  <c r="P600" i="1"/>
  <c r="O600" i="1"/>
  <c r="N600" i="1"/>
  <c r="M600" i="1"/>
  <c r="L600" i="1"/>
  <c r="K600" i="1"/>
  <c r="J600" i="1"/>
  <c r="I600" i="1"/>
  <c r="H600" i="1"/>
  <c r="V599" i="1"/>
  <c r="U599" i="1"/>
  <c r="T599" i="1"/>
  <c r="S599" i="1"/>
  <c r="R599" i="1"/>
  <c r="Q599" i="1"/>
  <c r="P599" i="1"/>
  <c r="O599" i="1"/>
  <c r="N599" i="1"/>
  <c r="M599" i="1"/>
  <c r="L599" i="1"/>
  <c r="K599" i="1"/>
  <c r="J599" i="1"/>
  <c r="I599" i="1"/>
  <c r="H599" i="1"/>
  <c r="V598" i="1"/>
  <c r="U598" i="1"/>
  <c r="T598" i="1"/>
  <c r="S598" i="1"/>
  <c r="R598" i="1"/>
  <c r="Q598" i="1"/>
  <c r="P598" i="1"/>
  <c r="O598" i="1"/>
  <c r="N598" i="1"/>
  <c r="M598" i="1"/>
  <c r="L598" i="1"/>
  <c r="K598" i="1"/>
  <c r="J598" i="1"/>
  <c r="I598" i="1"/>
  <c r="H598" i="1"/>
  <c r="V597" i="1"/>
  <c r="U597" i="1"/>
  <c r="T597" i="1"/>
  <c r="S597" i="1"/>
  <c r="R597" i="1"/>
  <c r="Q597" i="1"/>
  <c r="P597" i="1"/>
  <c r="O597" i="1"/>
  <c r="N597" i="1"/>
  <c r="M597" i="1"/>
  <c r="L597" i="1"/>
  <c r="K597" i="1"/>
  <c r="J597" i="1"/>
  <c r="I597" i="1"/>
  <c r="H597" i="1"/>
  <c r="V596" i="1"/>
  <c r="U596" i="1"/>
  <c r="T596" i="1"/>
  <c r="S596" i="1"/>
  <c r="R596" i="1"/>
  <c r="Q596" i="1"/>
  <c r="P596" i="1"/>
  <c r="O596" i="1"/>
  <c r="N596" i="1"/>
  <c r="M596" i="1"/>
  <c r="L596" i="1"/>
  <c r="K596" i="1"/>
  <c r="J596" i="1"/>
  <c r="I596" i="1"/>
  <c r="H596" i="1"/>
  <c r="V595" i="1"/>
  <c r="U595" i="1"/>
  <c r="T595" i="1"/>
  <c r="S595" i="1"/>
  <c r="R595" i="1"/>
  <c r="Q595" i="1"/>
  <c r="P595" i="1"/>
  <c r="O595" i="1"/>
  <c r="N595" i="1"/>
  <c r="M595" i="1"/>
  <c r="L595" i="1"/>
  <c r="K595" i="1"/>
  <c r="J595" i="1"/>
  <c r="I595" i="1"/>
  <c r="H595" i="1"/>
  <c r="V594" i="1"/>
  <c r="U594" i="1"/>
  <c r="T594" i="1"/>
  <c r="S594" i="1"/>
  <c r="R594" i="1"/>
  <c r="Q594" i="1"/>
  <c r="P594" i="1"/>
  <c r="O594" i="1"/>
  <c r="N594" i="1"/>
  <c r="M594" i="1"/>
  <c r="L594" i="1"/>
  <c r="K594" i="1"/>
  <c r="J594" i="1"/>
  <c r="I594" i="1"/>
  <c r="H594" i="1"/>
  <c r="V593" i="1"/>
  <c r="U593" i="1"/>
  <c r="T593" i="1"/>
  <c r="S593" i="1"/>
  <c r="R593" i="1"/>
  <c r="Q593" i="1"/>
  <c r="P593" i="1"/>
  <c r="O593" i="1"/>
  <c r="N593" i="1"/>
  <c r="M593" i="1"/>
  <c r="L593" i="1"/>
  <c r="K593" i="1"/>
  <c r="J593" i="1"/>
  <c r="I593" i="1"/>
  <c r="H593" i="1"/>
  <c r="V592" i="1"/>
  <c r="U592" i="1"/>
  <c r="T592" i="1"/>
  <c r="S592" i="1"/>
  <c r="R592" i="1"/>
  <c r="Q592" i="1"/>
  <c r="P592" i="1"/>
  <c r="O592" i="1"/>
  <c r="N592" i="1"/>
  <c r="M592" i="1"/>
  <c r="L592" i="1"/>
  <c r="K592" i="1"/>
  <c r="J592" i="1"/>
  <c r="I592" i="1"/>
  <c r="H592" i="1"/>
  <c r="V591" i="1"/>
  <c r="U591" i="1"/>
  <c r="T591" i="1"/>
  <c r="S591" i="1"/>
  <c r="R591" i="1"/>
  <c r="Q591" i="1"/>
  <c r="P591" i="1"/>
  <c r="O591" i="1"/>
  <c r="N591" i="1"/>
  <c r="M591" i="1"/>
  <c r="L591" i="1"/>
  <c r="K591" i="1"/>
  <c r="J591" i="1"/>
  <c r="I591" i="1"/>
  <c r="H591" i="1"/>
  <c r="V590" i="1"/>
  <c r="U590" i="1"/>
  <c r="T590" i="1"/>
  <c r="S590" i="1"/>
  <c r="R590" i="1"/>
  <c r="Q590" i="1"/>
  <c r="P590" i="1"/>
  <c r="O590" i="1"/>
  <c r="N590" i="1"/>
  <c r="M590" i="1"/>
  <c r="L590" i="1"/>
  <c r="K590" i="1"/>
  <c r="J590" i="1"/>
  <c r="I590" i="1"/>
  <c r="H590" i="1"/>
  <c r="V589" i="1"/>
  <c r="U589" i="1"/>
  <c r="T589" i="1"/>
  <c r="S589" i="1"/>
  <c r="R589" i="1"/>
  <c r="Q589" i="1"/>
  <c r="P589" i="1"/>
  <c r="O589" i="1"/>
  <c r="N589" i="1"/>
  <c r="M589" i="1"/>
  <c r="L589" i="1"/>
  <c r="K589" i="1"/>
  <c r="J589" i="1"/>
  <c r="I589" i="1"/>
  <c r="H589" i="1"/>
  <c r="V588" i="1"/>
  <c r="U588" i="1"/>
  <c r="T588" i="1"/>
  <c r="S588" i="1"/>
  <c r="R588" i="1"/>
  <c r="Q588" i="1"/>
  <c r="P588" i="1"/>
  <c r="O588" i="1"/>
  <c r="N588" i="1"/>
  <c r="M588" i="1"/>
  <c r="L588" i="1"/>
  <c r="K588" i="1"/>
  <c r="J588" i="1"/>
  <c r="I588" i="1"/>
  <c r="H588" i="1"/>
  <c r="V587" i="1"/>
  <c r="U587" i="1"/>
  <c r="T587" i="1"/>
  <c r="S587" i="1"/>
  <c r="R587" i="1"/>
  <c r="Q587" i="1"/>
  <c r="P587" i="1"/>
  <c r="O587" i="1"/>
  <c r="N587" i="1"/>
  <c r="M587" i="1"/>
  <c r="L587" i="1"/>
  <c r="K587" i="1"/>
  <c r="J587" i="1"/>
  <c r="I587" i="1"/>
  <c r="H587" i="1"/>
  <c r="V586" i="1"/>
  <c r="U586" i="1"/>
  <c r="T586" i="1"/>
  <c r="S586" i="1"/>
  <c r="R586" i="1"/>
  <c r="Q586" i="1"/>
  <c r="P586" i="1"/>
  <c r="O586" i="1"/>
  <c r="N586" i="1"/>
  <c r="M586" i="1"/>
  <c r="L586" i="1"/>
  <c r="K586" i="1"/>
  <c r="J586" i="1"/>
  <c r="I586" i="1"/>
  <c r="H586" i="1"/>
  <c r="V585" i="1"/>
  <c r="U585" i="1"/>
  <c r="T585" i="1"/>
  <c r="S585" i="1"/>
  <c r="R585" i="1"/>
  <c r="Q585" i="1"/>
  <c r="P585" i="1"/>
  <c r="O585" i="1"/>
  <c r="N585" i="1"/>
  <c r="M585" i="1"/>
  <c r="L585" i="1"/>
  <c r="K585" i="1"/>
  <c r="J585" i="1"/>
  <c r="I585" i="1"/>
  <c r="H585" i="1"/>
  <c r="V584" i="1"/>
  <c r="U584" i="1"/>
  <c r="T584" i="1"/>
  <c r="S584" i="1"/>
  <c r="R584" i="1"/>
  <c r="Q584" i="1"/>
  <c r="P584" i="1"/>
  <c r="O584" i="1"/>
  <c r="N584" i="1"/>
  <c r="M584" i="1"/>
  <c r="L584" i="1"/>
  <c r="K584" i="1"/>
  <c r="J584" i="1"/>
  <c r="I584" i="1"/>
  <c r="H584" i="1"/>
  <c r="V583" i="1"/>
  <c r="U583" i="1"/>
  <c r="T583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V582" i="1"/>
  <c r="U582" i="1"/>
  <c r="T582" i="1"/>
  <c r="S582" i="1"/>
  <c r="R582" i="1"/>
  <c r="Q582" i="1"/>
  <c r="P582" i="1"/>
  <c r="O582" i="1"/>
  <c r="N582" i="1"/>
  <c r="M582" i="1"/>
  <c r="L582" i="1"/>
  <c r="K582" i="1"/>
  <c r="J582" i="1"/>
  <c r="I582" i="1"/>
  <c r="H582" i="1"/>
  <c r="V581" i="1"/>
  <c r="U581" i="1"/>
  <c r="T581" i="1"/>
  <c r="S581" i="1"/>
  <c r="R581" i="1"/>
  <c r="Q581" i="1"/>
  <c r="P581" i="1"/>
  <c r="O581" i="1"/>
  <c r="N581" i="1"/>
  <c r="M581" i="1"/>
  <c r="L581" i="1"/>
  <c r="K581" i="1"/>
  <c r="J581" i="1"/>
  <c r="I581" i="1"/>
  <c r="H581" i="1"/>
  <c r="V580" i="1"/>
  <c r="U580" i="1"/>
  <c r="T580" i="1"/>
  <c r="S580" i="1"/>
  <c r="R580" i="1"/>
  <c r="Q580" i="1"/>
  <c r="P580" i="1"/>
  <c r="O580" i="1"/>
  <c r="N580" i="1"/>
  <c r="M580" i="1"/>
  <c r="L580" i="1"/>
  <c r="K580" i="1"/>
  <c r="J580" i="1"/>
  <c r="I580" i="1"/>
  <c r="H580" i="1"/>
  <c r="V579" i="1"/>
  <c r="U579" i="1"/>
  <c r="T579" i="1"/>
  <c r="S579" i="1"/>
  <c r="R579" i="1"/>
  <c r="Q579" i="1"/>
  <c r="P579" i="1"/>
  <c r="O579" i="1"/>
  <c r="N579" i="1"/>
  <c r="M579" i="1"/>
  <c r="L579" i="1"/>
  <c r="K579" i="1"/>
  <c r="J579" i="1"/>
  <c r="I579" i="1"/>
  <c r="H579" i="1"/>
  <c r="V578" i="1"/>
  <c r="U578" i="1"/>
  <c r="T578" i="1"/>
  <c r="S578" i="1"/>
  <c r="R578" i="1"/>
  <c r="Q578" i="1"/>
  <c r="P578" i="1"/>
  <c r="O578" i="1"/>
  <c r="N578" i="1"/>
  <c r="M578" i="1"/>
  <c r="L578" i="1"/>
  <c r="K578" i="1"/>
  <c r="J578" i="1"/>
  <c r="I578" i="1"/>
  <c r="H578" i="1"/>
  <c r="V577" i="1"/>
  <c r="U577" i="1"/>
  <c r="T577" i="1"/>
  <c r="S577" i="1"/>
  <c r="R577" i="1"/>
  <c r="Q577" i="1"/>
  <c r="P577" i="1"/>
  <c r="O577" i="1"/>
  <c r="N577" i="1"/>
  <c r="M577" i="1"/>
  <c r="L577" i="1"/>
  <c r="K577" i="1"/>
  <c r="J577" i="1"/>
  <c r="I577" i="1"/>
  <c r="H577" i="1"/>
  <c r="V576" i="1"/>
  <c r="U576" i="1"/>
  <c r="T576" i="1"/>
  <c r="S576" i="1"/>
  <c r="R576" i="1"/>
  <c r="Q576" i="1"/>
  <c r="P576" i="1"/>
  <c r="O576" i="1"/>
  <c r="N576" i="1"/>
  <c r="M576" i="1"/>
  <c r="L576" i="1"/>
  <c r="K576" i="1"/>
  <c r="J576" i="1"/>
  <c r="I576" i="1"/>
  <c r="H576" i="1"/>
  <c r="V575" i="1"/>
  <c r="U575" i="1"/>
  <c r="T575" i="1"/>
  <c r="S575" i="1"/>
  <c r="R575" i="1"/>
  <c r="Q575" i="1"/>
  <c r="P575" i="1"/>
  <c r="O575" i="1"/>
  <c r="N575" i="1"/>
  <c r="M575" i="1"/>
  <c r="L575" i="1"/>
  <c r="K575" i="1"/>
  <c r="J575" i="1"/>
  <c r="I575" i="1"/>
  <c r="H575" i="1"/>
  <c r="V574" i="1"/>
  <c r="U574" i="1"/>
  <c r="T574" i="1"/>
  <c r="S574" i="1"/>
  <c r="R574" i="1"/>
  <c r="Q574" i="1"/>
  <c r="P574" i="1"/>
  <c r="O574" i="1"/>
  <c r="N574" i="1"/>
  <c r="M574" i="1"/>
  <c r="L574" i="1"/>
  <c r="K574" i="1"/>
  <c r="J574" i="1"/>
  <c r="I574" i="1"/>
  <c r="H574" i="1"/>
  <c r="V573" i="1"/>
  <c r="U573" i="1"/>
  <c r="T573" i="1"/>
  <c r="S573" i="1"/>
  <c r="R573" i="1"/>
  <c r="Q573" i="1"/>
  <c r="P573" i="1"/>
  <c r="O573" i="1"/>
  <c r="N573" i="1"/>
  <c r="M573" i="1"/>
  <c r="L573" i="1"/>
  <c r="K573" i="1"/>
  <c r="J573" i="1"/>
  <c r="I573" i="1"/>
  <c r="H573" i="1"/>
  <c r="V572" i="1"/>
  <c r="U572" i="1"/>
  <c r="T572" i="1"/>
  <c r="S572" i="1"/>
  <c r="R572" i="1"/>
  <c r="Q572" i="1"/>
  <c r="P572" i="1"/>
  <c r="O572" i="1"/>
  <c r="N572" i="1"/>
  <c r="M572" i="1"/>
  <c r="L572" i="1"/>
  <c r="K572" i="1"/>
  <c r="J572" i="1"/>
  <c r="I572" i="1"/>
  <c r="H572" i="1"/>
  <c r="V571" i="1"/>
  <c r="U571" i="1"/>
  <c r="T571" i="1"/>
  <c r="S571" i="1"/>
  <c r="R571" i="1"/>
  <c r="Q571" i="1"/>
  <c r="P571" i="1"/>
  <c r="O571" i="1"/>
  <c r="N571" i="1"/>
  <c r="M571" i="1"/>
  <c r="L571" i="1"/>
  <c r="K571" i="1"/>
  <c r="J571" i="1"/>
  <c r="I571" i="1"/>
  <c r="H571" i="1"/>
  <c r="V570" i="1"/>
  <c r="U570" i="1"/>
  <c r="T570" i="1"/>
  <c r="S570" i="1"/>
  <c r="R570" i="1"/>
  <c r="Q570" i="1"/>
  <c r="P570" i="1"/>
  <c r="O570" i="1"/>
  <c r="N570" i="1"/>
  <c r="M570" i="1"/>
  <c r="L570" i="1"/>
  <c r="K570" i="1"/>
  <c r="J570" i="1"/>
  <c r="I570" i="1"/>
  <c r="H570" i="1"/>
  <c r="V569" i="1"/>
  <c r="U569" i="1"/>
  <c r="T569" i="1"/>
  <c r="S569" i="1"/>
  <c r="R569" i="1"/>
  <c r="Q569" i="1"/>
  <c r="P569" i="1"/>
  <c r="O569" i="1"/>
  <c r="N569" i="1"/>
  <c r="M569" i="1"/>
  <c r="L569" i="1"/>
  <c r="K569" i="1"/>
  <c r="J569" i="1"/>
  <c r="I569" i="1"/>
  <c r="H569" i="1"/>
  <c r="V568" i="1"/>
  <c r="U568" i="1"/>
  <c r="T568" i="1"/>
  <c r="S568" i="1"/>
  <c r="R568" i="1"/>
  <c r="Q568" i="1"/>
  <c r="P568" i="1"/>
  <c r="O568" i="1"/>
  <c r="N568" i="1"/>
  <c r="M568" i="1"/>
  <c r="L568" i="1"/>
  <c r="K568" i="1"/>
  <c r="J568" i="1"/>
  <c r="I568" i="1"/>
  <c r="H568" i="1"/>
  <c r="V567" i="1"/>
  <c r="U567" i="1"/>
  <c r="T567" i="1"/>
  <c r="S567" i="1"/>
  <c r="R567" i="1"/>
  <c r="Q567" i="1"/>
  <c r="P567" i="1"/>
  <c r="O567" i="1"/>
  <c r="N567" i="1"/>
  <c r="M567" i="1"/>
  <c r="L567" i="1"/>
  <c r="K567" i="1"/>
  <c r="J567" i="1"/>
  <c r="I567" i="1"/>
  <c r="H567" i="1"/>
  <c r="V566" i="1"/>
  <c r="U566" i="1"/>
  <c r="T566" i="1"/>
  <c r="S566" i="1"/>
  <c r="R566" i="1"/>
  <c r="Q566" i="1"/>
  <c r="P566" i="1"/>
  <c r="O566" i="1"/>
  <c r="N566" i="1"/>
  <c r="M566" i="1"/>
  <c r="L566" i="1"/>
  <c r="K566" i="1"/>
  <c r="J566" i="1"/>
  <c r="I566" i="1"/>
  <c r="H566" i="1"/>
  <c r="V565" i="1"/>
  <c r="U565" i="1"/>
  <c r="T565" i="1"/>
  <c r="S565" i="1"/>
  <c r="R565" i="1"/>
  <c r="Q565" i="1"/>
  <c r="P565" i="1"/>
  <c r="O565" i="1"/>
  <c r="N565" i="1"/>
  <c r="M565" i="1"/>
  <c r="L565" i="1"/>
  <c r="K565" i="1"/>
  <c r="J565" i="1"/>
  <c r="I565" i="1"/>
  <c r="H565" i="1"/>
  <c r="V564" i="1"/>
  <c r="U564" i="1"/>
  <c r="T564" i="1"/>
  <c r="S564" i="1"/>
  <c r="R564" i="1"/>
  <c r="Q564" i="1"/>
  <c r="P564" i="1"/>
  <c r="O564" i="1"/>
  <c r="N564" i="1"/>
  <c r="M564" i="1"/>
  <c r="L564" i="1"/>
  <c r="K564" i="1"/>
  <c r="J564" i="1"/>
  <c r="I564" i="1"/>
  <c r="H564" i="1"/>
  <c r="V563" i="1"/>
  <c r="U563" i="1"/>
  <c r="T563" i="1"/>
  <c r="S563" i="1"/>
  <c r="R563" i="1"/>
  <c r="Q563" i="1"/>
  <c r="P563" i="1"/>
  <c r="O563" i="1"/>
  <c r="N563" i="1"/>
  <c r="M563" i="1"/>
  <c r="L563" i="1"/>
  <c r="K563" i="1"/>
  <c r="J563" i="1"/>
  <c r="I563" i="1"/>
  <c r="H563" i="1"/>
  <c r="V562" i="1"/>
  <c r="U562" i="1"/>
  <c r="T562" i="1"/>
  <c r="S562" i="1"/>
  <c r="R562" i="1"/>
  <c r="Q562" i="1"/>
  <c r="P562" i="1"/>
  <c r="O562" i="1"/>
  <c r="N562" i="1"/>
  <c r="M562" i="1"/>
  <c r="L562" i="1"/>
  <c r="K562" i="1"/>
  <c r="J562" i="1"/>
  <c r="I562" i="1"/>
  <c r="H562" i="1"/>
  <c r="V561" i="1"/>
  <c r="U561" i="1"/>
  <c r="T561" i="1"/>
  <c r="S561" i="1"/>
  <c r="R561" i="1"/>
  <c r="Q561" i="1"/>
  <c r="P561" i="1"/>
  <c r="O561" i="1"/>
  <c r="N561" i="1"/>
  <c r="M561" i="1"/>
  <c r="L561" i="1"/>
  <c r="K561" i="1"/>
  <c r="J561" i="1"/>
  <c r="I561" i="1"/>
  <c r="H561" i="1"/>
  <c r="V560" i="1"/>
  <c r="U560" i="1"/>
  <c r="T560" i="1"/>
  <c r="S560" i="1"/>
  <c r="R560" i="1"/>
  <c r="Q560" i="1"/>
  <c r="P560" i="1"/>
  <c r="O560" i="1"/>
  <c r="N560" i="1"/>
  <c r="M560" i="1"/>
  <c r="L560" i="1"/>
  <c r="K560" i="1"/>
  <c r="J560" i="1"/>
  <c r="I560" i="1"/>
  <c r="H560" i="1"/>
  <c r="V559" i="1"/>
  <c r="U559" i="1"/>
  <c r="T559" i="1"/>
  <c r="S559" i="1"/>
  <c r="R559" i="1"/>
  <c r="Q559" i="1"/>
  <c r="P559" i="1"/>
  <c r="O559" i="1"/>
  <c r="N559" i="1"/>
  <c r="M559" i="1"/>
  <c r="L559" i="1"/>
  <c r="K559" i="1"/>
  <c r="J559" i="1"/>
  <c r="I559" i="1"/>
  <c r="H559" i="1"/>
  <c r="V558" i="1"/>
  <c r="U558" i="1"/>
  <c r="T558" i="1"/>
  <c r="S558" i="1"/>
  <c r="R558" i="1"/>
  <c r="Q558" i="1"/>
  <c r="P558" i="1"/>
  <c r="O558" i="1"/>
  <c r="N558" i="1"/>
  <c r="M558" i="1"/>
  <c r="L558" i="1"/>
  <c r="K558" i="1"/>
  <c r="J558" i="1"/>
  <c r="I558" i="1"/>
  <c r="H558" i="1"/>
  <c r="V557" i="1"/>
  <c r="U557" i="1"/>
  <c r="T557" i="1"/>
  <c r="S557" i="1"/>
  <c r="R557" i="1"/>
  <c r="Q557" i="1"/>
  <c r="P557" i="1"/>
  <c r="O557" i="1"/>
  <c r="N557" i="1"/>
  <c r="M557" i="1"/>
  <c r="L557" i="1"/>
  <c r="K557" i="1"/>
  <c r="J557" i="1"/>
  <c r="I557" i="1"/>
  <c r="H557" i="1"/>
  <c r="V556" i="1"/>
  <c r="U556" i="1"/>
  <c r="T556" i="1"/>
  <c r="S556" i="1"/>
  <c r="R556" i="1"/>
  <c r="Q556" i="1"/>
  <c r="P556" i="1"/>
  <c r="O556" i="1"/>
  <c r="N556" i="1"/>
  <c r="M556" i="1"/>
  <c r="L556" i="1"/>
  <c r="K556" i="1"/>
  <c r="J556" i="1"/>
  <c r="I556" i="1"/>
  <c r="H556" i="1"/>
  <c r="V555" i="1"/>
  <c r="U555" i="1"/>
  <c r="T555" i="1"/>
  <c r="S555" i="1"/>
  <c r="R555" i="1"/>
  <c r="Q555" i="1"/>
  <c r="P555" i="1"/>
  <c r="O555" i="1"/>
  <c r="N555" i="1"/>
  <c r="M555" i="1"/>
  <c r="L555" i="1"/>
  <c r="K555" i="1"/>
  <c r="J555" i="1"/>
  <c r="I555" i="1"/>
  <c r="H555" i="1"/>
  <c r="V554" i="1"/>
  <c r="U554" i="1"/>
  <c r="T554" i="1"/>
  <c r="S554" i="1"/>
  <c r="R554" i="1"/>
  <c r="Q554" i="1"/>
  <c r="P554" i="1"/>
  <c r="O554" i="1"/>
  <c r="N554" i="1"/>
  <c r="M554" i="1"/>
  <c r="L554" i="1"/>
  <c r="K554" i="1"/>
  <c r="J554" i="1"/>
  <c r="I554" i="1"/>
  <c r="H554" i="1"/>
  <c r="V553" i="1"/>
  <c r="U553" i="1"/>
  <c r="T553" i="1"/>
  <c r="S553" i="1"/>
  <c r="R553" i="1"/>
  <c r="Q553" i="1"/>
  <c r="P553" i="1"/>
  <c r="O553" i="1"/>
  <c r="N553" i="1"/>
  <c r="M553" i="1"/>
  <c r="L553" i="1"/>
  <c r="K553" i="1"/>
  <c r="J553" i="1"/>
  <c r="I553" i="1"/>
  <c r="H553" i="1"/>
  <c r="V552" i="1"/>
  <c r="U552" i="1"/>
  <c r="T552" i="1"/>
  <c r="S552" i="1"/>
  <c r="R552" i="1"/>
  <c r="Q552" i="1"/>
  <c r="P552" i="1"/>
  <c r="O552" i="1"/>
  <c r="N552" i="1"/>
  <c r="M552" i="1"/>
  <c r="L552" i="1"/>
  <c r="K552" i="1"/>
  <c r="J552" i="1"/>
  <c r="I552" i="1"/>
  <c r="H552" i="1"/>
  <c r="V551" i="1"/>
  <c r="U551" i="1"/>
  <c r="T551" i="1"/>
  <c r="S551" i="1"/>
  <c r="R551" i="1"/>
  <c r="Q551" i="1"/>
  <c r="P551" i="1"/>
  <c r="O551" i="1"/>
  <c r="N551" i="1"/>
  <c r="M551" i="1"/>
  <c r="L551" i="1"/>
  <c r="K551" i="1"/>
  <c r="J551" i="1"/>
  <c r="I551" i="1"/>
  <c r="H551" i="1"/>
  <c r="V550" i="1"/>
  <c r="U550" i="1"/>
  <c r="T550" i="1"/>
  <c r="S550" i="1"/>
  <c r="R550" i="1"/>
  <c r="Q550" i="1"/>
  <c r="P550" i="1"/>
  <c r="O550" i="1"/>
  <c r="N550" i="1"/>
  <c r="M550" i="1"/>
  <c r="L550" i="1"/>
  <c r="K550" i="1"/>
  <c r="J550" i="1"/>
  <c r="I550" i="1"/>
  <c r="H550" i="1"/>
  <c r="V549" i="1"/>
  <c r="U549" i="1"/>
  <c r="T549" i="1"/>
  <c r="S549" i="1"/>
  <c r="R549" i="1"/>
  <c r="Q549" i="1"/>
  <c r="P549" i="1"/>
  <c r="O549" i="1"/>
  <c r="N549" i="1"/>
  <c r="M549" i="1"/>
  <c r="L549" i="1"/>
  <c r="K549" i="1"/>
  <c r="J549" i="1"/>
  <c r="I549" i="1"/>
  <c r="H549" i="1"/>
  <c r="V548" i="1"/>
  <c r="U548" i="1"/>
  <c r="T548" i="1"/>
  <c r="S548" i="1"/>
  <c r="R548" i="1"/>
  <c r="Q548" i="1"/>
  <c r="P548" i="1"/>
  <c r="O548" i="1"/>
  <c r="N548" i="1"/>
  <c r="M548" i="1"/>
  <c r="L548" i="1"/>
  <c r="K548" i="1"/>
  <c r="J548" i="1"/>
  <c r="I548" i="1"/>
  <c r="H548" i="1"/>
  <c r="V547" i="1"/>
  <c r="U547" i="1"/>
  <c r="T547" i="1"/>
  <c r="S547" i="1"/>
  <c r="R547" i="1"/>
  <c r="Q547" i="1"/>
  <c r="P547" i="1"/>
  <c r="O547" i="1"/>
  <c r="N547" i="1"/>
  <c r="M547" i="1"/>
  <c r="L547" i="1"/>
  <c r="K547" i="1"/>
  <c r="J547" i="1"/>
  <c r="I547" i="1"/>
  <c r="H547" i="1"/>
  <c r="V546" i="1"/>
  <c r="U546" i="1"/>
  <c r="T546" i="1"/>
  <c r="S546" i="1"/>
  <c r="R546" i="1"/>
  <c r="Q546" i="1"/>
  <c r="P546" i="1"/>
  <c r="O546" i="1"/>
  <c r="N546" i="1"/>
  <c r="M546" i="1"/>
  <c r="L546" i="1"/>
  <c r="K546" i="1"/>
  <c r="J546" i="1"/>
  <c r="I546" i="1"/>
  <c r="H546" i="1"/>
  <c r="V545" i="1"/>
  <c r="U545" i="1"/>
  <c r="T545" i="1"/>
  <c r="S545" i="1"/>
  <c r="R545" i="1"/>
  <c r="Q545" i="1"/>
  <c r="P545" i="1"/>
  <c r="O545" i="1"/>
  <c r="N545" i="1"/>
  <c r="M545" i="1"/>
  <c r="L545" i="1"/>
  <c r="K545" i="1"/>
  <c r="J545" i="1"/>
  <c r="I545" i="1"/>
  <c r="H545" i="1"/>
  <c r="V544" i="1"/>
  <c r="U544" i="1"/>
  <c r="T544" i="1"/>
  <c r="S544" i="1"/>
  <c r="R544" i="1"/>
  <c r="Q544" i="1"/>
  <c r="P544" i="1"/>
  <c r="O544" i="1"/>
  <c r="N544" i="1"/>
  <c r="M544" i="1"/>
  <c r="L544" i="1"/>
  <c r="K544" i="1"/>
  <c r="J544" i="1"/>
  <c r="I544" i="1"/>
  <c r="H544" i="1"/>
  <c r="V543" i="1"/>
  <c r="U543" i="1"/>
  <c r="T543" i="1"/>
  <c r="S543" i="1"/>
  <c r="R543" i="1"/>
  <c r="Q543" i="1"/>
  <c r="P543" i="1"/>
  <c r="O543" i="1"/>
  <c r="N543" i="1"/>
  <c r="M543" i="1"/>
  <c r="L543" i="1"/>
  <c r="K543" i="1"/>
  <c r="J543" i="1"/>
  <c r="I543" i="1"/>
  <c r="H543" i="1"/>
  <c r="V542" i="1"/>
  <c r="U542" i="1"/>
  <c r="T542" i="1"/>
  <c r="S542" i="1"/>
  <c r="R542" i="1"/>
  <c r="Q542" i="1"/>
  <c r="P542" i="1"/>
  <c r="O542" i="1"/>
  <c r="N542" i="1"/>
  <c r="M542" i="1"/>
  <c r="L542" i="1"/>
  <c r="K542" i="1"/>
  <c r="J542" i="1"/>
  <c r="I542" i="1"/>
  <c r="H542" i="1"/>
  <c r="V541" i="1"/>
  <c r="U541" i="1"/>
  <c r="T541" i="1"/>
  <c r="S541" i="1"/>
  <c r="R541" i="1"/>
  <c r="Q541" i="1"/>
  <c r="P541" i="1"/>
  <c r="O541" i="1"/>
  <c r="N541" i="1"/>
  <c r="M541" i="1"/>
  <c r="L541" i="1"/>
  <c r="K541" i="1"/>
  <c r="J541" i="1"/>
  <c r="I541" i="1"/>
  <c r="H541" i="1"/>
  <c r="V540" i="1"/>
  <c r="U540" i="1"/>
  <c r="T540" i="1"/>
  <c r="S540" i="1"/>
  <c r="R540" i="1"/>
  <c r="Q540" i="1"/>
  <c r="P540" i="1"/>
  <c r="O540" i="1"/>
  <c r="N540" i="1"/>
  <c r="M540" i="1"/>
  <c r="L540" i="1"/>
  <c r="K540" i="1"/>
  <c r="J540" i="1"/>
  <c r="I540" i="1"/>
  <c r="H540" i="1"/>
  <c r="V539" i="1"/>
  <c r="U539" i="1"/>
  <c r="T539" i="1"/>
  <c r="S539" i="1"/>
  <c r="R539" i="1"/>
  <c r="Q539" i="1"/>
  <c r="P539" i="1"/>
  <c r="O539" i="1"/>
  <c r="N539" i="1"/>
  <c r="M539" i="1"/>
  <c r="L539" i="1"/>
  <c r="K539" i="1"/>
  <c r="J539" i="1"/>
  <c r="I539" i="1"/>
  <c r="H539" i="1"/>
  <c r="V538" i="1"/>
  <c r="U538" i="1"/>
  <c r="T538" i="1"/>
  <c r="S538" i="1"/>
  <c r="R538" i="1"/>
  <c r="Q538" i="1"/>
  <c r="P538" i="1"/>
  <c r="O538" i="1"/>
  <c r="N538" i="1"/>
  <c r="M538" i="1"/>
  <c r="L538" i="1"/>
  <c r="K538" i="1"/>
  <c r="J538" i="1"/>
  <c r="I538" i="1"/>
  <c r="H538" i="1"/>
  <c r="V537" i="1"/>
  <c r="U537" i="1"/>
  <c r="T537" i="1"/>
  <c r="S537" i="1"/>
  <c r="R537" i="1"/>
  <c r="Q537" i="1"/>
  <c r="P537" i="1"/>
  <c r="O537" i="1"/>
  <c r="N537" i="1"/>
  <c r="M537" i="1"/>
  <c r="L537" i="1"/>
  <c r="K537" i="1"/>
  <c r="J537" i="1"/>
  <c r="I537" i="1"/>
  <c r="H537" i="1"/>
  <c r="V536" i="1"/>
  <c r="U536" i="1"/>
  <c r="T536" i="1"/>
  <c r="S536" i="1"/>
  <c r="R536" i="1"/>
  <c r="Q536" i="1"/>
  <c r="P536" i="1"/>
  <c r="O536" i="1"/>
  <c r="N536" i="1"/>
  <c r="M536" i="1"/>
  <c r="L536" i="1"/>
  <c r="K536" i="1"/>
  <c r="J536" i="1"/>
  <c r="I536" i="1"/>
  <c r="H536" i="1"/>
  <c r="V535" i="1"/>
  <c r="U535" i="1"/>
  <c r="T535" i="1"/>
  <c r="S535" i="1"/>
  <c r="R535" i="1"/>
  <c r="Q535" i="1"/>
  <c r="P535" i="1"/>
  <c r="O535" i="1"/>
  <c r="N535" i="1"/>
  <c r="M535" i="1"/>
  <c r="L535" i="1"/>
  <c r="K535" i="1"/>
  <c r="J535" i="1"/>
  <c r="I535" i="1"/>
  <c r="H535" i="1"/>
  <c r="V534" i="1"/>
  <c r="U534" i="1"/>
  <c r="T534" i="1"/>
  <c r="S534" i="1"/>
  <c r="R534" i="1"/>
  <c r="Q534" i="1"/>
  <c r="P534" i="1"/>
  <c r="O534" i="1"/>
  <c r="N534" i="1"/>
  <c r="M534" i="1"/>
  <c r="L534" i="1"/>
  <c r="K534" i="1"/>
  <c r="J534" i="1"/>
  <c r="I534" i="1"/>
  <c r="H534" i="1"/>
  <c r="V533" i="1"/>
  <c r="U533" i="1"/>
  <c r="T533" i="1"/>
  <c r="S533" i="1"/>
  <c r="R533" i="1"/>
  <c r="Q533" i="1"/>
  <c r="P533" i="1"/>
  <c r="O533" i="1"/>
  <c r="N533" i="1"/>
  <c r="M533" i="1"/>
  <c r="L533" i="1"/>
  <c r="K533" i="1"/>
  <c r="J533" i="1"/>
  <c r="I533" i="1"/>
  <c r="H533" i="1"/>
  <c r="V532" i="1"/>
  <c r="U532" i="1"/>
  <c r="T532" i="1"/>
  <c r="S532" i="1"/>
  <c r="R532" i="1"/>
  <c r="Q532" i="1"/>
  <c r="P532" i="1"/>
  <c r="O532" i="1"/>
  <c r="N532" i="1"/>
  <c r="M532" i="1"/>
  <c r="L532" i="1"/>
  <c r="K532" i="1"/>
  <c r="J532" i="1"/>
  <c r="I532" i="1"/>
  <c r="H532" i="1"/>
  <c r="V531" i="1"/>
  <c r="U531" i="1"/>
  <c r="T531" i="1"/>
  <c r="S531" i="1"/>
  <c r="R531" i="1"/>
  <c r="Q531" i="1"/>
  <c r="P531" i="1"/>
  <c r="O531" i="1"/>
  <c r="N531" i="1"/>
  <c r="M531" i="1"/>
  <c r="L531" i="1"/>
  <c r="K531" i="1"/>
  <c r="J531" i="1"/>
  <c r="I531" i="1"/>
  <c r="H531" i="1"/>
  <c r="V530" i="1"/>
  <c r="U530" i="1"/>
  <c r="T530" i="1"/>
  <c r="S530" i="1"/>
  <c r="R530" i="1"/>
  <c r="Q530" i="1"/>
  <c r="P530" i="1"/>
  <c r="O530" i="1"/>
  <c r="N530" i="1"/>
  <c r="M530" i="1"/>
  <c r="L530" i="1"/>
  <c r="K530" i="1"/>
  <c r="J530" i="1"/>
  <c r="I530" i="1"/>
  <c r="H530" i="1"/>
  <c r="V529" i="1"/>
  <c r="U529" i="1"/>
  <c r="T529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V528" i="1"/>
  <c r="U528" i="1"/>
  <c r="T528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V527" i="1"/>
  <c r="U527" i="1"/>
  <c r="T527" i="1"/>
  <c r="S527" i="1"/>
  <c r="R527" i="1"/>
  <c r="Q527" i="1"/>
  <c r="P527" i="1"/>
  <c r="O527" i="1"/>
  <c r="N527" i="1"/>
  <c r="M527" i="1"/>
  <c r="L527" i="1"/>
  <c r="K527" i="1"/>
  <c r="J527" i="1"/>
  <c r="I527" i="1"/>
  <c r="H527" i="1"/>
  <c r="V526" i="1"/>
  <c r="U526" i="1"/>
  <c r="T526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V525" i="1"/>
  <c r="U525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V524" i="1"/>
  <c r="U524" i="1"/>
  <c r="T524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V523" i="1"/>
  <c r="U523" i="1"/>
  <c r="T523" i="1"/>
  <c r="S523" i="1"/>
  <c r="R523" i="1"/>
  <c r="Q523" i="1"/>
  <c r="P523" i="1"/>
  <c r="O523" i="1"/>
  <c r="N523" i="1"/>
  <c r="M523" i="1"/>
  <c r="L523" i="1"/>
  <c r="K523" i="1"/>
  <c r="J523" i="1"/>
  <c r="I523" i="1"/>
  <c r="H523" i="1"/>
  <c r="V522" i="1"/>
  <c r="U522" i="1"/>
  <c r="T522" i="1"/>
  <c r="S522" i="1"/>
  <c r="R522" i="1"/>
  <c r="Q522" i="1"/>
  <c r="P522" i="1"/>
  <c r="O522" i="1"/>
  <c r="N522" i="1"/>
  <c r="M522" i="1"/>
  <c r="L522" i="1"/>
  <c r="K522" i="1"/>
  <c r="J522" i="1"/>
  <c r="I522" i="1"/>
  <c r="H522" i="1"/>
  <c r="V521" i="1"/>
  <c r="U521" i="1"/>
  <c r="T521" i="1"/>
  <c r="S521" i="1"/>
  <c r="R521" i="1"/>
  <c r="Q521" i="1"/>
  <c r="P521" i="1"/>
  <c r="O521" i="1"/>
  <c r="N521" i="1"/>
  <c r="M521" i="1"/>
  <c r="L521" i="1"/>
  <c r="K521" i="1"/>
  <c r="J521" i="1"/>
  <c r="I521" i="1"/>
  <c r="H521" i="1"/>
  <c r="V520" i="1"/>
  <c r="U520" i="1"/>
  <c r="T520" i="1"/>
  <c r="S520" i="1"/>
  <c r="R520" i="1"/>
  <c r="Q520" i="1"/>
  <c r="P520" i="1"/>
  <c r="O520" i="1"/>
  <c r="N520" i="1"/>
  <c r="M520" i="1"/>
  <c r="L520" i="1"/>
  <c r="K520" i="1"/>
  <c r="J520" i="1"/>
  <c r="I520" i="1"/>
  <c r="H520" i="1"/>
  <c r="V519" i="1"/>
  <c r="U519" i="1"/>
  <c r="T519" i="1"/>
  <c r="S519" i="1"/>
  <c r="R519" i="1"/>
  <c r="Q519" i="1"/>
  <c r="P519" i="1"/>
  <c r="O519" i="1"/>
  <c r="N519" i="1"/>
  <c r="M519" i="1"/>
  <c r="L519" i="1"/>
  <c r="K519" i="1"/>
  <c r="J519" i="1"/>
  <c r="I519" i="1"/>
  <c r="H519" i="1"/>
  <c r="V518" i="1"/>
  <c r="U518" i="1"/>
  <c r="T518" i="1"/>
  <c r="S518" i="1"/>
  <c r="R518" i="1"/>
  <c r="Q518" i="1"/>
  <c r="P518" i="1"/>
  <c r="O518" i="1"/>
  <c r="N518" i="1"/>
  <c r="M518" i="1"/>
  <c r="L518" i="1"/>
  <c r="K518" i="1"/>
  <c r="J518" i="1"/>
  <c r="I518" i="1"/>
  <c r="H518" i="1"/>
  <c r="V517" i="1"/>
  <c r="U517" i="1"/>
  <c r="T517" i="1"/>
  <c r="S517" i="1"/>
  <c r="R517" i="1"/>
  <c r="Q517" i="1"/>
  <c r="P517" i="1"/>
  <c r="O517" i="1"/>
  <c r="N517" i="1"/>
  <c r="M517" i="1"/>
  <c r="L517" i="1"/>
  <c r="K517" i="1"/>
  <c r="J517" i="1"/>
  <c r="I517" i="1"/>
  <c r="H517" i="1"/>
  <c r="V516" i="1"/>
  <c r="U516" i="1"/>
  <c r="T516" i="1"/>
  <c r="S516" i="1"/>
  <c r="R516" i="1"/>
  <c r="Q516" i="1"/>
  <c r="P516" i="1"/>
  <c r="O516" i="1"/>
  <c r="N516" i="1"/>
  <c r="M516" i="1"/>
  <c r="L516" i="1"/>
  <c r="K516" i="1"/>
  <c r="J516" i="1"/>
  <c r="I516" i="1"/>
  <c r="H516" i="1"/>
  <c r="V515" i="1"/>
  <c r="U515" i="1"/>
  <c r="T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V514" i="1"/>
  <c r="U514" i="1"/>
  <c r="T514" i="1"/>
  <c r="S514" i="1"/>
  <c r="R514" i="1"/>
  <c r="Q514" i="1"/>
  <c r="P514" i="1"/>
  <c r="O514" i="1"/>
  <c r="N514" i="1"/>
  <c r="M514" i="1"/>
  <c r="L514" i="1"/>
  <c r="K514" i="1"/>
  <c r="J514" i="1"/>
  <c r="I514" i="1"/>
  <c r="H514" i="1"/>
  <c r="V513" i="1"/>
  <c r="U513" i="1"/>
  <c r="T513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V512" i="1"/>
  <c r="U512" i="1"/>
  <c r="T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V511" i="1"/>
  <c r="U511" i="1"/>
  <c r="T511" i="1"/>
  <c r="S511" i="1"/>
  <c r="R511" i="1"/>
  <c r="Q511" i="1"/>
  <c r="P511" i="1"/>
  <c r="O511" i="1"/>
  <c r="N511" i="1"/>
  <c r="M511" i="1"/>
  <c r="L511" i="1"/>
  <c r="K511" i="1"/>
  <c r="J511" i="1"/>
  <c r="I511" i="1"/>
  <c r="H511" i="1"/>
  <c r="V510" i="1"/>
  <c r="U510" i="1"/>
  <c r="T510" i="1"/>
  <c r="S510" i="1"/>
  <c r="R510" i="1"/>
  <c r="Q510" i="1"/>
  <c r="P510" i="1"/>
  <c r="O510" i="1"/>
  <c r="N510" i="1"/>
  <c r="M510" i="1"/>
  <c r="L510" i="1"/>
  <c r="K510" i="1"/>
  <c r="J510" i="1"/>
  <c r="I510" i="1"/>
  <c r="H510" i="1"/>
  <c r="V509" i="1"/>
  <c r="U509" i="1"/>
  <c r="T509" i="1"/>
  <c r="S509" i="1"/>
  <c r="R509" i="1"/>
  <c r="Q509" i="1"/>
  <c r="P509" i="1"/>
  <c r="O509" i="1"/>
  <c r="N509" i="1"/>
  <c r="M509" i="1"/>
  <c r="L509" i="1"/>
  <c r="K509" i="1"/>
  <c r="J509" i="1"/>
  <c r="I509" i="1"/>
  <c r="H509" i="1"/>
  <c r="V508" i="1"/>
  <c r="U508" i="1"/>
  <c r="T508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V507" i="1"/>
  <c r="U507" i="1"/>
  <c r="T507" i="1"/>
  <c r="S507" i="1"/>
  <c r="R507" i="1"/>
  <c r="Q507" i="1"/>
  <c r="P507" i="1"/>
  <c r="O507" i="1"/>
  <c r="N507" i="1"/>
  <c r="M507" i="1"/>
  <c r="L507" i="1"/>
  <c r="K507" i="1"/>
  <c r="J507" i="1"/>
  <c r="I507" i="1"/>
  <c r="H507" i="1"/>
  <c r="V506" i="1"/>
  <c r="U506" i="1"/>
  <c r="T506" i="1"/>
  <c r="S506" i="1"/>
  <c r="R506" i="1"/>
  <c r="Q506" i="1"/>
  <c r="P506" i="1"/>
  <c r="O506" i="1"/>
  <c r="N506" i="1"/>
  <c r="M506" i="1"/>
  <c r="L506" i="1"/>
  <c r="K506" i="1"/>
  <c r="J506" i="1"/>
  <c r="I506" i="1"/>
  <c r="H506" i="1"/>
  <c r="V505" i="1"/>
  <c r="U505" i="1"/>
  <c r="T505" i="1"/>
  <c r="S505" i="1"/>
  <c r="R505" i="1"/>
  <c r="Q505" i="1"/>
  <c r="P505" i="1"/>
  <c r="O505" i="1"/>
  <c r="N505" i="1"/>
  <c r="M505" i="1"/>
  <c r="L505" i="1"/>
  <c r="K505" i="1"/>
  <c r="J505" i="1"/>
  <c r="I505" i="1"/>
  <c r="H505" i="1"/>
  <c r="V504" i="1"/>
  <c r="U504" i="1"/>
  <c r="T504" i="1"/>
  <c r="S504" i="1"/>
  <c r="R504" i="1"/>
  <c r="Q504" i="1"/>
  <c r="P504" i="1"/>
  <c r="O504" i="1"/>
  <c r="N504" i="1"/>
  <c r="M504" i="1"/>
  <c r="L504" i="1"/>
  <c r="K504" i="1"/>
  <c r="J504" i="1"/>
  <c r="I504" i="1"/>
  <c r="H504" i="1"/>
  <c r="V503" i="1"/>
  <c r="U503" i="1"/>
  <c r="T503" i="1"/>
  <c r="S503" i="1"/>
  <c r="R503" i="1"/>
  <c r="Q503" i="1"/>
  <c r="P503" i="1"/>
  <c r="O503" i="1"/>
  <c r="N503" i="1"/>
  <c r="M503" i="1"/>
  <c r="L503" i="1"/>
  <c r="K503" i="1"/>
  <c r="J503" i="1"/>
  <c r="I503" i="1"/>
  <c r="H503" i="1"/>
  <c r="V502" i="1"/>
  <c r="U502" i="1"/>
  <c r="T502" i="1"/>
  <c r="S502" i="1"/>
  <c r="R502" i="1"/>
  <c r="Q502" i="1"/>
  <c r="P502" i="1"/>
  <c r="O502" i="1"/>
  <c r="N502" i="1"/>
  <c r="M502" i="1"/>
  <c r="L502" i="1"/>
  <c r="K502" i="1"/>
  <c r="J502" i="1"/>
  <c r="I502" i="1"/>
  <c r="H502" i="1"/>
  <c r="V501" i="1"/>
  <c r="U501" i="1"/>
  <c r="T501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V497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V490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V488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V483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V482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V480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V473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V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V440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V437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V425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E1688" i="1" l="1"/>
  <c r="G1688" i="1"/>
  <c r="E1669" i="1"/>
  <c r="D1669" i="1"/>
  <c r="D1639" i="1"/>
  <c r="E1639" i="1"/>
  <c r="F1639" i="1"/>
  <c r="G1639" i="1"/>
  <c r="E1634" i="1"/>
  <c r="D1634" i="1"/>
  <c r="F1634" i="1"/>
  <c r="E1593" i="1"/>
  <c r="D1593" i="1"/>
  <c r="F1593" i="1"/>
  <c r="D1740" i="1"/>
  <c r="F1740" i="1"/>
  <c r="D1686" i="1"/>
  <c r="F1686" i="1"/>
  <c r="E1674" i="1"/>
  <c r="D1674" i="1"/>
  <c r="G1674" i="1"/>
  <c r="E1661" i="1"/>
  <c r="F1661" i="1"/>
  <c r="D1661" i="1"/>
  <c r="G1661" i="1"/>
  <c r="E1722" i="1"/>
  <c r="G1722" i="1"/>
  <c r="D1722" i="1"/>
  <c r="E1701" i="1"/>
  <c r="D1701" i="1"/>
  <c r="F1623" i="1"/>
  <c r="D1623" i="1"/>
  <c r="E1623" i="1"/>
  <c r="G1623" i="1"/>
  <c r="F1721" i="1"/>
  <c r="G1721" i="1"/>
  <c r="E1720" i="1"/>
  <c r="F1720" i="1"/>
  <c r="D1665" i="1"/>
  <c r="E1665" i="1"/>
  <c r="G1665" i="1"/>
  <c r="F1643" i="1"/>
  <c r="D1643" i="1"/>
  <c r="E1643" i="1"/>
  <c r="G1643" i="1"/>
  <c r="D1579" i="1"/>
  <c r="G1579" i="1"/>
  <c r="D1550" i="1"/>
  <c r="G1550" i="1"/>
  <c r="G1652" i="1"/>
  <c r="D1652" i="1"/>
  <c r="E1652" i="1"/>
  <c r="E1758" i="1"/>
  <c r="F1758" i="1"/>
  <c r="E1736" i="1"/>
  <c r="G1736" i="1"/>
  <c r="F1726" i="1"/>
  <c r="E1726" i="1"/>
  <c r="E1704" i="1"/>
  <c r="G1704" i="1"/>
  <c r="F1704" i="1"/>
  <c r="E1642" i="1"/>
  <c r="D1642" i="1"/>
  <c r="D1626" i="1"/>
  <c r="E1626" i="1"/>
  <c r="F1617" i="1"/>
  <c r="E1617" i="1"/>
  <c r="G1753" i="1"/>
  <c r="F1748" i="1"/>
  <c r="G1744" i="1"/>
  <c r="G1728" i="1"/>
  <c r="G1690" i="1"/>
  <c r="F1656" i="1"/>
  <c r="E1753" i="1"/>
  <c r="F1744" i="1"/>
  <c r="F1738" i="1"/>
  <c r="F1732" i="1"/>
  <c r="D1728" i="1"/>
  <c r="F1719" i="1"/>
  <c r="F1713" i="1"/>
  <c r="F1706" i="1"/>
  <c r="G1696" i="1"/>
  <c r="E1680" i="1"/>
  <c r="G1673" i="1"/>
  <c r="D1670" i="1"/>
  <c r="D1656" i="1"/>
  <c r="D1638" i="1"/>
  <c r="E1610" i="1"/>
  <c r="E1594" i="1"/>
  <c r="D1578" i="1"/>
  <c r="G1555" i="1"/>
  <c r="G1549" i="1"/>
  <c r="E1546" i="1"/>
  <c r="D1546" i="1"/>
  <c r="G1754" i="1"/>
  <c r="E1743" i="1"/>
  <c r="E1712" i="1"/>
  <c r="D1703" i="1"/>
  <c r="F1695" i="1"/>
  <c r="G1689" i="1"/>
  <c r="D1687" i="1"/>
  <c r="F1627" i="1"/>
  <c r="E1609" i="1"/>
  <c r="F1754" i="1"/>
  <c r="D1743" i="1"/>
  <c r="D1730" i="1"/>
  <c r="D1712" i="1"/>
  <c r="G1648" i="1"/>
  <c r="D1627" i="1"/>
  <c r="D1609" i="1"/>
  <c r="F1573" i="1"/>
  <c r="G1671" i="1"/>
  <c r="F1648" i="1"/>
  <c r="G1638" i="1"/>
  <c r="G1624" i="1"/>
  <c r="E1603" i="1"/>
  <c r="G1578" i="1"/>
  <c r="F1569" i="1"/>
  <c r="D1706" i="1"/>
  <c r="F1751" i="1"/>
  <c r="E1717" i="1"/>
  <c r="E1648" i="1"/>
  <c r="F1624" i="1"/>
  <c r="E1600" i="1"/>
  <c r="D1569" i="1"/>
  <c r="D1755" i="1"/>
  <c r="F1755" i="1"/>
  <c r="E1755" i="1"/>
  <c r="G1755" i="1"/>
  <c r="F1741" i="1"/>
  <c r="D1741" i="1"/>
  <c r="E1741" i="1"/>
  <c r="G1741" i="1"/>
  <c r="D1715" i="1"/>
  <c r="F1715" i="1"/>
  <c r="G1715" i="1"/>
  <c r="E1715" i="1"/>
  <c r="F1709" i="1"/>
  <c r="D1709" i="1"/>
  <c r="E1709" i="1"/>
  <c r="G1709" i="1"/>
  <c r="E1700" i="1"/>
  <c r="G1700" i="1"/>
  <c r="D1700" i="1"/>
  <c r="F1700" i="1"/>
  <c r="E1684" i="1"/>
  <c r="G1684" i="1"/>
  <c r="D1684" i="1"/>
  <c r="F1684" i="1"/>
  <c r="D1675" i="1"/>
  <c r="F1675" i="1"/>
  <c r="E1675" i="1"/>
  <c r="G1675" i="1"/>
  <c r="D1747" i="1"/>
  <c r="F1747" i="1"/>
  <c r="E1747" i="1"/>
  <c r="G1747" i="1"/>
  <c r="D1731" i="1"/>
  <c r="F1731" i="1"/>
  <c r="E1731" i="1"/>
  <c r="G1731" i="1"/>
  <c r="D1727" i="1"/>
  <c r="G1727" i="1"/>
  <c r="E1727" i="1"/>
  <c r="F1727" i="1"/>
  <c r="E1692" i="1"/>
  <c r="G1692" i="1"/>
  <c r="D1692" i="1"/>
  <c r="F1692" i="1"/>
  <c r="D1683" i="1"/>
  <c r="F1683" i="1"/>
  <c r="G1683" i="1"/>
  <c r="E1683" i="1"/>
  <c r="E1746" i="1"/>
  <c r="G1746" i="1"/>
  <c r="D1746" i="1"/>
  <c r="F1746" i="1"/>
  <c r="D1737" i="1"/>
  <c r="F1737" i="1"/>
  <c r="G1737" i="1"/>
  <c r="E1737" i="1"/>
  <c r="D1663" i="1"/>
  <c r="F1663" i="1"/>
  <c r="E1663" i="1"/>
  <c r="G1663" i="1"/>
  <c r="F1749" i="1"/>
  <c r="G1749" i="1"/>
  <c r="D1749" i="1"/>
  <c r="E1749" i="1"/>
  <c r="G1702" i="1"/>
  <c r="E1702" i="1"/>
  <c r="D1702" i="1"/>
  <c r="F1702" i="1"/>
  <c r="D1707" i="1"/>
  <c r="F1707" i="1"/>
  <c r="E1707" i="1"/>
  <c r="G1707" i="1"/>
  <c r="D1739" i="1"/>
  <c r="F1739" i="1"/>
  <c r="E1739" i="1"/>
  <c r="G1739" i="1"/>
  <c r="F1733" i="1"/>
  <c r="G1733" i="1"/>
  <c r="D1733" i="1"/>
  <c r="E1733" i="1"/>
  <c r="D1711" i="1"/>
  <c r="G1711" i="1"/>
  <c r="E1711" i="1"/>
  <c r="F1711" i="1"/>
  <c r="G1694" i="1"/>
  <c r="D1694" i="1"/>
  <c r="E1694" i="1"/>
  <c r="F1694" i="1"/>
  <c r="E1645" i="1"/>
  <c r="F1645" i="1"/>
  <c r="G1645" i="1"/>
  <c r="D1645" i="1"/>
  <c r="F1725" i="1"/>
  <c r="E1725" i="1"/>
  <c r="G1725" i="1"/>
  <c r="D1725" i="1"/>
  <c r="G1710" i="1"/>
  <c r="D1710" i="1"/>
  <c r="F1710" i="1"/>
  <c r="E1710" i="1"/>
  <c r="E1756" i="1"/>
  <c r="G1756" i="1"/>
  <c r="F1756" i="1"/>
  <c r="D1756" i="1"/>
  <c r="E1724" i="1"/>
  <c r="G1724" i="1"/>
  <c r="D1724" i="1"/>
  <c r="F1724" i="1"/>
  <c r="E1716" i="1"/>
  <c r="G1716" i="1"/>
  <c r="F1716" i="1"/>
  <c r="D1716" i="1"/>
  <c r="E1676" i="1"/>
  <c r="G1676" i="1"/>
  <c r="D1676" i="1"/>
  <c r="F1676" i="1"/>
  <c r="D1662" i="1"/>
  <c r="G1662" i="1"/>
  <c r="E1662" i="1"/>
  <c r="G1655" i="1"/>
  <c r="E1653" i="1"/>
  <c r="G1653" i="1"/>
  <c r="D1653" i="1"/>
  <c r="G1637" i="1"/>
  <c r="D1637" i="1"/>
  <c r="F1637" i="1"/>
  <c r="F1625" i="1"/>
  <c r="E1625" i="1"/>
  <c r="G1625" i="1"/>
  <c r="D1625" i="1"/>
  <c r="E1621" i="1"/>
  <c r="G1621" i="1"/>
  <c r="D1621" i="1"/>
  <c r="F1621" i="1"/>
  <c r="D1604" i="1"/>
  <c r="E1604" i="1"/>
  <c r="F1604" i="1"/>
  <c r="G1604" i="1"/>
  <c r="G1586" i="1"/>
  <c r="E1586" i="1"/>
  <c r="F1586" i="1"/>
  <c r="D1586" i="1"/>
  <c r="F1582" i="1"/>
  <c r="E1582" i="1"/>
  <c r="D1582" i="1"/>
  <c r="G1582" i="1"/>
  <c r="F1566" i="1"/>
  <c r="G1566" i="1"/>
  <c r="E1566" i="1"/>
  <c r="D1566" i="1"/>
  <c r="G1742" i="1"/>
  <c r="D1742" i="1"/>
  <c r="D1723" i="1"/>
  <c r="F1723" i="1"/>
  <c r="E1723" i="1"/>
  <c r="G1718" i="1"/>
  <c r="E1718" i="1"/>
  <c r="D1705" i="1"/>
  <c r="E1705" i="1"/>
  <c r="F1697" i="1"/>
  <c r="G1693" i="1"/>
  <c r="D1691" i="1"/>
  <c r="F1691" i="1"/>
  <c r="E1691" i="1"/>
  <c r="E1685" i="1"/>
  <c r="D1681" i="1"/>
  <c r="G1681" i="1"/>
  <c r="E1672" i="1"/>
  <c r="F1672" i="1"/>
  <c r="F1753" i="1"/>
  <c r="D1750" i="1"/>
  <c r="E1745" i="1"/>
  <c r="F1743" i="1"/>
  <c r="G1738" i="1"/>
  <c r="E1728" i="1"/>
  <c r="G1719" i="1"/>
  <c r="E1714" i="1"/>
  <c r="G1714" i="1"/>
  <c r="G1706" i="1"/>
  <c r="E1703" i="1"/>
  <c r="D1695" i="1"/>
  <c r="G1695" i="1"/>
  <c r="D1689" i="1"/>
  <c r="E1689" i="1"/>
  <c r="E1687" i="1"/>
  <c r="F1667" i="1"/>
  <c r="E1667" i="1"/>
  <c r="G1667" i="1"/>
  <c r="G1660" i="1"/>
  <c r="E1660" i="1"/>
  <c r="F1660" i="1"/>
  <c r="G1630" i="1"/>
  <c r="D1630" i="1"/>
  <c r="E1630" i="1"/>
  <c r="G1618" i="1"/>
  <c r="D1618" i="1"/>
  <c r="E1618" i="1"/>
  <c r="F1618" i="1"/>
  <c r="E1611" i="1"/>
  <c r="F1611" i="1"/>
  <c r="D1611" i="1"/>
  <c r="G1611" i="1"/>
  <c r="E1601" i="1"/>
  <c r="D1601" i="1"/>
  <c r="F1601" i="1"/>
  <c r="D1596" i="1"/>
  <c r="E1596" i="1"/>
  <c r="F1596" i="1"/>
  <c r="G1596" i="1"/>
  <c r="G1585" i="1"/>
  <c r="D1585" i="1"/>
  <c r="F1585" i="1"/>
  <c r="E1585" i="1"/>
  <c r="E1557" i="1"/>
  <c r="G1557" i="1"/>
  <c r="D1557" i="1"/>
  <c r="F1557" i="1"/>
  <c r="E1565" i="1"/>
  <c r="D1565" i="1"/>
  <c r="G1565" i="1"/>
  <c r="F1565" i="1"/>
  <c r="F1685" i="1"/>
  <c r="G1685" i="1"/>
  <c r="D1633" i="1"/>
  <c r="F1633" i="1"/>
  <c r="G1633" i="1"/>
  <c r="E1730" i="1"/>
  <c r="G1730" i="1"/>
  <c r="G1726" i="1"/>
  <c r="D1726" i="1"/>
  <c r="F1701" i="1"/>
  <c r="G1701" i="1"/>
  <c r="F1680" i="1"/>
  <c r="D1680" i="1"/>
  <c r="F1669" i="1"/>
  <c r="G1669" i="1"/>
  <c r="E1666" i="1"/>
  <c r="F1666" i="1"/>
  <c r="G1666" i="1"/>
  <c r="G1644" i="1"/>
  <c r="D1644" i="1"/>
  <c r="E1644" i="1"/>
  <c r="F1644" i="1"/>
  <c r="G1636" i="1"/>
  <c r="E1636" i="1"/>
  <c r="F1636" i="1"/>
  <c r="F1614" i="1"/>
  <c r="E1614" i="1"/>
  <c r="D1614" i="1"/>
  <c r="G1614" i="1"/>
  <c r="F1606" i="1"/>
  <c r="D1606" i="1"/>
  <c r="E1606" i="1"/>
  <c r="F1595" i="1"/>
  <c r="E1595" i="1"/>
  <c r="G1595" i="1"/>
  <c r="D1595" i="1"/>
  <c r="E1589" i="1"/>
  <c r="G1589" i="1"/>
  <c r="D1589" i="1"/>
  <c r="F1589" i="1"/>
  <c r="G1576" i="1"/>
  <c r="D1576" i="1"/>
  <c r="E1576" i="1"/>
  <c r="F1576" i="1"/>
  <c r="D1564" i="1"/>
  <c r="G1564" i="1"/>
  <c r="E1564" i="1"/>
  <c r="F1564" i="1"/>
  <c r="G1758" i="1"/>
  <c r="D1758" i="1"/>
  <c r="E1740" i="1"/>
  <c r="G1740" i="1"/>
  <c r="D1721" i="1"/>
  <c r="E1721" i="1"/>
  <c r="D1699" i="1"/>
  <c r="F1699" i="1"/>
  <c r="G1699" i="1"/>
  <c r="F1655" i="1"/>
  <c r="D1655" i="1"/>
  <c r="E1748" i="1"/>
  <c r="G1748" i="1"/>
  <c r="F1736" i="1"/>
  <c r="G1729" i="1"/>
  <c r="F1722" i="1"/>
  <c r="G1720" i="1"/>
  <c r="E1713" i="1"/>
  <c r="D1704" i="1"/>
  <c r="F1688" i="1"/>
  <c r="D1673" i="1"/>
  <c r="E1673" i="1"/>
  <c r="D1671" i="1"/>
  <c r="F1671" i="1"/>
  <c r="F1664" i="1"/>
  <c r="E1664" i="1"/>
  <c r="D1649" i="1"/>
  <c r="E1649" i="1"/>
  <c r="F1649" i="1"/>
  <c r="G1649" i="1"/>
  <c r="D1647" i="1"/>
  <c r="E1647" i="1"/>
  <c r="G1647" i="1"/>
  <c r="F1635" i="1"/>
  <c r="D1635" i="1"/>
  <c r="E1635" i="1"/>
  <c r="G1635" i="1"/>
  <c r="G1629" i="1"/>
  <c r="E1629" i="1"/>
  <c r="F1629" i="1"/>
  <c r="D1620" i="1"/>
  <c r="E1620" i="1"/>
  <c r="F1620" i="1"/>
  <c r="G1608" i="1"/>
  <c r="E1608" i="1"/>
  <c r="F1608" i="1"/>
  <c r="D1608" i="1"/>
  <c r="D1592" i="1"/>
  <c r="G1592" i="1"/>
  <c r="E1592" i="1"/>
  <c r="F1592" i="1"/>
  <c r="F1563" i="1"/>
  <c r="D1563" i="1"/>
  <c r="E1563" i="1"/>
  <c r="G1563" i="1"/>
  <c r="D1697" i="1"/>
  <c r="G1697" i="1"/>
  <c r="G1678" i="1"/>
  <c r="D1678" i="1"/>
  <c r="E1678" i="1"/>
  <c r="E1650" i="1"/>
  <c r="F1650" i="1"/>
  <c r="G1650" i="1"/>
  <c r="G1757" i="1"/>
  <c r="D1754" i="1"/>
  <c r="G1752" i="1"/>
  <c r="E1744" i="1"/>
  <c r="D1736" i="1"/>
  <c r="F1734" i="1"/>
  <c r="F1729" i="1"/>
  <c r="F1717" i="1"/>
  <c r="G1717" i="1"/>
  <c r="F1698" i="1"/>
  <c r="F1696" i="1"/>
  <c r="D1696" i="1"/>
  <c r="E1690" i="1"/>
  <c r="F1690" i="1"/>
  <c r="D1688" i="1"/>
  <c r="E1682" i="1"/>
  <c r="G1682" i="1"/>
  <c r="F1679" i="1"/>
  <c r="G1677" i="1"/>
  <c r="F1659" i="1"/>
  <c r="E1659" i="1"/>
  <c r="G1659" i="1"/>
  <c r="D1654" i="1"/>
  <c r="F1654" i="1"/>
  <c r="E1654" i="1"/>
  <c r="D1641" i="1"/>
  <c r="F1641" i="1"/>
  <c r="G1641" i="1"/>
  <c r="E1641" i="1"/>
  <c r="G1622" i="1"/>
  <c r="F1622" i="1"/>
  <c r="D1622" i="1"/>
  <c r="E1613" i="1"/>
  <c r="D1613" i="1"/>
  <c r="F1613" i="1"/>
  <c r="G1613" i="1"/>
  <c r="G1559" i="1"/>
  <c r="D1559" i="1"/>
  <c r="E1559" i="1"/>
  <c r="F1559" i="1"/>
  <c r="E1581" i="1"/>
  <c r="F1581" i="1"/>
  <c r="G1581" i="1"/>
  <c r="D1581" i="1"/>
  <c r="E1757" i="1"/>
  <c r="F1752" i="1"/>
  <c r="F1742" i="1"/>
  <c r="E1734" i="1"/>
  <c r="E1729" i="1"/>
  <c r="D1720" i="1"/>
  <c r="F1718" i="1"/>
  <c r="G1705" i="1"/>
  <c r="G1686" i="1"/>
  <c r="E1686" i="1"/>
  <c r="F1681" i="1"/>
  <c r="G1672" i="1"/>
  <c r="E1668" i="1"/>
  <c r="G1668" i="1"/>
  <c r="D1668" i="1"/>
  <c r="D1631" i="1"/>
  <c r="E1631" i="1"/>
  <c r="F1631" i="1"/>
  <c r="G1631" i="1"/>
  <c r="F1628" i="1"/>
  <c r="D1628" i="1"/>
  <c r="E1628" i="1"/>
  <c r="G1628" i="1"/>
  <c r="E1605" i="1"/>
  <c r="D1605" i="1"/>
  <c r="F1605" i="1"/>
  <c r="G1605" i="1"/>
  <c r="G1599" i="1"/>
  <c r="D1599" i="1"/>
  <c r="F1599" i="1"/>
  <c r="E1599" i="1"/>
  <c r="G1583" i="1"/>
  <c r="D1583" i="1"/>
  <c r="E1583" i="1"/>
  <c r="F1583" i="1"/>
  <c r="D1568" i="1"/>
  <c r="E1568" i="1"/>
  <c r="F1568" i="1"/>
  <c r="G1568" i="1"/>
  <c r="E1732" i="1"/>
  <c r="G1732" i="1"/>
  <c r="E1708" i="1"/>
  <c r="G1708" i="1"/>
  <c r="D1708" i="1"/>
  <c r="F1693" i="1"/>
  <c r="E1693" i="1"/>
  <c r="D1657" i="1"/>
  <c r="E1657" i="1"/>
  <c r="F1657" i="1"/>
  <c r="D1757" i="1"/>
  <c r="D1752" i="1"/>
  <c r="F1750" i="1"/>
  <c r="G1745" i="1"/>
  <c r="E1742" i="1"/>
  <c r="D1734" i="1"/>
  <c r="G1723" i="1"/>
  <c r="D1718" i="1"/>
  <c r="F1705" i="1"/>
  <c r="E1698" i="1"/>
  <c r="G1698" i="1"/>
  <c r="G1691" i="1"/>
  <c r="E1681" i="1"/>
  <c r="D1679" i="1"/>
  <c r="G1679" i="1"/>
  <c r="F1677" i="1"/>
  <c r="E1677" i="1"/>
  <c r="D1672" i="1"/>
  <c r="G1670" i="1"/>
  <c r="E1670" i="1"/>
  <c r="F1662" i="1"/>
  <c r="E1658" i="1"/>
  <c r="F1658" i="1"/>
  <c r="D1658" i="1"/>
  <c r="F1653" i="1"/>
  <c r="F1651" i="1"/>
  <c r="D1651" i="1"/>
  <c r="G1651" i="1"/>
  <c r="F1646" i="1"/>
  <c r="G1646" i="1"/>
  <c r="D1646" i="1"/>
  <c r="E1637" i="1"/>
  <c r="F1598" i="1"/>
  <c r="G1598" i="1"/>
  <c r="E1598" i="1"/>
  <c r="D1598" i="1"/>
  <c r="G1567" i="1"/>
  <c r="D1567" i="1"/>
  <c r="E1567" i="1"/>
  <c r="F1567" i="1"/>
  <c r="E1561" i="1"/>
  <c r="D1561" i="1"/>
  <c r="F1561" i="1"/>
  <c r="G1561" i="1"/>
  <c r="F1674" i="1"/>
  <c r="F1665" i="1"/>
  <c r="E1656" i="1"/>
  <c r="G1634" i="1"/>
  <c r="G1615" i="1"/>
  <c r="D1615" i="1"/>
  <c r="F1615" i="1"/>
  <c r="G1575" i="1"/>
  <c r="F1575" i="1"/>
  <c r="D1575" i="1"/>
  <c r="E1575" i="1"/>
  <c r="D1560" i="1"/>
  <c r="G1560" i="1"/>
  <c r="F1560" i="1"/>
  <c r="F1552" i="1"/>
  <c r="E1552" i="1"/>
  <c r="G1552" i="1"/>
  <c r="E1549" i="1"/>
  <c r="D1549" i="1"/>
  <c r="G1642" i="1"/>
  <c r="G1626" i="1"/>
  <c r="G1617" i="1"/>
  <c r="D1617" i="1"/>
  <c r="D1612" i="1"/>
  <c r="G1612" i="1"/>
  <c r="E1597" i="1"/>
  <c r="D1597" i="1"/>
  <c r="F1597" i="1"/>
  <c r="G1597" i="1"/>
  <c r="G1591" i="1"/>
  <c r="D1591" i="1"/>
  <c r="E1591" i="1"/>
  <c r="F1591" i="1"/>
  <c r="E1577" i="1"/>
  <c r="F1577" i="1"/>
  <c r="G1577" i="1"/>
  <c r="F1574" i="1"/>
  <c r="D1574" i="1"/>
  <c r="E1574" i="1"/>
  <c r="G1574" i="1"/>
  <c r="D1572" i="1"/>
  <c r="E1572" i="1"/>
  <c r="F1554" i="1"/>
  <c r="G1551" i="1"/>
  <c r="D1551" i="1"/>
  <c r="F1551" i="1"/>
  <c r="D1548" i="1"/>
  <c r="G1548" i="1"/>
  <c r="E1548" i="1"/>
  <c r="F1548" i="1"/>
  <c r="F1652" i="1"/>
  <c r="F1642" i="1"/>
  <c r="E1632" i="1"/>
  <c r="F1632" i="1"/>
  <c r="G1632" i="1"/>
  <c r="F1626" i="1"/>
  <c r="F1609" i="1"/>
  <c r="G1603" i="1"/>
  <c r="F1603" i="1"/>
  <c r="D1588" i="1"/>
  <c r="E1588" i="1"/>
  <c r="F1588" i="1"/>
  <c r="G1571" i="1"/>
  <c r="D1571" i="1"/>
  <c r="E1571" i="1"/>
  <c r="F1571" i="1"/>
  <c r="G1562" i="1"/>
  <c r="D1562" i="1"/>
  <c r="E1562" i="1"/>
  <c r="D1556" i="1"/>
  <c r="E1556" i="1"/>
  <c r="G1556" i="1"/>
  <c r="D1545" i="1"/>
  <c r="E1545" i="1"/>
  <c r="F1545" i="1"/>
  <c r="G1545" i="1"/>
  <c r="G1554" i="1"/>
  <c r="D1554" i="1"/>
  <c r="D1640" i="1"/>
  <c r="E1640" i="1"/>
  <c r="F1640" i="1"/>
  <c r="F1616" i="1"/>
  <c r="E1616" i="1"/>
  <c r="G1616" i="1"/>
  <c r="G1607" i="1"/>
  <c r="F1607" i="1"/>
  <c r="D1607" i="1"/>
  <c r="F1590" i="1"/>
  <c r="E1590" i="1"/>
  <c r="G1590" i="1"/>
  <c r="E1587" i="1"/>
  <c r="F1587" i="1"/>
  <c r="G1587" i="1"/>
  <c r="F1584" i="1"/>
  <c r="D1584" i="1"/>
  <c r="E1584" i="1"/>
  <c r="G1553" i="1"/>
  <c r="D1553" i="1"/>
  <c r="E1553" i="1"/>
  <c r="F1553" i="1"/>
  <c r="G1544" i="1"/>
  <c r="D1544" i="1"/>
  <c r="E1544" i="1"/>
  <c r="F1544" i="1"/>
  <c r="E1602" i="1"/>
  <c r="D1602" i="1"/>
  <c r="F1602" i="1"/>
  <c r="D1580" i="1"/>
  <c r="G1580" i="1"/>
  <c r="F1580" i="1"/>
  <c r="E1570" i="1"/>
  <c r="F1570" i="1"/>
  <c r="G1570" i="1"/>
  <c r="F1558" i="1"/>
  <c r="D1558" i="1"/>
  <c r="E1558" i="1"/>
  <c r="G1547" i="1"/>
  <c r="F1594" i="1"/>
  <c r="G1573" i="1"/>
  <c r="E1547" i="1"/>
  <c r="F1547" i="1"/>
  <c r="E1624" i="1"/>
  <c r="D1594" i="1"/>
  <c r="D1573" i="1"/>
  <c r="F1550" i="1"/>
  <c r="E1550" i="1"/>
  <c r="G1600" i="1"/>
  <c r="E1579" i="1"/>
  <c r="F1579" i="1"/>
  <c r="G1593" i="1"/>
  <c r="G1569" i="1"/>
  <c r="A945" i="1"/>
  <c r="B945" i="1" s="1"/>
  <c r="C945" i="1" s="1"/>
  <c r="G945" i="1" s="1"/>
  <c r="A953" i="1"/>
  <c r="B953" i="1" s="1"/>
  <c r="G953" i="1" s="1"/>
  <c r="A954" i="1"/>
  <c r="B954" i="1" s="1"/>
  <c r="C954" i="1" s="1"/>
  <c r="G954" i="1" s="1"/>
  <c r="A961" i="1"/>
  <c r="B961" i="1" s="1"/>
  <c r="G961" i="1" s="1"/>
  <c r="A962" i="1"/>
  <c r="B962" i="1" s="1"/>
  <c r="C962" i="1" s="1"/>
  <c r="G962" i="1" s="1"/>
  <c r="A969" i="1"/>
  <c r="B969" i="1" s="1"/>
  <c r="G969" i="1" s="1"/>
  <c r="A970" i="1"/>
  <c r="B970" i="1" s="1"/>
  <c r="G970" i="1" s="1"/>
  <c r="A977" i="1"/>
  <c r="B977" i="1" s="1"/>
  <c r="C977" i="1" s="1"/>
  <c r="G977" i="1" s="1"/>
  <c r="A978" i="1"/>
  <c r="B978" i="1" s="1"/>
  <c r="C978" i="1" s="1"/>
  <c r="G978" i="1" s="1"/>
  <c r="A985" i="1"/>
  <c r="B985" i="1" s="1"/>
  <c r="G985" i="1" s="1"/>
  <c r="A986" i="1"/>
  <c r="B986" i="1" s="1"/>
  <c r="G986" i="1" s="1"/>
  <c r="A993" i="1"/>
  <c r="B993" i="1" s="1"/>
  <c r="G993" i="1" s="1"/>
  <c r="A1001" i="1"/>
  <c r="B1001" i="1" s="1"/>
  <c r="C1001" i="1" s="1"/>
  <c r="G1001" i="1" s="1"/>
  <c r="A1009" i="1"/>
  <c r="B1009" i="1" s="1"/>
  <c r="C1009" i="1" s="1"/>
  <c r="G1009" i="1" s="1"/>
  <c r="A1017" i="1"/>
  <c r="B1017" i="1" s="1"/>
  <c r="C1017" i="1" s="1"/>
  <c r="G1017" i="1" s="1"/>
  <c r="A1025" i="1"/>
  <c r="B1025" i="1" s="1"/>
  <c r="G1025" i="1" s="1"/>
  <c r="A1033" i="1"/>
  <c r="B1033" i="1" s="1"/>
  <c r="C1033" i="1" s="1"/>
  <c r="G1033" i="1" s="1"/>
  <c r="A1041" i="1"/>
  <c r="B1041" i="1" s="1"/>
  <c r="G1041" i="1" s="1"/>
  <c r="A1049" i="1"/>
  <c r="B1049" i="1" s="1"/>
  <c r="C1049" i="1" s="1"/>
  <c r="G1049" i="1" s="1"/>
  <c r="A1057" i="1"/>
  <c r="B1057" i="1" s="1"/>
  <c r="G1057" i="1" s="1"/>
  <c r="A1065" i="1"/>
  <c r="B1065" i="1" s="1"/>
  <c r="G1065" i="1" s="1"/>
  <c r="A1073" i="1"/>
  <c r="B1073" i="1" s="1"/>
  <c r="G1073" i="1" s="1"/>
  <c r="A1081" i="1"/>
  <c r="B1081" i="1" s="1"/>
  <c r="G1081" i="1" s="1"/>
  <c r="A1089" i="1"/>
  <c r="B1089" i="1" s="1"/>
  <c r="G1089" i="1" s="1"/>
  <c r="A1097" i="1"/>
  <c r="B1097" i="1" s="1"/>
  <c r="G1097" i="1" s="1"/>
  <c r="A1105" i="1"/>
  <c r="B1105" i="1" s="1"/>
  <c r="G1105" i="1" s="1"/>
  <c r="A1113" i="1"/>
  <c r="B1113" i="1" s="1"/>
  <c r="G1113" i="1" s="1"/>
  <c r="A1121" i="1"/>
  <c r="B1121" i="1" s="1"/>
  <c r="G1121" i="1" s="1"/>
  <c r="A1129" i="1"/>
  <c r="B1129" i="1" s="1"/>
  <c r="G1129" i="1" s="1"/>
  <c r="A1137" i="1"/>
  <c r="B1137" i="1" s="1"/>
  <c r="G1137" i="1" s="1"/>
  <c r="A1145" i="1"/>
  <c r="B1145" i="1" s="1"/>
  <c r="G1145" i="1" s="1"/>
  <c r="A1153" i="1"/>
  <c r="B1153" i="1" s="1"/>
  <c r="G1153" i="1" s="1"/>
  <c r="A1161" i="1"/>
  <c r="B1161" i="1" s="1"/>
  <c r="G1161" i="1" s="1"/>
  <c r="A1169" i="1"/>
  <c r="B1169" i="1" s="1"/>
  <c r="G1169" i="1" s="1"/>
  <c r="A1177" i="1"/>
  <c r="B1177" i="1" s="1"/>
  <c r="G1177" i="1" s="1"/>
  <c r="A1185" i="1"/>
  <c r="B1185" i="1" s="1"/>
  <c r="G1185" i="1" s="1"/>
  <c r="A1193" i="1"/>
  <c r="B1193" i="1" s="1"/>
  <c r="G1193" i="1" s="1"/>
  <c r="A1201" i="1"/>
  <c r="B1201" i="1" s="1"/>
  <c r="G1201" i="1" s="1"/>
  <c r="A1209" i="1"/>
  <c r="B1209" i="1" s="1"/>
  <c r="G1209" i="1" s="1"/>
  <c r="A1217" i="1"/>
  <c r="B1217" i="1" s="1"/>
  <c r="G1217" i="1" s="1"/>
  <c r="A1225" i="1"/>
  <c r="B1225" i="1" s="1"/>
  <c r="G1225" i="1" s="1"/>
  <c r="A1233" i="1"/>
  <c r="B1233" i="1" s="1"/>
  <c r="G1233" i="1" s="1"/>
  <c r="A1241" i="1"/>
  <c r="B1241" i="1" s="1"/>
  <c r="G1241" i="1" s="1"/>
  <c r="A1249" i="1"/>
  <c r="B1249" i="1" s="1"/>
  <c r="G1249" i="1" s="1"/>
  <c r="A1257" i="1"/>
  <c r="B1257" i="1" s="1"/>
  <c r="G1257" i="1" s="1"/>
  <c r="A1265" i="1"/>
  <c r="B1265" i="1" s="1"/>
  <c r="G1265" i="1" s="1"/>
  <c r="A1273" i="1"/>
  <c r="B1273" i="1" s="1"/>
  <c r="G1273" i="1" s="1"/>
  <c r="A1281" i="1"/>
  <c r="B1281" i="1" s="1"/>
  <c r="G1281" i="1" s="1"/>
  <c r="A1289" i="1"/>
  <c r="B1289" i="1" s="1"/>
  <c r="G1289" i="1" s="1"/>
  <c r="A1297" i="1"/>
  <c r="B1297" i="1" s="1"/>
  <c r="G1297" i="1" s="1"/>
  <c r="A1305" i="1"/>
  <c r="B1305" i="1" s="1"/>
  <c r="G1305" i="1" s="1"/>
  <c r="A1313" i="1"/>
  <c r="B1313" i="1" s="1"/>
  <c r="G1313" i="1" s="1"/>
  <c r="A1321" i="1"/>
  <c r="B1321" i="1" s="1"/>
  <c r="G1321" i="1" s="1"/>
  <c r="A1329" i="1"/>
  <c r="B1329" i="1" s="1"/>
  <c r="G1329" i="1" s="1"/>
  <c r="A1337" i="1"/>
  <c r="B1337" i="1" s="1"/>
  <c r="G1337" i="1" s="1"/>
  <c r="A1345" i="1"/>
  <c r="B1345" i="1" s="1"/>
  <c r="G1345" i="1" s="1"/>
  <c r="A1353" i="1"/>
  <c r="B1353" i="1" s="1"/>
  <c r="G1353" i="1" s="1"/>
  <c r="A1361" i="1"/>
  <c r="B1361" i="1" s="1"/>
  <c r="G1361" i="1" s="1"/>
  <c r="A1369" i="1"/>
  <c r="B1369" i="1" s="1"/>
  <c r="G1369" i="1" s="1"/>
  <c r="A1377" i="1"/>
  <c r="B1377" i="1" s="1"/>
  <c r="G1377" i="1" s="1"/>
  <c r="A1385" i="1"/>
  <c r="B1385" i="1" s="1"/>
  <c r="G1385" i="1" s="1"/>
  <c r="A1393" i="1"/>
  <c r="B1393" i="1" s="1"/>
  <c r="G1393" i="1" s="1"/>
  <c r="A1401" i="1"/>
  <c r="B1401" i="1" s="1"/>
  <c r="G1401" i="1" s="1"/>
  <c r="A1409" i="1"/>
  <c r="B1409" i="1" s="1"/>
  <c r="G1409" i="1" s="1"/>
  <c r="A1417" i="1"/>
  <c r="B1417" i="1" s="1"/>
  <c r="G1417" i="1" s="1"/>
  <c r="A1425" i="1"/>
  <c r="B1425" i="1" s="1"/>
  <c r="G1425" i="1" s="1"/>
  <c r="A1433" i="1"/>
  <c r="B1433" i="1" s="1"/>
  <c r="G1433" i="1" s="1"/>
  <c r="A1441" i="1"/>
  <c r="B1441" i="1" s="1"/>
  <c r="G1441" i="1" s="1"/>
  <c r="A1449" i="1"/>
  <c r="B1449" i="1" s="1"/>
  <c r="G1449" i="1" s="1"/>
  <c r="A1457" i="1"/>
  <c r="B1457" i="1" s="1"/>
  <c r="G1457" i="1" s="1"/>
  <c r="A1465" i="1"/>
  <c r="B1465" i="1" s="1"/>
  <c r="G1465" i="1" s="1"/>
  <c r="A1473" i="1"/>
  <c r="B1473" i="1" s="1"/>
  <c r="G1473" i="1" s="1"/>
  <c r="A1481" i="1"/>
  <c r="B1481" i="1" s="1"/>
  <c r="A1489" i="1"/>
  <c r="B1489" i="1" s="1"/>
  <c r="G1489" i="1" s="1"/>
  <c r="A1497" i="1"/>
  <c r="B1497" i="1" s="1"/>
  <c r="G1497" i="1" s="1"/>
  <c r="A1505" i="1"/>
  <c r="B1505" i="1" s="1"/>
  <c r="G1505" i="1" s="1"/>
  <c r="A1513" i="1"/>
  <c r="B1513" i="1" s="1"/>
  <c r="G1513" i="1" s="1"/>
  <c r="A1521" i="1"/>
  <c r="B1521" i="1" s="1"/>
  <c r="C1521" i="1" s="1"/>
  <c r="G1521" i="1" s="1"/>
  <c r="A1529" i="1"/>
  <c r="B1529" i="1" s="1"/>
  <c r="G1529" i="1" s="1"/>
  <c r="A1537" i="1"/>
  <c r="B1537" i="1" s="1"/>
  <c r="G1537" i="1" s="1"/>
  <c r="A1759" i="1"/>
  <c r="B1759" i="1" s="1"/>
  <c r="C1759" i="1" s="1"/>
  <c r="G1759" i="1" s="1"/>
  <c r="A1767" i="1"/>
  <c r="B1767" i="1" s="1"/>
  <c r="C1767" i="1" s="1"/>
  <c r="G1767" i="1" s="1"/>
  <c r="A1775" i="1"/>
  <c r="B1775" i="1" s="1"/>
  <c r="C1775" i="1" s="1"/>
  <c r="G1775" i="1" s="1"/>
  <c r="A1783" i="1"/>
  <c r="B1783" i="1" s="1"/>
  <c r="C1783" i="1" s="1"/>
  <c r="G1783" i="1" s="1"/>
  <c r="A1791" i="1"/>
  <c r="B1791" i="1" s="1"/>
  <c r="C1791" i="1" s="1"/>
  <c r="G1791" i="1" s="1"/>
  <c r="A1799" i="1"/>
  <c r="B1799" i="1" s="1"/>
  <c r="C1799" i="1" s="1"/>
  <c r="G1799" i="1" s="1"/>
  <c r="A1807" i="1"/>
  <c r="B1807" i="1" s="1"/>
  <c r="C1807" i="1" s="1"/>
  <c r="G1807" i="1" s="1"/>
  <c r="A1815" i="1"/>
  <c r="B1815" i="1" s="1"/>
  <c r="C1815" i="1" s="1"/>
  <c r="G1815" i="1" s="1"/>
  <c r="A1823" i="1"/>
  <c r="B1823" i="1" s="1"/>
  <c r="C1823" i="1" s="1"/>
  <c r="G1823" i="1" s="1"/>
  <c r="A1831" i="1"/>
  <c r="B1831" i="1" s="1"/>
  <c r="C1831" i="1" s="1"/>
  <c r="G1831" i="1" s="1"/>
  <c r="A1839" i="1"/>
  <c r="B1839" i="1" s="1"/>
  <c r="C1839" i="1" s="1"/>
  <c r="G1839" i="1" s="1"/>
  <c r="A1847" i="1"/>
  <c r="B1847" i="1" s="1"/>
  <c r="C1847" i="1" s="1"/>
  <c r="G1847" i="1" s="1"/>
  <c r="A1855" i="1"/>
  <c r="B1855" i="1" s="1"/>
  <c r="C1855" i="1" s="1"/>
  <c r="G1855" i="1" s="1"/>
  <c r="A1863" i="1"/>
  <c r="B1863" i="1" s="1"/>
  <c r="C1863" i="1" s="1"/>
  <c r="G1863" i="1" s="1"/>
  <c r="A1871" i="1"/>
  <c r="B1871" i="1" s="1"/>
  <c r="C1871" i="1" s="1"/>
  <c r="G1871" i="1" s="1"/>
  <c r="A1879" i="1"/>
  <c r="B1879" i="1" s="1"/>
  <c r="C1879" i="1" s="1"/>
  <c r="G1879" i="1" s="1"/>
  <c r="A1887" i="1"/>
  <c r="B1887" i="1" s="1"/>
  <c r="C1887" i="1" s="1"/>
  <c r="G1887" i="1" s="1"/>
  <c r="A1895" i="1"/>
  <c r="B1895" i="1" s="1"/>
  <c r="C1895" i="1" s="1"/>
  <c r="G1895" i="1" s="1"/>
  <c r="A1903" i="1"/>
  <c r="B1903" i="1" s="1"/>
  <c r="C1903" i="1" s="1"/>
  <c r="G1903" i="1" s="1"/>
  <c r="A1911" i="1"/>
  <c r="B1911" i="1" s="1"/>
  <c r="C1911" i="1" s="1"/>
  <c r="G1911" i="1" s="1"/>
  <c r="A1919" i="1"/>
  <c r="B1919" i="1" s="1"/>
  <c r="C1919" i="1" s="1"/>
  <c r="G1919" i="1" s="1"/>
  <c r="A1927" i="1"/>
  <c r="B1927" i="1" s="1"/>
  <c r="C1927" i="1" s="1"/>
  <c r="G1927" i="1" s="1"/>
  <c r="A1935" i="1"/>
  <c r="B1935" i="1" s="1"/>
  <c r="C1935" i="1" s="1"/>
  <c r="G1935" i="1" s="1"/>
  <c r="A1943" i="1"/>
  <c r="B1943" i="1" s="1"/>
  <c r="C1943" i="1" s="1"/>
  <c r="G1943" i="1" s="1"/>
  <c r="A1951" i="1"/>
  <c r="B1951" i="1" s="1"/>
  <c r="C1951" i="1" s="1"/>
  <c r="G1951" i="1" s="1"/>
  <c r="A1959" i="1"/>
  <c r="B1959" i="1" s="1"/>
  <c r="C1959" i="1" s="1"/>
  <c r="G1959" i="1" s="1"/>
  <c r="A1967" i="1"/>
  <c r="B1967" i="1" s="1"/>
  <c r="C1967" i="1" s="1"/>
  <c r="G1967" i="1" s="1"/>
  <c r="A1975" i="1"/>
  <c r="B1975" i="1" s="1"/>
  <c r="C1975" i="1" s="1"/>
  <c r="G1975" i="1" s="1"/>
  <c r="A1983" i="1"/>
  <c r="B1983" i="1" s="1"/>
  <c r="C1983" i="1" s="1"/>
  <c r="G1983" i="1" s="1"/>
  <c r="A1991" i="1"/>
  <c r="B1991" i="1" s="1"/>
  <c r="C1991" i="1" s="1"/>
  <c r="G1991" i="1" s="1"/>
  <c r="A1999" i="1"/>
  <c r="B1999" i="1" s="1"/>
  <c r="C1999" i="1" s="1"/>
  <c r="G1999" i="1" s="1"/>
  <c r="A2007" i="1"/>
  <c r="B2007" i="1" s="1"/>
  <c r="C2007" i="1" s="1"/>
  <c r="G2007" i="1" s="1"/>
  <c r="A2015" i="1"/>
  <c r="B2015" i="1" s="1"/>
  <c r="C2015" i="1" s="1"/>
  <c r="G2015" i="1" s="1"/>
  <c r="A2398" i="1"/>
  <c r="B2398" i="1" s="1"/>
  <c r="C2398" i="1" s="1"/>
  <c r="G2398" i="1" s="1"/>
  <c r="A2406" i="1"/>
  <c r="B2406" i="1" s="1"/>
  <c r="C2406" i="1" s="1"/>
  <c r="G2406" i="1" s="1"/>
  <c r="A2414" i="1"/>
  <c r="B2414" i="1" s="1"/>
  <c r="C2414" i="1" s="1"/>
  <c r="G2414" i="1" s="1"/>
  <c r="A942" i="1"/>
  <c r="B942" i="1" s="1"/>
  <c r="G942" i="1" s="1"/>
  <c r="A943" i="1"/>
  <c r="B943" i="1" s="1"/>
  <c r="G943" i="1" s="1"/>
  <c r="A944" i="1"/>
  <c r="B944" i="1" s="1"/>
  <c r="G944" i="1" s="1"/>
  <c r="A946" i="1"/>
  <c r="B946" i="1" s="1"/>
  <c r="C946" i="1" s="1"/>
  <c r="G946" i="1" s="1"/>
  <c r="A947" i="1"/>
  <c r="B947" i="1" s="1"/>
  <c r="C947" i="1" s="1"/>
  <c r="G947" i="1" s="1"/>
  <c r="A948" i="1"/>
  <c r="B948" i="1" s="1"/>
  <c r="G948" i="1" s="1"/>
  <c r="A949" i="1"/>
  <c r="B949" i="1" s="1"/>
  <c r="G949" i="1" s="1"/>
  <c r="A950" i="1"/>
  <c r="B950" i="1" s="1"/>
  <c r="G950" i="1" s="1"/>
  <c r="A951" i="1"/>
  <c r="B951" i="1" s="1"/>
  <c r="C951" i="1" s="1"/>
  <c r="G951" i="1" s="1"/>
  <c r="A952" i="1"/>
  <c r="B952" i="1" s="1"/>
  <c r="G952" i="1" s="1"/>
  <c r="A955" i="1"/>
  <c r="B955" i="1" s="1"/>
  <c r="C955" i="1" s="1"/>
  <c r="G955" i="1" s="1"/>
  <c r="A956" i="1"/>
  <c r="B956" i="1" s="1"/>
  <c r="G956" i="1" s="1"/>
  <c r="A957" i="1"/>
  <c r="B957" i="1" s="1"/>
  <c r="C957" i="1" s="1"/>
  <c r="G957" i="1" s="1"/>
  <c r="A958" i="1"/>
  <c r="B958" i="1" s="1"/>
  <c r="C958" i="1" s="1"/>
  <c r="G958" i="1" s="1"/>
  <c r="A959" i="1"/>
  <c r="B959" i="1" s="1"/>
  <c r="G959" i="1" s="1"/>
  <c r="A960" i="1"/>
  <c r="B960" i="1" s="1"/>
  <c r="G960" i="1" s="1"/>
  <c r="A963" i="1"/>
  <c r="B963" i="1" s="1"/>
  <c r="C963" i="1" s="1"/>
  <c r="G963" i="1" s="1"/>
  <c r="A964" i="1"/>
  <c r="B964" i="1" s="1"/>
  <c r="C964" i="1" s="1"/>
  <c r="G964" i="1" s="1"/>
  <c r="A965" i="1"/>
  <c r="B965" i="1" s="1"/>
  <c r="G965" i="1" s="1"/>
  <c r="A966" i="1"/>
  <c r="B966" i="1" s="1"/>
  <c r="G966" i="1" s="1"/>
  <c r="A967" i="1"/>
  <c r="B967" i="1" s="1"/>
  <c r="G967" i="1" s="1"/>
  <c r="A968" i="1"/>
  <c r="B968" i="1" s="1"/>
  <c r="C968" i="1" s="1"/>
  <c r="G968" i="1" s="1"/>
  <c r="A971" i="1"/>
  <c r="B971" i="1" s="1"/>
  <c r="G971" i="1" s="1"/>
  <c r="A972" i="1"/>
  <c r="B972" i="1" s="1"/>
  <c r="C972" i="1" s="1"/>
  <c r="G972" i="1" s="1"/>
  <c r="A973" i="1"/>
  <c r="B973" i="1" s="1"/>
  <c r="C973" i="1" s="1"/>
  <c r="G973" i="1" s="1"/>
  <c r="A974" i="1"/>
  <c r="B974" i="1" s="1"/>
  <c r="C974" i="1" s="1"/>
  <c r="G974" i="1" s="1"/>
  <c r="A975" i="1"/>
  <c r="B975" i="1" s="1"/>
  <c r="G975" i="1" s="1"/>
  <c r="A976" i="1"/>
  <c r="B976" i="1" s="1"/>
  <c r="C976" i="1" s="1"/>
  <c r="G976" i="1" s="1"/>
  <c r="A979" i="1"/>
  <c r="B979" i="1" s="1"/>
  <c r="G979" i="1" s="1"/>
  <c r="A980" i="1"/>
  <c r="B980" i="1" s="1"/>
  <c r="G980" i="1" s="1"/>
  <c r="A981" i="1"/>
  <c r="B981" i="1" s="1"/>
  <c r="G981" i="1" s="1"/>
  <c r="A982" i="1"/>
  <c r="B982" i="1" s="1"/>
  <c r="C982" i="1" s="1"/>
  <c r="G982" i="1" s="1"/>
  <c r="A983" i="1"/>
  <c r="B983" i="1" s="1"/>
  <c r="G983" i="1" s="1"/>
  <c r="A984" i="1"/>
  <c r="B984" i="1" s="1"/>
  <c r="C984" i="1" s="1"/>
  <c r="G984" i="1" s="1"/>
  <c r="A987" i="1"/>
  <c r="B987" i="1" s="1"/>
  <c r="C987" i="1" s="1"/>
  <c r="G987" i="1" s="1"/>
  <c r="A988" i="1"/>
  <c r="B988" i="1" s="1"/>
  <c r="G988" i="1" s="1"/>
  <c r="A989" i="1"/>
  <c r="B989" i="1" s="1"/>
  <c r="G989" i="1" s="1"/>
  <c r="A990" i="1"/>
  <c r="B990" i="1" s="1"/>
  <c r="G990" i="1" s="1"/>
  <c r="A991" i="1"/>
  <c r="B991" i="1" s="1"/>
  <c r="G991" i="1" s="1"/>
  <c r="A992" i="1"/>
  <c r="B992" i="1" s="1"/>
  <c r="G992" i="1" s="1"/>
  <c r="A994" i="1"/>
  <c r="B994" i="1" s="1"/>
  <c r="G994" i="1" s="1"/>
  <c r="A995" i="1"/>
  <c r="B995" i="1" s="1"/>
  <c r="G995" i="1" s="1"/>
  <c r="A996" i="1"/>
  <c r="B996" i="1" s="1"/>
  <c r="G996" i="1" s="1"/>
  <c r="A997" i="1"/>
  <c r="B997" i="1" s="1"/>
  <c r="G997" i="1" s="1"/>
  <c r="A998" i="1"/>
  <c r="B998" i="1" s="1"/>
  <c r="G998" i="1" s="1"/>
  <c r="A999" i="1"/>
  <c r="B999" i="1" s="1"/>
  <c r="C999" i="1" s="1"/>
  <c r="G999" i="1" s="1"/>
  <c r="A1000" i="1"/>
  <c r="B1000" i="1" s="1"/>
  <c r="G1000" i="1" s="1"/>
  <c r="A1002" i="1"/>
  <c r="B1002" i="1" s="1"/>
  <c r="C1002" i="1" s="1"/>
  <c r="G1002" i="1" s="1"/>
  <c r="A1003" i="1"/>
  <c r="B1003" i="1" s="1"/>
  <c r="G1003" i="1" s="1"/>
  <c r="A1004" i="1"/>
  <c r="B1004" i="1" s="1"/>
  <c r="C1004" i="1" s="1"/>
  <c r="G1004" i="1" s="1"/>
  <c r="A1005" i="1"/>
  <c r="B1005" i="1" s="1"/>
  <c r="G1005" i="1" s="1"/>
  <c r="A1006" i="1"/>
  <c r="B1006" i="1" s="1"/>
  <c r="G1006" i="1" s="1"/>
  <c r="A1007" i="1"/>
  <c r="B1007" i="1" s="1"/>
  <c r="G1007" i="1" s="1"/>
  <c r="A1008" i="1"/>
  <c r="B1008" i="1" s="1"/>
  <c r="C1008" i="1" s="1"/>
  <c r="G1008" i="1" s="1"/>
  <c r="A1010" i="1"/>
  <c r="B1010" i="1" s="1"/>
  <c r="C1010" i="1" s="1"/>
  <c r="G1010" i="1" s="1"/>
  <c r="A1011" i="1"/>
  <c r="B1011" i="1" s="1"/>
  <c r="G1011" i="1" s="1"/>
  <c r="A1012" i="1"/>
  <c r="B1012" i="1" s="1"/>
  <c r="G1012" i="1" s="1"/>
  <c r="A1013" i="1"/>
  <c r="B1013" i="1" s="1"/>
  <c r="C1013" i="1" s="1"/>
  <c r="G1013" i="1" s="1"/>
  <c r="A1014" i="1"/>
  <c r="B1014" i="1" s="1"/>
  <c r="G1014" i="1" s="1"/>
  <c r="A1015" i="1"/>
  <c r="B1015" i="1" s="1"/>
  <c r="G1015" i="1" s="1"/>
  <c r="A1016" i="1"/>
  <c r="B1016" i="1" s="1"/>
  <c r="C1016" i="1" s="1"/>
  <c r="G1016" i="1" s="1"/>
  <c r="A1018" i="1"/>
  <c r="B1018" i="1" s="1"/>
  <c r="G1018" i="1" s="1"/>
  <c r="A1019" i="1"/>
  <c r="B1019" i="1" s="1"/>
  <c r="G1019" i="1" s="1"/>
  <c r="A1020" i="1"/>
  <c r="B1020" i="1" s="1"/>
  <c r="C1020" i="1" s="1"/>
  <c r="G1020" i="1" s="1"/>
  <c r="A1021" i="1"/>
  <c r="B1021" i="1" s="1"/>
  <c r="C1021" i="1" s="1"/>
  <c r="G1021" i="1" s="1"/>
  <c r="A1022" i="1"/>
  <c r="B1022" i="1" s="1"/>
  <c r="C1022" i="1" s="1"/>
  <c r="G1022" i="1" s="1"/>
  <c r="A1023" i="1"/>
  <c r="B1023" i="1" s="1"/>
  <c r="G1023" i="1" s="1"/>
  <c r="A1024" i="1"/>
  <c r="B1024" i="1" s="1"/>
  <c r="G1024" i="1" s="1"/>
  <c r="A1026" i="1"/>
  <c r="B1026" i="1" s="1"/>
  <c r="C1026" i="1" s="1"/>
  <c r="G1026" i="1" s="1"/>
  <c r="A1027" i="1"/>
  <c r="B1027" i="1" s="1"/>
  <c r="C1027" i="1" s="1"/>
  <c r="G1027" i="1" s="1"/>
  <c r="A1028" i="1"/>
  <c r="B1028" i="1" s="1"/>
  <c r="G1028" i="1" s="1"/>
  <c r="A1029" i="1"/>
  <c r="B1029" i="1" s="1"/>
  <c r="G1029" i="1" s="1"/>
  <c r="A1030" i="1"/>
  <c r="B1030" i="1" s="1"/>
  <c r="G1030" i="1" s="1"/>
  <c r="A1031" i="1"/>
  <c r="B1031" i="1" s="1"/>
  <c r="C1031" i="1" s="1"/>
  <c r="G1031" i="1" s="1"/>
  <c r="A1032" i="1"/>
  <c r="B1032" i="1" s="1"/>
  <c r="G1032" i="1" s="1"/>
  <c r="A1034" i="1"/>
  <c r="B1034" i="1" s="1"/>
  <c r="G1034" i="1" s="1"/>
  <c r="A1035" i="1"/>
  <c r="B1035" i="1" s="1"/>
  <c r="G1035" i="1" s="1"/>
  <c r="A1036" i="1"/>
  <c r="B1036" i="1" s="1"/>
  <c r="G1036" i="1" s="1"/>
  <c r="A1037" i="1"/>
  <c r="B1037" i="1" s="1"/>
  <c r="C1037" i="1" s="1"/>
  <c r="G1037" i="1" s="1"/>
  <c r="A1038" i="1"/>
  <c r="B1038" i="1" s="1"/>
  <c r="C1038" i="1" s="1"/>
  <c r="G1038" i="1" s="1"/>
  <c r="A1039" i="1"/>
  <c r="B1039" i="1" s="1"/>
  <c r="C1039" i="1" s="1"/>
  <c r="G1039" i="1" s="1"/>
  <c r="A1040" i="1"/>
  <c r="B1040" i="1" s="1"/>
  <c r="C1040" i="1" s="1"/>
  <c r="G1040" i="1" s="1"/>
  <c r="A1042" i="1"/>
  <c r="B1042" i="1" s="1"/>
  <c r="C1042" i="1" s="1"/>
  <c r="G1042" i="1" s="1"/>
  <c r="A1043" i="1"/>
  <c r="B1043" i="1" s="1"/>
  <c r="G1043" i="1" s="1"/>
  <c r="A1044" i="1"/>
  <c r="B1044" i="1" s="1"/>
  <c r="G1044" i="1" s="1"/>
  <c r="A1045" i="1"/>
  <c r="B1045" i="1" s="1"/>
  <c r="C1045" i="1" s="1"/>
  <c r="G1045" i="1" s="1"/>
  <c r="A1046" i="1"/>
  <c r="B1046" i="1" s="1"/>
  <c r="G1046" i="1" s="1"/>
  <c r="A1047" i="1"/>
  <c r="B1047" i="1" s="1"/>
  <c r="G1047" i="1" s="1"/>
  <c r="A1048" i="1"/>
  <c r="B1048" i="1" s="1"/>
  <c r="G1048" i="1" s="1"/>
  <c r="A1050" i="1"/>
  <c r="B1050" i="1" s="1"/>
  <c r="C1050" i="1" s="1"/>
  <c r="G1050" i="1" s="1"/>
  <c r="A1051" i="1"/>
  <c r="B1051" i="1" s="1"/>
  <c r="G1051" i="1" s="1"/>
  <c r="A1052" i="1"/>
  <c r="B1052" i="1" s="1"/>
  <c r="C1052" i="1" s="1"/>
  <c r="G1052" i="1" s="1"/>
  <c r="A1053" i="1"/>
  <c r="B1053" i="1" s="1"/>
  <c r="G1053" i="1" s="1"/>
  <c r="A1054" i="1"/>
  <c r="B1054" i="1" s="1"/>
  <c r="C1054" i="1" s="1"/>
  <c r="G1054" i="1" s="1"/>
  <c r="A1055" i="1"/>
  <c r="B1055" i="1" s="1"/>
  <c r="C1055" i="1" s="1"/>
  <c r="G1055" i="1" s="1"/>
  <c r="A1056" i="1"/>
  <c r="B1056" i="1" s="1"/>
  <c r="G1056" i="1" s="1"/>
  <c r="A1058" i="1"/>
  <c r="B1058" i="1" s="1"/>
  <c r="G1058" i="1" s="1"/>
  <c r="A1059" i="1"/>
  <c r="B1059" i="1" s="1"/>
  <c r="G1059" i="1" s="1"/>
  <c r="A1060" i="1"/>
  <c r="B1060" i="1" s="1"/>
  <c r="G1060" i="1" s="1"/>
  <c r="A1061" i="1"/>
  <c r="B1061" i="1" s="1"/>
  <c r="G1061" i="1" s="1"/>
  <c r="A1062" i="1"/>
  <c r="B1062" i="1" s="1"/>
  <c r="G1062" i="1" s="1"/>
  <c r="A1063" i="1"/>
  <c r="B1063" i="1" s="1"/>
  <c r="G1063" i="1" s="1"/>
  <c r="A1064" i="1"/>
  <c r="B1064" i="1" s="1"/>
  <c r="G1064" i="1" s="1"/>
  <c r="A1066" i="1"/>
  <c r="B1066" i="1" s="1"/>
  <c r="G1066" i="1" s="1"/>
  <c r="A1067" i="1"/>
  <c r="B1067" i="1" s="1"/>
  <c r="G1067" i="1" s="1"/>
  <c r="A1068" i="1"/>
  <c r="B1068" i="1" s="1"/>
  <c r="G1068" i="1" s="1"/>
  <c r="A1069" i="1"/>
  <c r="B1069" i="1" s="1"/>
  <c r="G1069" i="1" s="1"/>
  <c r="A1070" i="1"/>
  <c r="B1070" i="1" s="1"/>
  <c r="G1070" i="1" s="1"/>
  <c r="A1071" i="1"/>
  <c r="B1071" i="1" s="1"/>
  <c r="G1071" i="1" s="1"/>
  <c r="A1072" i="1"/>
  <c r="B1072" i="1" s="1"/>
  <c r="G1072" i="1" s="1"/>
  <c r="A1074" i="1"/>
  <c r="B1074" i="1" s="1"/>
  <c r="G1074" i="1" s="1"/>
  <c r="A1075" i="1"/>
  <c r="B1075" i="1" s="1"/>
  <c r="G1075" i="1" s="1"/>
  <c r="A1076" i="1"/>
  <c r="B1076" i="1" s="1"/>
  <c r="G1076" i="1" s="1"/>
  <c r="A1077" i="1"/>
  <c r="B1077" i="1" s="1"/>
  <c r="G1077" i="1" s="1"/>
  <c r="A1078" i="1"/>
  <c r="B1078" i="1" s="1"/>
  <c r="G1078" i="1" s="1"/>
  <c r="A1079" i="1"/>
  <c r="B1079" i="1" s="1"/>
  <c r="G1079" i="1" s="1"/>
  <c r="A1080" i="1"/>
  <c r="B1080" i="1" s="1"/>
  <c r="G1080" i="1" s="1"/>
  <c r="A1082" i="1"/>
  <c r="B1082" i="1" s="1"/>
  <c r="G1082" i="1" s="1"/>
  <c r="A1083" i="1"/>
  <c r="B1083" i="1" s="1"/>
  <c r="G1083" i="1" s="1"/>
  <c r="A1084" i="1"/>
  <c r="B1084" i="1" s="1"/>
  <c r="G1084" i="1" s="1"/>
  <c r="A1085" i="1"/>
  <c r="B1085" i="1" s="1"/>
  <c r="G1085" i="1" s="1"/>
  <c r="A1086" i="1"/>
  <c r="B1086" i="1" s="1"/>
  <c r="G1086" i="1" s="1"/>
  <c r="A1087" i="1"/>
  <c r="B1087" i="1" s="1"/>
  <c r="G1087" i="1" s="1"/>
  <c r="A1088" i="1"/>
  <c r="B1088" i="1" s="1"/>
  <c r="G1088" i="1" s="1"/>
  <c r="A1090" i="1"/>
  <c r="B1090" i="1" s="1"/>
  <c r="G1090" i="1" s="1"/>
  <c r="A1091" i="1"/>
  <c r="B1091" i="1" s="1"/>
  <c r="G1091" i="1" s="1"/>
  <c r="A1092" i="1"/>
  <c r="B1092" i="1" s="1"/>
  <c r="G1092" i="1" s="1"/>
  <c r="A1093" i="1"/>
  <c r="B1093" i="1" s="1"/>
  <c r="G1093" i="1" s="1"/>
  <c r="A1094" i="1"/>
  <c r="B1094" i="1" s="1"/>
  <c r="G1094" i="1" s="1"/>
  <c r="A1095" i="1"/>
  <c r="B1095" i="1" s="1"/>
  <c r="G1095" i="1" s="1"/>
  <c r="A1096" i="1"/>
  <c r="B1096" i="1" s="1"/>
  <c r="G1096" i="1" s="1"/>
  <c r="A1098" i="1"/>
  <c r="B1098" i="1" s="1"/>
  <c r="G1098" i="1" s="1"/>
  <c r="A1099" i="1"/>
  <c r="B1099" i="1" s="1"/>
  <c r="G1099" i="1" s="1"/>
  <c r="A1100" i="1"/>
  <c r="B1100" i="1" s="1"/>
  <c r="G1100" i="1" s="1"/>
  <c r="A1101" i="1"/>
  <c r="B1101" i="1" s="1"/>
  <c r="G1101" i="1" s="1"/>
  <c r="A1102" i="1"/>
  <c r="B1102" i="1" s="1"/>
  <c r="G1102" i="1" s="1"/>
  <c r="A1103" i="1"/>
  <c r="B1103" i="1" s="1"/>
  <c r="G1103" i="1" s="1"/>
  <c r="A1104" i="1"/>
  <c r="B1104" i="1" s="1"/>
  <c r="G1104" i="1" s="1"/>
  <c r="A1106" i="1"/>
  <c r="B1106" i="1" s="1"/>
  <c r="G1106" i="1" s="1"/>
  <c r="A1107" i="1"/>
  <c r="B1107" i="1" s="1"/>
  <c r="G1107" i="1" s="1"/>
  <c r="A1108" i="1"/>
  <c r="B1108" i="1" s="1"/>
  <c r="G1108" i="1" s="1"/>
  <c r="A1109" i="1"/>
  <c r="B1109" i="1" s="1"/>
  <c r="G1109" i="1" s="1"/>
  <c r="A1110" i="1"/>
  <c r="B1110" i="1" s="1"/>
  <c r="G1110" i="1" s="1"/>
  <c r="A1111" i="1"/>
  <c r="B1111" i="1" s="1"/>
  <c r="G1111" i="1" s="1"/>
  <c r="A1112" i="1"/>
  <c r="B1112" i="1" s="1"/>
  <c r="G1112" i="1" s="1"/>
  <c r="A1114" i="1"/>
  <c r="B1114" i="1" s="1"/>
  <c r="G1114" i="1" s="1"/>
  <c r="A1115" i="1"/>
  <c r="B1115" i="1" s="1"/>
  <c r="G1115" i="1" s="1"/>
  <c r="A1116" i="1"/>
  <c r="B1116" i="1" s="1"/>
  <c r="G1116" i="1" s="1"/>
  <c r="A1117" i="1"/>
  <c r="B1117" i="1" s="1"/>
  <c r="G1117" i="1" s="1"/>
  <c r="A1118" i="1"/>
  <c r="B1118" i="1" s="1"/>
  <c r="G1118" i="1" s="1"/>
  <c r="A1119" i="1"/>
  <c r="B1119" i="1" s="1"/>
  <c r="G1119" i="1" s="1"/>
  <c r="A1120" i="1"/>
  <c r="B1120" i="1" s="1"/>
  <c r="G1120" i="1" s="1"/>
  <c r="A1122" i="1"/>
  <c r="B1122" i="1" s="1"/>
  <c r="G1122" i="1" s="1"/>
  <c r="A1123" i="1"/>
  <c r="B1123" i="1" s="1"/>
  <c r="G1123" i="1" s="1"/>
  <c r="A1124" i="1"/>
  <c r="B1124" i="1" s="1"/>
  <c r="G1124" i="1" s="1"/>
  <c r="A1125" i="1"/>
  <c r="B1125" i="1" s="1"/>
  <c r="G1125" i="1" s="1"/>
  <c r="A1126" i="1"/>
  <c r="B1126" i="1" s="1"/>
  <c r="G1126" i="1" s="1"/>
  <c r="A1127" i="1"/>
  <c r="B1127" i="1" s="1"/>
  <c r="G1127" i="1" s="1"/>
  <c r="A1128" i="1"/>
  <c r="B1128" i="1" s="1"/>
  <c r="G1128" i="1" s="1"/>
  <c r="A1130" i="1"/>
  <c r="B1130" i="1" s="1"/>
  <c r="G1130" i="1" s="1"/>
  <c r="A1131" i="1"/>
  <c r="B1131" i="1" s="1"/>
  <c r="G1131" i="1" s="1"/>
  <c r="A1132" i="1"/>
  <c r="B1132" i="1" s="1"/>
  <c r="G1132" i="1" s="1"/>
  <c r="A1133" i="1"/>
  <c r="B1133" i="1" s="1"/>
  <c r="G1133" i="1" s="1"/>
  <c r="A1134" i="1"/>
  <c r="B1134" i="1" s="1"/>
  <c r="G1134" i="1" s="1"/>
  <c r="A1135" i="1"/>
  <c r="B1135" i="1" s="1"/>
  <c r="G1135" i="1" s="1"/>
  <c r="A1136" i="1"/>
  <c r="B1136" i="1" s="1"/>
  <c r="G1136" i="1" s="1"/>
  <c r="A1138" i="1"/>
  <c r="B1138" i="1" s="1"/>
  <c r="G1138" i="1" s="1"/>
  <c r="A1139" i="1"/>
  <c r="B1139" i="1" s="1"/>
  <c r="G1139" i="1" s="1"/>
  <c r="A1140" i="1"/>
  <c r="B1140" i="1" s="1"/>
  <c r="G1140" i="1" s="1"/>
  <c r="A1141" i="1"/>
  <c r="B1141" i="1" s="1"/>
  <c r="G1141" i="1" s="1"/>
  <c r="A1142" i="1"/>
  <c r="B1142" i="1" s="1"/>
  <c r="G1142" i="1" s="1"/>
  <c r="A1143" i="1"/>
  <c r="B1143" i="1" s="1"/>
  <c r="G1143" i="1" s="1"/>
  <c r="A1144" i="1"/>
  <c r="B1144" i="1" s="1"/>
  <c r="G1144" i="1" s="1"/>
  <c r="A1146" i="1"/>
  <c r="B1146" i="1" s="1"/>
  <c r="G1146" i="1" s="1"/>
  <c r="A1147" i="1"/>
  <c r="B1147" i="1" s="1"/>
  <c r="G1147" i="1" s="1"/>
  <c r="A1148" i="1"/>
  <c r="B1148" i="1" s="1"/>
  <c r="G1148" i="1" s="1"/>
  <c r="A1149" i="1"/>
  <c r="B1149" i="1" s="1"/>
  <c r="G1149" i="1" s="1"/>
  <c r="A1150" i="1"/>
  <c r="B1150" i="1" s="1"/>
  <c r="G1150" i="1" s="1"/>
  <c r="A1151" i="1"/>
  <c r="B1151" i="1" s="1"/>
  <c r="G1151" i="1" s="1"/>
  <c r="A1152" i="1"/>
  <c r="B1152" i="1" s="1"/>
  <c r="G1152" i="1" s="1"/>
  <c r="A1154" i="1"/>
  <c r="B1154" i="1" s="1"/>
  <c r="G1154" i="1" s="1"/>
  <c r="A1155" i="1"/>
  <c r="B1155" i="1" s="1"/>
  <c r="G1155" i="1" s="1"/>
  <c r="A1156" i="1"/>
  <c r="B1156" i="1" s="1"/>
  <c r="G1156" i="1" s="1"/>
  <c r="A1157" i="1"/>
  <c r="B1157" i="1" s="1"/>
  <c r="G1157" i="1" s="1"/>
  <c r="A1158" i="1"/>
  <c r="B1158" i="1" s="1"/>
  <c r="G1158" i="1" s="1"/>
  <c r="A1159" i="1"/>
  <c r="B1159" i="1" s="1"/>
  <c r="G1159" i="1" s="1"/>
  <c r="A1160" i="1"/>
  <c r="B1160" i="1" s="1"/>
  <c r="G1160" i="1" s="1"/>
  <c r="A1162" i="1"/>
  <c r="B1162" i="1" s="1"/>
  <c r="G1162" i="1" s="1"/>
  <c r="A1163" i="1"/>
  <c r="B1163" i="1" s="1"/>
  <c r="G1163" i="1" s="1"/>
  <c r="A1164" i="1"/>
  <c r="B1164" i="1" s="1"/>
  <c r="G1164" i="1" s="1"/>
  <c r="A1165" i="1"/>
  <c r="B1165" i="1" s="1"/>
  <c r="G1165" i="1" s="1"/>
  <c r="A1166" i="1"/>
  <c r="B1166" i="1" s="1"/>
  <c r="G1166" i="1" s="1"/>
  <c r="A1167" i="1"/>
  <c r="B1167" i="1" s="1"/>
  <c r="G1167" i="1" s="1"/>
  <c r="A1168" i="1"/>
  <c r="B1168" i="1" s="1"/>
  <c r="G1168" i="1" s="1"/>
  <c r="A1170" i="1"/>
  <c r="B1170" i="1" s="1"/>
  <c r="G1170" i="1" s="1"/>
  <c r="A1171" i="1"/>
  <c r="B1171" i="1" s="1"/>
  <c r="G1171" i="1" s="1"/>
  <c r="A1172" i="1"/>
  <c r="B1172" i="1" s="1"/>
  <c r="G1172" i="1" s="1"/>
  <c r="A1173" i="1"/>
  <c r="B1173" i="1" s="1"/>
  <c r="G1173" i="1" s="1"/>
  <c r="A1174" i="1"/>
  <c r="B1174" i="1" s="1"/>
  <c r="G1174" i="1" s="1"/>
  <c r="A1175" i="1"/>
  <c r="B1175" i="1" s="1"/>
  <c r="G1175" i="1" s="1"/>
  <c r="A1176" i="1"/>
  <c r="B1176" i="1" s="1"/>
  <c r="G1176" i="1" s="1"/>
  <c r="A1178" i="1"/>
  <c r="B1178" i="1" s="1"/>
  <c r="G1178" i="1" s="1"/>
  <c r="A1179" i="1"/>
  <c r="B1179" i="1" s="1"/>
  <c r="G1179" i="1" s="1"/>
  <c r="A1180" i="1"/>
  <c r="B1180" i="1" s="1"/>
  <c r="G1180" i="1" s="1"/>
  <c r="A1181" i="1"/>
  <c r="B1181" i="1" s="1"/>
  <c r="G1181" i="1" s="1"/>
  <c r="A1182" i="1"/>
  <c r="B1182" i="1" s="1"/>
  <c r="G1182" i="1" s="1"/>
  <c r="A1183" i="1"/>
  <c r="B1183" i="1" s="1"/>
  <c r="G1183" i="1" s="1"/>
  <c r="A1184" i="1"/>
  <c r="B1184" i="1" s="1"/>
  <c r="G1184" i="1" s="1"/>
  <c r="A1186" i="1"/>
  <c r="B1186" i="1" s="1"/>
  <c r="G1186" i="1" s="1"/>
  <c r="A1187" i="1"/>
  <c r="B1187" i="1" s="1"/>
  <c r="G1187" i="1" s="1"/>
  <c r="A1188" i="1"/>
  <c r="B1188" i="1" s="1"/>
  <c r="G1188" i="1" s="1"/>
  <c r="A1189" i="1"/>
  <c r="B1189" i="1" s="1"/>
  <c r="G1189" i="1" s="1"/>
  <c r="A1190" i="1"/>
  <c r="B1190" i="1" s="1"/>
  <c r="G1190" i="1" s="1"/>
  <c r="A1191" i="1"/>
  <c r="B1191" i="1" s="1"/>
  <c r="G1191" i="1" s="1"/>
  <c r="A1192" i="1"/>
  <c r="B1192" i="1" s="1"/>
  <c r="G1192" i="1" s="1"/>
  <c r="A1194" i="1"/>
  <c r="B1194" i="1" s="1"/>
  <c r="G1194" i="1" s="1"/>
  <c r="A1195" i="1"/>
  <c r="B1195" i="1" s="1"/>
  <c r="G1195" i="1" s="1"/>
  <c r="A1196" i="1"/>
  <c r="B1196" i="1" s="1"/>
  <c r="G1196" i="1" s="1"/>
  <c r="A1197" i="1"/>
  <c r="B1197" i="1" s="1"/>
  <c r="G1197" i="1" s="1"/>
  <c r="A1198" i="1"/>
  <c r="B1198" i="1" s="1"/>
  <c r="G1198" i="1" s="1"/>
  <c r="A1199" i="1"/>
  <c r="B1199" i="1" s="1"/>
  <c r="G1199" i="1" s="1"/>
  <c r="A1200" i="1"/>
  <c r="B1200" i="1" s="1"/>
  <c r="G1200" i="1" s="1"/>
  <c r="A1202" i="1"/>
  <c r="B1202" i="1" s="1"/>
  <c r="G1202" i="1" s="1"/>
  <c r="A1203" i="1"/>
  <c r="B1203" i="1" s="1"/>
  <c r="G1203" i="1" s="1"/>
  <c r="A1204" i="1"/>
  <c r="B1204" i="1" s="1"/>
  <c r="G1204" i="1" s="1"/>
  <c r="A1205" i="1"/>
  <c r="B1205" i="1" s="1"/>
  <c r="G1205" i="1" s="1"/>
  <c r="A1206" i="1"/>
  <c r="B1206" i="1" s="1"/>
  <c r="G1206" i="1" s="1"/>
  <c r="A1207" i="1"/>
  <c r="B1207" i="1" s="1"/>
  <c r="G1207" i="1" s="1"/>
  <c r="A1208" i="1"/>
  <c r="B1208" i="1" s="1"/>
  <c r="G1208" i="1" s="1"/>
  <c r="A1210" i="1"/>
  <c r="B1210" i="1" s="1"/>
  <c r="G1210" i="1" s="1"/>
  <c r="A1211" i="1"/>
  <c r="B1211" i="1" s="1"/>
  <c r="G1211" i="1" s="1"/>
  <c r="A1212" i="1"/>
  <c r="B1212" i="1" s="1"/>
  <c r="G1212" i="1" s="1"/>
  <c r="A1213" i="1"/>
  <c r="B1213" i="1" s="1"/>
  <c r="G1213" i="1" s="1"/>
  <c r="A1214" i="1"/>
  <c r="B1214" i="1" s="1"/>
  <c r="G1214" i="1" s="1"/>
  <c r="A1215" i="1"/>
  <c r="B1215" i="1" s="1"/>
  <c r="G1215" i="1" s="1"/>
  <c r="A1216" i="1"/>
  <c r="B1216" i="1" s="1"/>
  <c r="G1216" i="1" s="1"/>
  <c r="A1218" i="1"/>
  <c r="B1218" i="1" s="1"/>
  <c r="G1218" i="1" s="1"/>
  <c r="A1219" i="1"/>
  <c r="B1219" i="1" s="1"/>
  <c r="G1219" i="1" s="1"/>
  <c r="A1220" i="1"/>
  <c r="B1220" i="1" s="1"/>
  <c r="G1220" i="1" s="1"/>
  <c r="A1221" i="1"/>
  <c r="B1221" i="1" s="1"/>
  <c r="G1221" i="1" s="1"/>
  <c r="A1222" i="1"/>
  <c r="B1222" i="1" s="1"/>
  <c r="G1222" i="1" s="1"/>
  <c r="A1223" i="1"/>
  <c r="B1223" i="1" s="1"/>
  <c r="G1223" i="1" s="1"/>
  <c r="A1224" i="1"/>
  <c r="B1224" i="1" s="1"/>
  <c r="G1224" i="1" s="1"/>
  <c r="A1226" i="1"/>
  <c r="B1226" i="1" s="1"/>
  <c r="G1226" i="1" s="1"/>
  <c r="A1227" i="1"/>
  <c r="B1227" i="1" s="1"/>
  <c r="G1227" i="1" s="1"/>
  <c r="A1228" i="1"/>
  <c r="B1228" i="1" s="1"/>
  <c r="G1228" i="1" s="1"/>
  <c r="A1229" i="1"/>
  <c r="B1229" i="1" s="1"/>
  <c r="G1229" i="1" s="1"/>
  <c r="A1230" i="1"/>
  <c r="B1230" i="1" s="1"/>
  <c r="G1230" i="1" s="1"/>
  <c r="A1231" i="1"/>
  <c r="B1231" i="1" s="1"/>
  <c r="G1231" i="1" s="1"/>
  <c r="A1232" i="1"/>
  <c r="B1232" i="1" s="1"/>
  <c r="G1232" i="1" s="1"/>
  <c r="A1234" i="1"/>
  <c r="B1234" i="1" s="1"/>
  <c r="G1234" i="1" s="1"/>
  <c r="A1235" i="1"/>
  <c r="B1235" i="1" s="1"/>
  <c r="G1235" i="1" s="1"/>
  <c r="A1236" i="1"/>
  <c r="B1236" i="1" s="1"/>
  <c r="G1236" i="1" s="1"/>
  <c r="A1237" i="1"/>
  <c r="B1237" i="1" s="1"/>
  <c r="G1237" i="1" s="1"/>
  <c r="A1238" i="1"/>
  <c r="B1238" i="1" s="1"/>
  <c r="G1238" i="1" s="1"/>
  <c r="A1239" i="1"/>
  <c r="B1239" i="1" s="1"/>
  <c r="G1239" i="1" s="1"/>
  <c r="A1240" i="1"/>
  <c r="B1240" i="1" s="1"/>
  <c r="G1240" i="1" s="1"/>
  <c r="A1242" i="1"/>
  <c r="B1242" i="1" s="1"/>
  <c r="G1242" i="1" s="1"/>
  <c r="A1243" i="1"/>
  <c r="B1243" i="1" s="1"/>
  <c r="G1243" i="1" s="1"/>
  <c r="A1244" i="1"/>
  <c r="B1244" i="1" s="1"/>
  <c r="G1244" i="1" s="1"/>
  <c r="A1245" i="1"/>
  <c r="B1245" i="1" s="1"/>
  <c r="G1245" i="1" s="1"/>
  <c r="A1246" i="1"/>
  <c r="B1246" i="1" s="1"/>
  <c r="G1246" i="1" s="1"/>
  <c r="A1247" i="1"/>
  <c r="B1247" i="1" s="1"/>
  <c r="G1247" i="1" s="1"/>
  <c r="A1248" i="1"/>
  <c r="B1248" i="1" s="1"/>
  <c r="G1248" i="1" s="1"/>
  <c r="A1250" i="1"/>
  <c r="B1250" i="1" s="1"/>
  <c r="G1250" i="1" s="1"/>
  <c r="A1251" i="1"/>
  <c r="B1251" i="1" s="1"/>
  <c r="G1251" i="1" s="1"/>
  <c r="A1252" i="1"/>
  <c r="B1252" i="1" s="1"/>
  <c r="G1252" i="1" s="1"/>
  <c r="A1253" i="1"/>
  <c r="B1253" i="1" s="1"/>
  <c r="G1253" i="1" s="1"/>
  <c r="A1254" i="1"/>
  <c r="B1254" i="1" s="1"/>
  <c r="G1254" i="1" s="1"/>
  <c r="A1255" i="1"/>
  <c r="B1255" i="1" s="1"/>
  <c r="G1255" i="1" s="1"/>
  <c r="A1256" i="1"/>
  <c r="B1256" i="1" s="1"/>
  <c r="G1256" i="1" s="1"/>
  <c r="A1258" i="1"/>
  <c r="B1258" i="1" s="1"/>
  <c r="G1258" i="1" s="1"/>
  <c r="A1259" i="1"/>
  <c r="B1259" i="1" s="1"/>
  <c r="G1259" i="1" s="1"/>
  <c r="A1260" i="1"/>
  <c r="B1260" i="1" s="1"/>
  <c r="G1260" i="1" s="1"/>
  <c r="A1261" i="1"/>
  <c r="B1261" i="1" s="1"/>
  <c r="G1261" i="1" s="1"/>
  <c r="A1262" i="1"/>
  <c r="B1262" i="1" s="1"/>
  <c r="G1262" i="1" s="1"/>
  <c r="A1263" i="1"/>
  <c r="B1263" i="1" s="1"/>
  <c r="G1263" i="1" s="1"/>
  <c r="A1264" i="1"/>
  <c r="B1264" i="1" s="1"/>
  <c r="G1264" i="1" s="1"/>
  <c r="A1266" i="1"/>
  <c r="B1266" i="1" s="1"/>
  <c r="G1266" i="1" s="1"/>
  <c r="A1267" i="1"/>
  <c r="B1267" i="1" s="1"/>
  <c r="G1267" i="1" s="1"/>
  <c r="A1268" i="1"/>
  <c r="B1268" i="1" s="1"/>
  <c r="G1268" i="1" s="1"/>
  <c r="A1269" i="1"/>
  <c r="B1269" i="1" s="1"/>
  <c r="G1269" i="1" s="1"/>
  <c r="A1270" i="1"/>
  <c r="B1270" i="1" s="1"/>
  <c r="G1270" i="1" s="1"/>
  <c r="A1271" i="1"/>
  <c r="B1271" i="1" s="1"/>
  <c r="G1271" i="1" s="1"/>
  <c r="A1272" i="1"/>
  <c r="B1272" i="1" s="1"/>
  <c r="G1272" i="1" s="1"/>
  <c r="A1274" i="1"/>
  <c r="B1274" i="1" s="1"/>
  <c r="G1274" i="1" s="1"/>
  <c r="A1275" i="1"/>
  <c r="B1275" i="1" s="1"/>
  <c r="G1275" i="1" s="1"/>
  <c r="A1276" i="1"/>
  <c r="B1276" i="1" s="1"/>
  <c r="G1276" i="1" s="1"/>
  <c r="A1277" i="1"/>
  <c r="B1277" i="1" s="1"/>
  <c r="G1277" i="1" s="1"/>
  <c r="A1278" i="1"/>
  <c r="B1278" i="1" s="1"/>
  <c r="G1278" i="1" s="1"/>
  <c r="A1279" i="1"/>
  <c r="B1279" i="1" s="1"/>
  <c r="G1279" i="1" s="1"/>
  <c r="A1280" i="1"/>
  <c r="B1280" i="1" s="1"/>
  <c r="G1280" i="1" s="1"/>
  <c r="A1282" i="1"/>
  <c r="B1282" i="1" s="1"/>
  <c r="G1282" i="1" s="1"/>
  <c r="A1283" i="1"/>
  <c r="B1283" i="1" s="1"/>
  <c r="G1283" i="1" s="1"/>
  <c r="A1284" i="1"/>
  <c r="B1284" i="1" s="1"/>
  <c r="G1284" i="1" s="1"/>
  <c r="A1285" i="1"/>
  <c r="B1285" i="1" s="1"/>
  <c r="G1285" i="1" s="1"/>
  <c r="A1286" i="1"/>
  <c r="B1286" i="1" s="1"/>
  <c r="G1286" i="1" s="1"/>
  <c r="A1287" i="1"/>
  <c r="B1287" i="1" s="1"/>
  <c r="G1287" i="1" s="1"/>
  <c r="A1288" i="1"/>
  <c r="B1288" i="1" s="1"/>
  <c r="G1288" i="1" s="1"/>
  <c r="A1290" i="1"/>
  <c r="B1290" i="1" s="1"/>
  <c r="G1290" i="1" s="1"/>
  <c r="A1291" i="1"/>
  <c r="B1291" i="1" s="1"/>
  <c r="G1291" i="1" s="1"/>
  <c r="A1292" i="1"/>
  <c r="B1292" i="1" s="1"/>
  <c r="G1292" i="1" s="1"/>
  <c r="A1293" i="1"/>
  <c r="B1293" i="1" s="1"/>
  <c r="G1293" i="1" s="1"/>
  <c r="A1294" i="1"/>
  <c r="B1294" i="1" s="1"/>
  <c r="G1294" i="1" s="1"/>
  <c r="A1295" i="1"/>
  <c r="B1295" i="1" s="1"/>
  <c r="G1295" i="1" s="1"/>
  <c r="A1296" i="1"/>
  <c r="B1296" i="1" s="1"/>
  <c r="G1296" i="1" s="1"/>
  <c r="A1298" i="1"/>
  <c r="B1298" i="1" s="1"/>
  <c r="G1298" i="1" s="1"/>
  <c r="A1299" i="1"/>
  <c r="B1299" i="1" s="1"/>
  <c r="G1299" i="1" s="1"/>
  <c r="A1300" i="1"/>
  <c r="B1300" i="1" s="1"/>
  <c r="G1300" i="1" s="1"/>
  <c r="A1301" i="1"/>
  <c r="B1301" i="1" s="1"/>
  <c r="G1301" i="1" s="1"/>
  <c r="A1302" i="1"/>
  <c r="B1302" i="1" s="1"/>
  <c r="G1302" i="1" s="1"/>
  <c r="A1303" i="1"/>
  <c r="B1303" i="1" s="1"/>
  <c r="G1303" i="1" s="1"/>
  <c r="A1304" i="1"/>
  <c r="B1304" i="1" s="1"/>
  <c r="G1304" i="1" s="1"/>
  <c r="A1306" i="1"/>
  <c r="B1306" i="1" s="1"/>
  <c r="G1306" i="1" s="1"/>
  <c r="A1307" i="1"/>
  <c r="B1307" i="1" s="1"/>
  <c r="G1307" i="1" s="1"/>
  <c r="A1308" i="1"/>
  <c r="B1308" i="1" s="1"/>
  <c r="C1308" i="1" s="1"/>
  <c r="G1308" i="1" s="1"/>
  <c r="A1309" i="1"/>
  <c r="B1309" i="1" s="1"/>
  <c r="C1309" i="1" s="1"/>
  <c r="G1309" i="1" s="1"/>
  <c r="A1310" i="1"/>
  <c r="B1310" i="1" s="1"/>
  <c r="C1310" i="1" s="1"/>
  <c r="G1310" i="1" s="1"/>
  <c r="A1311" i="1"/>
  <c r="B1311" i="1" s="1"/>
  <c r="C1311" i="1" s="1"/>
  <c r="G1311" i="1" s="1"/>
  <c r="A1312" i="1"/>
  <c r="B1312" i="1" s="1"/>
  <c r="G1312" i="1" s="1"/>
  <c r="A1314" i="1"/>
  <c r="B1314" i="1" s="1"/>
  <c r="G1314" i="1" s="1"/>
  <c r="A1315" i="1"/>
  <c r="B1315" i="1" s="1"/>
  <c r="G1315" i="1" s="1"/>
  <c r="A1316" i="1"/>
  <c r="B1316" i="1" s="1"/>
  <c r="G1316" i="1" s="1"/>
  <c r="A1317" i="1"/>
  <c r="B1317" i="1" s="1"/>
  <c r="G1317" i="1" s="1"/>
  <c r="A1318" i="1"/>
  <c r="B1318" i="1" s="1"/>
  <c r="G1318" i="1" s="1"/>
  <c r="A1319" i="1"/>
  <c r="B1319" i="1" s="1"/>
  <c r="G1319" i="1" s="1"/>
  <c r="A1320" i="1"/>
  <c r="B1320" i="1" s="1"/>
  <c r="G1320" i="1" s="1"/>
  <c r="A1322" i="1"/>
  <c r="B1322" i="1" s="1"/>
  <c r="G1322" i="1" s="1"/>
  <c r="A1323" i="1"/>
  <c r="B1323" i="1" s="1"/>
  <c r="G1323" i="1" s="1"/>
  <c r="A1324" i="1"/>
  <c r="B1324" i="1" s="1"/>
  <c r="G1324" i="1" s="1"/>
  <c r="A1325" i="1"/>
  <c r="B1325" i="1" s="1"/>
  <c r="G1325" i="1" s="1"/>
  <c r="A1326" i="1"/>
  <c r="B1326" i="1" s="1"/>
  <c r="G1326" i="1" s="1"/>
  <c r="A1327" i="1"/>
  <c r="B1327" i="1" s="1"/>
  <c r="G1327" i="1" s="1"/>
  <c r="A1328" i="1"/>
  <c r="B1328" i="1" s="1"/>
  <c r="G1328" i="1" s="1"/>
  <c r="A1330" i="1"/>
  <c r="B1330" i="1" s="1"/>
  <c r="G1330" i="1" s="1"/>
  <c r="A1331" i="1"/>
  <c r="B1331" i="1" s="1"/>
  <c r="G1331" i="1" s="1"/>
  <c r="A1332" i="1"/>
  <c r="B1332" i="1" s="1"/>
  <c r="G1332" i="1" s="1"/>
  <c r="A1333" i="1"/>
  <c r="B1333" i="1" s="1"/>
  <c r="G1333" i="1" s="1"/>
  <c r="A1334" i="1"/>
  <c r="B1334" i="1" s="1"/>
  <c r="G1334" i="1" s="1"/>
  <c r="A1335" i="1"/>
  <c r="B1335" i="1" s="1"/>
  <c r="G1335" i="1" s="1"/>
  <c r="A1336" i="1"/>
  <c r="B1336" i="1" s="1"/>
  <c r="G1336" i="1" s="1"/>
  <c r="A1338" i="1"/>
  <c r="B1338" i="1" s="1"/>
  <c r="G1338" i="1" s="1"/>
  <c r="A1339" i="1"/>
  <c r="B1339" i="1" s="1"/>
  <c r="G1339" i="1" s="1"/>
  <c r="A1340" i="1"/>
  <c r="B1340" i="1" s="1"/>
  <c r="G1340" i="1" s="1"/>
  <c r="A1341" i="1"/>
  <c r="B1341" i="1" s="1"/>
  <c r="G1341" i="1" s="1"/>
  <c r="A1342" i="1"/>
  <c r="B1342" i="1" s="1"/>
  <c r="G1342" i="1" s="1"/>
  <c r="A1343" i="1"/>
  <c r="B1343" i="1" s="1"/>
  <c r="G1343" i="1" s="1"/>
  <c r="A1344" i="1"/>
  <c r="B1344" i="1" s="1"/>
  <c r="G1344" i="1" s="1"/>
  <c r="A1346" i="1"/>
  <c r="B1346" i="1" s="1"/>
  <c r="G1346" i="1" s="1"/>
  <c r="A1347" i="1"/>
  <c r="B1347" i="1" s="1"/>
  <c r="G1347" i="1" s="1"/>
  <c r="A1348" i="1"/>
  <c r="B1348" i="1" s="1"/>
  <c r="G1348" i="1" s="1"/>
  <c r="A1349" i="1"/>
  <c r="B1349" i="1" s="1"/>
  <c r="G1349" i="1" s="1"/>
  <c r="A1350" i="1"/>
  <c r="B1350" i="1" s="1"/>
  <c r="G1350" i="1" s="1"/>
  <c r="A1351" i="1"/>
  <c r="B1351" i="1" s="1"/>
  <c r="G1351" i="1" s="1"/>
  <c r="A1352" i="1"/>
  <c r="B1352" i="1" s="1"/>
  <c r="G1352" i="1" s="1"/>
  <c r="A1354" i="1"/>
  <c r="B1354" i="1" s="1"/>
  <c r="G1354" i="1" s="1"/>
  <c r="A1355" i="1"/>
  <c r="B1355" i="1" s="1"/>
  <c r="G1355" i="1" s="1"/>
  <c r="A1356" i="1"/>
  <c r="B1356" i="1" s="1"/>
  <c r="G1356" i="1" s="1"/>
  <c r="A1357" i="1"/>
  <c r="B1357" i="1" s="1"/>
  <c r="G1357" i="1" s="1"/>
  <c r="A1358" i="1"/>
  <c r="B1358" i="1" s="1"/>
  <c r="G1358" i="1" s="1"/>
  <c r="A1359" i="1"/>
  <c r="B1359" i="1" s="1"/>
  <c r="G1359" i="1" s="1"/>
  <c r="A1360" i="1"/>
  <c r="B1360" i="1" s="1"/>
  <c r="G1360" i="1" s="1"/>
  <c r="A1362" i="1"/>
  <c r="B1362" i="1" s="1"/>
  <c r="G1362" i="1" s="1"/>
  <c r="A1363" i="1"/>
  <c r="B1363" i="1" s="1"/>
  <c r="G1363" i="1" s="1"/>
  <c r="A1364" i="1"/>
  <c r="B1364" i="1" s="1"/>
  <c r="G1364" i="1" s="1"/>
  <c r="A1365" i="1"/>
  <c r="B1365" i="1" s="1"/>
  <c r="G1365" i="1" s="1"/>
  <c r="A1366" i="1"/>
  <c r="B1366" i="1" s="1"/>
  <c r="G1366" i="1" s="1"/>
  <c r="A1367" i="1"/>
  <c r="B1367" i="1" s="1"/>
  <c r="G1367" i="1" s="1"/>
  <c r="A1368" i="1"/>
  <c r="B1368" i="1" s="1"/>
  <c r="G1368" i="1" s="1"/>
  <c r="A1370" i="1"/>
  <c r="B1370" i="1" s="1"/>
  <c r="G1370" i="1" s="1"/>
  <c r="A1371" i="1"/>
  <c r="B1371" i="1" s="1"/>
  <c r="G1371" i="1" s="1"/>
  <c r="A1372" i="1"/>
  <c r="B1372" i="1" s="1"/>
  <c r="G1372" i="1" s="1"/>
  <c r="A1373" i="1"/>
  <c r="B1373" i="1" s="1"/>
  <c r="G1373" i="1" s="1"/>
  <c r="A1374" i="1"/>
  <c r="B1374" i="1" s="1"/>
  <c r="G1374" i="1" s="1"/>
  <c r="A1375" i="1"/>
  <c r="B1375" i="1" s="1"/>
  <c r="G1375" i="1" s="1"/>
  <c r="A1376" i="1"/>
  <c r="B1376" i="1" s="1"/>
  <c r="G1376" i="1" s="1"/>
  <c r="A1378" i="1"/>
  <c r="B1378" i="1" s="1"/>
  <c r="G1378" i="1" s="1"/>
  <c r="A1379" i="1"/>
  <c r="B1379" i="1" s="1"/>
  <c r="G1379" i="1" s="1"/>
  <c r="A1380" i="1"/>
  <c r="B1380" i="1" s="1"/>
  <c r="G1380" i="1" s="1"/>
  <c r="A1381" i="1"/>
  <c r="B1381" i="1" s="1"/>
  <c r="G1381" i="1" s="1"/>
  <c r="A1382" i="1"/>
  <c r="B1382" i="1" s="1"/>
  <c r="G1382" i="1" s="1"/>
  <c r="A1383" i="1"/>
  <c r="B1383" i="1" s="1"/>
  <c r="G1383" i="1" s="1"/>
  <c r="A1384" i="1"/>
  <c r="B1384" i="1" s="1"/>
  <c r="G1384" i="1" s="1"/>
  <c r="A1386" i="1"/>
  <c r="B1386" i="1" s="1"/>
  <c r="G1386" i="1" s="1"/>
  <c r="A1387" i="1"/>
  <c r="B1387" i="1" s="1"/>
  <c r="G1387" i="1" s="1"/>
  <c r="A1388" i="1"/>
  <c r="B1388" i="1" s="1"/>
  <c r="G1388" i="1" s="1"/>
  <c r="A1389" i="1"/>
  <c r="B1389" i="1" s="1"/>
  <c r="G1389" i="1" s="1"/>
  <c r="A1390" i="1"/>
  <c r="B1390" i="1" s="1"/>
  <c r="G1390" i="1" s="1"/>
  <c r="A1391" i="1"/>
  <c r="B1391" i="1" s="1"/>
  <c r="G1391" i="1" s="1"/>
  <c r="A1392" i="1"/>
  <c r="B1392" i="1" s="1"/>
  <c r="G1392" i="1" s="1"/>
  <c r="A1394" i="1"/>
  <c r="B1394" i="1" s="1"/>
  <c r="G1394" i="1" s="1"/>
  <c r="A1395" i="1"/>
  <c r="B1395" i="1" s="1"/>
  <c r="G1395" i="1" s="1"/>
  <c r="A1396" i="1"/>
  <c r="B1396" i="1" s="1"/>
  <c r="G1396" i="1" s="1"/>
  <c r="A1397" i="1"/>
  <c r="B1397" i="1" s="1"/>
  <c r="G1397" i="1" s="1"/>
  <c r="A1398" i="1"/>
  <c r="B1398" i="1" s="1"/>
  <c r="G1398" i="1" s="1"/>
  <c r="A1399" i="1"/>
  <c r="B1399" i="1" s="1"/>
  <c r="G1399" i="1" s="1"/>
  <c r="A1400" i="1"/>
  <c r="B1400" i="1" s="1"/>
  <c r="G1400" i="1" s="1"/>
  <c r="A1402" i="1"/>
  <c r="B1402" i="1" s="1"/>
  <c r="G1402" i="1" s="1"/>
  <c r="A1403" i="1"/>
  <c r="B1403" i="1" s="1"/>
  <c r="G1403" i="1" s="1"/>
  <c r="A1404" i="1"/>
  <c r="B1404" i="1" s="1"/>
  <c r="G1404" i="1" s="1"/>
  <c r="A1405" i="1"/>
  <c r="B1405" i="1" s="1"/>
  <c r="G1405" i="1" s="1"/>
  <c r="A1406" i="1"/>
  <c r="B1406" i="1" s="1"/>
  <c r="G1406" i="1" s="1"/>
  <c r="A1407" i="1"/>
  <c r="B1407" i="1" s="1"/>
  <c r="G1407" i="1" s="1"/>
  <c r="A1408" i="1"/>
  <c r="B1408" i="1" s="1"/>
  <c r="G1408" i="1" s="1"/>
  <c r="A1410" i="1"/>
  <c r="B1410" i="1" s="1"/>
  <c r="G1410" i="1" s="1"/>
  <c r="A1411" i="1"/>
  <c r="B1411" i="1" s="1"/>
  <c r="G1411" i="1" s="1"/>
  <c r="A1412" i="1"/>
  <c r="B1412" i="1" s="1"/>
  <c r="G1412" i="1" s="1"/>
  <c r="A1413" i="1"/>
  <c r="B1413" i="1" s="1"/>
  <c r="G1413" i="1" s="1"/>
  <c r="A1414" i="1"/>
  <c r="B1414" i="1" s="1"/>
  <c r="G1414" i="1" s="1"/>
  <c r="A1415" i="1"/>
  <c r="B1415" i="1" s="1"/>
  <c r="G1415" i="1" s="1"/>
  <c r="A1416" i="1"/>
  <c r="B1416" i="1" s="1"/>
  <c r="G1416" i="1" s="1"/>
  <c r="A1418" i="1"/>
  <c r="B1418" i="1" s="1"/>
  <c r="G1418" i="1" s="1"/>
  <c r="A1419" i="1"/>
  <c r="B1419" i="1" s="1"/>
  <c r="G1419" i="1" s="1"/>
  <c r="A1420" i="1"/>
  <c r="B1420" i="1" s="1"/>
  <c r="G1420" i="1" s="1"/>
  <c r="A1421" i="1"/>
  <c r="B1421" i="1" s="1"/>
  <c r="G1421" i="1" s="1"/>
  <c r="A1422" i="1"/>
  <c r="B1422" i="1" s="1"/>
  <c r="G1422" i="1" s="1"/>
  <c r="A1423" i="1"/>
  <c r="B1423" i="1" s="1"/>
  <c r="G1423" i="1" s="1"/>
  <c r="A1424" i="1"/>
  <c r="B1424" i="1" s="1"/>
  <c r="G1424" i="1" s="1"/>
  <c r="A1426" i="1"/>
  <c r="B1426" i="1" s="1"/>
  <c r="G1426" i="1" s="1"/>
  <c r="A1427" i="1"/>
  <c r="B1427" i="1" s="1"/>
  <c r="G1427" i="1" s="1"/>
  <c r="A1428" i="1"/>
  <c r="B1428" i="1" s="1"/>
  <c r="G1428" i="1" s="1"/>
  <c r="A1429" i="1"/>
  <c r="B1429" i="1" s="1"/>
  <c r="G1429" i="1" s="1"/>
  <c r="A1430" i="1"/>
  <c r="B1430" i="1" s="1"/>
  <c r="G1430" i="1" s="1"/>
  <c r="A1431" i="1"/>
  <c r="B1431" i="1" s="1"/>
  <c r="G1431" i="1" s="1"/>
  <c r="A1432" i="1"/>
  <c r="B1432" i="1" s="1"/>
  <c r="G1432" i="1" s="1"/>
  <c r="A1434" i="1"/>
  <c r="B1434" i="1" s="1"/>
  <c r="G1434" i="1" s="1"/>
  <c r="A1435" i="1"/>
  <c r="B1435" i="1" s="1"/>
  <c r="G1435" i="1" s="1"/>
  <c r="A1436" i="1"/>
  <c r="B1436" i="1" s="1"/>
  <c r="G1436" i="1" s="1"/>
  <c r="A1437" i="1"/>
  <c r="B1437" i="1" s="1"/>
  <c r="G1437" i="1" s="1"/>
  <c r="A1438" i="1"/>
  <c r="B1438" i="1" s="1"/>
  <c r="G1438" i="1" s="1"/>
  <c r="A1439" i="1"/>
  <c r="B1439" i="1" s="1"/>
  <c r="G1439" i="1" s="1"/>
  <c r="A1440" i="1"/>
  <c r="B1440" i="1" s="1"/>
  <c r="G1440" i="1" s="1"/>
  <c r="A1442" i="1"/>
  <c r="B1442" i="1" s="1"/>
  <c r="G1442" i="1" s="1"/>
  <c r="A1443" i="1"/>
  <c r="B1443" i="1" s="1"/>
  <c r="G1443" i="1" s="1"/>
  <c r="A1444" i="1"/>
  <c r="B1444" i="1" s="1"/>
  <c r="G1444" i="1" s="1"/>
  <c r="A1445" i="1"/>
  <c r="B1445" i="1" s="1"/>
  <c r="G1445" i="1" s="1"/>
  <c r="A1446" i="1"/>
  <c r="B1446" i="1" s="1"/>
  <c r="G1446" i="1" s="1"/>
  <c r="A1447" i="1"/>
  <c r="B1447" i="1" s="1"/>
  <c r="G1447" i="1" s="1"/>
  <c r="A1448" i="1"/>
  <c r="B1448" i="1" s="1"/>
  <c r="G1448" i="1" s="1"/>
  <c r="A1450" i="1"/>
  <c r="B1450" i="1" s="1"/>
  <c r="G1450" i="1" s="1"/>
  <c r="A1451" i="1"/>
  <c r="B1451" i="1" s="1"/>
  <c r="G1451" i="1" s="1"/>
  <c r="A1452" i="1"/>
  <c r="B1452" i="1" s="1"/>
  <c r="G1452" i="1" s="1"/>
  <c r="A1453" i="1"/>
  <c r="B1453" i="1" s="1"/>
  <c r="G1453" i="1" s="1"/>
  <c r="A1454" i="1"/>
  <c r="B1454" i="1" s="1"/>
  <c r="G1454" i="1" s="1"/>
  <c r="A1455" i="1"/>
  <c r="B1455" i="1" s="1"/>
  <c r="G1455" i="1" s="1"/>
  <c r="A1456" i="1"/>
  <c r="B1456" i="1" s="1"/>
  <c r="G1456" i="1" s="1"/>
  <c r="A1458" i="1"/>
  <c r="B1458" i="1" s="1"/>
  <c r="G1458" i="1" s="1"/>
  <c r="A1459" i="1"/>
  <c r="B1459" i="1" s="1"/>
  <c r="G1459" i="1" s="1"/>
  <c r="A1460" i="1"/>
  <c r="B1460" i="1" s="1"/>
  <c r="G1460" i="1" s="1"/>
  <c r="A1461" i="1"/>
  <c r="B1461" i="1" s="1"/>
  <c r="G1461" i="1" s="1"/>
  <c r="A1462" i="1"/>
  <c r="B1462" i="1" s="1"/>
  <c r="G1462" i="1" s="1"/>
  <c r="A1463" i="1"/>
  <c r="B1463" i="1" s="1"/>
  <c r="G1463" i="1" s="1"/>
  <c r="A1464" i="1"/>
  <c r="B1464" i="1" s="1"/>
  <c r="G1464" i="1" s="1"/>
  <c r="A1466" i="1"/>
  <c r="B1466" i="1" s="1"/>
  <c r="G1466" i="1" s="1"/>
  <c r="A1467" i="1"/>
  <c r="B1467" i="1" s="1"/>
  <c r="G1467" i="1" s="1"/>
  <c r="A1468" i="1"/>
  <c r="B1468" i="1" s="1"/>
  <c r="G1468" i="1" s="1"/>
  <c r="A1469" i="1"/>
  <c r="B1469" i="1" s="1"/>
  <c r="G1469" i="1" s="1"/>
  <c r="A1470" i="1"/>
  <c r="B1470" i="1" s="1"/>
  <c r="G1470" i="1" s="1"/>
  <c r="A1471" i="1"/>
  <c r="B1471" i="1" s="1"/>
  <c r="G1471" i="1" s="1"/>
  <c r="A1472" i="1"/>
  <c r="B1472" i="1" s="1"/>
  <c r="G1472" i="1" s="1"/>
  <c r="A1474" i="1"/>
  <c r="B1474" i="1" s="1"/>
  <c r="G1474" i="1" s="1"/>
  <c r="A1475" i="1"/>
  <c r="B1475" i="1" s="1"/>
  <c r="G1475" i="1" s="1"/>
  <c r="A1476" i="1"/>
  <c r="B1476" i="1" s="1"/>
  <c r="G1476" i="1" s="1"/>
  <c r="A1477" i="1"/>
  <c r="B1477" i="1" s="1"/>
  <c r="G1477" i="1" s="1"/>
  <c r="A1478" i="1"/>
  <c r="B1478" i="1" s="1"/>
  <c r="C1478" i="1" s="1"/>
  <c r="G1478" i="1" s="1"/>
  <c r="A1479" i="1"/>
  <c r="B1479" i="1" s="1"/>
  <c r="A1480" i="1"/>
  <c r="B1480" i="1" s="1"/>
  <c r="A1482" i="1"/>
  <c r="B1482" i="1" s="1"/>
  <c r="G1482" i="1" s="1"/>
  <c r="A1483" i="1"/>
  <c r="B1483" i="1" s="1"/>
  <c r="G1483" i="1" s="1"/>
  <c r="A1484" i="1"/>
  <c r="B1484" i="1" s="1"/>
  <c r="G1484" i="1" s="1"/>
  <c r="A1485" i="1"/>
  <c r="B1485" i="1" s="1"/>
  <c r="G1485" i="1" s="1"/>
  <c r="A1486" i="1"/>
  <c r="B1486" i="1" s="1"/>
  <c r="G1486" i="1" s="1"/>
  <c r="A1487" i="1"/>
  <c r="B1487" i="1" s="1"/>
  <c r="G1487" i="1" s="1"/>
  <c r="A1488" i="1"/>
  <c r="B1488" i="1" s="1"/>
  <c r="G1488" i="1" s="1"/>
  <c r="A1490" i="1"/>
  <c r="B1490" i="1" s="1"/>
  <c r="G1490" i="1" s="1"/>
  <c r="A1491" i="1"/>
  <c r="B1491" i="1" s="1"/>
  <c r="G1491" i="1" s="1"/>
  <c r="A1492" i="1"/>
  <c r="B1492" i="1" s="1"/>
  <c r="G1492" i="1" s="1"/>
  <c r="A1493" i="1"/>
  <c r="B1493" i="1" s="1"/>
  <c r="G1493" i="1" s="1"/>
  <c r="A1494" i="1"/>
  <c r="B1494" i="1" s="1"/>
  <c r="G1494" i="1" s="1"/>
  <c r="A1495" i="1"/>
  <c r="B1495" i="1" s="1"/>
  <c r="G1495" i="1" s="1"/>
  <c r="A1496" i="1"/>
  <c r="B1496" i="1" s="1"/>
  <c r="G1496" i="1" s="1"/>
  <c r="A1498" i="1"/>
  <c r="B1498" i="1" s="1"/>
  <c r="G1498" i="1" s="1"/>
  <c r="A1499" i="1"/>
  <c r="B1499" i="1" s="1"/>
  <c r="G1499" i="1" s="1"/>
  <c r="A1500" i="1"/>
  <c r="B1500" i="1" s="1"/>
  <c r="G1500" i="1" s="1"/>
  <c r="A1501" i="1"/>
  <c r="B1501" i="1" s="1"/>
  <c r="G1501" i="1" s="1"/>
  <c r="A1502" i="1"/>
  <c r="B1502" i="1" s="1"/>
  <c r="G1502" i="1" s="1"/>
  <c r="A1503" i="1"/>
  <c r="B1503" i="1" s="1"/>
  <c r="G1503" i="1" s="1"/>
  <c r="A1504" i="1"/>
  <c r="B1504" i="1" s="1"/>
  <c r="G1504" i="1" s="1"/>
  <c r="A1506" i="1"/>
  <c r="B1506" i="1" s="1"/>
  <c r="G1506" i="1" s="1"/>
  <c r="A1507" i="1"/>
  <c r="B1507" i="1" s="1"/>
  <c r="G1507" i="1" s="1"/>
  <c r="A1508" i="1"/>
  <c r="B1508" i="1" s="1"/>
  <c r="G1508" i="1" s="1"/>
  <c r="A1509" i="1"/>
  <c r="B1509" i="1" s="1"/>
  <c r="G1509" i="1" s="1"/>
  <c r="A1510" i="1"/>
  <c r="B1510" i="1" s="1"/>
  <c r="G1510" i="1" s="1"/>
  <c r="A1511" i="1"/>
  <c r="B1511" i="1" s="1"/>
  <c r="G1511" i="1" s="1"/>
  <c r="A1512" i="1"/>
  <c r="B1512" i="1" s="1"/>
  <c r="G1512" i="1" s="1"/>
  <c r="A1514" i="1"/>
  <c r="B1514" i="1" s="1"/>
  <c r="G1514" i="1" s="1"/>
  <c r="A1515" i="1"/>
  <c r="B1515" i="1" s="1"/>
  <c r="G1515" i="1" s="1"/>
  <c r="A1516" i="1"/>
  <c r="B1516" i="1" s="1"/>
  <c r="G1516" i="1" s="1"/>
  <c r="A1517" i="1"/>
  <c r="B1517" i="1" s="1"/>
  <c r="C1517" i="1" s="1"/>
  <c r="G1517" i="1" s="1"/>
  <c r="A1518" i="1"/>
  <c r="B1518" i="1" s="1"/>
  <c r="C1518" i="1" s="1"/>
  <c r="G1518" i="1" s="1"/>
  <c r="A1519" i="1"/>
  <c r="B1519" i="1" s="1"/>
  <c r="C1519" i="1" s="1"/>
  <c r="G1519" i="1" s="1"/>
  <c r="A1520" i="1"/>
  <c r="B1520" i="1" s="1"/>
  <c r="C1520" i="1" s="1"/>
  <c r="G1520" i="1" s="1"/>
  <c r="A1522" i="1"/>
  <c r="B1522" i="1" s="1"/>
  <c r="C1522" i="1" s="1"/>
  <c r="G1522" i="1" s="1"/>
  <c r="A1523" i="1"/>
  <c r="B1523" i="1" s="1"/>
  <c r="C1523" i="1" s="1"/>
  <c r="G1523" i="1" s="1"/>
  <c r="A1524" i="1"/>
  <c r="B1524" i="1" s="1"/>
  <c r="C1524" i="1" s="1"/>
  <c r="G1524" i="1" s="1"/>
  <c r="A1525" i="1"/>
  <c r="B1525" i="1" s="1"/>
  <c r="C1525" i="1" s="1"/>
  <c r="G1525" i="1" s="1"/>
  <c r="A1526" i="1"/>
  <c r="B1526" i="1" s="1"/>
  <c r="C1526" i="1" s="1"/>
  <c r="G1526" i="1" s="1"/>
  <c r="A1527" i="1"/>
  <c r="B1527" i="1" s="1"/>
  <c r="G1527" i="1" s="1"/>
  <c r="A1528" i="1"/>
  <c r="B1528" i="1" s="1"/>
  <c r="G1528" i="1" s="1"/>
  <c r="A1530" i="1"/>
  <c r="B1530" i="1" s="1"/>
  <c r="G1530" i="1" s="1"/>
  <c r="A1531" i="1"/>
  <c r="B1531" i="1" s="1"/>
  <c r="G1531" i="1" s="1"/>
  <c r="A1532" i="1"/>
  <c r="B1532" i="1" s="1"/>
  <c r="C1532" i="1" s="1"/>
  <c r="G1532" i="1" s="1"/>
  <c r="A1533" i="1"/>
  <c r="B1533" i="1" s="1"/>
  <c r="C1533" i="1" s="1"/>
  <c r="G1533" i="1" s="1"/>
  <c r="A1534" i="1"/>
  <c r="B1534" i="1" s="1"/>
  <c r="G1534" i="1" s="1"/>
  <c r="A1535" i="1"/>
  <c r="B1535" i="1" s="1"/>
  <c r="G1535" i="1" s="1"/>
  <c r="A1536" i="1"/>
  <c r="B1536" i="1" s="1"/>
  <c r="G1536" i="1" s="1"/>
  <c r="A1538" i="1"/>
  <c r="B1538" i="1" s="1"/>
  <c r="G1538" i="1" s="1"/>
  <c r="A1539" i="1"/>
  <c r="B1539" i="1" s="1"/>
  <c r="G1539" i="1" s="1"/>
  <c r="A1540" i="1"/>
  <c r="B1540" i="1" s="1"/>
  <c r="G1540" i="1" s="1"/>
  <c r="A1541" i="1"/>
  <c r="B1541" i="1" s="1"/>
  <c r="G1541" i="1" s="1"/>
  <c r="A1542" i="1"/>
  <c r="B1542" i="1" s="1"/>
  <c r="G1542" i="1" s="1"/>
  <c r="A1543" i="1"/>
  <c r="B1543" i="1" s="1"/>
  <c r="G1543" i="1" s="1"/>
  <c r="A1760" i="1"/>
  <c r="B1760" i="1" s="1"/>
  <c r="C1760" i="1" s="1"/>
  <c r="G1760" i="1" s="1"/>
  <c r="A1761" i="1"/>
  <c r="B1761" i="1" s="1"/>
  <c r="C1761" i="1" s="1"/>
  <c r="G1761" i="1" s="1"/>
  <c r="A1762" i="1"/>
  <c r="B1762" i="1" s="1"/>
  <c r="C1762" i="1" s="1"/>
  <c r="G1762" i="1" s="1"/>
  <c r="A1763" i="1"/>
  <c r="B1763" i="1" s="1"/>
  <c r="C1763" i="1" s="1"/>
  <c r="G1763" i="1" s="1"/>
  <c r="A1764" i="1"/>
  <c r="B1764" i="1" s="1"/>
  <c r="C1764" i="1" s="1"/>
  <c r="G1764" i="1" s="1"/>
  <c r="A1765" i="1"/>
  <c r="B1765" i="1" s="1"/>
  <c r="C1765" i="1" s="1"/>
  <c r="G1765" i="1" s="1"/>
  <c r="A1766" i="1"/>
  <c r="B1766" i="1" s="1"/>
  <c r="C1766" i="1" s="1"/>
  <c r="G1766" i="1" s="1"/>
  <c r="A1768" i="1"/>
  <c r="B1768" i="1" s="1"/>
  <c r="C1768" i="1" s="1"/>
  <c r="G1768" i="1" s="1"/>
  <c r="A1769" i="1"/>
  <c r="B1769" i="1" s="1"/>
  <c r="C1769" i="1" s="1"/>
  <c r="G1769" i="1" s="1"/>
  <c r="A1770" i="1"/>
  <c r="B1770" i="1" s="1"/>
  <c r="C1770" i="1" s="1"/>
  <c r="G1770" i="1" s="1"/>
  <c r="A1771" i="1"/>
  <c r="B1771" i="1" s="1"/>
  <c r="C1771" i="1" s="1"/>
  <c r="G1771" i="1" s="1"/>
  <c r="A1772" i="1"/>
  <c r="B1772" i="1" s="1"/>
  <c r="C1772" i="1" s="1"/>
  <c r="G1772" i="1" s="1"/>
  <c r="A1773" i="1"/>
  <c r="B1773" i="1" s="1"/>
  <c r="C1773" i="1" s="1"/>
  <c r="G1773" i="1" s="1"/>
  <c r="A1774" i="1"/>
  <c r="B1774" i="1" s="1"/>
  <c r="C1774" i="1" s="1"/>
  <c r="G1774" i="1" s="1"/>
  <c r="A1776" i="1"/>
  <c r="B1776" i="1" s="1"/>
  <c r="C1776" i="1" s="1"/>
  <c r="G1776" i="1" s="1"/>
  <c r="A1777" i="1"/>
  <c r="B1777" i="1" s="1"/>
  <c r="C1777" i="1" s="1"/>
  <c r="G1777" i="1" s="1"/>
  <c r="A1778" i="1"/>
  <c r="B1778" i="1" s="1"/>
  <c r="C1778" i="1" s="1"/>
  <c r="G1778" i="1" s="1"/>
  <c r="A1779" i="1"/>
  <c r="B1779" i="1" s="1"/>
  <c r="C1779" i="1" s="1"/>
  <c r="G1779" i="1" s="1"/>
  <c r="A1780" i="1"/>
  <c r="B1780" i="1" s="1"/>
  <c r="C1780" i="1" s="1"/>
  <c r="G1780" i="1" s="1"/>
  <c r="A1781" i="1"/>
  <c r="B1781" i="1" s="1"/>
  <c r="C1781" i="1" s="1"/>
  <c r="G1781" i="1" s="1"/>
  <c r="A1782" i="1"/>
  <c r="B1782" i="1" s="1"/>
  <c r="C1782" i="1" s="1"/>
  <c r="G1782" i="1" s="1"/>
  <c r="A1784" i="1"/>
  <c r="B1784" i="1" s="1"/>
  <c r="C1784" i="1" s="1"/>
  <c r="G1784" i="1" s="1"/>
  <c r="A1785" i="1"/>
  <c r="B1785" i="1" s="1"/>
  <c r="C1785" i="1" s="1"/>
  <c r="G1785" i="1" s="1"/>
  <c r="A1786" i="1"/>
  <c r="B1786" i="1" s="1"/>
  <c r="C1786" i="1" s="1"/>
  <c r="G1786" i="1" s="1"/>
  <c r="A1787" i="1"/>
  <c r="B1787" i="1" s="1"/>
  <c r="C1787" i="1" s="1"/>
  <c r="G1787" i="1" s="1"/>
  <c r="A1788" i="1"/>
  <c r="B1788" i="1" s="1"/>
  <c r="C1788" i="1" s="1"/>
  <c r="G1788" i="1" s="1"/>
  <c r="A1789" i="1"/>
  <c r="B1789" i="1" s="1"/>
  <c r="C1789" i="1" s="1"/>
  <c r="G1789" i="1" s="1"/>
  <c r="A1790" i="1"/>
  <c r="B1790" i="1" s="1"/>
  <c r="C1790" i="1" s="1"/>
  <c r="G1790" i="1" s="1"/>
  <c r="A1792" i="1"/>
  <c r="B1792" i="1" s="1"/>
  <c r="C1792" i="1" s="1"/>
  <c r="G1792" i="1" s="1"/>
  <c r="A1793" i="1"/>
  <c r="B1793" i="1" s="1"/>
  <c r="C1793" i="1" s="1"/>
  <c r="G1793" i="1" s="1"/>
  <c r="A1794" i="1"/>
  <c r="B1794" i="1" s="1"/>
  <c r="C1794" i="1" s="1"/>
  <c r="G1794" i="1" s="1"/>
  <c r="A1795" i="1"/>
  <c r="B1795" i="1" s="1"/>
  <c r="C1795" i="1" s="1"/>
  <c r="G1795" i="1" s="1"/>
  <c r="A1796" i="1"/>
  <c r="B1796" i="1" s="1"/>
  <c r="C1796" i="1" s="1"/>
  <c r="G1796" i="1" s="1"/>
  <c r="A1797" i="1"/>
  <c r="B1797" i="1" s="1"/>
  <c r="C1797" i="1" s="1"/>
  <c r="G1797" i="1" s="1"/>
  <c r="A1798" i="1"/>
  <c r="B1798" i="1" s="1"/>
  <c r="C1798" i="1" s="1"/>
  <c r="G1798" i="1" s="1"/>
  <c r="A1800" i="1"/>
  <c r="B1800" i="1" s="1"/>
  <c r="C1800" i="1" s="1"/>
  <c r="G1800" i="1" s="1"/>
  <c r="A1801" i="1"/>
  <c r="B1801" i="1" s="1"/>
  <c r="C1801" i="1" s="1"/>
  <c r="G1801" i="1" s="1"/>
  <c r="A1802" i="1"/>
  <c r="B1802" i="1" s="1"/>
  <c r="C1802" i="1" s="1"/>
  <c r="G1802" i="1" s="1"/>
  <c r="A1803" i="1"/>
  <c r="B1803" i="1" s="1"/>
  <c r="C1803" i="1" s="1"/>
  <c r="G1803" i="1" s="1"/>
  <c r="A1804" i="1"/>
  <c r="B1804" i="1" s="1"/>
  <c r="C1804" i="1" s="1"/>
  <c r="G1804" i="1" s="1"/>
  <c r="A1805" i="1"/>
  <c r="B1805" i="1" s="1"/>
  <c r="C1805" i="1" s="1"/>
  <c r="G1805" i="1" s="1"/>
  <c r="A1806" i="1"/>
  <c r="B1806" i="1" s="1"/>
  <c r="C1806" i="1" s="1"/>
  <c r="G1806" i="1" s="1"/>
  <c r="A1808" i="1"/>
  <c r="B1808" i="1" s="1"/>
  <c r="C1808" i="1" s="1"/>
  <c r="G1808" i="1" s="1"/>
  <c r="A1809" i="1"/>
  <c r="B1809" i="1" s="1"/>
  <c r="C1809" i="1" s="1"/>
  <c r="G1809" i="1" s="1"/>
  <c r="A1810" i="1"/>
  <c r="B1810" i="1" s="1"/>
  <c r="C1810" i="1" s="1"/>
  <c r="G1810" i="1" s="1"/>
  <c r="A1811" i="1"/>
  <c r="B1811" i="1" s="1"/>
  <c r="C1811" i="1" s="1"/>
  <c r="G1811" i="1" s="1"/>
  <c r="A1812" i="1"/>
  <c r="B1812" i="1" s="1"/>
  <c r="C1812" i="1" s="1"/>
  <c r="G1812" i="1" s="1"/>
  <c r="A1813" i="1"/>
  <c r="B1813" i="1" s="1"/>
  <c r="C1813" i="1" s="1"/>
  <c r="G1813" i="1" s="1"/>
  <c r="A1814" i="1"/>
  <c r="B1814" i="1" s="1"/>
  <c r="C1814" i="1" s="1"/>
  <c r="G1814" i="1" s="1"/>
  <c r="A1816" i="1"/>
  <c r="B1816" i="1" s="1"/>
  <c r="C1816" i="1" s="1"/>
  <c r="G1816" i="1" s="1"/>
  <c r="A1817" i="1"/>
  <c r="B1817" i="1" s="1"/>
  <c r="C1817" i="1" s="1"/>
  <c r="G1817" i="1" s="1"/>
  <c r="A1818" i="1"/>
  <c r="B1818" i="1" s="1"/>
  <c r="C1818" i="1" s="1"/>
  <c r="G1818" i="1" s="1"/>
  <c r="A1819" i="1"/>
  <c r="B1819" i="1" s="1"/>
  <c r="C1819" i="1" s="1"/>
  <c r="G1819" i="1" s="1"/>
  <c r="A1820" i="1"/>
  <c r="B1820" i="1" s="1"/>
  <c r="C1820" i="1" s="1"/>
  <c r="G1820" i="1" s="1"/>
  <c r="A1821" i="1"/>
  <c r="B1821" i="1" s="1"/>
  <c r="C1821" i="1" s="1"/>
  <c r="G1821" i="1" s="1"/>
  <c r="A1822" i="1"/>
  <c r="B1822" i="1" s="1"/>
  <c r="C1822" i="1" s="1"/>
  <c r="G1822" i="1" s="1"/>
  <c r="A1824" i="1"/>
  <c r="B1824" i="1" s="1"/>
  <c r="C1824" i="1" s="1"/>
  <c r="G1824" i="1" s="1"/>
  <c r="A1825" i="1"/>
  <c r="B1825" i="1" s="1"/>
  <c r="C1825" i="1" s="1"/>
  <c r="G1825" i="1" s="1"/>
  <c r="A1826" i="1"/>
  <c r="B1826" i="1" s="1"/>
  <c r="C1826" i="1" s="1"/>
  <c r="G1826" i="1" s="1"/>
  <c r="A1827" i="1"/>
  <c r="B1827" i="1" s="1"/>
  <c r="C1827" i="1" s="1"/>
  <c r="G1827" i="1" s="1"/>
  <c r="A1828" i="1"/>
  <c r="B1828" i="1" s="1"/>
  <c r="C1828" i="1" s="1"/>
  <c r="G1828" i="1" s="1"/>
  <c r="A1829" i="1"/>
  <c r="B1829" i="1" s="1"/>
  <c r="C1829" i="1" s="1"/>
  <c r="G1829" i="1" s="1"/>
  <c r="A1830" i="1"/>
  <c r="B1830" i="1" s="1"/>
  <c r="C1830" i="1" s="1"/>
  <c r="G1830" i="1" s="1"/>
  <c r="A1832" i="1"/>
  <c r="B1832" i="1" s="1"/>
  <c r="C1832" i="1" s="1"/>
  <c r="G1832" i="1" s="1"/>
  <c r="A1833" i="1"/>
  <c r="B1833" i="1" s="1"/>
  <c r="C1833" i="1" s="1"/>
  <c r="G1833" i="1" s="1"/>
  <c r="A1834" i="1"/>
  <c r="B1834" i="1" s="1"/>
  <c r="C1834" i="1" s="1"/>
  <c r="G1834" i="1" s="1"/>
  <c r="A1835" i="1"/>
  <c r="B1835" i="1" s="1"/>
  <c r="C1835" i="1" s="1"/>
  <c r="G1835" i="1" s="1"/>
  <c r="A1836" i="1"/>
  <c r="B1836" i="1" s="1"/>
  <c r="C1836" i="1" s="1"/>
  <c r="G1836" i="1" s="1"/>
  <c r="A1837" i="1"/>
  <c r="B1837" i="1" s="1"/>
  <c r="C1837" i="1" s="1"/>
  <c r="G1837" i="1" s="1"/>
  <c r="A1838" i="1"/>
  <c r="B1838" i="1" s="1"/>
  <c r="C1838" i="1" s="1"/>
  <c r="G1838" i="1" s="1"/>
  <c r="A1840" i="1"/>
  <c r="B1840" i="1" s="1"/>
  <c r="C1840" i="1" s="1"/>
  <c r="G1840" i="1" s="1"/>
  <c r="A1841" i="1"/>
  <c r="B1841" i="1" s="1"/>
  <c r="C1841" i="1" s="1"/>
  <c r="G1841" i="1" s="1"/>
  <c r="A1842" i="1"/>
  <c r="B1842" i="1" s="1"/>
  <c r="C1842" i="1" s="1"/>
  <c r="G1842" i="1" s="1"/>
  <c r="A1843" i="1"/>
  <c r="B1843" i="1" s="1"/>
  <c r="C1843" i="1" s="1"/>
  <c r="G1843" i="1" s="1"/>
  <c r="A1844" i="1"/>
  <c r="B1844" i="1" s="1"/>
  <c r="C1844" i="1" s="1"/>
  <c r="G1844" i="1" s="1"/>
  <c r="A1845" i="1"/>
  <c r="B1845" i="1" s="1"/>
  <c r="C1845" i="1" s="1"/>
  <c r="G1845" i="1" s="1"/>
  <c r="A1846" i="1"/>
  <c r="B1846" i="1" s="1"/>
  <c r="C1846" i="1" s="1"/>
  <c r="G1846" i="1" s="1"/>
  <c r="A1848" i="1"/>
  <c r="B1848" i="1" s="1"/>
  <c r="C1848" i="1" s="1"/>
  <c r="G1848" i="1" s="1"/>
  <c r="A1849" i="1"/>
  <c r="B1849" i="1" s="1"/>
  <c r="C1849" i="1" s="1"/>
  <c r="G1849" i="1" s="1"/>
  <c r="A1850" i="1"/>
  <c r="B1850" i="1" s="1"/>
  <c r="C1850" i="1" s="1"/>
  <c r="G1850" i="1" s="1"/>
  <c r="A1851" i="1"/>
  <c r="B1851" i="1" s="1"/>
  <c r="C1851" i="1" s="1"/>
  <c r="G1851" i="1" s="1"/>
  <c r="A1852" i="1"/>
  <c r="B1852" i="1" s="1"/>
  <c r="C1852" i="1" s="1"/>
  <c r="G1852" i="1" s="1"/>
  <c r="A1853" i="1"/>
  <c r="B1853" i="1" s="1"/>
  <c r="C1853" i="1" s="1"/>
  <c r="G1853" i="1" s="1"/>
  <c r="A1854" i="1"/>
  <c r="B1854" i="1" s="1"/>
  <c r="C1854" i="1" s="1"/>
  <c r="G1854" i="1" s="1"/>
  <c r="A1856" i="1"/>
  <c r="B1856" i="1" s="1"/>
  <c r="C1856" i="1" s="1"/>
  <c r="G1856" i="1" s="1"/>
  <c r="A1857" i="1"/>
  <c r="B1857" i="1" s="1"/>
  <c r="C1857" i="1" s="1"/>
  <c r="G1857" i="1" s="1"/>
  <c r="A1858" i="1"/>
  <c r="B1858" i="1" s="1"/>
  <c r="C1858" i="1" s="1"/>
  <c r="G1858" i="1" s="1"/>
  <c r="A1859" i="1"/>
  <c r="B1859" i="1" s="1"/>
  <c r="C1859" i="1" s="1"/>
  <c r="G1859" i="1" s="1"/>
  <c r="A1860" i="1"/>
  <c r="B1860" i="1" s="1"/>
  <c r="C1860" i="1" s="1"/>
  <c r="G1860" i="1" s="1"/>
  <c r="A1861" i="1"/>
  <c r="B1861" i="1" s="1"/>
  <c r="C1861" i="1" s="1"/>
  <c r="G1861" i="1" s="1"/>
  <c r="A1862" i="1"/>
  <c r="B1862" i="1" s="1"/>
  <c r="C1862" i="1" s="1"/>
  <c r="G1862" i="1" s="1"/>
  <c r="A1864" i="1"/>
  <c r="B1864" i="1" s="1"/>
  <c r="C1864" i="1" s="1"/>
  <c r="G1864" i="1" s="1"/>
  <c r="A1865" i="1"/>
  <c r="B1865" i="1" s="1"/>
  <c r="C1865" i="1" s="1"/>
  <c r="G1865" i="1" s="1"/>
  <c r="A1866" i="1"/>
  <c r="B1866" i="1" s="1"/>
  <c r="C1866" i="1" s="1"/>
  <c r="G1866" i="1" s="1"/>
  <c r="A1867" i="1"/>
  <c r="B1867" i="1" s="1"/>
  <c r="C1867" i="1" s="1"/>
  <c r="G1867" i="1" s="1"/>
  <c r="A1868" i="1"/>
  <c r="B1868" i="1" s="1"/>
  <c r="C1868" i="1" s="1"/>
  <c r="G1868" i="1" s="1"/>
  <c r="A1869" i="1"/>
  <c r="B1869" i="1" s="1"/>
  <c r="C1869" i="1" s="1"/>
  <c r="G1869" i="1" s="1"/>
  <c r="A1870" i="1"/>
  <c r="B1870" i="1" s="1"/>
  <c r="C1870" i="1" s="1"/>
  <c r="G1870" i="1" s="1"/>
  <c r="A1872" i="1"/>
  <c r="B1872" i="1" s="1"/>
  <c r="C1872" i="1" s="1"/>
  <c r="G1872" i="1" s="1"/>
  <c r="A1873" i="1"/>
  <c r="B1873" i="1" s="1"/>
  <c r="C1873" i="1" s="1"/>
  <c r="G1873" i="1" s="1"/>
  <c r="A1874" i="1"/>
  <c r="B1874" i="1" s="1"/>
  <c r="C1874" i="1" s="1"/>
  <c r="G1874" i="1" s="1"/>
  <c r="A1875" i="1"/>
  <c r="B1875" i="1" s="1"/>
  <c r="C1875" i="1" s="1"/>
  <c r="G1875" i="1" s="1"/>
  <c r="A1876" i="1"/>
  <c r="B1876" i="1" s="1"/>
  <c r="C1876" i="1" s="1"/>
  <c r="G1876" i="1" s="1"/>
  <c r="A1877" i="1"/>
  <c r="B1877" i="1" s="1"/>
  <c r="C1877" i="1" s="1"/>
  <c r="G1877" i="1" s="1"/>
  <c r="A1878" i="1"/>
  <c r="B1878" i="1" s="1"/>
  <c r="C1878" i="1" s="1"/>
  <c r="G1878" i="1" s="1"/>
  <c r="A1880" i="1"/>
  <c r="B1880" i="1" s="1"/>
  <c r="C1880" i="1" s="1"/>
  <c r="G1880" i="1" s="1"/>
  <c r="A1881" i="1"/>
  <c r="B1881" i="1" s="1"/>
  <c r="C1881" i="1" s="1"/>
  <c r="G1881" i="1" s="1"/>
  <c r="A1882" i="1"/>
  <c r="B1882" i="1" s="1"/>
  <c r="C1882" i="1" s="1"/>
  <c r="G1882" i="1" s="1"/>
  <c r="A1883" i="1"/>
  <c r="B1883" i="1" s="1"/>
  <c r="C1883" i="1" s="1"/>
  <c r="G1883" i="1" s="1"/>
  <c r="A1884" i="1"/>
  <c r="B1884" i="1" s="1"/>
  <c r="C1884" i="1" s="1"/>
  <c r="G1884" i="1" s="1"/>
  <c r="A1885" i="1"/>
  <c r="B1885" i="1" s="1"/>
  <c r="C1885" i="1" s="1"/>
  <c r="G1885" i="1" s="1"/>
  <c r="A1886" i="1"/>
  <c r="B1886" i="1" s="1"/>
  <c r="C1886" i="1" s="1"/>
  <c r="G1886" i="1" s="1"/>
  <c r="A1888" i="1"/>
  <c r="B1888" i="1" s="1"/>
  <c r="C1888" i="1" s="1"/>
  <c r="G1888" i="1" s="1"/>
  <c r="A1889" i="1"/>
  <c r="B1889" i="1" s="1"/>
  <c r="C1889" i="1" s="1"/>
  <c r="G1889" i="1" s="1"/>
  <c r="A1890" i="1"/>
  <c r="B1890" i="1" s="1"/>
  <c r="C1890" i="1" s="1"/>
  <c r="G1890" i="1" s="1"/>
  <c r="A1891" i="1"/>
  <c r="B1891" i="1" s="1"/>
  <c r="C1891" i="1" s="1"/>
  <c r="G1891" i="1" s="1"/>
  <c r="A1892" i="1"/>
  <c r="B1892" i="1" s="1"/>
  <c r="C1892" i="1" s="1"/>
  <c r="G1892" i="1" s="1"/>
  <c r="A1893" i="1"/>
  <c r="B1893" i="1" s="1"/>
  <c r="C1893" i="1" s="1"/>
  <c r="G1893" i="1" s="1"/>
  <c r="A1894" i="1"/>
  <c r="B1894" i="1" s="1"/>
  <c r="C1894" i="1" s="1"/>
  <c r="G1894" i="1" s="1"/>
  <c r="A1896" i="1"/>
  <c r="B1896" i="1" s="1"/>
  <c r="C1896" i="1" s="1"/>
  <c r="G1896" i="1" s="1"/>
  <c r="A1897" i="1"/>
  <c r="B1897" i="1" s="1"/>
  <c r="C1897" i="1" s="1"/>
  <c r="G1897" i="1" s="1"/>
  <c r="A1898" i="1"/>
  <c r="B1898" i="1" s="1"/>
  <c r="C1898" i="1" s="1"/>
  <c r="G1898" i="1" s="1"/>
  <c r="A1899" i="1"/>
  <c r="B1899" i="1" s="1"/>
  <c r="C1899" i="1" s="1"/>
  <c r="G1899" i="1" s="1"/>
  <c r="A1900" i="1"/>
  <c r="B1900" i="1" s="1"/>
  <c r="C1900" i="1" s="1"/>
  <c r="G1900" i="1" s="1"/>
  <c r="A1901" i="1"/>
  <c r="B1901" i="1" s="1"/>
  <c r="C1901" i="1" s="1"/>
  <c r="G1901" i="1" s="1"/>
  <c r="A1902" i="1"/>
  <c r="B1902" i="1" s="1"/>
  <c r="C1902" i="1" s="1"/>
  <c r="G1902" i="1" s="1"/>
  <c r="A1904" i="1"/>
  <c r="B1904" i="1" s="1"/>
  <c r="C1904" i="1" s="1"/>
  <c r="G1904" i="1" s="1"/>
  <c r="A1905" i="1"/>
  <c r="B1905" i="1" s="1"/>
  <c r="C1905" i="1" s="1"/>
  <c r="G1905" i="1" s="1"/>
  <c r="A1906" i="1"/>
  <c r="B1906" i="1" s="1"/>
  <c r="C1906" i="1" s="1"/>
  <c r="G1906" i="1" s="1"/>
  <c r="A1907" i="1"/>
  <c r="B1907" i="1" s="1"/>
  <c r="C1907" i="1" s="1"/>
  <c r="G1907" i="1" s="1"/>
  <c r="A1908" i="1"/>
  <c r="B1908" i="1" s="1"/>
  <c r="C1908" i="1" s="1"/>
  <c r="G1908" i="1" s="1"/>
  <c r="A1909" i="1"/>
  <c r="B1909" i="1" s="1"/>
  <c r="C1909" i="1" s="1"/>
  <c r="G1909" i="1" s="1"/>
  <c r="A1910" i="1"/>
  <c r="B1910" i="1" s="1"/>
  <c r="C1910" i="1" s="1"/>
  <c r="G1910" i="1" s="1"/>
  <c r="A1912" i="1"/>
  <c r="B1912" i="1" s="1"/>
  <c r="C1912" i="1" s="1"/>
  <c r="G1912" i="1" s="1"/>
  <c r="A1913" i="1"/>
  <c r="B1913" i="1" s="1"/>
  <c r="C1913" i="1" s="1"/>
  <c r="G1913" i="1" s="1"/>
  <c r="A1914" i="1"/>
  <c r="B1914" i="1" s="1"/>
  <c r="C1914" i="1" s="1"/>
  <c r="G1914" i="1" s="1"/>
  <c r="A1915" i="1"/>
  <c r="B1915" i="1" s="1"/>
  <c r="C1915" i="1" s="1"/>
  <c r="G1915" i="1" s="1"/>
  <c r="A1916" i="1"/>
  <c r="B1916" i="1" s="1"/>
  <c r="C1916" i="1" s="1"/>
  <c r="G1916" i="1" s="1"/>
  <c r="A1917" i="1"/>
  <c r="B1917" i="1" s="1"/>
  <c r="C1917" i="1" s="1"/>
  <c r="G1917" i="1" s="1"/>
  <c r="A1918" i="1"/>
  <c r="B1918" i="1" s="1"/>
  <c r="C1918" i="1" s="1"/>
  <c r="G1918" i="1" s="1"/>
  <c r="A1920" i="1"/>
  <c r="B1920" i="1" s="1"/>
  <c r="C1920" i="1" s="1"/>
  <c r="G1920" i="1" s="1"/>
  <c r="A1921" i="1"/>
  <c r="B1921" i="1" s="1"/>
  <c r="C1921" i="1" s="1"/>
  <c r="G1921" i="1" s="1"/>
  <c r="A1922" i="1"/>
  <c r="B1922" i="1" s="1"/>
  <c r="C1922" i="1" s="1"/>
  <c r="G1922" i="1" s="1"/>
  <c r="A1923" i="1"/>
  <c r="B1923" i="1" s="1"/>
  <c r="C1923" i="1" s="1"/>
  <c r="G1923" i="1" s="1"/>
  <c r="A1924" i="1"/>
  <c r="B1924" i="1" s="1"/>
  <c r="C1924" i="1" s="1"/>
  <c r="G1924" i="1" s="1"/>
  <c r="A1925" i="1"/>
  <c r="B1925" i="1" s="1"/>
  <c r="C1925" i="1" s="1"/>
  <c r="G1925" i="1" s="1"/>
  <c r="A1926" i="1"/>
  <c r="B1926" i="1" s="1"/>
  <c r="C1926" i="1" s="1"/>
  <c r="G1926" i="1" s="1"/>
  <c r="A1928" i="1"/>
  <c r="B1928" i="1" s="1"/>
  <c r="C1928" i="1" s="1"/>
  <c r="G1928" i="1" s="1"/>
  <c r="A1929" i="1"/>
  <c r="B1929" i="1" s="1"/>
  <c r="C1929" i="1" s="1"/>
  <c r="G1929" i="1" s="1"/>
  <c r="A1930" i="1"/>
  <c r="B1930" i="1" s="1"/>
  <c r="C1930" i="1" s="1"/>
  <c r="G1930" i="1" s="1"/>
  <c r="A1931" i="1"/>
  <c r="B1931" i="1" s="1"/>
  <c r="C1931" i="1" s="1"/>
  <c r="G1931" i="1" s="1"/>
  <c r="A1932" i="1"/>
  <c r="B1932" i="1" s="1"/>
  <c r="C1932" i="1" s="1"/>
  <c r="G1932" i="1" s="1"/>
  <c r="A1933" i="1"/>
  <c r="B1933" i="1" s="1"/>
  <c r="C1933" i="1" s="1"/>
  <c r="G1933" i="1" s="1"/>
  <c r="A1934" i="1"/>
  <c r="B1934" i="1" s="1"/>
  <c r="C1934" i="1" s="1"/>
  <c r="G1934" i="1" s="1"/>
  <c r="A1936" i="1"/>
  <c r="B1936" i="1" s="1"/>
  <c r="C1936" i="1" s="1"/>
  <c r="G1936" i="1" s="1"/>
  <c r="A1937" i="1"/>
  <c r="B1937" i="1" s="1"/>
  <c r="C1937" i="1" s="1"/>
  <c r="G1937" i="1" s="1"/>
  <c r="A1938" i="1"/>
  <c r="B1938" i="1" s="1"/>
  <c r="C1938" i="1" s="1"/>
  <c r="G1938" i="1" s="1"/>
  <c r="A1939" i="1"/>
  <c r="B1939" i="1" s="1"/>
  <c r="C1939" i="1" s="1"/>
  <c r="G1939" i="1" s="1"/>
  <c r="A1940" i="1"/>
  <c r="B1940" i="1" s="1"/>
  <c r="C1940" i="1" s="1"/>
  <c r="G1940" i="1" s="1"/>
  <c r="A1941" i="1"/>
  <c r="B1941" i="1" s="1"/>
  <c r="C1941" i="1" s="1"/>
  <c r="G1941" i="1" s="1"/>
  <c r="A1942" i="1"/>
  <c r="B1942" i="1" s="1"/>
  <c r="C1942" i="1" s="1"/>
  <c r="G1942" i="1" s="1"/>
  <c r="A1944" i="1"/>
  <c r="B1944" i="1" s="1"/>
  <c r="C1944" i="1" s="1"/>
  <c r="G1944" i="1" s="1"/>
  <c r="A1945" i="1"/>
  <c r="B1945" i="1" s="1"/>
  <c r="C1945" i="1" s="1"/>
  <c r="G1945" i="1" s="1"/>
  <c r="A1946" i="1"/>
  <c r="B1946" i="1" s="1"/>
  <c r="C1946" i="1" s="1"/>
  <c r="G1946" i="1" s="1"/>
  <c r="A1947" i="1"/>
  <c r="B1947" i="1" s="1"/>
  <c r="C1947" i="1" s="1"/>
  <c r="G1947" i="1" s="1"/>
  <c r="A1948" i="1"/>
  <c r="B1948" i="1" s="1"/>
  <c r="C1948" i="1" s="1"/>
  <c r="G1948" i="1" s="1"/>
  <c r="A1949" i="1"/>
  <c r="B1949" i="1" s="1"/>
  <c r="C1949" i="1" s="1"/>
  <c r="G1949" i="1" s="1"/>
  <c r="A1950" i="1"/>
  <c r="B1950" i="1" s="1"/>
  <c r="C1950" i="1" s="1"/>
  <c r="G1950" i="1" s="1"/>
  <c r="A1952" i="1"/>
  <c r="B1952" i="1" s="1"/>
  <c r="C1952" i="1" s="1"/>
  <c r="G1952" i="1" s="1"/>
  <c r="A1953" i="1"/>
  <c r="B1953" i="1" s="1"/>
  <c r="C1953" i="1" s="1"/>
  <c r="G1953" i="1" s="1"/>
  <c r="A1954" i="1"/>
  <c r="B1954" i="1" s="1"/>
  <c r="C1954" i="1" s="1"/>
  <c r="G1954" i="1" s="1"/>
  <c r="A1955" i="1"/>
  <c r="B1955" i="1" s="1"/>
  <c r="C1955" i="1" s="1"/>
  <c r="G1955" i="1" s="1"/>
  <c r="A1956" i="1"/>
  <c r="B1956" i="1" s="1"/>
  <c r="C1956" i="1" s="1"/>
  <c r="G1956" i="1" s="1"/>
  <c r="A1957" i="1"/>
  <c r="B1957" i="1" s="1"/>
  <c r="C1957" i="1" s="1"/>
  <c r="G1957" i="1" s="1"/>
  <c r="A1958" i="1"/>
  <c r="B1958" i="1" s="1"/>
  <c r="C1958" i="1" s="1"/>
  <c r="G1958" i="1" s="1"/>
  <c r="A1960" i="1"/>
  <c r="B1960" i="1" s="1"/>
  <c r="C1960" i="1" s="1"/>
  <c r="G1960" i="1" s="1"/>
  <c r="A1961" i="1"/>
  <c r="B1961" i="1" s="1"/>
  <c r="C1961" i="1" s="1"/>
  <c r="G1961" i="1" s="1"/>
  <c r="A1962" i="1"/>
  <c r="B1962" i="1" s="1"/>
  <c r="C1962" i="1" s="1"/>
  <c r="G1962" i="1" s="1"/>
  <c r="A1963" i="1"/>
  <c r="B1963" i="1" s="1"/>
  <c r="C1963" i="1" s="1"/>
  <c r="G1963" i="1" s="1"/>
  <c r="A1964" i="1"/>
  <c r="B1964" i="1" s="1"/>
  <c r="C1964" i="1" s="1"/>
  <c r="G1964" i="1" s="1"/>
  <c r="A1965" i="1"/>
  <c r="B1965" i="1" s="1"/>
  <c r="C1965" i="1" s="1"/>
  <c r="G1965" i="1" s="1"/>
  <c r="A1966" i="1"/>
  <c r="B1966" i="1" s="1"/>
  <c r="C1966" i="1" s="1"/>
  <c r="G1966" i="1" s="1"/>
  <c r="A1968" i="1"/>
  <c r="B1968" i="1" s="1"/>
  <c r="C1968" i="1" s="1"/>
  <c r="G1968" i="1" s="1"/>
  <c r="A1969" i="1"/>
  <c r="B1969" i="1" s="1"/>
  <c r="C1969" i="1" s="1"/>
  <c r="G1969" i="1" s="1"/>
  <c r="A1970" i="1"/>
  <c r="B1970" i="1" s="1"/>
  <c r="C1970" i="1" s="1"/>
  <c r="G1970" i="1" s="1"/>
  <c r="A1971" i="1"/>
  <c r="B1971" i="1" s="1"/>
  <c r="C1971" i="1" s="1"/>
  <c r="G1971" i="1" s="1"/>
  <c r="A1972" i="1"/>
  <c r="B1972" i="1" s="1"/>
  <c r="C1972" i="1" s="1"/>
  <c r="G1972" i="1" s="1"/>
  <c r="A1973" i="1"/>
  <c r="B1973" i="1" s="1"/>
  <c r="C1973" i="1" s="1"/>
  <c r="G1973" i="1" s="1"/>
  <c r="A1974" i="1"/>
  <c r="B1974" i="1" s="1"/>
  <c r="C1974" i="1" s="1"/>
  <c r="G1974" i="1" s="1"/>
  <c r="A1976" i="1"/>
  <c r="B1976" i="1" s="1"/>
  <c r="C1976" i="1" s="1"/>
  <c r="G1976" i="1" s="1"/>
  <c r="A1977" i="1"/>
  <c r="B1977" i="1" s="1"/>
  <c r="C1977" i="1" s="1"/>
  <c r="G1977" i="1" s="1"/>
  <c r="A1978" i="1"/>
  <c r="B1978" i="1" s="1"/>
  <c r="C1978" i="1" s="1"/>
  <c r="G1978" i="1" s="1"/>
  <c r="A1979" i="1"/>
  <c r="B1979" i="1" s="1"/>
  <c r="C1979" i="1" s="1"/>
  <c r="G1979" i="1" s="1"/>
  <c r="A1980" i="1"/>
  <c r="B1980" i="1" s="1"/>
  <c r="C1980" i="1" s="1"/>
  <c r="G1980" i="1" s="1"/>
  <c r="A1981" i="1"/>
  <c r="B1981" i="1" s="1"/>
  <c r="C1981" i="1" s="1"/>
  <c r="G1981" i="1" s="1"/>
  <c r="A1982" i="1"/>
  <c r="B1982" i="1" s="1"/>
  <c r="C1982" i="1" s="1"/>
  <c r="G1982" i="1" s="1"/>
  <c r="A1984" i="1"/>
  <c r="B1984" i="1" s="1"/>
  <c r="C1984" i="1" s="1"/>
  <c r="G1984" i="1" s="1"/>
  <c r="A1985" i="1"/>
  <c r="B1985" i="1" s="1"/>
  <c r="C1985" i="1" s="1"/>
  <c r="G1985" i="1" s="1"/>
  <c r="A1986" i="1"/>
  <c r="B1986" i="1" s="1"/>
  <c r="C1986" i="1" s="1"/>
  <c r="G1986" i="1" s="1"/>
  <c r="A1987" i="1"/>
  <c r="B1987" i="1" s="1"/>
  <c r="C1987" i="1" s="1"/>
  <c r="G1987" i="1" s="1"/>
  <c r="A1988" i="1"/>
  <c r="B1988" i="1" s="1"/>
  <c r="C1988" i="1" s="1"/>
  <c r="G1988" i="1" s="1"/>
  <c r="A1989" i="1"/>
  <c r="B1989" i="1" s="1"/>
  <c r="C1989" i="1" s="1"/>
  <c r="G1989" i="1" s="1"/>
  <c r="A1990" i="1"/>
  <c r="B1990" i="1" s="1"/>
  <c r="C1990" i="1" s="1"/>
  <c r="G1990" i="1" s="1"/>
  <c r="A1992" i="1"/>
  <c r="B1992" i="1" s="1"/>
  <c r="C1992" i="1" s="1"/>
  <c r="G1992" i="1" s="1"/>
  <c r="A1993" i="1"/>
  <c r="B1993" i="1" s="1"/>
  <c r="C1993" i="1" s="1"/>
  <c r="G1993" i="1" s="1"/>
  <c r="A1994" i="1"/>
  <c r="B1994" i="1" s="1"/>
  <c r="C1994" i="1" s="1"/>
  <c r="G1994" i="1" s="1"/>
  <c r="A1995" i="1"/>
  <c r="B1995" i="1" s="1"/>
  <c r="C1995" i="1" s="1"/>
  <c r="G1995" i="1" s="1"/>
  <c r="A1996" i="1"/>
  <c r="B1996" i="1" s="1"/>
  <c r="C1996" i="1" s="1"/>
  <c r="G1996" i="1" s="1"/>
  <c r="A1997" i="1"/>
  <c r="B1997" i="1" s="1"/>
  <c r="C1997" i="1" s="1"/>
  <c r="G1997" i="1" s="1"/>
  <c r="A1998" i="1"/>
  <c r="B1998" i="1" s="1"/>
  <c r="C1998" i="1" s="1"/>
  <c r="G1998" i="1" s="1"/>
  <c r="A2000" i="1"/>
  <c r="B2000" i="1" s="1"/>
  <c r="C2000" i="1" s="1"/>
  <c r="G2000" i="1" s="1"/>
  <c r="A2001" i="1"/>
  <c r="B2001" i="1" s="1"/>
  <c r="C2001" i="1" s="1"/>
  <c r="G2001" i="1" s="1"/>
  <c r="A2002" i="1"/>
  <c r="B2002" i="1" s="1"/>
  <c r="C2002" i="1" s="1"/>
  <c r="G2002" i="1" s="1"/>
  <c r="A2003" i="1"/>
  <c r="B2003" i="1" s="1"/>
  <c r="C2003" i="1" s="1"/>
  <c r="G2003" i="1" s="1"/>
  <c r="A2004" i="1"/>
  <c r="B2004" i="1" s="1"/>
  <c r="C2004" i="1" s="1"/>
  <c r="G2004" i="1" s="1"/>
  <c r="A2005" i="1"/>
  <c r="B2005" i="1" s="1"/>
  <c r="C2005" i="1" s="1"/>
  <c r="G2005" i="1" s="1"/>
  <c r="A2006" i="1"/>
  <c r="B2006" i="1" s="1"/>
  <c r="C2006" i="1" s="1"/>
  <c r="G2006" i="1" s="1"/>
  <c r="A2008" i="1"/>
  <c r="B2008" i="1" s="1"/>
  <c r="C2008" i="1" s="1"/>
  <c r="G2008" i="1" s="1"/>
  <c r="A2009" i="1"/>
  <c r="B2009" i="1" s="1"/>
  <c r="C2009" i="1" s="1"/>
  <c r="G2009" i="1" s="1"/>
  <c r="A2010" i="1"/>
  <c r="B2010" i="1" s="1"/>
  <c r="C2010" i="1" s="1"/>
  <c r="G2010" i="1" s="1"/>
  <c r="A2011" i="1"/>
  <c r="B2011" i="1" s="1"/>
  <c r="C2011" i="1" s="1"/>
  <c r="G2011" i="1" s="1"/>
  <c r="A2012" i="1"/>
  <c r="B2012" i="1" s="1"/>
  <c r="C2012" i="1" s="1"/>
  <c r="G2012" i="1" s="1"/>
  <c r="A2013" i="1"/>
  <c r="B2013" i="1" s="1"/>
  <c r="C2013" i="1" s="1"/>
  <c r="G2013" i="1" s="1"/>
  <c r="A2014" i="1"/>
  <c r="B2014" i="1" s="1"/>
  <c r="C2014" i="1" s="1"/>
  <c r="G2014" i="1" s="1"/>
  <c r="A2016" i="1"/>
  <c r="B2016" i="1" s="1"/>
  <c r="C2016" i="1" s="1"/>
  <c r="G2016" i="1" s="1"/>
  <c r="A2017" i="1"/>
  <c r="B2017" i="1" s="1"/>
  <c r="C2017" i="1" s="1"/>
  <c r="G2017" i="1" s="1"/>
  <c r="A2018" i="1"/>
  <c r="B2018" i="1" s="1"/>
  <c r="C2018" i="1" s="1"/>
  <c r="G2018" i="1" s="1"/>
  <c r="A2019" i="1"/>
  <c r="B2019" i="1" s="1"/>
  <c r="C2019" i="1" s="1"/>
  <c r="G2019" i="1" s="1"/>
  <c r="A2020" i="1"/>
  <c r="B2020" i="1" s="1"/>
  <c r="C2020" i="1" s="1"/>
  <c r="G2020" i="1" s="1"/>
  <c r="A2021" i="1"/>
  <c r="B2021" i="1" s="1"/>
  <c r="C2021" i="1" s="1"/>
  <c r="G2021" i="1" s="1"/>
  <c r="A2022" i="1"/>
  <c r="B2022" i="1" s="1"/>
  <c r="C2022" i="1" s="1"/>
  <c r="G2022" i="1" s="1"/>
  <c r="A2023" i="1"/>
  <c r="B2023" i="1" s="1"/>
  <c r="C2023" i="1" s="1"/>
  <c r="G2023" i="1" s="1"/>
  <c r="A2024" i="1"/>
  <c r="B2024" i="1" s="1"/>
  <c r="C2024" i="1" s="1"/>
  <c r="G2024" i="1" s="1"/>
  <c r="A2025" i="1"/>
  <c r="B2025" i="1" s="1"/>
  <c r="C2025" i="1" s="1"/>
  <c r="G2025" i="1" s="1"/>
  <c r="A2026" i="1"/>
  <c r="B2026" i="1" s="1"/>
  <c r="C2026" i="1" s="1"/>
  <c r="G2026" i="1" s="1"/>
  <c r="A2027" i="1"/>
  <c r="B2027" i="1" s="1"/>
  <c r="C2027" i="1" s="1"/>
  <c r="G2027" i="1" s="1"/>
  <c r="A2028" i="1"/>
  <c r="B2028" i="1" s="1"/>
  <c r="C2028" i="1" s="1"/>
  <c r="G2028" i="1" s="1"/>
  <c r="A2029" i="1"/>
  <c r="B2029" i="1" s="1"/>
  <c r="C2029" i="1" s="1"/>
  <c r="G2029" i="1" s="1"/>
  <c r="A2030" i="1"/>
  <c r="B2030" i="1" s="1"/>
  <c r="C2030" i="1" s="1"/>
  <c r="G2030" i="1" s="1"/>
  <c r="A2031" i="1"/>
  <c r="B2031" i="1" s="1"/>
  <c r="C2031" i="1" s="1"/>
  <c r="G2031" i="1" s="1"/>
  <c r="A2032" i="1"/>
  <c r="B2032" i="1" s="1"/>
  <c r="C2032" i="1" s="1"/>
  <c r="G2032" i="1" s="1"/>
  <c r="A2033" i="1"/>
  <c r="B2033" i="1" s="1"/>
  <c r="C2033" i="1" s="1"/>
  <c r="G2033" i="1" s="1"/>
  <c r="A2034" i="1"/>
  <c r="B2034" i="1" s="1"/>
  <c r="C2034" i="1" s="1"/>
  <c r="G2034" i="1" s="1"/>
  <c r="A2035" i="1"/>
  <c r="B2035" i="1" s="1"/>
  <c r="C2035" i="1" s="1"/>
  <c r="G2035" i="1" s="1"/>
  <c r="A2036" i="1"/>
  <c r="B2036" i="1" s="1"/>
  <c r="C2036" i="1" s="1"/>
  <c r="G2036" i="1" s="1"/>
  <c r="A2037" i="1"/>
  <c r="B2037" i="1" s="1"/>
  <c r="C2037" i="1" s="1"/>
  <c r="G2037" i="1" s="1"/>
  <c r="A2038" i="1"/>
  <c r="B2038" i="1" s="1"/>
  <c r="C2038" i="1" s="1"/>
  <c r="G2038" i="1" s="1"/>
  <c r="A2039" i="1"/>
  <c r="B2039" i="1" s="1"/>
  <c r="C2039" i="1" s="1"/>
  <c r="G2039" i="1" s="1"/>
  <c r="A2040" i="1"/>
  <c r="B2040" i="1" s="1"/>
  <c r="C2040" i="1" s="1"/>
  <c r="G2040" i="1" s="1"/>
  <c r="A2041" i="1"/>
  <c r="B2041" i="1" s="1"/>
  <c r="C2041" i="1" s="1"/>
  <c r="G2041" i="1" s="1"/>
  <c r="A2042" i="1"/>
  <c r="B2042" i="1" s="1"/>
  <c r="C2042" i="1" s="1"/>
  <c r="G2042" i="1" s="1"/>
  <c r="A2043" i="1"/>
  <c r="B2043" i="1" s="1"/>
  <c r="C2043" i="1" s="1"/>
  <c r="G2043" i="1" s="1"/>
  <c r="A2044" i="1"/>
  <c r="B2044" i="1" s="1"/>
  <c r="C2044" i="1" s="1"/>
  <c r="G2044" i="1" s="1"/>
  <c r="A2045" i="1"/>
  <c r="B2045" i="1" s="1"/>
  <c r="C2045" i="1" s="1"/>
  <c r="G2045" i="1" s="1"/>
  <c r="A2046" i="1"/>
  <c r="B2046" i="1" s="1"/>
  <c r="C2046" i="1" s="1"/>
  <c r="G2046" i="1" s="1"/>
  <c r="A2047" i="1"/>
  <c r="B2047" i="1" s="1"/>
  <c r="C2047" i="1" s="1"/>
  <c r="G2047" i="1" s="1"/>
  <c r="A2048" i="1"/>
  <c r="B2048" i="1" s="1"/>
  <c r="C2048" i="1" s="1"/>
  <c r="G2048" i="1" s="1"/>
  <c r="A2049" i="1"/>
  <c r="B2049" i="1" s="1"/>
  <c r="C2049" i="1" s="1"/>
  <c r="G2049" i="1" s="1"/>
  <c r="A2050" i="1"/>
  <c r="B2050" i="1" s="1"/>
  <c r="C2050" i="1" s="1"/>
  <c r="G2050" i="1" s="1"/>
  <c r="A2051" i="1"/>
  <c r="B2051" i="1" s="1"/>
  <c r="C2051" i="1" s="1"/>
  <c r="G2051" i="1" s="1"/>
  <c r="A2052" i="1"/>
  <c r="B2052" i="1" s="1"/>
  <c r="C2052" i="1" s="1"/>
  <c r="G2052" i="1" s="1"/>
  <c r="A2053" i="1"/>
  <c r="B2053" i="1" s="1"/>
  <c r="C2053" i="1" s="1"/>
  <c r="G2053" i="1" s="1"/>
  <c r="A2054" i="1"/>
  <c r="B2054" i="1" s="1"/>
  <c r="C2054" i="1" s="1"/>
  <c r="G2054" i="1" s="1"/>
  <c r="A2055" i="1"/>
  <c r="B2055" i="1" s="1"/>
  <c r="C2055" i="1" s="1"/>
  <c r="G2055" i="1" s="1"/>
  <c r="A2056" i="1"/>
  <c r="B2056" i="1" s="1"/>
  <c r="C2056" i="1" s="1"/>
  <c r="G2056" i="1" s="1"/>
  <c r="A2057" i="1"/>
  <c r="B2057" i="1" s="1"/>
  <c r="C2057" i="1" s="1"/>
  <c r="G2057" i="1" s="1"/>
  <c r="A2058" i="1"/>
  <c r="B2058" i="1" s="1"/>
  <c r="C2058" i="1" s="1"/>
  <c r="G2058" i="1" s="1"/>
  <c r="A2059" i="1"/>
  <c r="B2059" i="1" s="1"/>
  <c r="C2059" i="1" s="1"/>
  <c r="G2059" i="1" s="1"/>
  <c r="A2060" i="1"/>
  <c r="B2060" i="1" s="1"/>
  <c r="C2060" i="1" s="1"/>
  <c r="G2060" i="1" s="1"/>
  <c r="A2061" i="1"/>
  <c r="B2061" i="1" s="1"/>
  <c r="C2061" i="1" s="1"/>
  <c r="G2061" i="1" s="1"/>
  <c r="A2062" i="1"/>
  <c r="B2062" i="1" s="1"/>
  <c r="C2062" i="1" s="1"/>
  <c r="G2062" i="1" s="1"/>
  <c r="A2063" i="1"/>
  <c r="B2063" i="1" s="1"/>
  <c r="C2063" i="1" s="1"/>
  <c r="G2063" i="1" s="1"/>
  <c r="A2064" i="1"/>
  <c r="B2064" i="1" s="1"/>
  <c r="C2064" i="1" s="1"/>
  <c r="G2064" i="1" s="1"/>
  <c r="A2065" i="1"/>
  <c r="B2065" i="1" s="1"/>
  <c r="C2065" i="1" s="1"/>
  <c r="G2065" i="1" s="1"/>
  <c r="A2066" i="1"/>
  <c r="B2066" i="1" s="1"/>
  <c r="C2066" i="1" s="1"/>
  <c r="G2066" i="1" s="1"/>
  <c r="A2067" i="1"/>
  <c r="B2067" i="1" s="1"/>
  <c r="C2067" i="1" s="1"/>
  <c r="G2067" i="1" s="1"/>
  <c r="A2068" i="1"/>
  <c r="B2068" i="1" s="1"/>
  <c r="C2068" i="1" s="1"/>
  <c r="G2068" i="1" s="1"/>
  <c r="A2069" i="1"/>
  <c r="B2069" i="1" s="1"/>
  <c r="C2069" i="1" s="1"/>
  <c r="G2069" i="1" s="1"/>
  <c r="A2070" i="1"/>
  <c r="B2070" i="1" s="1"/>
  <c r="C2070" i="1" s="1"/>
  <c r="G2070" i="1" s="1"/>
  <c r="A2071" i="1"/>
  <c r="B2071" i="1" s="1"/>
  <c r="C2071" i="1" s="1"/>
  <c r="G2071" i="1" s="1"/>
  <c r="A2072" i="1"/>
  <c r="B2072" i="1" s="1"/>
  <c r="C2072" i="1" s="1"/>
  <c r="G2072" i="1" s="1"/>
  <c r="A2073" i="1"/>
  <c r="B2073" i="1" s="1"/>
  <c r="C2073" i="1" s="1"/>
  <c r="G2073" i="1" s="1"/>
  <c r="A2074" i="1"/>
  <c r="B2074" i="1" s="1"/>
  <c r="C2074" i="1" s="1"/>
  <c r="G2074" i="1" s="1"/>
  <c r="A2075" i="1"/>
  <c r="B2075" i="1" s="1"/>
  <c r="C2075" i="1" s="1"/>
  <c r="G2075" i="1" s="1"/>
  <c r="A2076" i="1"/>
  <c r="B2076" i="1" s="1"/>
  <c r="C2076" i="1" s="1"/>
  <c r="G2076" i="1" s="1"/>
  <c r="A2077" i="1"/>
  <c r="B2077" i="1" s="1"/>
  <c r="C2077" i="1" s="1"/>
  <c r="G2077" i="1" s="1"/>
  <c r="A2078" i="1"/>
  <c r="B2078" i="1" s="1"/>
  <c r="C2078" i="1" s="1"/>
  <c r="G2078" i="1" s="1"/>
  <c r="A2079" i="1"/>
  <c r="B2079" i="1" s="1"/>
  <c r="C2079" i="1" s="1"/>
  <c r="G2079" i="1" s="1"/>
  <c r="A2080" i="1"/>
  <c r="B2080" i="1" s="1"/>
  <c r="C2080" i="1" s="1"/>
  <c r="G2080" i="1" s="1"/>
  <c r="A2081" i="1"/>
  <c r="B2081" i="1" s="1"/>
  <c r="C2081" i="1" s="1"/>
  <c r="G2081" i="1" s="1"/>
  <c r="A2082" i="1"/>
  <c r="B2082" i="1" s="1"/>
  <c r="C2082" i="1" s="1"/>
  <c r="G2082" i="1" s="1"/>
  <c r="A2083" i="1"/>
  <c r="B2083" i="1" s="1"/>
  <c r="C2083" i="1" s="1"/>
  <c r="G2083" i="1" s="1"/>
  <c r="A2084" i="1"/>
  <c r="B2084" i="1" s="1"/>
  <c r="C2084" i="1" s="1"/>
  <c r="G2084" i="1" s="1"/>
  <c r="A2085" i="1"/>
  <c r="B2085" i="1" s="1"/>
  <c r="C2085" i="1" s="1"/>
  <c r="G2085" i="1" s="1"/>
  <c r="A2086" i="1"/>
  <c r="B2086" i="1" s="1"/>
  <c r="C2086" i="1" s="1"/>
  <c r="G2086" i="1" s="1"/>
  <c r="A2087" i="1"/>
  <c r="B2087" i="1" s="1"/>
  <c r="C2087" i="1" s="1"/>
  <c r="G2087" i="1" s="1"/>
  <c r="A2088" i="1"/>
  <c r="B2088" i="1" s="1"/>
  <c r="C2088" i="1" s="1"/>
  <c r="G2088" i="1" s="1"/>
  <c r="A2089" i="1"/>
  <c r="B2089" i="1" s="1"/>
  <c r="C2089" i="1" s="1"/>
  <c r="G2089" i="1" s="1"/>
  <c r="A2090" i="1"/>
  <c r="B2090" i="1" s="1"/>
  <c r="C2090" i="1" s="1"/>
  <c r="G2090" i="1" s="1"/>
  <c r="A2091" i="1"/>
  <c r="B2091" i="1" s="1"/>
  <c r="C2091" i="1" s="1"/>
  <c r="G2091" i="1" s="1"/>
  <c r="A2092" i="1"/>
  <c r="B2092" i="1" s="1"/>
  <c r="C2092" i="1" s="1"/>
  <c r="G2092" i="1" s="1"/>
  <c r="A2093" i="1"/>
  <c r="B2093" i="1" s="1"/>
  <c r="C2093" i="1" s="1"/>
  <c r="G2093" i="1" s="1"/>
  <c r="A2094" i="1"/>
  <c r="B2094" i="1" s="1"/>
  <c r="C2094" i="1" s="1"/>
  <c r="G2094" i="1" s="1"/>
  <c r="A2095" i="1"/>
  <c r="B2095" i="1" s="1"/>
  <c r="C2095" i="1" s="1"/>
  <c r="G2095" i="1" s="1"/>
  <c r="A2096" i="1"/>
  <c r="B2096" i="1" s="1"/>
  <c r="C2096" i="1" s="1"/>
  <c r="G2096" i="1" s="1"/>
  <c r="A2097" i="1"/>
  <c r="B2097" i="1" s="1"/>
  <c r="C2097" i="1" s="1"/>
  <c r="G2097" i="1" s="1"/>
  <c r="A2098" i="1"/>
  <c r="B2098" i="1" s="1"/>
  <c r="C2098" i="1" s="1"/>
  <c r="G2098" i="1" s="1"/>
  <c r="A2099" i="1"/>
  <c r="B2099" i="1" s="1"/>
  <c r="C2099" i="1" s="1"/>
  <c r="G2099" i="1" s="1"/>
  <c r="A2100" i="1"/>
  <c r="B2100" i="1" s="1"/>
  <c r="C2100" i="1" s="1"/>
  <c r="G2100" i="1" s="1"/>
  <c r="A2101" i="1"/>
  <c r="B2101" i="1" s="1"/>
  <c r="C2101" i="1" s="1"/>
  <c r="G2101" i="1" s="1"/>
  <c r="A2102" i="1"/>
  <c r="B2102" i="1" s="1"/>
  <c r="C2102" i="1" s="1"/>
  <c r="G2102" i="1" s="1"/>
  <c r="A2103" i="1"/>
  <c r="B2103" i="1" s="1"/>
  <c r="C2103" i="1" s="1"/>
  <c r="G2103" i="1" s="1"/>
  <c r="A2104" i="1"/>
  <c r="B2104" i="1" s="1"/>
  <c r="C2104" i="1" s="1"/>
  <c r="G2104" i="1" s="1"/>
  <c r="A2105" i="1"/>
  <c r="B2105" i="1" s="1"/>
  <c r="C2105" i="1" s="1"/>
  <c r="G2105" i="1" s="1"/>
  <c r="A2106" i="1"/>
  <c r="B2106" i="1" s="1"/>
  <c r="C2106" i="1" s="1"/>
  <c r="G2106" i="1" s="1"/>
  <c r="A2107" i="1"/>
  <c r="B2107" i="1" s="1"/>
  <c r="C2107" i="1" s="1"/>
  <c r="G2107" i="1" s="1"/>
  <c r="A2108" i="1"/>
  <c r="B2108" i="1" s="1"/>
  <c r="C2108" i="1" s="1"/>
  <c r="G2108" i="1" s="1"/>
  <c r="A2109" i="1"/>
  <c r="B2109" i="1" s="1"/>
  <c r="C2109" i="1" s="1"/>
  <c r="G2109" i="1" s="1"/>
  <c r="A2110" i="1"/>
  <c r="B2110" i="1" s="1"/>
  <c r="C2110" i="1" s="1"/>
  <c r="G2110" i="1" s="1"/>
  <c r="A2111" i="1"/>
  <c r="B2111" i="1" s="1"/>
  <c r="C2111" i="1" s="1"/>
  <c r="G2111" i="1" s="1"/>
  <c r="A2112" i="1"/>
  <c r="B2112" i="1" s="1"/>
  <c r="C2112" i="1" s="1"/>
  <c r="G2112" i="1" s="1"/>
  <c r="A2113" i="1"/>
  <c r="B2113" i="1" s="1"/>
  <c r="C2113" i="1" s="1"/>
  <c r="G2113" i="1" s="1"/>
  <c r="A2114" i="1"/>
  <c r="B2114" i="1" s="1"/>
  <c r="C2114" i="1" s="1"/>
  <c r="G2114" i="1" s="1"/>
  <c r="A2115" i="1"/>
  <c r="B2115" i="1" s="1"/>
  <c r="C2115" i="1" s="1"/>
  <c r="G2115" i="1" s="1"/>
  <c r="A2116" i="1"/>
  <c r="B2116" i="1" s="1"/>
  <c r="C2116" i="1" s="1"/>
  <c r="G2116" i="1" s="1"/>
  <c r="A2117" i="1"/>
  <c r="B2117" i="1" s="1"/>
  <c r="C2117" i="1" s="1"/>
  <c r="G2117" i="1" s="1"/>
  <c r="A2118" i="1"/>
  <c r="B2118" i="1" s="1"/>
  <c r="C2118" i="1" s="1"/>
  <c r="G2118" i="1" s="1"/>
  <c r="A2119" i="1"/>
  <c r="B2119" i="1" s="1"/>
  <c r="C2119" i="1" s="1"/>
  <c r="G2119" i="1" s="1"/>
  <c r="A2120" i="1"/>
  <c r="B2120" i="1" s="1"/>
  <c r="C2120" i="1" s="1"/>
  <c r="G2120" i="1" s="1"/>
  <c r="A2121" i="1"/>
  <c r="B2121" i="1" s="1"/>
  <c r="C2121" i="1" s="1"/>
  <c r="G2121" i="1" s="1"/>
  <c r="A2122" i="1"/>
  <c r="B2122" i="1" s="1"/>
  <c r="C2122" i="1" s="1"/>
  <c r="G2122" i="1" s="1"/>
  <c r="A2123" i="1"/>
  <c r="B2123" i="1" s="1"/>
  <c r="C2123" i="1" s="1"/>
  <c r="G2123" i="1" s="1"/>
  <c r="A2124" i="1"/>
  <c r="B2124" i="1" s="1"/>
  <c r="C2124" i="1" s="1"/>
  <c r="G2124" i="1" s="1"/>
  <c r="A2125" i="1"/>
  <c r="B2125" i="1" s="1"/>
  <c r="C2125" i="1" s="1"/>
  <c r="G2125" i="1" s="1"/>
  <c r="A2126" i="1"/>
  <c r="B2126" i="1" s="1"/>
  <c r="C2126" i="1" s="1"/>
  <c r="G2126" i="1" s="1"/>
  <c r="A2127" i="1"/>
  <c r="B2127" i="1" s="1"/>
  <c r="C2127" i="1" s="1"/>
  <c r="G2127" i="1" s="1"/>
  <c r="A2128" i="1"/>
  <c r="B2128" i="1" s="1"/>
  <c r="C2128" i="1" s="1"/>
  <c r="G2128" i="1" s="1"/>
  <c r="A2129" i="1"/>
  <c r="B2129" i="1" s="1"/>
  <c r="C2129" i="1" s="1"/>
  <c r="G2129" i="1" s="1"/>
  <c r="A2130" i="1"/>
  <c r="B2130" i="1" s="1"/>
  <c r="C2130" i="1" s="1"/>
  <c r="G2130" i="1" s="1"/>
  <c r="A2131" i="1"/>
  <c r="B2131" i="1" s="1"/>
  <c r="C2131" i="1" s="1"/>
  <c r="G2131" i="1" s="1"/>
  <c r="A2132" i="1"/>
  <c r="B2132" i="1" s="1"/>
  <c r="C2132" i="1" s="1"/>
  <c r="G2132" i="1" s="1"/>
  <c r="A2133" i="1"/>
  <c r="B2133" i="1" s="1"/>
  <c r="C2133" i="1" s="1"/>
  <c r="G2133" i="1" s="1"/>
  <c r="A2134" i="1"/>
  <c r="B2134" i="1" s="1"/>
  <c r="C2134" i="1" s="1"/>
  <c r="G2134" i="1" s="1"/>
  <c r="A2135" i="1"/>
  <c r="B2135" i="1" s="1"/>
  <c r="C2135" i="1" s="1"/>
  <c r="G2135" i="1" s="1"/>
  <c r="A2136" i="1"/>
  <c r="B2136" i="1" s="1"/>
  <c r="C2136" i="1" s="1"/>
  <c r="G2136" i="1" s="1"/>
  <c r="A2137" i="1"/>
  <c r="B2137" i="1" s="1"/>
  <c r="C2137" i="1" s="1"/>
  <c r="G2137" i="1" s="1"/>
  <c r="A2138" i="1"/>
  <c r="B2138" i="1" s="1"/>
  <c r="C2138" i="1" s="1"/>
  <c r="G2138" i="1" s="1"/>
  <c r="A2139" i="1"/>
  <c r="B2139" i="1" s="1"/>
  <c r="C2139" i="1" s="1"/>
  <c r="G2139" i="1" s="1"/>
  <c r="A2140" i="1"/>
  <c r="B2140" i="1" s="1"/>
  <c r="C2140" i="1" s="1"/>
  <c r="G2140" i="1" s="1"/>
  <c r="A2141" i="1"/>
  <c r="B2141" i="1" s="1"/>
  <c r="C2141" i="1" s="1"/>
  <c r="G2141" i="1" s="1"/>
  <c r="A2142" i="1"/>
  <c r="B2142" i="1" s="1"/>
  <c r="C2142" i="1" s="1"/>
  <c r="G2142" i="1" s="1"/>
  <c r="A2143" i="1"/>
  <c r="B2143" i="1" s="1"/>
  <c r="C2143" i="1" s="1"/>
  <c r="G2143" i="1" s="1"/>
  <c r="A2144" i="1"/>
  <c r="B2144" i="1" s="1"/>
  <c r="C2144" i="1" s="1"/>
  <c r="G2144" i="1" s="1"/>
  <c r="A2145" i="1"/>
  <c r="B2145" i="1" s="1"/>
  <c r="C2145" i="1" s="1"/>
  <c r="G2145" i="1" s="1"/>
  <c r="A2146" i="1"/>
  <c r="B2146" i="1" s="1"/>
  <c r="C2146" i="1" s="1"/>
  <c r="G2146" i="1" s="1"/>
  <c r="A2147" i="1"/>
  <c r="B2147" i="1" s="1"/>
  <c r="C2147" i="1" s="1"/>
  <c r="G2147" i="1" s="1"/>
  <c r="A2148" i="1"/>
  <c r="B2148" i="1" s="1"/>
  <c r="C2148" i="1" s="1"/>
  <c r="G2148" i="1" s="1"/>
  <c r="A2149" i="1"/>
  <c r="B2149" i="1" s="1"/>
  <c r="C2149" i="1" s="1"/>
  <c r="G2149" i="1" s="1"/>
  <c r="A2150" i="1"/>
  <c r="B2150" i="1" s="1"/>
  <c r="C2150" i="1" s="1"/>
  <c r="G2150" i="1" s="1"/>
  <c r="A2151" i="1"/>
  <c r="B2151" i="1" s="1"/>
  <c r="C2151" i="1" s="1"/>
  <c r="G2151" i="1" s="1"/>
  <c r="A2152" i="1"/>
  <c r="B2152" i="1" s="1"/>
  <c r="C2152" i="1" s="1"/>
  <c r="G2152" i="1" s="1"/>
  <c r="A2153" i="1"/>
  <c r="B2153" i="1" s="1"/>
  <c r="C2153" i="1" s="1"/>
  <c r="G2153" i="1" s="1"/>
  <c r="A2154" i="1"/>
  <c r="B2154" i="1" s="1"/>
  <c r="C2154" i="1" s="1"/>
  <c r="G2154" i="1" s="1"/>
  <c r="A2155" i="1"/>
  <c r="B2155" i="1" s="1"/>
  <c r="C2155" i="1" s="1"/>
  <c r="G2155" i="1" s="1"/>
  <c r="A2156" i="1"/>
  <c r="B2156" i="1" s="1"/>
  <c r="C2156" i="1" s="1"/>
  <c r="G2156" i="1" s="1"/>
  <c r="A2157" i="1"/>
  <c r="B2157" i="1" s="1"/>
  <c r="C2157" i="1" s="1"/>
  <c r="G2157" i="1" s="1"/>
  <c r="A2158" i="1"/>
  <c r="B2158" i="1" s="1"/>
  <c r="C2158" i="1" s="1"/>
  <c r="G2158" i="1" s="1"/>
  <c r="A2159" i="1"/>
  <c r="B2159" i="1" s="1"/>
  <c r="C2159" i="1" s="1"/>
  <c r="G2159" i="1" s="1"/>
  <c r="A2160" i="1"/>
  <c r="B2160" i="1" s="1"/>
  <c r="C2160" i="1" s="1"/>
  <c r="G2160" i="1" s="1"/>
  <c r="A2161" i="1"/>
  <c r="B2161" i="1" s="1"/>
  <c r="C2161" i="1" s="1"/>
  <c r="G2161" i="1" s="1"/>
  <c r="A2162" i="1"/>
  <c r="B2162" i="1" s="1"/>
  <c r="C2162" i="1" s="1"/>
  <c r="G2162" i="1" s="1"/>
  <c r="A2163" i="1"/>
  <c r="B2163" i="1" s="1"/>
  <c r="C2163" i="1" s="1"/>
  <c r="G2163" i="1" s="1"/>
  <c r="A2164" i="1"/>
  <c r="B2164" i="1" s="1"/>
  <c r="C2164" i="1" s="1"/>
  <c r="G2164" i="1" s="1"/>
  <c r="A2165" i="1"/>
  <c r="B2165" i="1" s="1"/>
  <c r="C2165" i="1" s="1"/>
  <c r="G2165" i="1" s="1"/>
  <c r="A2166" i="1"/>
  <c r="B2166" i="1" s="1"/>
  <c r="C2166" i="1" s="1"/>
  <c r="G2166" i="1" s="1"/>
  <c r="A2167" i="1"/>
  <c r="B2167" i="1" s="1"/>
  <c r="C2167" i="1" s="1"/>
  <c r="G2167" i="1" s="1"/>
  <c r="A2168" i="1"/>
  <c r="B2168" i="1" s="1"/>
  <c r="C2168" i="1" s="1"/>
  <c r="G2168" i="1" s="1"/>
  <c r="A2169" i="1"/>
  <c r="B2169" i="1" s="1"/>
  <c r="C2169" i="1" s="1"/>
  <c r="G2169" i="1" s="1"/>
  <c r="A2170" i="1"/>
  <c r="B2170" i="1" s="1"/>
  <c r="C2170" i="1" s="1"/>
  <c r="G2170" i="1" s="1"/>
  <c r="A2171" i="1"/>
  <c r="B2171" i="1" s="1"/>
  <c r="C2171" i="1" s="1"/>
  <c r="G2171" i="1" s="1"/>
  <c r="A2172" i="1"/>
  <c r="B2172" i="1" s="1"/>
  <c r="C2172" i="1" s="1"/>
  <c r="G2172" i="1" s="1"/>
  <c r="A2173" i="1"/>
  <c r="B2173" i="1" s="1"/>
  <c r="C2173" i="1" s="1"/>
  <c r="G2173" i="1" s="1"/>
  <c r="A2174" i="1"/>
  <c r="B2174" i="1" s="1"/>
  <c r="C2174" i="1" s="1"/>
  <c r="G2174" i="1" s="1"/>
  <c r="A2175" i="1"/>
  <c r="B2175" i="1" s="1"/>
  <c r="C2175" i="1" s="1"/>
  <c r="G2175" i="1" s="1"/>
  <c r="A2176" i="1"/>
  <c r="B2176" i="1" s="1"/>
  <c r="C2176" i="1" s="1"/>
  <c r="G2176" i="1" s="1"/>
  <c r="A2177" i="1"/>
  <c r="B2177" i="1" s="1"/>
  <c r="C2177" i="1" s="1"/>
  <c r="G2177" i="1" s="1"/>
  <c r="A2178" i="1"/>
  <c r="B2178" i="1" s="1"/>
  <c r="C2178" i="1" s="1"/>
  <c r="G2178" i="1" s="1"/>
  <c r="A2179" i="1"/>
  <c r="B2179" i="1" s="1"/>
  <c r="C2179" i="1" s="1"/>
  <c r="G2179" i="1" s="1"/>
  <c r="A2180" i="1"/>
  <c r="B2180" i="1" s="1"/>
  <c r="C2180" i="1" s="1"/>
  <c r="G2180" i="1" s="1"/>
  <c r="A2181" i="1"/>
  <c r="B2181" i="1" s="1"/>
  <c r="C2181" i="1" s="1"/>
  <c r="G2181" i="1" s="1"/>
  <c r="A2182" i="1"/>
  <c r="B2182" i="1" s="1"/>
  <c r="C2182" i="1" s="1"/>
  <c r="G2182" i="1" s="1"/>
  <c r="A2183" i="1"/>
  <c r="B2183" i="1" s="1"/>
  <c r="C2183" i="1" s="1"/>
  <c r="G2183" i="1" s="1"/>
  <c r="A2184" i="1"/>
  <c r="B2184" i="1" s="1"/>
  <c r="C2184" i="1" s="1"/>
  <c r="G2184" i="1" s="1"/>
  <c r="A2185" i="1"/>
  <c r="B2185" i="1" s="1"/>
  <c r="C2185" i="1" s="1"/>
  <c r="G2185" i="1" s="1"/>
  <c r="A2186" i="1"/>
  <c r="B2186" i="1" s="1"/>
  <c r="C2186" i="1" s="1"/>
  <c r="G2186" i="1" s="1"/>
  <c r="A2187" i="1"/>
  <c r="B2187" i="1" s="1"/>
  <c r="C2187" i="1" s="1"/>
  <c r="G2187" i="1" s="1"/>
  <c r="A2188" i="1"/>
  <c r="B2188" i="1" s="1"/>
  <c r="C2188" i="1" s="1"/>
  <c r="G2188" i="1" s="1"/>
  <c r="A2189" i="1"/>
  <c r="B2189" i="1" s="1"/>
  <c r="C2189" i="1" s="1"/>
  <c r="G2189" i="1" s="1"/>
  <c r="A2190" i="1"/>
  <c r="B2190" i="1" s="1"/>
  <c r="C2190" i="1" s="1"/>
  <c r="G2190" i="1" s="1"/>
  <c r="A2191" i="1"/>
  <c r="B2191" i="1" s="1"/>
  <c r="C2191" i="1" s="1"/>
  <c r="G2191" i="1" s="1"/>
  <c r="A2192" i="1"/>
  <c r="B2192" i="1" s="1"/>
  <c r="C2192" i="1" s="1"/>
  <c r="G2192" i="1" s="1"/>
  <c r="A2193" i="1"/>
  <c r="B2193" i="1" s="1"/>
  <c r="C2193" i="1" s="1"/>
  <c r="G2193" i="1" s="1"/>
  <c r="A2194" i="1"/>
  <c r="B2194" i="1" s="1"/>
  <c r="C2194" i="1" s="1"/>
  <c r="G2194" i="1" s="1"/>
  <c r="A2195" i="1"/>
  <c r="B2195" i="1" s="1"/>
  <c r="C2195" i="1" s="1"/>
  <c r="G2195" i="1" s="1"/>
  <c r="A2196" i="1"/>
  <c r="B2196" i="1" s="1"/>
  <c r="C2196" i="1" s="1"/>
  <c r="G2196" i="1" s="1"/>
  <c r="A2197" i="1"/>
  <c r="B2197" i="1" s="1"/>
  <c r="C2197" i="1" s="1"/>
  <c r="G2197" i="1" s="1"/>
  <c r="A2198" i="1"/>
  <c r="B2198" i="1" s="1"/>
  <c r="C2198" i="1" s="1"/>
  <c r="G2198" i="1" s="1"/>
  <c r="A2199" i="1"/>
  <c r="B2199" i="1" s="1"/>
  <c r="C2199" i="1" s="1"/>
  <c r="G2199" i="1" s="1"/>
  <c r="A2200" i="1"/>
  <c r="B2200" i="1" s="1"/>
  <c r="C2200" i="1" s="1"/>
  <c r="G2200" i="1" s="1"/>
  <c r="A2201" i="1"/>
  <c r="B2201" i="1" s="1"/>
  <c r="C2201" i="1" s="1"/>
  <c r="G2201" i="1" s="1"/>
  <c r="A2202" i="1"/>
  <c r="B2202" i="1" s="1"/>
  <c r="C2202" i="1" s="1"/>
  <c r="G2202" i="1" s="1"/>
  <c r="A2203" i="1"/>
  <c r="B2203" i="1" s="1"/>
  <c r="C2203" i="1" s="1"/>
  <c r="G2203" i="1" s="1"/>
  <c r="A2204" i="1"/>
  <c r="B2204" i="1" s="1"/>
  <c r="C2204" i="1" s="1"/>
  <c r="G2204" i="1" s="1"/>
  <c r="A2205" i="1"/>
  <c r="B2205" i="1" s="1"/>
  <c r="C2205" i="1" s="1"/>
  <c r="G2205" i="1" s="1"/>
  <c r="A2206" i="1"/>
  <c r="B2206" i="1" s="1"/>
  <c r="C2206" i="1" s="1"/>
  <c r="G2206" i="1" s="1"/>
  <c r="A2207" i="1"/>
  <c r="B2207" i="1" s="1"/>
  <c r="C2207" i="1" s="1"/>
  <c r="G2207" i="1" s="1"/>
  <c r="A2208" i="1"/>
  <c r="B2208" i="1" s="1"/>
  <c r="C2208" i="1" s="1"/>
  <c r="G2208" i="1" s="1"/>
  <c r="A2209" i="1"/>
  <c r="B2209" i="1" s="1"/>
  <c r="C2209" i="1" s="1"/>
  <c r="G2209" i="1" s="1"/>
  <c r="A2210" i="1"/>
  <c r="B2210" i="1" s="1"/>
  <c r="C2210" i="1" s="1"/>
  <c r="G2210" i="1" s="1"/>
  <c r="A2211" i="1"/>
  <c r="B2211" i="1" s="1"/>
  <c r="C2211" i="1" s="1"/>
  <c r="G2211" i="1" s="1"/>
  <c r="A2212" i="1"/>
  <c r="B2212" i="1" s="1"/>
  <c r="C2212" i="1" s="1"/>
  <c r="G2212" i="1" s="1"/>
  <c r="A2213" i="1"/>
  <c r="B2213" i="1" s="1"/>
  <c r="C2213" i="1" s="1"/>
  <c r="G2213" i="1" s="1"/>
  <c r="A2214" i="1"/>
  <c r="B2214" i="1" s="1"/>
  <c r="C2214" i="1" s="1"/>
  <c r="G2214" i="1" s="1"/>
  <c r="A2215" i="1"/>
  <c r="B2215" i="1" s="1"/>
  <c r="C2215" i="1" s="1"/>
  <c r="G2215" i="1" s="1"/>
  <c r="A2216" i="1"/>
  <c r="B2216" i="1" s="1"/>
  <c r="C2216" i="1" s="1"/>
  <c r="G2216" i="1" s="1"/>
  <c r="A2217" i="1"/>
  <c r="B2217" i="1" s="1"/>
  <c r="C2217" i="1" s="1"/>
  <c r="G2217" i="1" s="1"/>
  <c r="A2218" i="1"/>
  <c r="B2218" i="1" s="1"/>
  <c r="C2218" i="1" s="1"/>
  <c r="G2218" i="1" s="1"/>
  <c r="A2219" i="1"/>
  <c r="B2219" i="1" s="1"/>
  <c r="C2219" i="1" s="1"/>
  <c r="G2219" i="1" s="1"/>
  <c r="A2220" i="1"/>
  <c r="B2220" i="1" s="1"/>
  <c r="C2220" i="1" s="1"/>
  <c r="G2220" i="1" s="1"/>
  <c r="A2221" i="1"/>
  <c r="B2221" i="1" s="1"/>
  <c r="C2221" i="1" s="1"/>
  <c r="G2221" i="1" s="1"/>
  <c r="A2222" i="1"/>
  <c r="B2222" i="1" s="1"/>
  <c r="C2222" i="1" s="1"/>
  <c r="G2222" i="1" s="1"/>
  <c r="A2223" i="1"/>
  <c r="B2223" i="1" s="1"/>
  <c r="C2223" i="1" s="1"/>
  <c r="G2223" i="1" s="1"/>
  <c r="A2224" i="1"/>
  <c r="B2224" i="1" s="1"/>
  <c r="C2224" i="1" s="1"/>
  <c r="G2224" i="1" s="1"/>
  <c r="A2225" i="1"/>
  <c r="B2225" i="1" s="1"/>
  <c r="C2225" i="1" s="1"/>
  <c r="G2225" i="1" s="1"/>
  <c r="A2226" i="1"/>
  <c r="B2226" i="1" s="1"/>
  <c r="C2226" i="1" s="1"/>
  <c r="G2226" i="1" s="1"/>
  <c r="A2227" i="1"/>
  <c r="B2227" i="1" s="1"/>
  <c r="C2227" i="1" s="1"/>
  <c r="G2227" i="1" s="1"/>
  <c r="A2228" i="1"/>
  <c r="B2228" i="1" s="1"/>
  <c r="C2228" i="1" s="1"/>
  <c r="G2228" i="1" s="1"/>
  <c r="A2229" i="1"/>
  <c r="B2229" i="1" s="1"/>
  <c r="C2229" i="1" s="1"/>
  <c r="G2229" i="1" s="1"/>
  <c r="A2230" i="1"/>
  <c r="B2230" i="1" s="1"/>
  <c r="C2230" i="1" s="1"/>
  <c r="G2230" i="1" s="1"/>
  <c r="A2231" i="1"/>
  <c r="B2231" i="1" s="1"/>
  <c r="C2231" i="1" s="1"/>
  <c r="G2231" i="1" s="1"/>
  <c r="A2232" i="1"/>
  <c r="B2232" i="1" s="1"/>
  <c r="C2232" i="1" s="1"/>
  <c r="G2232" i="1" s="1"/>
  <c r="A2233" i="1"/>
  <c r="B2233" i="1" s="1"/>
  <c r="C2233" i="1" s="1"/>
  <c r="G2233" i="1" s="1"/>
  <c r="A2234" i="1"/>
  <c r="B2234" i="1" s="1"/>
  <c r="C2234" i="1" s="1"/>
  <c r="G2234" i="1" s="1"/>
  <c r="A2235" i="1"/>
  <c r="B2235" i="1" s="1"/>
  <c r="C2235" i="1" s="1"/>
  <c r="G2235" i="1" s="1"/>
  <c r="A2236" i="1"/>
  <c r="B2236" i="1" s="1"/>
  <c r="C2236" i="1" s="1"/>
  <c r="G2236" i="1" s="1"/>
  <c r="A2237" i="1"/>
  <c r="B2237" i="1" s="1"/>
  <c r="C2237" i="1" s="1"/>
  <c r="G2237" i="1" s="1"/>
  <c r="A2238" i="1"/>
  <c r="B2238" i="1" s="1"/>
  <c r="C2238" i="1" s="1"/>
  <c r="G2238" i="1" s="1"/>
  <c r="A2239" i="1"/>
  <c r="B2239" i="1" s="1"/>
  <c r="C2239" i="1" s="1"/>
  <c r="G2239" i="1" s="1"/>
  <c r="A2240" i="1"/>
  <c r="B2240" i="1" s="1"/>
  <c r="C2240" i="1" s="1"/>
  <c r="G2240" i="1" s="1"/>
  <c r="A2241" i="1"/>
  <c r="B2241" i="1" s="1"/>
  <c r="C2241" i="1" s="1"/>
  <c r="G2241" i="1" s="1"/>
  <c r="A2242" i="1"/>
  <c r="B2242" i="1" s="1"/>
  <c r="C2242" i="1" s="1"/>
  <c r="G2242" i="1" s="1"/>
  <c r="A2243" i="1"/>
  <c r="B2243" i="1" s="1"/>
  <c r="C2243" i="1" s="1"/>
  <c r="G2243" i="1" s="1"/>
  <c r="A2244" i="1"/>
  <c r="B2244" i="1" s="1"/>
  <c r="C2244" i="1" s="1"/>
  <c r="G2244" i="1" s="1"/>
  <c r="A2245" i="1"/>
  <c r="B2245" i="1" s="1"/>
  <c r="C2245" i="1" s="1"/>
  <c r="G2245" i="1" s="1"/>
  <c r="A2246" i="1"/>
  <c r="B2246" i="1" s="1"/>
  <c r="C2246" i="1" s="1"/>
  <c r="G2246" i="1" s="1"/>
  <c r="A2247" i="1"/>
  <c r="B2247" i="1" s="1"/>
  <c r="C2247" i="1" s="1"/>
  <c r="G2247" i="1" s="1"/>
  <c r="A2248" i="1"/>
  <c r="B2248" i="1" s="1"/>
  <c r="C2248" i="1" s="1"/>
  <c r="G2248" i="1" s="1"/>
  <c r="A2249" i="1"/>
  <c r="B2249" i="1" s="1"/>
  <c r="C2249" i="1" s="1"/>
  <c r="G2249" i="1" s="1"/>
  <c r="A2250" i="1"/>
  <c r="B2250" i="1" s="1"/>
  <c r="C2250" i="1" s="1"/>
  <c r="G2250" i="1" s="1"/>
  <c r="A2251" i="1"/>
  <c r="B2251" i="1" s="1"/>
  <c r="C2251" i="1" s="1"/>
  <c r="G2251" i="1" s="1"/>
  <c r="A2252" i="1"/>
  <c r="B2252" i="1" s="1"/>
  <c r="C2252" i="1" s="1"/>
  <c r="G2252" i="1" s="1"/>
  <c r="A2253" i="1"/>
  <c r="B2253" i="1" s="1"/>
  <c r="C2253" i="1" s="1"/>
  <c r="G2253" i="1" s="1"/>
  <c r="A2254" i="1"/>
  <c r="B2254" i="1" s="1"/>
  <c r="C2254" i="1" s="1"/>
  <c r="G2254" i="1" s="1"/>
  <c r="A2255" i="1"/>
  <c r="B2255" i="1" s="1"/>
  <c r="C2255" i="1" s="1"/>
  <c r="G2255" i="1" s="1"/>
  <c r="A2256" i="1"/>
  <c r="B2256" i="1" s="1"/>
  <c r="C2256" i="1" s="1"/>
  <c r="G2256" i="1" s="1"/>
  <c r="A2257" i="1"/>
  <c r="B2257" i="1" s="1"/>
  <c r="C2257" i="1" s="1"/>
  <c r="G2257" i="1" s="1"/>
  <c r="A2258" i="1"/>
  <c r="B2258" i="1" s="1"/>
  <c r="C2258" i="1" s="1"/>
  <c r="G2258" i="1" s="1"/>
  <c r="A2259" i="1"/>
  <c r="B2259" i="1" s="1"/>
  <c r="C2259" i="1" s="1"/>
  <c r="G2259" i="1" s="1"/>
  <c r="A2260" i="1"/>
  <c r="B2260" i="1" s="1"/>
  <c r="C2260" i="1" s="1"/>
  <c r="G2260" i="1" s="1"/>
  <c r="A2261" i="1"/>
  <c r="B2261" i="1" s="1"/>
  <c r="C2261" i="1" s="1"/>
  <c r="G2261" i="1" s="1"/>
  <c r="A2262" i="1"/>
  <c r="B2262" i="1" s="1"/>
  <c r="C2262" i="1" s="1"/>
  <c r="G2262" i="1" s="1"/>
  <c r="A2263" i="1"/>
  <c r="B2263" i="1" s="1"/>
  <c r="C2263" i="1" s="1"/>
  <c r="G2263" i="1" s="1"/>
  <c r="A2264" i="1"/>
  <c r="B2264" i="1" s="1"/>
  <c r="C2264" i="1" s="1"/>
  <c r="G2264" i="1" s="1"/>
  <c r="A2265" i="1"/>
  <c r="B2265" i="1" s="1"/>
  <c r="C2265" i="1" s="1"/>
  <c r="G2265" i="1" s="1"/>
  <c r="A2266" i="1"/>
  <c r="B2266" i="1" s="1"/>
  <c r="C2266" i="1" s="1"/>
  <c r="G2266" i="1" s="1"/>
  <c r="A2267" i="1"/>
  <c r="B2267" i="1" s="1"/>
  <c r="C2267" i="1" s="1"/>
  <c r="G2267" i="1" s="1"/>
  <c r="A2268" i="1"/>
  <c r="B2268" i="1" s="1"/>
  <c r="C2268" i="1" s="1"/>
  <c r="G2268" i="1" s="1"/>
  <c r="A2269" i="1"/>
  <c r="B2269" i="1" s="1"/>
  <c r="C2269" i="1" s="1"/>
  <c r="G2269" i="1" s="1"/>
  <c r="A2270" i="1"/>
  <c r="B2270" i="1" s="1"/>
  <c r="C2270" i="1" s="1"/>
  <c r="G2270" i="1" s="1"/>
  <c r="A2271" i="1"/>
  <c r="B2271" i="1" s="1"/>
  <c r="C2271" i="1" s="1"/>
  <c r="G2271" i="1" s="1"/>
  <c r="A2272" i="1"/>
  <c r="B2272" i="1" s="1"/>
  <c r="C2272" i="1" s="1"/>
  <c r="G2272" i="1" s="1"/>
  <c r="A2273" i="1"/>
  <c r="B2273" i="1" s="1"/>
  <c r="C2273" i="1" s="1"/>
  <c r="G2273" i="1" s="1"/>
  <c r="A2274" i="1"/>
  <c r="B2274" i="1" s="1"/>
  <c r="C2274" i="1" s="1"/>
  <c r="G2274" i="1" s="1"/>
  <c r="A2275" i="1"/>
  <c r="B2275" i="1" s="1"/>
  <c r="C2275" i="1" s="1"/>
  <c r="G2275" i="1" s="1"/>
  <c r="A2276" i="1"/>
  <c r="B2276" i="1" s="1"/>
  <c r="C2276" i="1" s="1"/>
  <c r="G2276" i="1" s="1"/>
  <c r="A2277" i="1"/>
  <c r="B2277" i="1" s="1"/>
  <c r="C2277" i="1" s="1"/>
  <c r="G2277" i="1" s="1"/>
  <c r="A2278" i="1"/>
  <c r="B2278" i="1" s="1"/>
  <c r="C2278" i="1" s="1"/>
  <c r="G2278" i="1" s="1"/>
  <c r="A2279" i="1"/>
  <c r="B2279" i="1" s="1"/>
  <c r="C2279" i="1" s="1"/>
  <c r="G2279" i="1" s="1"/>
  <c r="A2280" i="1"/>
  <c r="B2280" i="1" s="1"/>
  <c r="C2280" i="1" s="1"/>
  <c r="G2280" i="1" s="1"/>
  <c r="A2281" i="1"/>
  <c r="B2281" i="1" s="1"/>
  <c r="C2281" i="1" s="1"/>
  <c r="G2281" i="1" s="1"/>
  <c r="A2282" i="1"/>
  <c r="B2282" i="1" s="1"/>
  <c r="C2282" i="1" s="1"/>
  <c r="G2282" i="1" s="1"/>
  <c r="A2283" i="1"/>
  <c r="B2283" i="1" s="1"/>
  <c r="C2283" i="1" s="1"/>
  <c r="G2283" i="1" s="1"/>
  <c r="A2284" i="1"/>
  <c r="B2284" i="1" s="1"/>
  <c r="C2284" i="1" s="1"/>
  <c r="G2284" i="1" s="1"/>
  <c r="A2285" i="1"/>
  <c r="B2285" i="1" s="1"/>
  <c r="C2285" i="1" s="1"/>
  <c r="G2285" i="1" s="1"/>
  <c r="A2286" i="1"/>
  <c r="B2286" i="1" s="1"/>
  <c r="C2286" i="1" s="1"/>
  <c r="G2286" i="1" s="1"/>
  <c r="A2287" i="1"/>
  <c r="B2287" i="1" s="1"/>
  <c r="C2287" i="1" s="1"/>
  <c r="G2287" i="1" s="1"/>
  <c r="A2288" i="1"/>
  <c r="B2288" i="1" s="1"/>
  <c r="C2288" i="1" s="1"/>
  <c r="G2288" i="1" s="1"/>
  <c r="A2289" i="1"/>
  <c r="B2289" i="1" s="1"/>
  <c r="C2289" i="1" s="1"/>
  <c r="G2289" i="1" s="1"/>
  <c r="A2290" i="1"/>
  <c r="B2290" i="1" s="1"/>
  <c r="C2290" i="1" s="1"/>
  <c r="G2290" i="1" s="1"/>
  <c r="A2291" i="1"/>
  <c r="B2291" i="1" s="1"/>
  <c r="C2291" i="1" s="1"/>
  <c r="G2291" i="1" s="1"/>
  <c r="A2292" i="1"/>
  <c r="B2292" i="1" s="1"/>
  <c r="C2292" i="1" s="1"/>
  <c r="G2292" i="1" s="1"/>
  <c r="A2293" i="1"/>
  <c r="B2293" i="1" s="1"/>
  <c r="C2293" i="1" s="1"/>
  <c r="G2293" i="1" s="1"/>
  <c r="A2294" i="1"/>
  <c r="B2294" i="1" s="1"/>
  <c r="C2294" i="1" s="1"/>
  <c r="G2294" i="1" s="1"/>
  <c r="A2295" i="1"/>
  <c r="B2295" i="1" s="1"/>
  <c r="C2295" i="1" s="1"/>
  <c r="G2295" i="1" s="1"/>
  <c r="A2296" i="1"/>
  <c r="B2296" i="1" s="1"/>
  <c r="C2296" i="1" s="1"/>
  <c r="G2296" i="1" s="1"/>
  <c r="A2297" i="1"/>
  <c r="B2297" i="1" s="1"/>
  <c r="C2297" i="1" s="1"/>
  <c r="G2297" i="1" s="1"/>
  <c r="A2298" i="1"/>
  <c r="B2298" i="1" s="1"/>
  <c r="C2298" i="1" s="1"/>
  <c r="G2298" i="1" s="1"/>
  <c r="A2299" i="1"/>
  <c r="B2299" i="1" s="1"/>
  <c r="C2299" i="1" s="1"/>
  <c r="G2299" i="1" s="1"/>
  <c r="A2300" i="1"/>
  <c r="B2300" i="1" s="1"/>
  <c r="C2300" i="1" s="1"/>
  <c r="G2300" i="1" s="1"/>
  <c r="A2301" i="1"/>
  <c r="B2301" i="1" s="1"/>
  <c r="C2301" i="1" s="1"/>
  <c r="G2301" i="1" s="1"/>
  <c r="A2302" i="1"/>
  <c r="B2302" i="1" s="1"/>
  <c r="C2302" i="1" s="1"/>
  <c r="G2302" i="1" s="1"/>
  <c r="A2303" i="1"/>
  <c r="B2303" i="1" s="1"/>
  <c r="C2303" i="1" s="1"/>
  <c r="G2303" i="1" s="1"/>
  <c r="A2304" i="1"/>
  <c r="B2304" i="1" s="1"/>
  <c r="C2304" i="1" s="1"/>
  <c r="G2304" i="1" s="1"/>
  <c r="A2305" i="1"/>
  <c r="B2305" i="1" s="1"/>
  <c r="C2305" i="1" s="1"/>
  <c r="G2305" i="1" s="1"/>
  <c r="A2306" i="1"/>
  <c r="B2306" i="1" s="1"/>
  <c r="C2306" i="1" s="1"/>
  <c r="G2306" i="1" s="1"/>
  <c r="A2307" i="1"/>
  <c r="B2307" i="1" s="1"/>
  <c r="C2307" i="1" s="1"/>
  <c r="G2307" i="1" s="1"/>
  <c r="A2308" i="1"/>
  <c r="B2308" i="1" s="1"/>
  <c r="C2308" i="1" s="1"/>
  <c r="G2308" i="1" s="1"/>
  <c r="A2309" i="1"/>
  <c r="B2309" i="1" s="1"/>
  <c r="C2309" i="1" s="1"/>
  <c r="G2309" i="1" s="1"/>
  <c r="A2310" i="1"/>
  <c r="B2310" i="1" s="1"/>
  <c r="C2310" i="1" s="1"/>
  <c r="G2310" i="1" s="1"/>
  <c r="A2311" i="1"/>
  <c r="B2311" i="1" s="1"/>
  <c r="C2311" i="1" s="1"/>
  <c r="G2311" i="1" s="1"/>
  <c r="A2312" i="1"/>
  <c r="B2312" i="1" s="1"/>
  <c r="C2312" i="1" s="1"/>
  <c r="G2312" i="1" s="1"/>
  <c r="A2313" i="1"/>
  <c r="B2313" i="1" s="1"/>
  <c r="C2313" i="1" s="1"/>
  <c r="G2313" i="1" s="1"/>
  <c r="A2314" i="1"/>
  <c r="B2314" i="1" s="1"/>
  <c r="C2314" i="1" s="1"/>
  <c r="G2314" i="1" s="1"/>
  <c r="A2315" i="1"/>
  <c r="B2315" i="1" s="1"/>
  <c r="C2315" i="1" s="1"/>
  <c r="G2315" i="1" s="1"/>
  <c r="A2316" i="1"/>
  <c r="B2316" i="1" s="1"/>
  <c r="C2316" i="1" s="1"/>
  <c r="G2316" i="1" s="1"/>
  <c r="A2317" i="1"/>
  <c r="B2317" i="1" s="1"/>
  <c r="C2317" i="1" s="1"/>
  <c r="G2317" i="1" s="1"/>
  <c r="A2318" i="1"/>
  <c r="B2318" i="1" s="1"/>
  <c r="C2318" i="1" s="1"/>
  <c r="G2318" i="1" s="1"/>
  <c r="A2319" i="1"/>
  <c r="B2319" i="1" s="1"/>
  <c r="C2319" i="1" s="1"/>
  <c r="G2319" i="1" s="1"/>
  <c r="A2320" i="1"/>
  <c r="B2320" i="1" s="1"/>
  <c r="C2320" i="1" s="1"/>
  <c r="G2320" i="1" s="1"/>
  <c r="A2321" i="1"/>
  <c r="B2321" i="1" s="1"/>
  <c r="C2321" i="1" s="1"/>
  <c r="G2321" i="1" s="1"/>
  <c r="A2322" i="1"/>
  <c r="B2322" i="1" s="1"/>
  <c r="C2322" i="1" s="1"/>
  <c r="G2322" i="1" s="1"/>
  <c r="A2323" i="1"/>
  <c r="B2323" i="1" s="1"/>
  <c r="C2323" i="1" s="1"/>
  <c r="G2323" i="1" s="1"/>
  <c r="A2324" i="1"/>
  <c r="B2324" i="1" s="1"/>
  <c r="C2324" i="1" s="1"/>
  <c r="G2324" i="1" s="1"/>
  <c r="A2325" i="1"/>
  <c r="B2325" i="1" s="1"/>
  <c r="C2325" i="1" s="1"/>
  <c r="G2325" i="1" s="1"/>
  <c r="A2326" i="1"/>
  <c r="B2326" i="1" s="1"/>
  <c r="C2326" i="1" s="1"/>
  <c r="G2326" i="1" s="1"/>
  <c r="A2327" i="1"/>
  <c r="B2327" i="1" s="1"/>
  <c r="C2327" i="1" s="1"/>
  <c r="G2327" i="1" s="1"/>
  <c r="A2328" i="1"/>
  <c r="B2328" i="1" s="1"/>
  <c r="C2328" i="1" s="1"/>
  <c r="G2328" i="1" s="1"/>
  <c r="A2329" i="1"/>
  <c r="B2329" i="1" s="1"/>
  <c r="C2329" i="1" s="1"/>
  <c r="G2329" i="1" s="1"/>
  <c r="A2330" i="1"/>
  <c r="B2330" i="1" s="1"/>
  <c r="C2330" i="1" s="1"/>
  <c r="G2330" i="1" s="1"/>
  <c r="A2331" i="1"/>
  <c r="B2331" i="1" s="1"/>
  <c r="C2331" i="1" s="1"/>
  <c r="G2331" i="1" s="1"/>
  <c r="A2332" i="1"/>
  <c r="B2332" i="1" s="1"/>
  <c r="C2332" i="1" s="1"/>
  <c r="G2332" i="1" s="1"/>
  <c r="A2333" i="1"/>
  <c r="B2333" i="1" s="1"/>
  <c r="C2333" i="1" s="1"/>
  <c r="G2333" i="1" s="1"/>
  <c r="A2334" i="1"/>
  <c r="B2334" i="1" s="1"/>
  <c r="C2334" i="1" s="1"/>
  <c r="G2334" i="1" s="1"/>
  <c r="A2335" i="1"/>
  <c r="B2335" i="1" s="1"/>
  <c r="C2335" i="1" s="1"/>
  <c r="G2335" i="1" s="1"/>
  <c r="A2336" i="1"/>
  <c r="B2336" i="1" s="1"/>
  <c r="C2336" i="1" s="1"/>
  <c r="G2336" i="1" s="1"/>
  <c r="A2337" i="1"/>
  <c r="B2337" i="1" s="1"/>
  <c r="C2337" i="1" s="1"/>
  <c r="G2337" i="1" s="1"/>
  <c r="A2338" i="1"/>
  <c r="B2338" i="1" s="1"/>
  <c r="C2338" i="1" s="1"/>
  <c r="G2338" i="1" s="1"/>
  <c r="A2339" i="1"/>
  <c r="B2339" i="1" s="1"/>
  <c r="C2339" i="1" s="1"/>
  <c r="G2339" i="1" s="1"/>
  <c r="A2340" i="1"/>
  <c r="B2340" i="1" s="1"/>
  <c r="C2340" i="1" s="1"/>
  <c r="G2340" i="1" s="1"/>
  <c r="A2341" i="1"/>
  <c r="B2341" i="1" s="1"/>
  <c r="C2341" i="1" s="1"/>
  <c r="G2341" i="1" s="1"/>
  <c r="A2342" i="1"/>
  <c r="B2342" i="1" s="1"/>
  <c r="C2342" i="1" s="1"/>
  <c r="G2342" i="1" s="1"/>
  <c r="A2343" i="1"/>
  <c r="B2343" i="1" s="1"/>
  <c r="C2343" i="1" s="1"/>
  <c r="G2343" i="1" s="1"/>
  <c r="A2344" i="1"/>
  <c r="B2344" i="1" s="1"/>
  <c r="C2344" i="1" s="1"/>
  <c r="G2344" i="1" s="1"/>
  <c r="A2345" i="1"/>
  <c r="B2345" i="1" s="1"/>
  <c r="C2345" i="1" s="1"/>
  <c r="G2345" i="1" s="1"/>
  <c r="A2346" i="1"/>
  <c r="B2346" i="1" s="1"/>
  <c r="C2346" i="1" s="1"/>
  <c r="G2346" i="1" s="1"/>
  <c r="A2347" i="1"/>
  <c r="B2347" i="1" s="1"/>
  <c r="C2347" i="1" s="1"/>
  <c r="G2347" i="1" s="1"/>
  <c r="A2348" i="1"/>
  <c r="B2348" i="1" s="1"/>
  <c r="C2348" i="1" s="1"/>
  <c r="G2348" i="1" s="1"/>
  <c r="A2349" i="1"/>
  <c r="B2349" i="1" s="1"/>
  <c r="C2349" i="1" s="1"/>
  <c r="G2349" i="1" s="1"/>
  <c r="A2350" i="1"/>
  <c r="B2350" i="1" s="1"/>
  <c r="C2350" i="1" s="1"/>
  <c r="G2350" i="1" s="1"/>
  <c r="A2351" i="1"/>
  <c r="B2351" i="1" s="1"/>
  <c r="C2351" i="1" s="1"/>
  <c r="G2351" i="1" s="1"/>
  <c r="A2352" i="1"/>
  <c r="B2352" i="1" s="1"/>
  <c r="C2352" i="1" s="1"/>
  <c r="G2352" i="1" s="1"/>
  <c r="A2353" i="1"/>
  <c r="B2353" i="1" s="1"/>
  <c r="C2353" i="1" s="1"/>
  <c r="G2353" i="1" s="1"/>
  <c r="A2354" i="1"/>
  <c r="B2354" i="1" s="1"/>
  <c r="C2354" i="1" s="1"/>
  <c r="G2354" i="1" s="1"/>
  <c r="A2355" i="1"/>
  <c r="B2355" i="1" s="1"/>
  <c r="C2355" i="1" s="1"/>
  <c r="G2355" i="1" s="1"/>
  <c r="A2356" i="1"/>
  <c r="B2356" i="1" s="1"/>
  <c r="C2356" i="1" s="1"/>
  <c r="G2356" i="1" s="1"/>
  <c r="A2357" i="1"/>
  <c r="B2357" i="1" s="1"/>
  <c r="C2357" i="1" s="1"/>
  <c r="G2357" i="1" s="1"/>
  <c r="A2358" i="1"/>
  <c r="B2358" i="1" s="1"/>
  <c r="C2358" i="1" s="1"/>
  <c r="G2358" i="1" s="1"/>
  <c r="A2359" i="1"/>
  <c r="B2359" i="1" s="1"/>
  <c r="C2359" i="1" s="1"/>
  <c r="G2359" i="1" s="1"/>
  <c r="A2360" i="1"/>
  <c r="B2360" i="1" s="1"/>
  <c r="C2360" i="1" s="1"/>
  <c r="G2360" i="1" s="1"/>
  <c r="A2361" i="1"/>
  <c r="B2361" i="1" s="1"/>
  <c r="C2361" i="1" s="1"/>
  <c r="G2361" i="1" s="1"/>
  <c r="A2362" i="1"/>
  <c r="B2362" i="1" s="1"/>
  <c r="C2362" i="1" s="1"/>
  <c r="G2362" i="1" s="1"/>
  <c r="A2363" i="1"/>
  <c r="B2363" i="1" s="1"/>
  <c r="C2363" i="1" s="1"/>
  <c r="G2363" i="1" s="1"/>
  <c r="A2364" i="1"/>
  <c r="B2364" i="1" s="1"/>
  <c r="C2364" i="1" s="1"/>
  <c r="G2364" i="1" s="1"/>
  <c r="A2365" i="1"/>
  <c r="B2365" i="1" s="1"/>
  <c r="C2365" i="1" s="1"/>
  <c r="G2365" i="1" s="1"/>
  <c r="A2366" i="1"/>
  <c r="B2366" i="1" s="1"/>
  <c r="C2366" i="1" s="1"/>
  <c r="G2366" i="1" s="1"/>
  <c r="A2367" i="1"/>
  <c r="B2367" i="1" s="1"/>
  <c r="C2367" i="1" s="1"/>
  <c r="G2367" i="1" s="1"/>
  <c r="A2368" i="1"/>
  <c r="B2368" i="1" s="1"/>
  <c r="C2368" i="1" s="1"/>
  <c r="G2368" i="1" s="1"/>
  <c r="A2369" i="1"/>
  <c r="B2369" i="1" s="1"/>
  <c r="C2369" i="1" s="1"/>
  <c r="G2369" i="1" s="1"/>
  <c r="A2370" i="1"/>
  <c r="B2370" i="1" s="1"/>
  <c r="C2370" i="1" s="1"/>
  <c r="G2370" i="1" s="1"/>
  <c r="A2371" i="1"/>
  <c r="B2371" i="1" s="1"/>
  <c r="C2371" i="1" s="1"/>
  <c r="G2371" i="1" s="1"/>
  <c r="A2372" i="1"/>
  <c r="B2372" i="1" s="1"/>
  <c r="C2372" i="1" s="1"/>
  <c r="G2372" i="1" s="1"/>
  <c r="A2373" i="1"/>
  <c r="B2373" i="1" s="1"/>
  <c r="C2373" i="1" s="1"/>
  <c r="G2373" i="1" s="1"/>
  <c r="A2374" i="1"/>
  <c r="B2374" i="1" s="1"/>
  <c r="C2374" i="1" s="1"/>
  <c r="G2374" i="1" s="1"/>
  <c r="A2375" i="1"/>
  <c r="B2375" i="1" s="1"/>
  <c r="C2375" i="1" s="1"/>
  <c r="G2375" i="1" s="1"/>
  <c r="A2376" i="1"/>
  <c r="B2376" i="1" s="1"/>
  <c r="C2376" i="1" s="1"/>
  <c r="G2376" i="1" s="1"/>
  <c r="A2377" i="1"/>
  <c r="B2377" i="1" s="1"/>
  <c r="C2377" i="1" s="1"/>
  <c r="G2377" i="1" s="1"/>
  <c r="A2378" i="1"/>
  <c r="B2378" i="1" s="1"/>
  <c r="C2378" i="1" s="1"/>
  <c r="G2378" i="1" s="1"/>
  <c r="A2379" i="1"/>
  <c r="B2379" i="1" s="1"/>
  <c r="C2379" i="1" s="1"/>
  <c r="G2379" i="1" s="1"/>
  <c r="A2380" i="1"/>
  <c r="B2380" i="1" s="1"/>
  <c r="C2380" i="1" s="1"/>
  <c r="G2380" i="1" s="1"/>
  <c r="A2381" i="1"/>
  <c r="B2381" i="1" s="1"/>
  <c r="C2381" i="1" s="1"/>
  <c r="G2381" i="1" s="1"/>
  <c r="A2382" i="1"/>
  <c r="B2382" i="1" s="1"/>
  <c r="C2382" i="1" s="1"/>
  <c r="G2382" i="1" s="1"/>
  <c r="A2383" i="1"/>
  <c r="B2383" i="1" s="1"/>
  <c r="C2383" i="1" s="1"/>
  <c r="G2383" i="1" s="1"/>
  <c r="A2384" i="1"/>
  <c r="B2384" i="1" s="1"/>
  <c r="C2384" i="1" s="1"/>
  <c r="G2384" i="1" s="1"/>
  <c r="A2385" i="1"/>
  <c r="B2385" i="1" s="1"/>
  <c r="C2385" i="1" s="1"/>
  <c r="G2385" i="1" s="1"/>
  <c r="A2386" i="1"/>
  <c r="B2386" i="1" s="1"/>
  <c r="C2386" i="1" s="1"/>
  <c r="G2386" i="1" s="1"/>
  <c r="A2387" i="1"/>
  <c r="B2387" i="1" s="1"/>
  <c r="C2387" i="1" s="1"/>
  <c r="G2387" i="1" s="1"/>
  <c r="A2388" i="1"/>
  <c r="B2388" i="1" s="1"/>
  <c r="C2388" i="1" s="1"/>
  <c r="G2388" i="1" s="1"/>
  <c r="A2389" i="1"/>
  <c r="B2389" i="1" s="1"/>
  <c r="C2389" i="1" s="1"/>
  <c r="G2389" i="1" s="1"/>
  <c r="A2390" i="1"/>
  <c r="B2390" i="1" s="1"/>
  <c r="C2390" i="1" s="1"/>
  <c r="G2390" i="1" s="1"/>
  <c r="A2391" i="1"/>
  <c r="B2391" i="1" s="1"/>
  <c r="C2391" i="1" s="1"/>
  <c r="G2391" i="1" s="1"/>
  <c r="A2392" i="1"/>
  <c r="B2392" i="1" s="1"/>
  <c r="C2392" i="1" s="1"/>
  <c r="G2392" i="1" s="1"/>
  <c r="A2393" i="1"/>
  <c r="B2393" i="1" s="1"/>
  <c r="C2393" i="1" s="1"/>
  <c r="G2393" i="1" s="1"/>
  <c r="A2394" i="1"/>
  <c r="B2394" i="1" s="1"/>
  <c r="C2394" i="1" s="1"/>
  <c r="G2394" i="1" s="1"/>
  <c r="A2395" i="1"/>
  <c r="B2395" i="1" s="1"/>
  <c r="C2395" i="1" s="1"/>
  <c r="G2395" i="1" s="1"/>
  <c r="A2396" i="1"/>
  <c r="B2396" i="1" s="1"/>
  <c r="C2396" i="1" s="1"/>
  <c r="G2396" i="1" s="1"/>
  <c r="A2397" i="1"/>
  <c r="B2397" i="1" s="1"/>
  <c r="C2397" i="1" s="1"/>
  <c r="G2397" i="1" s="1"/>
  <c r="A2399" i="1"/>
  <c r="B2399" i="1" s="1"/>
  <c r="C2399" i="1" s="1"/>
  <c r="G2399" i="1" s="1"/>
  <c r="A2400" i="1"/>
  <c r="B2400" i="1" s="1"/>
  <c r="C2400" i="1" s="1"/>
  <c r="G2400" i="1" s="1"/>
  <c r="A2401" i="1"/>
  <c r="B2401" i="1" s="1"/>
  <c r="C2401" i="1" s="1"/>
  <c r="G2401" i="1" s="1"/>
  <c r="A2402" i="1"/>
  <c r="B2402" i="1" s="1"/>
  <c r="C2402" i="1" s="1"/>
  <c r="G2402" i="1" s="1"/>
  <c r="A2403" i="1"/>
  <c r="B2403" i="1" s="1"/>
  <c r="C2403" i="1" s="1"/>
  <c r="G2403" i="1" s="1"/>
  <c r="A2404" i="1"/>
  <c r="B2404" i="1" s="1"/>
  <c r="C2404" i="1" s="1"/>
  <c r="G2404" i="1" s="1"/>
  <c r="A2405" i="1"/>
  <c r="B2405" i="1" s="1"/>
  <c r="C2405" i="1" s="1"/>
  <c r="G2405" i="1" s="1"/>
  <c r="A2407" i="1"/>
  <c r="B2407" i="1" s="1"/>
  <c r="C2407" i="1" s="1"/>
  <c r="G2407" i="1" s="1"/>
  <c r="A2408" i="1"/>
  <c r="B2408" i="1" s="1"/>
  <c r="C2408" i="1" s="1"/>
  <c r="G2408" i="1" s="1"/>
  <c r="A2409" i="1"/>
  <c r="B2409" i="1" s="1"/>
  <c r="C2409" i="1" s="1"/>
  <c r="G2409" i="1" s="1"/>
  <c r="A2410" i="1"/>
  <c r="B2410" i="1" s="1"/>
  <c r="C2410" i="1" s="1"/>
  <c r="G2410" i="1" s="1"/>
  <c r="A2411" i="1"/>
  <c r="B2411" i="1" s="1"/>
  <c r="C2411" i="1" s="1"/>
  <c r="G2411" i="1" s="1"/>
  <c r="A2412" i="1"/>
  <c r="B2412" i="1" s="1"/>
  <c r="C2412" i="1" s="1"/>
  <c r="G2412" i="1" s="1"/>
  <c r="A2413" i="1"/>
  <c r="B2413" i="1" s="1"/>
  <c r="C2413" i="1" s="1"/>
  <c r="G2413" i="1" s="1"/>
  <c r="A2415" i="1"/>
  <c r="B2415" i="1" s="1"/>
  <c r="C2415" i="1" s="1"/>
  <c r="G2415" i="1" s="1"/>
  <c r="A2416" i="1"/>
  <c r="B2416" i="1" s="1"/>
  <c r="C2416" i="1" s="1"/>
  <c r="G2416" i="1" s="1"/>
  <c r="A2417" i="1"/>
  <c r="B2417" i="1" s="1"/>
  <c r="C2417" i="1" s="1"/>
  <c r="G2417" i="1" s="1"/>
  <c r="A2418" i="1"/>
  <c r="B2418" i="1" s="1"/>
  <c r="C2418" i="1" s="1"/>
  <c r="G2418" i="1" s="1"/>
  <c r="A2419" i="1"/>
  <c r="B2419" i="1" s="1"/>
  <c r="C2419" i="1" s="1"/>
  <c r="G2419" i="1" s="1"/>
  <c r="A2420" i="1"/>
  <c r="B2420" i="1" s="1"/>
  <c r="C2420" i="1" s="1"/>
  <c r="G2420" i="1" s="1"/>
  <c r="A2421" i="1"/>
  <c r="B2421" i="1" s="1"/>
  <c r="C2421" i="1" s="1"/>
  <c r="G2421" i="1" s="1"/>
  <c r="A867" i="1"/>
  <c r="B867" i="1" s="1"/>
  <c r="C867" i="1" s="1"/>
  <c r="G867" i="1" s="1"/>
  <c r="A815" i="1"/>
  <c r="B815" i="1" s="1"/>
  <c r="C815" i="1" s="1"/>
  <c r="G815" i="1" s="1"/>
  <c r="A823" i="1"/>
  <c r="B823" i="1" s="1"/>
  <c r="G823" i="1" s="1"/>
  <c r="A831" i="1"/>
  <c r="B831" i="1" s="1"/>
  <c r="C831" i="1" s="1"/>
  <c r="G831" i="1" s="1"/>
  <c r="A803" i="1"/>
  <c r="B803" i="1" s="1"/>
  <c r="C803" i="1" s="1"/>
  <c r="G803" i="1" s="1"/>
  <c r="A791" i="1"/>
  <c r="B791" i="1" s="1"/>
  <c r="C791" i="1" s="1"/>
  <c r="G791" i="1" s="1"/>
  <c r="A792" i="1"/>
  <c r="B792" i="1" s="1"/>
  <c r="A761" i="1"/>
  <c r="B761" i="1" s="1"/>
  <c r="G761" i="1" s="1"/>
  <c r="A941" i="1"/>
  <c r="B941" i="1" s="1"/>
  <c r="G941" i="1" s="1"/>
  <c r="A933" i="1"/>
  <c r="B933" i="1" s="1"/>
  <c r="C933" i="1" s="1"/>
  <c r="G933" i="1" s="1"/>
  <c r="A925" i="1"/>
  <c r="B925" i="1" s="1"/>
  <c r="C925" i="1" s="1"/>
  <c r="G925" i="1" s="1"/>
  <c r="A917" i="1"/>
  <c r="B917" i="1" s="1"/>
  <c r="C917" i="1" s="1"/>
  <c r="G917" i="1" s="1"/>
  <c r="A909" i="1"/>
  <c r="B909" i="1" s="1"/>
  <c r="C909" i="1" s="1"/>
  <c r="G909" i="1" s="1"/>
  <c r="A901" i="1"/>
  <c r="B901" i="1" s="1"/>
  <c r="C901" i="1" s="1"/>
  <c r="G901" i="1" s="1"/>
  <c r="A893" i="1"/>
  <c r="B893" i="1" s="1"/>
  <c r="C893" i="1" s="1"/>
  <c r="G893" i="1" s="1"/>
  <c r="A885" i="1"/>
  <c r="B885" i="1" s="1"/>
  <c r="G885" i="1" s="1"/>
  <c r="A877" i="1"/>
  <c r="B877" i="1" s="1"/>
  <c r="G877" i="1" s="1"/>
  <c r="A869" i="1"/>
  <c r="B869" i="1" s="1"/>
  <c r="G869" i="1" s="1"/>
  <c r="A861" i="1"/>
  <c r="B861" i="1" s="1"/>
  <c r="C861" i="1" s="1"/>
  <c r="G861" i="1" s="1"/>
  <c r="A853" i="1"/>
  <c r="B853" i="1" s="1"/>
  <c r="C853" i="1" s="1"/>
  <c r="G853" i="1" s="1"/>
  <c r="A845" i="1"/>
  <c r="B845" i="1" s="1"/>
  <c r="C845" i="1" s="1"/>
  <c r="G845" i="1" s="1"/>
  <c r="A837" i="1"/>
  <c r="B837" i="1" s="1"/>
  <c r="C837" i="1" s="1"/>
  <c r="G837" i="1" s="1"/>
  <c r="A829" i="1"/>
  <c r="B829" i="1" s="1"/>
  <c r="G829" i="1" s="1"/>
  <c r="A821" i="1"/>
  <c r="B821" i="1" s="1"/>
  <c r="C821" i="1" s="1"/>
  <c r="G821" i="1" s="1"/>
  <c r="A813" i="1"/>
  <c r="B813" i="1" s="1"/>
  <c r="C813" i="1" s="1"/>
  <c r="G813" i="1" s="1"/>
  <c r="A805" i="1"/>
  <c r="B805" i="1" s="1"/>
  <c r="C805" i="1" s="1"/>
  <c r="G805" i="1" s="1"/>
  <c r="A797" i="1"/>
  <c r="B797" i="1" s="1"/>
  <c r="G797" i="1" s="1"/>
  <c r="A789" i="1"/>
  <c r="B789" i="1" s="1"/>
  <c r="C789" i="1" s="1"/>
  <c r="G789" i="1" s="1"/>
  <c r="A781" i="1"/>
  <c r="B781" i="1" s="1"/>
  <c r="G781" i="1" s="1"/>
  <c r="A773" i="1"/>
  <c r="B773" i="1" s="1"/>
  <c r="C773" i="1" s="1"/>
  <c r="G773" i="1" s="1"/>
  <c r="A765" i="1"/>
  <c r="B765" i="1" s="1"/>
  <c r="C765" i="1" s="1"/>
  <c r="G765" i="1" s="1"/>
  <c r="A757" i="1"/>
  <c r="B757" i="1" s="1"/>
  <c r="C757" i="1" s="1"/>
  <c r="G757" i="1" s="1"/>
  <c r="A749" i="1"/>
  <c r="B749" i="1" s="1"/>
  <c r="G749" i="1" s="1"/>
  <c r="A741" i="1"/>
  <c r="B741" i="1" s="1"/>
  <c r="G741" i="1" s="1"/>
  <c r="A733" i="1"/>
  <c r="B733" i="1" s="1"/>
  <c r="C733" i="1" s="1"/>
  <c r="G733" i="1" s="1"/>
  <c r="A725" i="1"/>
  <c r="B725" i="1" s="1"/>
  <c r="C725" i="1" s="1"/>
  <c r="G725" i="1" s="1"/>
  <c r="A717" i="1"/>
  <c r="B717" i="1" s="1"/>
  <c r="C717" i="1" s="1"/>
  <c r="G717" i="1" s="1"/>
  <c r="A709" i="1"/>
  <c r="B709" i="1" s="1"/>
  <c r="C709" i="1" s="1"/>
  <c r="G709" i="1" s="1"/>
  <c r="A701" i="1"/>
  <c r="B701" i="1" s="1"/>
  <c r="C701" i="1" s="1"/>
  <c r="G701" i="1" s="1"/>
  <c r="A693" i="1"/>
  <c r="B693" i="1" s="1"/>
  <c r="C693" i="1" s="1"/>
  <c r="G693" i="1" s="1"/>
  <c r="A685" i="1"/>
  <c r="B685" i="1" s="1"/>
  <c r="C685" i="1" s="1"/>
  <c r="G685" i="1" s="1"/>
  <c r="A677" i="1"/>
  <c r="B677" i="1" s="1"/>
  <c r="C677" i="1" s="1"/>
  <c r="G677" i="1" s="1"/>
  <c r="A669" i="1"/>
  <c r="B669" i="1" s="1"/>
  <c r="C669" i="1" s="1"/>
  <c r="G669" i="1" s="1"/>
  <c r="A661" i="1"/>
  <c r="B661" i="1" s="1"/>
  <c r="C661" i="1" s="1"/>
  <c r="G661" i="1" s="1"/>
  <c r="A653" i="1"/>
  <c r="B653" i="1" s="1"/>
  <c r="C653" i="1" s="1"/>
  <c r="G653" i="1" s="1"/>
  <c r="A645" i="1"/>
  <c r="B645" i="1" s="1"/>
  <c r="C645" i="1" s="1"/>
  <c r="G645" i="1" s="1"/>
  <c r="A637" i="1"/>
  <c r="B637" i="1" s="1"/>
  <c r="C637" i="1" s="1"/>
  <c r="G637" i="1" s="1"/>
  <c r="A629" i="1"/>
  <c r="B629" i="1" s="1"/>
  <c r="C629" i="1" s="1"/>
  <c r="G629" i="1" s="1"/>
  <c r="A621" i="1"/>
  <c r="B621" i="1" s="1"/>
  <c r="C621" i="1" s="1"/>
  <c r="G621" i="1" s="1"/>
  <c r="A613" i="1"/>
  <c r="B613" i="1" s="1"/>
  <c r="C613" i="1" s="1"/>
  <c r="G613" i="1" s="1"/>
  <c r="A605" i="1"/>
  <c r="B605" i="1" s="1"/>
  <c r="C605" i="1" s="1"/>
  <c r="G605" i="1" s="1"/>
  <c r="A597" i="1"/>
  <c r="B597" i="1" s="1"/>
  <c r="C597" i="1" s="1"/>
  <c r="G597" i="1" s="1"/>
  <c r="A589" i="1"/>
  <c r="B589" i="1" s="1"/>
  <c r="C589" i="1" s="1"/>
  <c r="G589" i="1" s="1"/>
  <c r="A581" i="1"/>
  <c r="B581" i="1" s="1"/>
  <c r="C581" i="1" s="1"/>
  <c r="G581" i="1" s="1"/>
  <c r="A573" i="1"/>
  <c r="B573" i="1" s="1"/>
  <c r="C573" i="1" s="1"/>
  <c r="G573" i="1" s="1"/>
  <c r="A565" i="1"/>
  <c r="B565" i="1" s="1"/>
  <c r="C565" i="1" s="1"/>
  <c r="G565" i="1" s="1"/>
  <c r="A557" i="1"/>
  <c r="B557" i="1" s="1"/>
  <c r="C557" i="1" s="1"/>
  <c r="G557" i="1" s="1"/>
  <c r="A549" i="1"/>
  <c r="B549" i="1" s="1"/>
  <c r="C549" i="1" s="1"/>
  <c r="G549" i="1" s="1"/>
  <c r="A541" i="1"/>
  <c r="B541" i="1" s="1"/>
  <c r="C541" i="1" s="1"/>
  <c r="G541" i="1" s="1"/>
  <c r="A533" i="1"/>
  <c r="B533" i="1" s="1"/>
  <c r="C533" i="1" s="1"/>
  <c r="G533" i="1" s="1"/>
  <c r="A525" i="1"/>
  <c r="B525" i="1" s="1"/>
  <c r="C525" i="1" s="1"/>
  <c r="G525" i="1" s="1"/>
  <c r="A517" i="1"/>
  <c r="B517" i="1" s="1"/>
  <c r="C517" i="1" s="1"/>
  <c r="G517" i="1" s="1"/>
  <c r="A509" i="1"/>
  <c r="B509" i="1" s="1"/>
  <c r="C509" i="1" s="1"/>
  <c r="G509" i="1" s="1"/>
  <c r="A501" i="1"/>
  <c r="B501" i="1" s="1"/>
  <c r="C501" i="1" s="1"/>
  <c r="G501" i="1" s="1"/>
  <c r="A493" i="1"/>
  <c r="B493" i="1" s="1"/>
  <c r="C493" i="1" s="1"/>
  <c r="G493" i="1" s="1"/>
  <c r="A485" i="1"/>
  <c r="B485" i="1" s="1"/>
  <c r="C485" i="1" s="1"/>
  <c r="G485" i="1" s="1"/>
  <c r="A477" i="1"/>
  <c r="B477" i="1" s="1"/>
  <c r="C477" i="1" s="1"/>
  <c r="G477" i="1" s="1"/>
  <c r="A469" i="1"/>
  <c r="B469" i="1" s="1"/>
  <c r="C469" i="1" s="1"/>
  <c r="G469" i="1" s="1"/>
  <c r="A461" i="1"/>
  <c r="B461" i="1" s="1"/>
  <c r="C461" i="1" s="1"/>
  <c r="G461" i="1" s="1"/>
  <c r="A453" i="1"/>
  <c r="B453" i="1" s="1"/>
  <c r="C453" i="1" s="1"/>
  <c r="G453" i="1" s="1"/>
  <c r="A445" i="1"/>
  <c r="B445" i="1" s="1"/>
  <c r="C445" i="1" s="1"/>
  <c r="G445" i="1" s="1"/>
  <c r="A437" i="1"/>
  <c r="B437" i="1" s="1"/>
  <c r="C437" i="1" s="1"/>
  <c r="G437" i="1" s="1"/>
  <c r="A429" i="1"/>
  <c r="B429" i="1" s="1"/>
  <c r="C429" i="1" s="1"/>
  <c r="G429" i="1" s="1"/>
  <c r="A421" i="1"/>
  <c r="B421" i="1" s="1"/>
  <c r="C421" i="1" s="1"/>
  <c r="G421" i="1" s="1"/>
  <c r="A413" i="1"/>
  <c r="B413" i="1" s="1"/>
  <c r="C413" i="1" s="1"/>
  <c r="G413" i="1" s="1"/>
  <c r="A405" i="1"/>
  <c r="B405" i="1" s="1"/>
  <c r="C405" i="1" s="1"/>
  <c r="G405" i="1" s="1"/>
  <c r="A397" i="1"/>
  <c r="B397" i="1" s="1"/>
  <c r="C397" i="1" s="1"/>
  <c r="G397" i="1" s="1"/>
  <c r="A389" i="1"/>
  <c r="B389" i="1" s="1"/>
  <c r="C389" i="1" s="1"/>
  <c r="G389" i="1" s="1"/>
  <c r="A381" i="1"/>
  <c r="B381" i="1" s="1"/>
  <c r="C381" i="1" s="1"/>
  <c r="G381" i="1" s="1"/>
  <c r="A373" i="1"/>
  <c r="B373" i="1" s="1"/>
  <c r="C373" i="1" s="1"/>
  <c r="G373" i="1" s="1"/>
  <c r="A365" i="1"/>
  <c r="B365" i="1" s="1"/>
  <c r="C365" i="1" s="1"/>
  <c r="G365" i="1" s="1"/>
  <c r="A357" i="1"/>
  <c r="B357" i="1" s="1"/>
  <c r="C357" i="1" s="1"/>
  <c r="G357" i="1" s="1"/>
  <c r="A349" i="1"/>
  <c r="B349" i="1" s="1"/>
  <c r="C349" i="1" s="1"/>
  <c r="G349" i="1" s="1"/>
  <c r="A341" i="1"/>
  <c r="B341" i="1" s="1"/>
  <c r="C341" i="1" s="1"/>
  <c r="G341" i="1" s="1"/>
  <c r="A333" i="1"/>
  <c r="B333" i="1" s="1"/>
  <c r="C333" i="1" s="1"/>
  <c r="G333" i="1" s="1"/>
  <c r="A325" i="1"/>
  <c r="B325" i="1" s="1"/>
  <c r="C325" i="1" s="1"/>
  <c r="G325" i="1" s="1"/>
  <c r="A317" i="1"/>
  <c r="B317" i="1" s="1"/>
  <c r="C317" i="1" s="1"/>
  <c r="G317" i="1" s="1"/>
  <c r="A309" i="1"/>
  <c r="B309" i="1" s="1"/>
  <c r="C309" i="1" s="1"/>
  <c r="A301" i="1"/>
  <c r="B301" i="1" s="1"/>
  <c r="C301" i="1" s="1"/>
  <c r="G301" i="1" s="1"/>
  <c r="A293" i="1"/>
  <c r="B293" i="1" s="1"/>
  <c r="C293" i="1" s="1"/>
  <c r="G293" i="1" s="1"/>
  <c r="A285" i="1"/>
  <c r="B285" i="1" s="1"/>
  <c r="C285" i="1" s="1"/>
  <c r="G285" i="1" s="1"/>
  <c r="A277" i="1"/>
  <c r="B277" i="1" s="1"/>
  <c r="C277" i="1" s="1"/>
  <c r="G277" i="1" s="1"/>
  <c r="A269" i="1"/>
  <c r="B269" i="1" s="1"/>
  <c r="C269" i="1" s="1"/>
  <c r="G269" i="1" s="1"/>
  <c r="A261" i="1"/>
  <c r="B261" i="1" s="1"/>
  <c r="C261" i="1" s="1"/>
  <c r="G261" i="1" s="1"/>
  <c r="A253" i="1"/>
  <c r="B253" i="1" s="1"/>
  <c r="C253" i="1" s="1"/>
  <c r="G253" i="1" s="1"/>
  <c r="A245" i="1"/>
  <c r="B245" i="1" s="1"/>
  <c r="C245" i="1" s="1"/>
  <c r="G245" i="1" s="1"/>
  <c r="A237" i="1"/>
  <c r="B237" i="1" s="1"/>
  <c r="C237" i="1" s="1"/>
  <c r="G237" i="1" s="1"/>
  <c r="A229" i="1"/>
  <c r="B229" i="1" s="1"/>
  <c r="C229" i="1" s="1"/>
  <c r="G229" i="1" s="1"/>
  <c r="A221" i="1"/>
  <c r="B221" i="1" s="1"/>
  <c r="C221" i="1" s="1"/>
  <c r="G221" i="1" s="1"/>
  <c r="A213" i="1"/>
  <c r="B213" i="1" s="1"/>
  <c r="C213" i="1" s="1"/>
  <c r="G213" i="1" s="1"/>
  <c r="A205" i="1"/>
  <c r="B205" i="1" s="1"/>
  <c r="C205" i="1" s="1"/>
  <c r="G205" i="1" s="1"/>
  <c r="A197" i="1"/>
  <c r="B197" i="1" s="1"/>
  <c r="C197" i="1" s="1"/>
  <c r="G197" i="1" s="1"/>
  <c r="A189" i="1"/>
  <c r="B189" i="1" s="1"/>
  <c r="C189" i="1" s="1"/>
  <c r="G189" i="1" s="1"/>
  <c r="A181" i="1"/>
  <c r="B181" i="1" s="1"/>
  <c r="C181" i="1" s="1"/>
  <c r="G181" i="1" s="1"/>
  <c r="A173" i="1"/>
  <c r="B173" i="1" s="1"/>
  <c r="C173" i="1" s="1"/>
  <c r="G173" i="1" s="1"/>
  <c r="A165" i="1"/>
  <c r="B165" i="1" s="1"/>
  <c r="C165" i="1" s="1"/>
  <c r="G165" i="1" s="1"/>
  <c r="A157" i="1"/>
  <c r="B157" i="1" s="1"/>
  <c r="C157" i="1" s="1"/>
  <c r="G157" i="1" s="1"/>
  <c r="A149" i="1"/>
  <c r="B149" i="1" s="1"/>
  <c r="C149" i="1" s="1"/>
  <c r="G149" i="1" s="1"/>
  <c r="A141" i="1"/>
  <c r="B141" i="1" s="1"/>
  <c r="C141" i="1" s="1"/>
  <c r="G141" i="1" s="1"/>
  <c r="A133" i="1"/>
  <c r="B133" i="1" s="1"/>
  <c r="C133" i="1" s="1"/>
  <c r="G133" i="1" s="1"/>
  <c r="A125" i="1"/>
  <c r="B125" i="1" s="1"/>
  <c r="C125" i="1" s="1"/>
  <c r="G125" i="1" s="1"/>
  <c r="A117" i="1"/>
  <c r="B117" i="1" s="1"/>
  <c r="C117" i="1" s="1"/>
  <c r="G117" i="1" s="1"/>
  <c r="A109" i="1"/>
  <c r="B109" i="1" s="1"/>
  <c r="C109" i="1" s="1"/>
  <c r="G109" i="1" s="1"/>
  <c r="A101" i="1"/>
  <c r="B101" i="1" s="1"/>
  <c r="C101" i="1" s="1"/>
  <c r="G101" i="1" s="1"/>
  <c r="A93" i="1"/>
  <c r="B93" i="1" s="1"/>
  <c r="C93" i="1" s="1"/>
  <c r="G93" i="1" s="1"/>
  <c r="A85" i="1"/>
  <c r="B85" i="1" s="1"/>
  <c r="C85" i="1" s="1"/>
  <c r="G85" i="1" s="1"/>
  <c r="A77" i="1"/>
  <c r="B77" i="1" s="1"/>
  <c r="C77" i="1" s="1"/>
  <c r="G77" i="1" s="1"/>
  <c r="A69" i="1"/>
  <c r="B69" i="1" s="1"/>
  <c r="C69" i="1" s="1"/>
  <c r="G69" i="1" s="1"/>
  <c r="A61" i="1"/>
  <c r="B61" i="1" s="1"/>
  <c r="C61" i="1" s="1"/>
  <c r="G61" i="1" s="1"/>
  <c r="A53" i="1"/>
  <c r="B53" i="1" s="1"/>
  <c r="C53" i="1" s="1"/>
  <c r="G53" i="1" s="1"/>
  <c r="A45" i="1"/>
  <c r="B45" i="1" s="1"/>
  <c r="C45" i="1" s="1"/>
  <c r="G45" i="1" s="1"/>
  <c r="A37" i="1"/>
  <c r="B37" i="1" s="1"/>
  <c r="C37" i="1" s="1"/>
  <c r="G37" i="1" s="1"/>
  <c r="A29" i="1"/>
  <c r="B29" i="1" s="1"/>
  <c r="C29" i="1" s="1"/>
  <c r="G29" i="1" s="1"/>
  <c r="A21" i="1"/>
  <c r="B21" i="1" s="1"/>
  <c r="C21" i="1" s="1"/>
  <c r="G21" i="1" s="1"/>
  <c r="A13" i="1"/>
  <c r="B13" i="1" s="1"/>
  <c r="C13" i="1" s="1"/>
  <c r="G13" i="1" s="1"/>
  <c r="A5" i="1"/>
  <c r="B5" i="1" s="1"/>
  <c r="C5" i="1" s="1"/>
  <c r="G5" i="1" s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A3" i="1"/>
  <c r="B3" i="1" s="1"/>
  <c r="C3" i="1" s="1"/>
  <c r="G3" i="1" s="1"/>
  <c r="A4" i="1"/>
  <c r="B4" i="1" s="1"/>
  <c r="C4" i="1" s="1"/>
  <c r="G4" i="1" s="1"/>
  <c r="A6" i="1"/>
  <c r="B6" i="1" s="1"/>
  <c r="C6" i="1" s="1"/>
  <c r="G6" i="1" s="1"/>
  <c r="A7" i="1"/>
  <c r="B7" i="1" s="1"/>
  <c r="C7" i="1" s="1"/>
  <c r="G7" i="1" s="1"/>
  <c r="A8" i="1"/>
  <c r="B8" i="1" s="1"/>
  <c r="C8" i="1" s="1"/>
  <c r="G8" i="1" s="1"/>
  <c r="A9" i="1"/>
  <c r="B9" i="1" s="1"/>
  <c r="C9" i="1" s="1"/>
  <c r="G9" i="1" s="1"/>
  <c r="A10" i="1"/>
  <c r="B10" i="1" s="1"/>
  <c r="C10" i="1" s="1"/>
  <c r="G10" i="1" s="1"/>
  <c r="A11" i="1"/>
  <c r="B11" i="1" s="1"/>
  <c r="C11" i="1" s="1"/>
  <c r="G11" i="1" s="1"/>
  <c r="A12" i="1"/>
  <c r="B12" i="1" s="1"/>
  <c r="C12" i="1" s="1"/>
  <c r="G12" i="1" s="1"/>
  <c r="A14" i="1"/>
  <c r="B14" i="1" s="1"/>
  <c r="C14" i="1" s="1"/>
  <c r="G14" i="1" s="1"/>
  <c r="A15" i="1"/>
  <c r="B15" i="1" s="1"/>
  <c r="C15" i="1" s="1"/>
  <c r="G15" i="1" s="1"/>
  <c r="A16" i="1"/>
  <c r="B16" i="1" s="1"/>
  <c r="C16" i="1" s="1"/>
  <c r="G16" i="1" s="1"/>
  <c r="A17" i="1"/>
  <c r="B17" i="1" s="1"/>
  <c r="C17" i="1" s="1"/>
  <c r="G17" i="1" s="1"/>
  <c r="A18" i="1"/>
  <c r="B18" i="1" s="1"/>
  <c r="C18" i="1" s="1"/>
  <c r="G18" i="1" s="1"/>
  <c r="A19" i="1"/>
  <c r="B19" i="1" s="1"/>
  <c r="C19" i="1" s="1"/>
  <c r="G19" i="1" s="1"/>
  <c r="A20" i="1"/>
  <c r="B20" i="1" s="1"/>
  <c r="C20" i="1" s="1"/>
  <c r="G20" i="1" s="1"/>
  <c r="A22" i="1"/>
  <c r="B22" i="1" s="1"/>
  <c r="C22" i="1" s="1"/>
  <c r="G22" i="1" s="1"/>
  <c r="A23" i="1"/>
  <c r="B23" i="1" s="1"/>
  <c r="C23" i="1" s="1"/>
  <c r="G23" i="1" s="1"/>
  <c r="A24" i="1"/>
  <c r="B24" i="1" s="1"/>
  <c r="C24" i="1" s="1"/>
  <c r="G24" i="1" s="1"/>
  <c r="A25" i="1"/>
  <c r="B25" i="1" s="1"/>
  <c r="C25" i="1" s="1"/>
  <c r="G25" i="1" s="1"/>
  <c r="A26" i="1"/>
  <c r="B26" i="1" s="1"/>
  <c r="C26" i="1" s="1"/>
  <c r="G26" i="1" s="1"/>
  <c r="A27" i="1"/>
  <c r="B27" i="1" s="1"/>
  <c r="C27" i="1" s="1"/>
  <c r="G27" i="1" s="1"/>
  <c r="A28" i="1"/>
  <c r="B28" i="1" s="1"/>
  <c r="C28" i="1" s="1"/>
  <c r="G28" i="1" s="1"/>
  <c r="A30" i="1"/>
  <c r="B30" i="1" s="1"/>
  <c r="C30" i="1" s="1"/>
  <c r="G30" i="1" s="1"/>
  <c r="A31" i="1"/>
  <c r="B31" i="1" s="1"/>
  <c r="C31" i="1" s="1"/>
  <c r="G31" i="1" s="1"/>
  <c r="A32" i="1"/>
  <c r="B32" i="1" s="1"/>
  <c r="C32" i="1" s="1"/>
  <c r="G32" i="1" s="1"/>
  <c r="A33" i="1"/>
  <c r="B33" i="1" s="1"/>
  <c r="C33" i="1" s="1"/>
  <c r="G33" i="1" s="1"/>
  <c r="A34" i="1"/>
  <c r="B34" i="1" s="1"/>
  <c r="C34" i="1" s="1"/>
  <c r="G34" i="1" s="1"/>
  <c r="A35" i="1"/>
  <c r="B35" i="1" s="1"/>
  <c r="C35" i="1" s="1"/>
  <c r="G35" i="1" s="1"/>
  <c r="A36" i="1"/>
  <c r="B36" i="1" s="1"/>
  <c r="C36" i="1" s="1"/>
  <c r="G36" i="1" s="1"/>
  <c r="A38" i="1"/>
  <c r="B38" i="1" s="1"/>
  <c r="C38" i="1" s="1"/>
  <c r="G38" i="1" s="1"/>
  <c r="A39" i="1"/>
  <c r="B39" i="1" s="1"/>
  <c r="C39" i="1" s="1"/>
  <c r="G39" i="1" s="1"/>
  <c r="A40" i="1"/>
  <c r="B40" i="1" s="1"/>
  <c r="C40" i="1" s="1"/>
  <c r="G40" i="1" s="1"/>
  <c r="A41" i="1"/>
  <c r="B41" i="1" s="1"/>
  <c r="C41" i="1" s="1"/>
  <c r="G41" i="1" s="1"/>
  <c r="A42" i="1"/>
  <c r="B42" i="1" s="1"/>
  <c r="C42" i="1" s="1"/>
  <c r="G42" i="1" s="1"/>
  <c r="A43" i="1"/>
  <c r="B43" i="1" s="1"/>
  <c r="C43" i="1" s="1"/>
  <c r="G43" i="1" s="1"/>
  <c r="A44" i="1"/>
  <c r="B44" i="1" s="1"/>
  <c r="C44" i="1" s="1"/>
  <c r="G44" i="1" s="1"/>
  <c r="A46" i="1"/>
  <c r="B46" i="1" s="1"/>
  <c r="C46" i="1" s="1"/>
  <c r="G46" i="1" s="1"/>
  <c r="A47" i="1"/>
  <c r="B47" i="1" s="1"/>
  <c r="C47" i="1" s="1"/>
  <c r="G47" i="1" s="1"/>
  <c r="A48" i="1"/>
  <c r="B48" i="1" s="1"/>
  <c r="C48" i="1" s="1"/>
  <c r="G48" i="1" s="1"/>
  <c r="A49" i="1"/>
  <c r="B49" i="1" s="1"/>
  <c r="C49" i="1" s="1"/>
  <c r="G49" i="1" s="1"/>
  <c r="A50" i="1"/>
  <c r="B50" i="1" s="1"/>
  <c r="C50" i="1" s="1"/>
  <c r="G50" i="1" s="1"/>
  <c r="A51" i="1"/>
  <c r="B51" i="1" s="1"/>
  <c r="C51" i="1" s="1"/>
  <c r="G51" i="1" s="1"/>
  <c r="A52" i="1"/>
  <c r="B52" i="1" s="1"/>
  <c r="C52" i="1" s="1"/>
  <c r="G52" i="1" s="1"/>
  <c r="A54" i="1"/>
  <c r="B54" i="1" s="1"/>
  <c r="C54" i="1" s="1"/>
  <c r="G54" i="1" s="1"/>
  <c r="A55" i="1"/>
  <c r="B55" i="1" s="1"/>
  <c r="C55" i="1" s="1"/>
  <c r="G55" i="1" s="1"/>
  <c r="A56" i="1"/>
  <c r="B56" i="1" s="1"/>
  <c r="C56" i="1" s="1"/>
  <c r="G56" i="1" s="1"/>
  <c r="A57" i="1"/>
  <c r="B57" i="1" s="1"/>
  <c r="C57" i="1" s="1"/>
  <c r="G57" i="1" s="1"/>
  <c r="A58" i="1"/>
  <c r="B58" i="1" s="1"/>
  <c r="C58" i="1" s="1"/>
  <c r="G58" i="1" s="1"/>
  <c r="A59" i="1"/>
  <c r="B59" i="1" s="1"/>
  <c r="C59" i="1" s="1"/>
  <c r="G59" i="1" s="1"/>
  <c r="A60" i="1"/>
  <c r="B60" i="1" s="1"/>
  <c r="C60" i="1" s="1"/>
  <c r="G60" i="1" s="1"/>
  <c r="A62" i="1"/>
  <c r="B62" i="1" s="1"/>
  <c r="C62" i="1" s="1"/>
  <c r="G62" i="1" s="1"/>
  <c r="A63" i="1"/>
  <c r="B63" i="1" s="1"/>
  <c r="C63" i="1" s="1"/>
  <c r="G63" i="1" s="1"/>
  <c r="A64" i="1"/>
  <c r="B64" i="1" s="1"/>
  <c r="C64" i="1" s="1"/>
  <c r="G64" i="1" s="1"/>
  <c r="A65" i="1"/>
  <c r="B65" i="1" s="1"/>
  <c r="C65" i="1" s="1"/>
  <c r="G65" i="1" s="1"/>
  <c r="A66" i="1"/>
  <c r="B66" i="1" s="1"/>
  <c r="C66" i="1" s="1"/>
  <c r="G66" i="1" s="1"/>
  <c r="A67" i="1"/>
  <c r="B67" i="1" s="1"/>
  <c r="C67" i="1" s="1"/>
  <c r="G67" i="1" s="1"/>
  <c r="A68" i="1"/>
  <c r="B68" i="1" s="1"/>
  <c r="C68" i="1" s="1"/>
  <c r="G68" i="1" s="1"/>
  <c r="A70" i="1"/>
  <c r="B70" i="1" s="1"/>
  <c r="C70" i="1" s="1"/>
  <c r="G70" i="1" s="1"/>
  <c r="A71" i="1"/>
  <c r="B71" i="1" s="1"/>
  <c r="C71" i="1" s="1"/>
  <c r="G71" i="1" s="1"/>
  <c r="A72" i="1"/>
  <c r="B72" i="1" s="1"/>
  <c r="C72" i="1" s="1"/>
  <c r="G72" i="1" s="1"/>
  <c r="A73" i="1"/>
  <c r="B73" i="1" s="1"/>
  <c r="C73" i="1" s="1"/>
  <c r="G73" i="1" s="1"/>
  <c r="A74" i="1"/>
  <c r="B74" i="1" s="1"/>
  <c r="C74" i="1" s="1"/>
  <c r="G74" i="1" s="1"/>
  <c r="A75" i="1"/>
  <c r="B75" i="1" s="1"/>
  <c r="C75" i="1" s="1"/>
  <c r="G75" i="1" s="1"/>
  <c r="A76" i="1"/>
  <c r="B76" i="1" s="1"/>
  <c r="C76" i="1" s="1"/>
  <c r="G76" i="1" s="1"/>
  <c r="A78" i="1"/>
  <c r="B78" i="1" s="1"/>
  <c r="C78" i="1" s="1"/>
  <c r="G78" i="1" s="1"/>
  <c r="A79" i="1"/>
  <c r="B79" i="1" s="1"/>
  <c r="C79" i="1" s="1"/>
  <c r="G79" i="1" s="1"/>
  <c r="A80" i="1"/>
  <c r="B80" i="1" s="1"/>
  <c r="C80" i="1" s="1"/>
  <c r="G80" i="1" s="1"/>
  <c r="A81" i="1"/>
  <c r="B81" i="1" s="1"/>
  <c r="C81" i="1" s="1"/>
  <c r="G81" i="1" s="1"/>
  <c r="A82" i="1"/>
  <c r="B82" i="1" s="1"/>
  <c r="C82" i="1" s="1"/>
  <c r="G82" i="1" s="1"/>
  <c r="A83" i="1"/>
  <c r="B83" i="1" s="1"/>
  <c r="C83" i="1" s="1"/>
  <c r="G83" i="1" s="1"/>
  <c r="A84" i="1"/>
  <c r="B84" i="1" s="1"/>
  <c r="C84" i="1" s="1"/>
  <c r="G84" i="1" s="1"/>
  <c r="A86" i="1"/>
  <c r="B86" i="1" s="1"/>
  <c r="C86" i="1" s="1"/>
  <c r="G86" i="1" s="1"/>
  <c r="A87" i="1"/>
  <c r="B87" i="1" s="1"/>
  <c r="C87" i="1" s="1"/>
  <c r="G87" i="1" s="1"/>
  <c r="A88" i="1"/>
  <c r="B88" i="1" s="1"/>
  <c r="C88" i="1" s="1"/>
  <c r="G88" i="1" s="1"/>
  <c r="A89" i="1"/>
  <c r="B89" i="1" s="1"/>
  <c r="C89" i="1" s="1"/>
  <c r="G89" i="1" s="1"/>
  <c r="A90" i="1"/>
  <c r="B90" i="1" s="1"/>
  <c r="C90" i="1" s="1"/>
  <c r="G90" i="1" s="1"/>
  <c r="A91" i="1"/>
  <c r="B91" i="1" s="1"/>
  <c r="C91" i="1" s="1"/>
  <c r="G91" i="1" s="1"/>
  <c r="A92" i="1"/>
  <c r="B92" i="1" s="1"/>
  <c r="C92" i="1" s="1"/>
  <c r="G92" i="1" s="1"/>
  <c r="A94" i="1"/>
  <c r="B94" i="1" s="1"/>
  <c r="C94" i="1" s="1"/>
  <c r="G94" i="1" s="1"/>
  <c r="A95" i="1"/>
  <c r="B95" i="1" s="1"/>
  <c r="C95" i="1" s="1"/>
  <c r="G95" i="1" s="1"/>
  <c r="A96" i="1"/>
  <c r="B96" i="1" s="1"/>
  <c r="C96" i="1" s="1"/>
  <c r="G96" i="1" s="1"/>
  <c r="A97" i="1"/>
  <c r="B97" i="1" s="1"/>
  <c r="C97" i="1" s="1"/>
  <c r="G97" i="1" s="1"/>
  <c r="A98" i="1"/>
  <c r="B98" i="1" s="1"/>
  <c r="C98" i="1" s="1"/>
  <c r="G98" i="1" s="1"/>
  <c r="A99" i="1"/>
  <c r="B99" i="1" s="1"/>
  <c r="C99" i="1" s="1"/>
  <c r="G99" i="1" s="1"/>
  <c r="A100" i="1"/>
  <c r="B100" i="1" s="1"/>
  <c r="C100" i="1" s="1"/>
  <c r="G100" i="1" s="1"/>
  <c r="A102" i="1"/>
  <c r="B102" i="1" s="1"/>
  <c r="C102" i="1" s="1"/>
  <c r="G102" i="1" s="1"/>
  <c r="A103" i="1"/>
  <c r="B103" i="1" s="1"/>
  <c r="C103" i="1" s="1"/>
  <c r="G103" i="1" s="1"/>
  <c r="A104" i="1"/>
  <c r="B104" i="1" s="1"/>
  <c r="C104" i="1" s="1"/>
  <c r="G104" i="1" s="1"/>
  <c r="A105" i="1"/>
  <c r="B105" i="1" s="1"/>
  <c r="C105" i="1" s="1"/>
  <c r="G105" i="1" s="1"/>
  <c r="A106" i="1"/>
  <c r="B106" i="1" s="1"/>
  <c r="C106" i="1" s="1"/>
  <c r="G106" i="1" s="1"/>
  <c r="A107" i="1"/>
  <c r="B107" i="1" s="1"/>
  <c r="C107" i="1" s="1"/>
  <c r="G107" i="1" s="1"/>
  <c r="A108" i="1"/>
  <c r="B108" i="1" s="1"/>
  <c r="C108" i="1" s="1"/>
  <c r="G108" i="1" s="1"/>
  <c r="A110" i="1"/>
  <c r="B110" i="1" s="1"/>
  <c r="C110" i="1" s="1"/>
  <c r="G110" i="1" s="1"/>
  <c r="A111" i="1"/>
  <c r="B111" i="1" s="1"/>
  <c r="C111" i="1" s="1"/>
  <c r="G111" i="1" s="1"/>
  <c r="A112" i="1"/>
  <c r="B112" i="1" s="1"/>
  <c r="C112" i="1" s="1"/>
  <c r="G112" i="1" s="1"/>
  <c r="A113" i="1"/>
  <c r="B113" i="1" s="1"/>
  <c r="C113" i="1" s="1"/>
  <c r="G113" i="1" s="1"/>
  <c r="A114" i="1"/>
  <c r="B114" i="1" s="1"/>
  <c r="C114" i="1" s="1"/>
  <c r="G114" i="1" s="1"/>
  <c r="A115" i="1"/>
  <c r="B115" i="1" s="1"/>
  <c r="C115" i="1" s="1"/>
  <c r="G115" i="1" s="1"/>
  <c r="A116" i="1"/>
  <c r="B116" i="1" s="1"/>
  <c r="C116" i="1" s="1"/>
  <c r="G116" i="1" s="1"/>
  <c r="A118" i="1"/>
  <c r="B118" i="1" s="1"/>
  <c r="C118" i="1" s="1"/>
  <c r="G118" i="1" s="1"/>
  <c r="A119" i="1"/>
  <c r="B119" i="1" s="1"/>
  <c r="C119" i="1" s="1"/>
  <c r="G119" i="1" s="1"/>
  <c r="A120" i="1"/>
  <c r="B120" i="1" s="1"/>
  <c r="C120" i="1" s="1"/>
  <c r="G120" i="1" s="1"/>
  <c r="A121" i="1"/>
  <c r="B121" i="1" s="1"/>
  <c r="C121" i="1" s="1"/>
  <c r="G121" i="1" s="1"/>
  <c r="A122" i="1"/>
  <c r="B122" i="1" s="1"/>
  <c r="C122" i="1" s="1"/>
  <c r="G122" i="1" s="1"/>
  <c r="A123" i="1"/>
  <c r="B123" i="1" s="1"/>
  <c r="C123" i="1" s="1"/>
  <c r="G123" i="1" s="1"/>
  <c r="A124" i="1"/>
  <c r="B124" i="1" s="1"/>
  <c r="C124" i="1" s="1"/>
  <c r="G124" i="1" s="1"/>
  <c r="A126" i="1"/>
  <c r="B126" i="1" s="1"/>
  <c r="C126" i="1" s="1"/>
  <c r="G126" i="1" s="1"/>
  <c r="A127" i="1"/>
  <c r="B127" i="1" s="1"/>
  <c r="C127" i="1" s="1"/>
  <c r="G127" i="1" s="1"/>
  <c r="A128" i="1"/>
  <c r="B128" i="1" s="1"/>
  <c r="C128" i="1" s="1"/>
  <c r="G128" i="1" s="1"/>
  <c r="A129" i="1"/>
  <c r="B129" i="1" s="1"/>
  <c r="C129" i="1" s="1"/>
  <c r="G129" i="1" s="1"/>
  <c r="A130" i="1"/>
  <c r="B130" i="1" s="1"/>
  <c r="C130" i="1" s="1"/>
  <c r="G130" i="1" s="1"/>
  <c r="A131" i="1"/>
  <c r="B131" i="1" s="1"/>
  <c r="C131" i="1" s="1"/>
  <c r="G131" i="1" s="1"/>
  <c r="A132" i="1"/>
  <c r="B132" i="1" s="1"/>
  <c r="C132" i="1" s="1"/>
  <c r="G132" i="1" s="1"/>
  <c r="A134" i="1"/>
  <c r="B134" i="1" s="1"/>
  <c r="C134" i="1" s="1"/>
  <c r="G134" i="1" s="1"/>
  <c r="A135" i="1"/>
  <c r="B135" i="1" s="1"/>
  <c r="C135" i="1" s="1"/>
  <c r="G135" i="1" s="1"/>
  <c r="A136" i="1"/>
  <c r="B136" i="1" s="1"/>
  <c r="C136" i="1" s="1"/>
  <c r="G136" i="1" s="1"/>
  <c r="A137" i="1"/>
  <c r="B137" i="1" s="1"/>
  <c r="C137" i="1" s="1"/>
  <c r="G137" i="1" s="1"/>
  <c r="A138" i="1"/>
  <c r="B138" i="1" s="1"/>
  <c r="C138" i="1" s="1"/>
  <c r="G138" i="1" s="1"/>
  <c r="A139" i="1"/>
  <c r="B139" i="1" s="1"/>
  <c r="C139" i="1" s="1"/>
  <c r="G139" i="1" s="1"/>
  <c r="A140" i="1"/>
  <c r="B140" i="1" s="1"/>
  <c r="C140" i="1" s="1"/>
  <c r="G140" i="1" s="1"/>
  <c r="A142" i="1"/>
  <c r="B142" i="1" s="1"/>
  <c r="C142" i="1" s="1"/>
  <c r="G142" i="1" s="1"/>
  <c r="A143" i="1"/>
  <c r="B143" i="1" s="1"/>
  <c r="C143" i="1" s="1"/>
  <c r="G143" i="1" s="1"/>
  <c r="A144" i="1"/>
  <c r="B144" i="1" s="1"/>
  <c r="C144" i="1" s="1"/>
  <c r="G144" i="1" s="1"/>
  <c r="A145" i="1"/>
  <c r="B145" i="1" s="1"/>
  <c r="C145" i="1" s="1"/>
  <c r="G145" i="1" s="1"/>
  <c r="A146" i="1"/>
  <c r="B146" i="1" s="1"/>
  <c r="C146" i="1" s="1"/>
  <c r="G146" i="1" s="1"/>
  <c r="A147" i="1"/>
  <c r="B147" i="1" s="1"/>
  <c r="C147" i="1" s="1"/>
  <c r="G147" i="1" s="1"/>
  <c r="A148" i="1"/>
  <c r="B148" i="1" s="1"/>
  <c r="C148" i="1" s="1"/>
  <c r="G148" i="1" s="1"/>
  <c r="A150" i="1"/>
  <c r="B150" i="1" s="1"/>
  <c r="C150" i="1" s="1"/>
  <c r="G150" i="1" s="1"/>
  <c r="A151" i="1"/>
  <c r="B151" i="1" s="1"/>
  <c r="C151" i="1" s="1"/>
  <c r="G151" i="1" s="1"/>
  <c r="A152" i="1"/>
  <c r="B152" i="1" s="1"/>
  <c r="C152" i="1" s="1"/>
  <c r="G152" i="1" s="1"/>
  <c r="A153" i="1"/>
  <c r="B153" i="1" s="1"/>
  <c r="C153" i="1" s="1"/>
  <c r="G153" i="1" s="1"/>
  <c r="A154" i="1"/>
  <c r="B154" i="1" s="1"/>
  <c r="C154" i="1" s="1"/>
  <c r="G154" i="1" s="1"/>
  <c r="A155" i="1"/>
  <c r="B155" i="1" s="1"/>
  <c r="C155" i="1" s="1"/>
  <c r="G155" i="1" s="1"/>
  <c r="A156" i="1"/>
  <c r="B156" i="1" s="1"/>
  <c r="C156" i="1" s="1"/>
  <c r="G156" i="1" s="1"/>
  <c r="A158" i="1"/>
  <c r="B158" i="1" s="1"/>
  <c r="C158" i="1" s="1"/>
  <c r="G158" i="1" s="1"/>
  <c r="A159" i="1"/>
  <c r="B159" i="1" s="1"/>
  <c r="C159" i="1" s="1"/>
  <c r="G159" i="1" s="1"/>
  <c r="A160" i="1"/>
  <c r="B160" i="1" s="1"/>
  <c r="C160" i="1" s="1"/>
  <c r="G160" i="1" s="1"/>
  <c r="A161" i="1"/>
  <c r="B161" i="1" s="1"/>
  <c r="C161" i="1" s="1"/>
  <c r="G161" i="1" s="1"/>
  <c r="A162" i="1"/>
  <c r="B162" i="1" s="1"/>
  <c r="C162" i="1" s="1"/>
  <c r="G162" i="1" s="1"/>
  <c r="A163" i="1"/>
  <c r="B163" i="1" s="1"/>
  <c r="C163" i="1" s="1"/>
  <c r="G163" i="1" s="1"/>
  <c r="A164" i="1"/>
  <c r="B164" i="1" s="1"/>
  <c r="C164" i="1" s="1"/>
  <c r="G164" i="1" s="1"/>
  <c r="A166" i="1"/>
  <c r="B166" i="1" s="1"/>
  <c r="C166" i="1" s="1"/>
  <c r="G166" i="1" s="1"/>
  <c r="A167" i="1"/>
  <c r="B167" i="1" s="1"/>
  <c r="C167" i="1" s="1"/>
  <c r="G167" i="1" s="1"/>
  <c r="A168" i="1"/>
  <c r="B168" i="1" s="1"/>
  <c r="C168" i="1" s="1"/>
  <c r="G168" i="1" s="1"/>
  <c r="A169" i="1"/>
  <c r="B169" i="1" s="1"/>
  <c r="C169" i="1" s="1"/>
  <c r="G169" i="1" s="1"/>
  <c r="A170" i="1"/>
  <c r="B170" i="1" s="1"/>
  <c r="C170" i="1" s="1"/>
  <c r="G170" i="1" s="1"/>
  <c r="A171" i="1"/>
  <c r="B171" i="1" s="1"/>
  <c r="C171" i="1" s="1"/>
  <c r="G171" i="1" s="1"/>
  <c r="A172" i="1"/>
  <c r="B172" i="1" s="1"/>
  <c r="C172" i="1" s="1"/>
  <c r="G172" i="1" s="1"/>
  <c r="A174" i="1"/>
  <c r="B174" i="1" s="1"/>
  <c r="C174" i="1" s="1"/>
  <c r="G174" i="1" s="1"/>
  <c r="A175" i="1"/>
  <c r="B175" i="1" s="1"/>
  <c r="C175" i="1" s="1"/>
  <c r="G175" i="1" s="1"/>
  <c r="A176" i="1"/>
  <c r="B176" i="1" s="1"/>
  <c r="C176" i="1" s="1"/>
  <c r="G176" i="1" s="1"/>
  <c r="A177" i="1"/>
  <c r="B177" i="1" s="1"/>
  <c r="C177" i="1" s="1"/>
  <c r="G177" i="1" s="1"/>
  <c r="A178" i="1"/>
  <c r="B178" i="1" s="1"/>
  <c r="C178" i="1" s="1"/>
  <c r="G178" i="1" s="1"/>
  <c r="A179" i="1"/>
  <c r="B179" i="1" s="1"/>
  <c r="C179" i="1" s="1"/>
  <c r="G179" i="1" s="1"/>
  <c r="A180" i="1"/>
  <c r="B180" i="1" s="1"/>
  <c r="C180" i="1" s="1"/>
  <c r="G180" i="1" s="1"/>
  <c r="A182" i="1"/>
  <c r="B182" i="1" s="1"/>
  <c r="C182" i="1" s="1"/>
  <c r="G182" i="1" s="1"/>
  <c r="A183" i="1"/>
  <c r="B183" i="1" s="1"/>
  <c r="C183" i="1" s="1"/>
  <c r="G183" i="1" s="1"/>
  <c r="A184" i="1"/>
  <c r="B184" i="1" s="1"/>
  <c r="C184" i="1" s="1"/>
  <c r="G184" i="1" s="1"/>
  <c r="A185" i="1"/>
  <c r="B185" i="1" s="1"/>
  <c r="C185" i="1" s="1"/>
  <c r="G185" i="1" s="1"/>
  <c r="A186" i="1"/>
  <c r="B186" i="1" s="1"/>
  <c r="C186" i="1" s="1"/>
  <c r="G186" i="1" s="1"/>
  <c r="A187" i="1"/>
  <c r="B187" i="1" s="1"/>
  <c r="C187" i="1" s="1"/>
  <c r="G187" i="1" s="1"/>
  <c r="A188" i="1"/>
  <c r="B188" i="1" s="1"/>
  <c r="C188" i="1" s="1"/>
  <c r="G188" i="1" s="1"/>
  <c r="A190" i="1"/>
  <c r="B190" i="1" s="1"/>
  <c r="C190" i="1" s="1"/>
  <c r="G190" i="1" s="1"/>
  <c r="A191" i="1"/>
  <c r="B191" i="1" s="1"/>
  <c r="C191" i="1" s="1"/>
  <c r="G191" i="1" s="1"/>
  <c r="A192" i="1"/>
  <c r="B192" i="1" s="1"/>
  <c r="C192" i="1" s="1"/>
  <c r="G192" i="1" s="1"/>
  <c r="A193" i="1"/>
  <c r="B193" i="1" s="1"/>
  <c r="C193" i="1" s="1"/>
  <c r="G193" i="1" s="1"/>
  <c r="A194" i="1"/>
  <c r="B194" i="1" s="1"/>
  <c r="C194" i="1" s="1"/>
  <c r="G194" i="1" s="1"/>
  <c r="A195" i="1"/>
  <c r="B195" i="1" s="1"/>
  <c r="C195" i="1" s="1"/>
  <c r="G195" i="1" s="1"/>
  <c r="A196" i="1"/>
  <c r="B196" i="1" s="1"/>
  <c r="C196" i="1" s="1"/>
  <c r="G196" i="1" s="1"/>
  <c r="A198" i="1"/>
  <c r="B198" i="1" s="1"/>
  <c r="C198" i="1" s="1"/>
  <c r="G198" i="1" s="1"/>
  <c r="A199" i="1"/>
  <c r="B199" i="1" s="1"/>
  <c r="C199" i="1" s="1"/>
  <c r="G199" i="1" s="1"/>
  <c r="A200" i="1"/>
  <c r="B200" i="1" s="1"/>
  <c r="C200" i="1" s="1"/>
  <c r="G200" i="1" s="1"/>
  <c r="A201" i="1"/>
  <c r="B201" i="1" s="1"/>
  <c r="C201" i="1" s="1"/>
  <c r="G201" i="1" s="1"/>
  <c r="A202" i="1"/>
  <c r="B202" i="1" s="1"/>
  <c r="C202" i="1" s="1"/>
  <c r="G202" i="1" s="1"/>
  <c r="A203" i="1"/>
  <c r="B203" i="1" s="1"/>
  <c r="C203" i="1" s="1"/>
  <c r="G203" i="1" s="1"/>
  <c r="A204" i="1"/>
  <c r="B204" i="1" s="1"/>
  <c r="C204" i="1" s="1"/>
  <c r="G204" i="1" s="1"/>
  <c r="A206" i="1"/>
  <c r="B206" i="1" s="1"/>
  <c r="C206" i="1" s="1"/>
  <c r="G206" i="1" s="1"/>
  <c r="A207" i="1"/>
  <c r="B207" i="1" s="1"/>
  <c r="C207" i="1" s="1"/>
  <c r="G207" i="1" s="1"/>
  <c r="A208" i="1"/>
  <c r="B208" i="1" s="1"/>
  <c r="C208" i="1" s="1"/>
  <c r="G208" i="1" s="1"/>
  <c r="A209" i="1"/>
  <c r="B209" i="1" s="1"/>
  <c r="C209" i="1" s="1"/>
  <c r="G209" i="1" s="1"/>
  <c r="A210" i="1"/>
  <c r="B210" i="1" s="1"/>
  <c r="C210" i="1" s="1"/>
  <c r="G210" i="1" s="1"/>
  <c r="A211" i="1"/>
  <c r="B211" i="1" s="1"/>
  <c r="C211" i="1" s="1"/>
  <c r="G211" i="1" s="1"/>
  <c r="A212" i="1"/>
  <c r="B212" i="1" s="1"/>
  <c r="C212" i="1" s="1"/>
  <c r="G212" i="1" s="1"/>
  <c r="A214" i="1"/>
  <c r="B214" i="1" s="1"/>
  <c r="C214" i="1" s="1"/>
  <c r="G214" i="1" s="1"/>
  <c r="A215" i="1"/>
  <c r="B215" i="1" s="1"/>
  <c r="C215" i="1" s="1"/>
  <c r="G215" i="1" s="1"/>
  <c r="A216" i="1"/>
  <c r="B216" i="1" s="1"/>
  <c r="C216" i="1" s="1"/>
  <c r="G216" i="1" s="1"/>
  <c r="A217" i="1"/>
  <c r="B217" i="1" s="1"/>
  <c r="C217" i="1" s="1"/>
  <c r="G217" i="1" s="1"/>
  <c r="A218" i="1"/>
  <c r="B218" i="1" s="1"/>
  <c r="C218" i="1" s="1"/>
  <c r="G218" i="1" s="1"/>
  <c r="A219" i="1"/>
  <c r="B219" i="1" s="1"/>
  <c r="C219" i="1" s="1"/>
  <c r="G219" i="1" s="1"/>
  <c r="A220" i="1"/>
  <c r="B220" i="1" s="1"/>
  <c r="C220" i="1" s="1"/>
  <c r="G220" i="1" s="1"/>
  <c r="A222" i="1"/>
  <c r="B222" i="1" s="1"/>
  <c r="C222" i="1" s="1"/>
  <c r="G222" i="1" s="1"/>
  <c r="A223" i="1"/>
  <c r="B223" i="1" s="1"/>
  <c r="C223" i="1" s="1"/>
  <c r="G223" i="1" s="1"/>
  <c r="A224" i="1"/>
  <c r="B224" i="1" s="1"/>
  <c r="C224" i="1" s="1"/>
  <c r="G224" i="1" s="1"/>
  <c r="A225" i="1"/>
  <c r="B225" i="1" s="1"/>
  <c r="C225" i="1" s="1"/>
  <c r="G225" i="1" s="1"/>
  <c r="A226" i="1"/>
  <c r="B226" i="1" s="1"/>
  <c r="C226" i="1" s="1"/>
  <c r="G226" i="1" s="1"/>
  <c r="A227" i="1"/>
  <c r="B227" i="1" s="1"/>
  <c r="C227" i="1" s="1"/>
  <c r="G227" i="1" s="1"/>
  <c r="A228" i="1"/>
  <c r="B228" i="1" s="1"/>
  <c r="C228" i="1" s="1"/>
  <c r="G228" i="1" s="1"/>
  <c r="A230" i="1"/>
  <c r="B230" i="1" s="1"/>
  <c r="C230" i="1" s="1"/>
  <c r="G230" i="1" s="1"/>
  <c r="A231" i="1"/>
  <c r="B231" i="1" s="1"/>
  <c r="C231" i="1" s="1"/>
  <c r="G231" i="1" s="1"/>
  <c r="A232" i="1"/>
  <c r="B232" i="1" s="1"/>
  <c r="C232" i="1" s="1"/>
  <c r="G232" i="1" s="1"/>
  <c r="A233" i="1"/>
  <c r="B233" i="1" s="1"/>
  <c r="C233" i="1" s="1"/>
  <c r="G233" i="1" s="1"/>
  <c r="A234" i="1"/>
  <c r="B234" i="1" s="1"/>
  <c r="C234" i="1" s="1"/>
  <c r="G234" i="1" s="1"/>
  <c r="A235" i="1"/>
  <c r="B235" i="1" s="1"/>
  <c r="C235" i="1" s="1"/>
  <c r="G235" i="1" s="1"/>
  <c r="A236" i="1"/>
  <c r="B236" i="1" s="1"/>
  <c r="C236" i="1" s="1"/>
  <c r="G236" i="1" s="1"/>
  <c r="A238" i="1"/>
  <c r="B238" i="1" s="1"/>
  <c r="C238" i="1" s="1"/>
  <c r="G238" i="1" s="1"/>
  <c r="A239" i="1"/>
  <c r="B239" i="1" s="1"/>
  <c r="C239" i="1" s="1"/>
  <c r="G239" i="1" s="1"/>
  <c r="A240" i="1"/>
  <c r="B240" i="1" s="1"/>
  <c r="C240" i="1" s="1"/>
  <c r="G240" i="1" s="1"/>
  <c r="A241" i="1"/>
  <c r="B241" i="1" s="1"/>
  <c r="C241" i="1" s="1"/>
  <c r="G241" i="1" s="1"/>
  <c r="A242" i="1"/>
  <c r="B242" i="1" s="1"/>
  <c r="C242" i="1" s="1"/>
  <c r="G242" i="1" s="1"/>
  <c r="A243" i="1"/>
  <c r="B243" i="1" s="1"/>
  <c r="C243" i="1" s="1"/>
  <c r="G243" i="1" s="1"/>
  <c r="A244" i="1"/>
  <c r="B244" i="1" s="1"/>
  <c r="C244" i="1" s="1"/>
  <c r="G244" i="1" s="1"/>
  <c r="A246" i="1"/>
  <c r="B246" i="1" s="1"/>
  <c r="C246" i="1" s="1"/>
  <c r="G246" i="1" s="1"/>
  <c r="A247" i="1"/>
  <c r="B247" i="1" s="1"/>
  <c r="C247" i="1" s="1"/>
  <c r="G247" i="1" s="1"/>
  <c r="A248" i="1"/>
  <c r="B248" i="1" s="1"/>
  <c r="C248" i="1" s="1"/>
  <c r="G248" i="1" s="1"/>
  <c r="A249" i="1"/>
  <c r="B249" i="1" s="1"/>
  <c r="C249" i="1" s="1"/>
  <c r="G249" i="1" s="1"/>
  <c r="A250" i="1"/>
  <c r="B250" i="1" s="1"/>
  <c r="C250" i="1" s="1"/>
  <c r="G250" i="1" s="1"/>
  <c r="A251" i="1"/>
  <c r="B251" i="1" s="1"/>
  <c r="C251" i="1" s="1"/>
  <c r="G251" i="1" s="1"/>
  <c r="A252" i="1"/>
  <c r="B252" i="1" s="1"/>
  <c r="C252" i="1" s="1"/>
  <c r="G252" i="1" s="1"/>
  <c r="A254" i="1"/>
  <c r="B254" i="1" s="1"/>
  <c r="C254" i="1" s="1"/>
  <c r="G254" i="1" s="1"/>
  <c r="A255" i="1"/>
  <c r="B255" i="1" s="1"/>
  <c r="C255" i="1" s="1"/>
  <c r="G255" i="1" s="1"/>
  <c r="A256" i="1"/>
  <c r="B256" i="1" s="1"/>
  <c r="C256" i="1" s="1"/>
  <c r="G256" i="1" s="1"/>
  <c r="A257" i="1"/>
  <c r="B257" i="1" s="1"/>
  <c r="C257" i="1" s="1"/>
  <c r="G257" i="1" s="1"/>
  <c r="A258" i="1"/>
  <c r="B258" i="1" s="1"/>
  <c r="C258" i="1" s="1"/>
  <c r="G258" i="1" s="1"/>
  <c r="A259" i="1"/>
  <c r="B259" i="1" s="1"/>
  <c r="C259" i="1" s="1"/>
  <c r="G259" i="1" s="1"/>
  <c r="A260" i="1"/>
  <c r="B260" i="1" s="1"/>
  <c r="C260" i="1" s="1"/>
  <c r="G260" i="1" s="1"/>
  <c r="A262" i="1"/>
  <c r="B262" i="1" s="1"/>
  <c r="C262" i="1" s="1"/>
  <c r="G262" i="1" s="1"/>
  <c r="A263" i="1"/>
  <c r="B263" i="1" s="1"/>
  <c r="C263" i="1" s="1"/>
  <c r="G263" i="1" s="1"/>
  <c r="A264" i="1"/>
  <c r="B264" i="1" s="1"/>
  <c r="C264" i="1" s="1"/>
  <c r="G264" i="1" s="1"/>
  <c r="A265" i="1"/>
  <c r="B265" i="1" s="1"/>
  <c r="C265" i="1" s="1"/>
  <c r="G265" i="1" s="1"/>
  <c r="A266" i="1"/>
  <c r="B266" i="1" s="1"/>
  <c r="C266" i="1" s="1"/>
  <c r="G266" i="1" s="1"/>
  <c r="A267" i="1"/>
  <c r="B267" i="1" s="1"/>
  <c r="C267" i="1" s="1"/>
  <c r="G267" i="1" s="1"/>
  <c r="A268" i="1"/>
  <c r="B268" i="1" s="1"/>
  <c r="C268" i="1" s="1"/>
  <c r="G268" i="1" s="1"/>
  <c r="A270" i="1"/>
  <c r="B270" i="1" s="1"/>
  <c r="C270" i="1" s="1"/>
  <c r="G270" i="1" s="1"/>
  <c r="A271" i="1"/>
  <c r="B271" i="1" s="1"/>
  <c r="C271" i="1" s="1"/>
  <c r="G271" i="1" s="1"/>
  <c r="A272" i="1"/>
  <c r="B272" i="1" s="1"/>
  <c r="C272" i="1" s="1"/>
  <c r="G272" i="1" s="1"/>
  <c r="A273" i="1"/>
  <c r="B273" i="1" s="1"/>
  <c r="C273" i="1" s="1"/>
  <c r="G273" i="1" s="1"/>
  <c r="A274" i="1"/>
  <c r="B274" i="1" s="1"/>
  <c r="C274" i="1" s="1"/>
  <c r="G274" i="1" s="1"/>
  <c r="A275" i="1"/>
  <c r="B275" i="1" s="1"/>
  <c r="C275" i="1" s="1"/>
  <c r="G275" i="1" s="1"/>
  <c r="A276" i="1"/>
  <c r="B276" i="1" s="1"/>
  <c r="C276" i="1" s="1"/>
  <c r="G276" i="1" s="1"/>
  <c r="A278" i="1"/>
  <c r="B278" i="1" s="1"/>
  <c r="C278" i="1" s="1"/>
  <c r="G278" i="1" s="1"/>
  <c r="A279" i="1"/>
  <c r="B279" i="1" s="1"/>
  <c r="C279" i="1" s="1"/>
  <c r="G279" i="1" s="1"/>
  <c r="A280" i="1"/>
  <c r="B280" i="1" s="1"/>
  <c r="C280" i="1" s="1"/>
  <c r="G280" i="1" s="1"/>
  <c r="A281" i="1"/>
  <c r="B281" i="1" s="1"/>
  <c r="C281" i="1" s="1"/>
  <c r="G281" i="1" s="1"/>
  <c r="A282" i="1"/>
  <c r="B282" i="1" s="1"/>
  <c r="C282" i="1" s="1"/>
  <c r="G282" i="1" s="1"/>
  <c r="A283" i="1"/>
  <c r="B283" i="1" s="1"/>
  <c r="C283" i="1" s="1"/>
  <c r="G283" i="1" s="1"/>
  <c r="A284" i="1"/>
  <c r="B284" i="1" s="1"/>
  <c r="C284" i="1" s="1"/>
  <c r="G284" i="1" s="1"/>
  <c r="A286" i="1"/>
  <c r="B286" i="1" s="1"/>
  <c r="C286" i="1" s="1"/>
  <c r="G286" i="1" s="1"/>
  <c r="A287" i="1"/>
  <c r="B287" i="1" s="1"/>
  <c r="C287" i="1" s="1"/>
  <c r="G287" i="1" s="1"/>
  <c r="A288" i="1"/>
  <c r="B288" i="1" s="1"/>
  <c r="C288" i="1" s="1"/>
  <c r="G288" i="1" s="1"/>
  <c r="A289" i="1"/>
  <c r="B289" i="1" s="1"/>
  <c r="C289" i="1" s="1"/>
  <c r="G289" i="1" s="1"/>
  <c r="A290" i="1"/>
  <c r="B290" i="1" s="1"/>
  <c r="C290" i="1" s="1"/>
  <c r="G290" i="1" s="1"/>
  <c r="A291" i="1"/>
  <c r="B291" i="1" s="1"/>
  <c r="C291" i="1" s="1"/>
  <c r="G291" i="1" s="1"/>
  <c r="A292" i="1"/>
  <c r="B292" i="1" s="1"/>
  <c r="C292" i="1" s="1"/>
  <c r="G292" i="1" s="1"/>
  <c r="A294" i="1"/>
  <c r="B294" i="1" s="1"/>
  <c r="C294" i="1" s="1"/>
  <c r="G294" i="1" s="1"/>
  <c r="A295" i="1"/>
  <c r="B295" i="1" s="1"/>
  <c r="C295" i="1" s="1"/>
  <c r="G295" i="1" s="1"/>
  <c r="A296" i="1"/>
  <c r="B296" i="1" s="1"/>
  <c r="C296" i="1" s="1"/>
  <c r="G296" i="1" s="1"/>
  <c r="A297" i="1"/>
  <c r="B297" i="1" s="1"/>
  <c r="C297" i="1" s="1"/>
  <c r="G297" i="1" s="1"/>
  <c r="A298" i="1"/>
  <c r="B298" i="1" s="1"/>
  <c r="C298" i="1" s="1"/>
  <c r="G298" i="1" s="1"/>
  <c r="A299" i="1"/>
  <c r="B299" i="1" s="1"/>
  <c r="C299" i="1" s="1"/>
  <c r="G299" i="1" s="1"/>
  <c r="A300" i="1"/>
  <c r="B300" i="1" s="1"/>
  <c r="C300" i="1" s="1"/>
  <c r="G300" i="1" s="1"/>
  <c r="A302" i="1"/>
  <c r="B302" i="1" s="1"/>
  <c r="C302" i="1" s="1"/>
  <c r="G302" i="1" s="1"/>
  <c r="A303" i="1"/>
  <c r="B303" i="1" s="1"/>
  <c r="C303" i="1" s="1"/>
  <c r="G303" i="1" s="1"/>
  <c r="A304" i="1"/>
  <c r="B304" i="1" s="1"/>
  <c r="C304" i="1" s="1"/>
  <c r="G304" i="1" s="1"/>
  <c r="A305" i="1"/>
  <c r="B305" i="1" s="1"/>
  <c r="C305" i="1" s="1"/>
  <c r="G305" i="1" s="1"/>
  <c r="A306" i="1"/>
  <c r="B306" i="1" s="1"/>
  <c r="C306" i="1" s="1"/>
  <c r="G306" i="1" s="1"/>
  <c r="A307" i="1"/>
  <c r="B307" i="1" s="1"/>
  <c r="C307" i="1" s="1"/>
  <c r="G307" i="1" s="1"/>
  <c r="A308" i="1"/>
  <c r="B308" i="1" s="1"/>
  <c r="C308" i="1" s="1"/>
  <c r="G308" i="1" s="1"/>
  <c r="A310" i="1"/>
  <c r="B310" i="1" s="1"/>
  <c r="C310" i="1" s="1"/>
  <c r="G310" i="1" s="1"/>
  <c r="A311" i="1"/>
  <c r="B311" i="1" s="1"/>
  <c r="C311" i="1" s="1"/>
  <c r="G311" i="1" s="1"/>
  <c r="A312" i="1"/>
  <c r="B312" i="1" s="1"/>
  <c r="C312" i="1" s="1"/>
  <c r="G312" i="1" s="1"/>
  <c r="A313" i="1"/>
  <c r="B313" i="1" s="1"/>
  <c r="C313" i="1" s="1"/>
  <c r="G313" i="1" s="1"/>
  <c r="A314" i="1"/>
  <c r="B314" i="1" s="1"/>
  <c r="C314" i="1" s="1"/>
  <c r="G314" i="1" s="1"/>
  <c r="A315" i="1"/>
  <c r="B315" i="1" s="1"/>
  <c r="C315" i="1" s="1"/>
  <c r="G315" i="1" s="1"/>
  <c r="A316" i="1"/>
  <c r="B316" i="1" s="1"/>
  <c r="C316" i="1" s="1"/>
  <c r="G316" i="1" s="1"/>
  <c r="A318" i="1"/>
  <c r="B318" i="1" s="1"/>
  <c r="C318" i="1" s="1"/>
  <c r="G318" i="1" s="1"/>
  <c r="A319" i="1"/>
  <c r="B319" i="1" s="1"/>
  <c r="C319" i="1" s="1"/>
  <c r="G319" i="1" s="1"/>
  <c r="A320" i="1"/>
  <c r="B320" i="1" s="1"/>
  <c r="C320" i="1" s="1"/>
  <c r="G320" i="1" s="1"/>
  <c r="A321" i="1"/>
  <c r="B321" i="1" s="1"/>
  <c r="C321" i="1" s="1"/>
  <c r="G321" i="1" s="1"/>
  <c r="A322" i="1"/>
  <c r="B322" i="1" s="1"/>
  <c r="C322" i="1" s="1"/>
  <c r="G322" i="1" s="1"/>
  <c r="A323" i="1"/>
  <c r="B323" i="1" s="1"/>
  <c r="C323" i="1" s="1"/>
  <c r="G323" i="1" s="1"/>
  <c r="A324" i="1"/>
  <c r="B324" i="1" s="1"/>
  <c r="C324" i="1" s="1"/>
  <c r="G324" i="1" s="1"/>
  <c r="A326" i="1"/>
  <c r="B326" i="1" s="1"/>
  <c r="C326" i="1" s="1"/>
  <c r="G326" i="1" s="1"/>
  <c r="A327" i="1"/>
  <c r="B327" i="1" s="1"/>
  <c r="C327" i="1" s="1"/>
  <c r="G327" i="1" s="1"/>
  <c r="A328" i="1"/>
  <c r="B328" i="1" s="1"/>
  <c r="C328" i="1" s="1"/>
  <c r="G328" i="1" s="1"/>
  <c r="A329" i="1"/>
  <c r="B329" i="1" s="1"/>
  <c r="C329" i="1" s="1"/>
  <c r="G329" i="1" s="1"/>
  <c r="A330" i="1"/>
  <c r="B330" i="1" s="1"/>
  <c r="C330" i="1" s="1"/>
  <c r="G330" i="1" s="1"/>
  <c r="A331" i="1"/>
  <c r="B331" i="1" s="1"/>
  <c r="C331" i="1" s="1"/>
  <c r="G331" i="1" s="1"/>
  <c r="A332" i="1"/>
  <c r="B332" i="1" s="1"/>
  <c r="C332" i="1" s="1"/>
  <c r="G332" i="1" s="1"/>
  <c r="A334" i="1"/>
  <c r="B334" i="1" s="1"/>
  <c r="C334" i="1" s="1"/>
  <c r="G334" i="1" s="1"/>
  <c r="A335" i="1"/>
  <c r="B335" i="1" s="1"/>
  <c r="C335" i="1" s="1"/>
  <c r="G335" i="1" s="1"/>
  <c r="A336" i="1"/>
  <c r="B336" i="1" s="1"/>
  <c r="C336" i="1" s="1"/>
  <c r="G336" i="1" s="1"/>
  <c r="A337" i="1"/>
  <c r="B337" i="1" s="1"/>
  <c r="C337" i="1" s="1"/>
  <c r="G337" i="1" s="1"/>
  <c r="A338" i="1"/>
  <c r="B338" i="1" s="1"/>
  <c r="C338" i="1" s="1"/>
  <c r="G338" i="1" s="1"/>
  <c r="A339" i="1"/>
  <c r="B339" i="1" s="1"/>
  <c r="C339" i="1" s="1"/>
  <c r="G339" i="1" s="1"/>
  <c r="A340" i="1"/>
  <c r="B340" i="1" s="1"/>
  <c r="C340" i="1" s="1"/>
  <c r="G340" i="1" s="1"/>
  <c r="A342" i="1"/>
  <c r="B342" i="1" s="1"/>
  <c r="C342" i="1" s="1"/>
  <c r="G342" i="1" s="1"/>
  <c r="A343" i="1"/>
  <c r="B343" i="1" s="1"/>
  <c r="C343" i="1" s="1"/>
  <c r="G343" i="1" s="1"/>
  <c r="A344" i="1"/>
  <c r="B344" i="1" s="1"/>
  <c r="C344" i="1" s="1"/>
  <c r="G344" i="1" s="1"/>
  <c r="A345" i="1"/>
  <c r="B345" i="1" s="1"/>
  <c r="C345" i="1" s="1"/>
  <c r="G345" i="1" s="1"/>
  <c r="A346" i="1"/>
  <c r="B346" i="1" s="1"/>
  <c r="C346" i="1" s="1"/>
  <c r="G346" i="1" s="1"/>
  <c r="A347" i="1"/>
  <c r="B347" i="1" s="1"/>
  <c r="C347" i="1" s="1"/>
  <c r="G347" i="1" s="1"/>
  <c r="A348" i="1"/>
  <c r="B348" i="1" s="1"/>
  <c r="C348" i="1" s="1"/>
  <c r="G348" i="1" s="1"/>
  <c r="A350" i="1"/>
  <c r="B350" i="1" s="1"/>
  <c r="C350" i="1" s="1"/>
  <c r="G350" i="1" s="1"/>
  <c r="A351" i="1"/>
  <c r="B351" i="1" s="1"/>
  <c r="C351" i="1" s="1"/>
  <c r="G351" i="1" s="1"/>
  <c r="A352" i="1"/>
  <c r="B352" i="1" s="1"/>
  <c r="C352" i="1" s="1"/>
  <c r="G352" i="1" s="1"/>
  <c r="A353" i="1"/>
  <c r="B353" i="1" s="1"/>
  <c r="C353" i="1" s="1"/>
  <c r="G353" i="1" s="1"/>
  <c r="A354" i="1"/>
  <c r="B354" i="1" s="1"/>
  <c r="C354" i="1" s="1"/>
  <c r="G354" i="1" s="1"/>
  <c r="A355" i="1"/>
  <c r="B355" i="1" s="1"/>
  <c r="C355" i="1" s="1"/>
  <c r="G355" i="1" s="1"/>
  <c r="A356" i="1"/>
  <c r="B356" i="1" s="1"/>
  <c r="C356" i="1" s="1"/>
  <c r="G356" i="1" s="1"/>
  <c r="A358" i="1"/>
  <c r="B358" i="1" s="1"/>
  <c r="C358" i="1" s="1"/>
  <c r="G358" i="1" s="1"/>
  <c r="A359" i="1"/>
  <c r="B359" i="1" s="1"/>
  <c r="C359" i="1" s="1"/>
  <c r="G359" i="1" s="1"/>
  <c r="A360" i="1"/>
  <c r="B360" i="1" s="1"/>
  <c r="C360" i="1" s="1"/>
  <c r="G360" i="1" s="1"/>
  <c r="A361" i="1"/>
  <c r="B361" i="1" s="1"/>
  <c r="C361" i="1" s="1"/>
  <c r="G361" i="1" s="1"/>
  <c r="A362" i="1"/>
  <c r="B362" i="1" s="1"/>
  <c r="C362" i="1" s="1"/>
  <c r="G362" i="1" s="1"/>
  <c r="A363" i="1"/>
  <c r="B363" i="1" s="1"/>
  <c r="C363" i="1" s="1"/>
  <c r="G363" i="1" s="1"/>
  <c r="A364" i="1"/>
  <c r="B364" i="1" s="1"/>
  <c r="C364" i="1" s="1"/>
  <c r="G364" i="1" s="1"/>
  <c r="A366" i="1"/>
  <c r="B366" i="1" s="1"/>
  <c r="C366" i="1" s="1"/>
  <c r="G366" i="1" s="1"/>
  <c r="A367" i="1"/>
  <c r="B367" i="1" s="1"/>
  <c r="C367" i="1" s="1"/>
  <c r="G367" i="1" s="1"/>
  <c r="A368" i="1"/>
  <c r="B368" i="1" s="1"/>
  <c r="C368" i="1" s="1"/>
  <c r="G368" i="1" s="1"/>
  <c r="A369" i="1"/>
  <c r="B369" i="1" s="1"/>
  <c r="C369" i="1" s="1"/>
  <c r="G369" i="1" s="1"/>
  <c r="A370" i="1"/>
  <c r="B370" i="1" s="1"/>
  <c r="C370" i="1" s="1"/>
  <c r="G370" i="1" s="1"/>
  <c r="A371" i="1"/>
  <c r="B371" i="1" s="1"/>
  <c r="C371" i="1" s="1"/>
  <c r="G371" i="1" s="1"/>
  <c r="A372" i="1"/>
  <c r="B372" i="1" s="1"/>
  <c r="C372" i="1" s="1"/>
  <c r="G372" i="1" s="1"/>
  <c r="A374" i="1"/>
  <c r="B374" i="1" s="1"/>
  <c r="C374" i="1" s="1"/>
  <c r="G374" i="1" s="1"/>
  <c r="A375" i="1"/>
  <c r="B375" i="1" s="1"/>
  <c r="C375" i="1" s="1"/>
  <c r="G375" i="1" s="1"/>
  <c r="A376" i="1"/>
  <c r="B376" i="1" s="1"/>
  <c r="C376" i="1" s="1"/>
  <c r="G376" i="1" s="1"/>
  <c r="A377" i="1"/>
  <c r="B377" i="1" s="1"/>
  <c r="C377" i="1" s="1"/>
  <c r="G377" i="1" s="1"/>
  <c r="A378" i="1"/>
  <c r="B378" i="1" s="1"/>
  <c r="C378" i="1" s="1"/>
  <c r="G378" i="1" s="1"/>
  <c r="A379" i="1"/>
  <c r="B379" i="1" s="1"/>
  <c r="C379" i="1" s="1"/>
  <c r="G379" i="1" s="1"/>
  <c r="A380" i="1"/>
  <c r="B380" i="1" s="1"/>
  <c r="C380" i="1" s="1"/>
  <c r="G380" i="1" s="1"/>
  <c r="A382" i="1"/>
  <c r="B382" i="1" s="1"/>
  <c r="C382" i="1" s="1"/>
  <c r="G382" i="1" s="1"/>
  <c r="A383" i="1"/>
  <c r="B383" i="1" s="1"/>
  <c r="C383" i="1" s="1"/>
  <c r="G383" i="1" s="1"/>
  <c r="A384" i="1"/>
  <c r="B384" i="1" s="1"/>
  <c r="C384" i="1" s="1"/>
  <c r="G384" i="1" s="1"/>
  <c r="A385" i="1"/>
  <c r="B385" i="1" s="1"/>
  <c r="C385" i="1" s="1"/>
  <c r="G385" i="1" s="1"/>
  <c r="A386" i="1"/>
  <c r="B386" i="1" s="1"/>
  <c r="C386" i="1" s="1"/>
  <c r="G386" i="1" s="1"/>
  <c r="A387" i="1"/>
  <c r="B387" i="1" s="1"/>
  <c r="C387" i="1" s="1"/>
  <c r="G387" i="1" s="1"/>
  <c r="A388" i="1"/>
  <c r="B388" i="1" s="1"/>
  <c r="C388" i="1" s="1"/>
  <c r="G388" i="1" s="1"/>
  <c r="A390" i="1"/>
  <c r="B390" i="1" s="1"/>
  <c r="C390" i="1" s="1"/>
  <c r="G390" i="1" s="1"/>
  <c r="A391" i="1"/>
  <c r="B391" i="1" s="1"/>
  <c r="C391" i="1" s="1"/>
  <c r="G391" i="1" s="1"/>
  <c r="A392" i="1"/>
  <c r="B392" i="1" s="1"/>
  <c r="C392" i="1" s="1"/>
  <c r="G392" i="1" s="1"/>
  <c r="A393" i="1"/>
  <c r="B393" i="1" s="1"/>
  <c r="C393" i="1" s="1"/>
  <c r="G393" i="1" s="1"/>
  <c r="A394" i="1"/>
  <c r="B394" i="1" s="1"/>
  <c r="C394" i="1" s="1"/>
  <c r="G394" i="1" s="1"/>
  <c r="A395" i="1"/>
  <c r="B395" i="1" s="1"/>
  <c r="C395" i="1" s="1"/>
  <c r="G395" i="1" s="1"/>
  <c r="A396" i="1"/>
  <c r="B396" i="1" s="1"/>
  <c r="C396" i="1" s="1"/>
  <c r="G396" i="1" s="1"/>
  <c r="A398" i="1"/>
  <c r="B398" i="1" s="1"/>
  <c r="C398" i="1" s="1"/>
  <c r="G398" i="1" s="1"/>
  <c r="A399" i="1"/>
  <c r="B399" i="1" s="1"/>
  <c r="C399" i="1" s="1"/>
  <c r="G399" i="1" s="1"/>
  <c r="A400" i="1"/>
  <c r="B400" i="1" s="1"/>
  <c r="C400" i="1" s="1"/>
  <c r="G400" i="1" s="1"/>
  <c r="A401" i="1"/>
  <c r="B401" i="1" s="1"/>
  <c r="C401" i="1" s="1"/>
  <c r="G401" i="1" s="1"/>
  <c r="A402" i="1"/>
  <c r="B402" i="1" s="1"/>
  <c r="C402" i="1" s="1"/>
  <c r="G402" i="1" s="1"/>
  <c r="A403" i="1"/>
  <c r="B403" i="1" s="1"/>
  <c r="C403" i="1" s="1"/>
  <c r="G403" i="1" s="1"/>
  <c r="A404" i="1"/>
  <c r="B404" i="1" s="1"/>
  <c r="C404" i="1" s="1"/>
  <c r="G404" i="1" s="1"/>
  <c r="A406" i="1"/>
  <c r="B406" i="1" s="1"/>
  <c r="C406" i="1" s="1"/>
  <c r="G406" i="1" s="1"/>
  <c r="A407" i="1"/>
  <c r="B407" i="1" s="1"/>
  <c r="C407" i="1" s="1"/>
  <c r="G407" i="1" s="1"/>
  <c r="A408" i="1"/>
  <c r="B408" i="1" s="1"/>
  <c r="C408" i="1" s="1"/>
  <c r="G408" i="1" s="1"/>
  <c r="A409" i="1"/>
  <c r="B409" i="1" s="1"/>
  <c r="C409" i="1" s="1"/>
  <c r="G409" i="1" s="1"/>
  <c r="A410" i="1"/>
  <c r="B410" i="1" s="1"/>
  <c r="C410" i="1" s="1"/>
  <c r="G410" i="1" s="1"/>
  <c r="A411" i="1"/>
  <c r="B411" i="1" s="1"/>
  <c r="C411" i="1" s="1"/>
  <c r="G411" i="1" s="1"/>
  <c r="A412" i="1"/>
  <c r="B412" i="1" s="1"/>
  <c r="C412" i="1" s="1"/>
  <c r="G412" i="1" s="1"/>
  <c r="A414" i="1"/>
  <c r="B414" i="1" s="1"/>
  <c r="C414" i="1" s="1"/>
  <c r="G414" i="1" s="1"/>
  <c r="A415" i="1"/>
  <c r="B415" i="1" s="1"/>
  <c r="C415" i="1" s="1"/>
  <c r="G415" i="1" s="1"/>
  <c r="A416" i="1"/>
  <c r="B416" i="1" s="1"/>
  <c r="C416" i="1" s="1"/>
  <c r="G416" i="1" s="1"/>
  <c r="A417" i="1"/>
  <c r="B417" i="1" s="1"/>
  <c r="C417" i="1" s="1"/>
  <c r="G417" i="1" s="1"/>
  <c r="A418" i="1"/>
  <c r="B418" i="1" s="1"/>
  <c r="C418" i="1" s="1"/>
  <c r="G418" i="1" s="1"/>
  <c r="A419" i="1"/>
  <c r="B419" i="1" s="1"/>
  <c r="C419" i="1" s="1"/>
  <c r="G419" i="1" s="1"/>
  <c r="A420" i="1"/>
  <c r="B420" i="1" s="1"/>
  <c r="C420" i="1" s="1"/>
  <c r="G420" i="1" s="1"/>
  <c r="A422" i="1"/>
  <c r="B422" i="1" s="1"/>
  <c r="C422" i="1" s="1"/>
  <c r="G422" i="1" s="1"/>
  <c r="A423" i="1"/>
  <c r="B423" i="1" s="1"/>
  <c r="C423" i="1" s="1"/>
  <c r="G423" i="1" s="1"/>
  <c r="A424" i="1"/>
  <c r="B424" i="1" s="1"/>
  <c r="C424" i="1" s="1"/>
  <c r="G424" i="1" s="1"/>
  <c r="A425" i="1"/>
  <c r="B425" i="1" s="1"/>
  <c r="C425" i="1" s="1"/>
  <c r="G425" i="1" s="1"/>
  <c r="A426" i="1"/>
  <c r="B426" i="1" s="1"/>
  <c r="C426" i="1" s="1"/>
  <c r="G426" i="1" s="1"/>
  <c r="A427" i="1"/>
  <c r="B427" i="1" s="1"/>
  <c r="C427" i="1" s="1"/>
  <c r="G427" i="1" s="1"/>
  <c r="A428" i="1"/>
  <c r="B428" i="1" s="1"/>
  <c r="C428" i="1" s="1"/>
  <c r="G428" i="1" s="1"/>
  <c r="A430" i="1"/>
  <c r="B430" i="1" s="1"/>
  <c r="C430" i="1" s="1"/>
  <c r="G430" i="1" s="1"/>
  <c r="A431" i="1"/>
  <c r="B431" i="1" s="1"/>
  <c r="C431" i="1" s="1"/>
  <c r="G431" i="1" s="1"/>
  <c r="A432" i="1"/>
  <c r="B432" i="1" s="1"/>
  <c r="C432" i="1" s="1"/>
  <c r="G432" i="1" s="1"/>
  <c r="A433" i="1"/>
  <c r="B433" i="1" s="1"/>
  <c r="C433" i="1" s="1"/>
  <c r="G433" i="1" s="1"/>
  <c r="A434" i="1"/>
  <c r="B434" i="1" s="1"/>
  <c r="C434" i="1" s="1"/>
  <c r="G434" i="1" s="1"/>
  <c r="A435" i="1"/>
  <c r="B435" i="1" s="1"/>
  <c r="C435" i="1" s="1"/>
  <c r="G435" i="1" s="1"/>
  <c r="A436" i="1"/>
  <c r="B436" i="1" s="1"/>
  <c r="C436" i="1" s="1"/>
  <c r="G436" i="1" s="1"/>
  <c r="A438" i="1"/>
  <c r="B438" i="1" s="1"/>
  <c r="C438" i="1" s="1"/>
  <c r="G438" i="1" s="1"/>
  <c r="A439" i="1"/>
  <c r="B439" i="1" s="1"/>
  <c r="C439" i="1" s="1"/>
  <c r="G439" i="1" s="1"/>
  <c r="A440" i="1"/>
  <c r="B440" i="1" s="1"/>
  <c r="C440" i="1" s="1"/>
  <c r="G440" i="1" s="1"/>
  <c r="A441" i="1"/>
  <c r="B441" i="1" s="1"/>
  <c r="C441" i="1" s="1"/>
  <c r="G441" i="1" s="1"/>
  <c r="A442" i="1"/>
  <c r="B442" i="1" s="1"/>
  <c r="C442" i="1" s="1"/>
  <c r="G442" i="1" s="1"/>
  <c r="A443" i="1"/>
  <c r="B443" i="1" s="1"/>
  <c r="C443" i="1" s="1"/>
  <c r="G443" i="1" s="1"/>
  <c r="A444" i="1"/>
  <c r="B444" i="1" s="1"/>
  <c r="C444" i="1" s="1"/>
  <c r="G444" i="1" s="1"/>
  <c r="A446" i="1"/>
  <c r="B446" i="1" s="1"/>
  <c r="C446" i="1" s="1"/>
  <c r="G446" i="1" s="1"/>
  <c r="A447" i="1"/>
  <c r="B447" i="1" s="1"/>
  <c r="C447" i="1" s="1"/>
  <c r="G447" i="1" s="1"/>
  <c r="A448" i="1"/>
  <c r="B448" i="1" s="1"/>
  <c r="C448" i="1" s="1"/>
  <c r="G448" i="1" s="1"/>
  <c r="A449" i="1"/>
  <c r="B449" i="1" s="1"/>
  <c r="C449" i="1" s="1"/>
  <c r="G449" i="1" s="1"/>
  <c r="A450" i="1"/>
  <c r="B450" i="1" s="1"/>
  <c r="C450" i="1" s="1"/>
  <c r="G450" i="1" s="1"/>
  <c r="A451" i="1"/>
  <c r="B451" i="1" s="1"/>
  <c r="C451" i="1" s="1"/>
  <c r="G451" i="1" s="1"/>
  <c r="A452" i="1"/>
  <c r="B452" i="1" s="1"/>
  <c r="C452" i="1" s="1"/>
  <c r="G452" i="1" s="1"/>
  <c r="A454" i="1"/>
  <c r="B454" i="1" s="1"/>
  <c r="C454" i="1" s="1"/>
  <c r="G454" i="1" s="1"/>
  <c r="A455" i="1"/>
  <c r="B455" i="1" s="1"/>
  <c r="C455" i="1" s="1"/>
  <c r="G455" i="1" s="1"/>
  <c r="A456" i="1"/>
  <c r="B456" i="1" s="1"/>
  <c r="C456" i="1" s="1"/>
  <c r="G456" i="1" s="1"/>
  <c r="A457" i="1"/>
  <c r="B457" i="1" s="1"/>
  <c r="C457" i="1" s="1"/>
  <c r="G457" i="1" s="1"/>
  <c r="A458" i="1"/>
  <c r="B458" i="1" s="1"/>
  <c r="C458" i="1" s="1"/>
  <c r="G458" i="1" s="1"/>
  <c r="A459" i="1"/>
  <c r="B459" i="1" s="1"/>
  <c r="C459" i="1" s="1"/>
  <c r="G459" i="1" s="1"/>
  <c r="A460" i="1"/>
  <c r="B460" i="1" s="1"/>
  <c r="C460" i="1" s="1"/>
  <c r="G460" i="1" s="1"/>
  <c r="A462" i="1"/>
  <c r="B462" i="1" s="1"/>
  <c r="C462" i="1" s="1"/>
  <c r="G462" i="1" s="1"/>
  <c r="A463" i="1"/>
  <c r="B463" i="1" s="1"/>
  <c r="C463" i="1" s="1"/>
  <c r="G463" i="1" s="1"/>
  <c r="A464" i="1"/>
  <c r="B464" i="1" s="1"/>
  <c r="C464" i="1" s="1"/>
  <c r="G464" i="1" s="1"/>
  <c r="A465" i="1"/>
  <c r="B465" i="1" s="1"/>
  <c r="C465" i="1" s="1"/>
  <c r="G465" i="1" s="1"/>
  <c r="A466" i="1"/>
  <c r="B466" i="1" s="1"/>
  <c r="C466" i="1" s="1"/>
  <c r="G466" i="1" s="1"/>
  <c r="A467" i="1"/>
  <c r="B467" i="1" s="1"/>
  <c r="C467" i="1" s="1"/>
  <c r="G467" i="1" s="1"/>
  <c r="A468" i="1"/>
  <c r="B468" i="1" s="1"/>
  <c r="C468" i="1" s="1"/>
  <c r="G468" i="1" s="1"/>
  <c r="A470" i="1"/>
  <c r="B470" i="1" s="1"/>
  <c r="C470" i="1" s="1"/>
  <c r="G470" i="1" s="1"/>
  <c r="A471" i="1"/>
  <c r="B471" i="1" s="1"/>
  <c r="C471" i="1" s="1"/>
  <c r="G471" i="1" s="1"/>
  <c r="A472" i="1"/>
  <c r="B472" i="1" s="1"/>
  <c r="C472" i="1" s="1"/>
  <c r="G472" i="1" s="1"/>
  <c r="A473" i="1"/>
  <c r="B473" i="1" s="1"/>
  <c r="C473" i="1" s="1"/>
  <c r="G473" i="1" s="1"/>
  <c r="A474" i="1"/>
  <c r="B474" i="1" s="1"/>
  <c r="C474" i="1" s="1"/>
  <c r="G474" i="1" s="1"/>
  <c r="A475" i="1"/>
  <c r="B475" i="1" s="1"/>
  <c r="C475" i="1" s="1"/>
  <c r="G475" i="1" s="1"/>
  <c r="A476" i="1"/>
  <c r="B476" i="1" s="1"/>
  <c r="C476" i="1" s="1"/>
  <c r="G476" i="1" s="1"/>
  <c r="A478" i="1"/>
  <c r="B478" i="1" s="1"/>
  <c r="C478" i="1" s="1"/>
  <c r="G478" i="1" s="1"/>
  <c r="A479" i="1"/>
  <c r="B479" i="1" s="1"/>
  <c r="C479" i="1" s="1"/>
  <c r="G479" i="1" s="1"/>
  <c r="A480" i="1"/>
  <c r="B480" i="1" s="1"/>
  <c r="C480" i="1" s="1"/>
  <c r="G480" i="1" s="1"/>
  <c r="A481" i="1"/>
  <c r="B481" i="1" s="1"/>
  <c r="C481" i="1" s="1"/>
  <c r="G481" i="1" s="1"/>
  <c r="A482" i="1"/>
  <c r="B482" i="1" s="1"/>
  <c r="C482" i="1" s="1"/>
  <c r="G482" i="1" s="1"/>
  <c r="A483" i="1"/>
  <c r="B483" i="1" s="1"/>
  <c r="C483" i="1" s="1"/>
  <c r="G483" i="1" s="1"/>
  <c r="A484" i="1"/>
  <c r="B484" i="1" s="1"/>
  <c r="C484" i="1" s="1"/>
  <c r="G484" i="1" s="1"/>
  <c r="A486" i="1"/>
  <c r="B486" i="1" s="1"/>
  <c r="C486" i="1" s="1"/>
  <c r="G486" i="1" s="1"/>
  <c r="A487" i="1"/>
  <c r="B487" i="1" s="1"/>
  <c r="C487" i="1" s="1"/>
  <c r="G487" i="1" s="1"/>
  <c r="A488" i="1"/>
  <c r="B488" i="1" s="1"/>
  <c r="C488" i="1" s="1"/>
  <c r="G488" i="1" s="1"/>
  <c r="A489" i="1"/>
  <c r="B489" i="1" s="1"/>
  <c r="C489" i="1" s="1"/>
  <c r="G489" i="1" s="1"/>
  <c r="A490" i="1"/>
  <c r="B490" i="1" s="1"/>
  <c r="C490" i="1" s="1"/>
  <c r="G490" i="1" s="1"/>
  <c r="A491" i="1"/>
  <c r="B491" i="1" s="1"/>
  <c r="C491" i="1" s="1"/>
  <c r="G491" i="1" s="1"/>
  <c r="A492" i="1"/>
  <c r="B492" i="1" s="1"/>
  <c r="C492" i="1" s="1"/>
  <c r="G492" i="1" s="1"/>
  <c r="A494" i="1"/>
  <c r="B494" i="1" s="1"/>
  <c r="C494" i="1" s="1"/>
  <c r="G494" i="1" s="1"/>
  <c r="A495" i="1"/>
  <c r="B495" i="1" s="1"/>
  <c r="C495" i="1" s="1"/>
  <c r="G495" i="1" s="1"/>
  <c r="A496" i="1"/>
  <c r="B496" i="1" s="1"/>
  <c r="C496" i="1" s="1"/>
  <c r="G496" i="1" s="1"/>
  <c r="A497" i="1"/>
  <c r="B497" i="1" s="1"/>
  <c r="C497" i="1" s="1"/>
  <c r="G497" i="1" s="1"/>
  <c r="A498" i="1"/>
  <c r="B498" i="1" s="1"/>
  <c r="C498" i="1" s="1"/>
  <c r="G498" i="1" s="1"/>
  <c r="A499" i="1"/>
  <c r="B499" i="1" s="1"/>
  <c r="C499" i="1" s="1"/>
  <c r="G499" i="1" s="1"/>
  <c r="A500" i="1"/>
  <c r="B500" i="1" s="1"/>
  <c r="C500" i="1" s="1"/>
  <c r="G500" i="1" s="1"/>
  <c r="A502" i="1"/>
  <c r="B502" i="1" s="1"/>
  <c r="C502" i="1" s="1"/>
  <c r="G502" i="1" s="1"/>
  <c r="A503" i="1"/>
  <c r="B503" i="1" s="1"/>
  <c r="C503" i="1" s="1"/>
  <c r="G503" i="1" s="1"/>
  <c r="A504" i="1"/>
  <c r="B504" i="1" s="1"/>
  <c r="C504" i="1" s="1"/>
  <c r="G504" i="1" s="1"/>
  <c r="A505" i="1"/>
  <c r="B505" i="1" s="1"/>
  <c r="C505" i="1" s="1"/>
  <c r="G505" i="1" s="1"/>
  <c r="A506" i="1"/>
  <c r="B506" i="1" s="1"/>
  <c r="C506" i="1" s="1"/>
  <c r="G506" i="1" s="1"/>
  <c r="A507" i="1"/>
  <c r="B507" i="1" s="1"/>
  <c r="C507" i="1" s="1"/>
  <c r="G507" i="1" s="1"/>
  <c r="A508" i="1"/>
  <c r="B508" i="1" s="1"/>
  <c r="C508" i="1" s="1"/>
  <c r="G508" i="1" s="1"/>
  <c r="A510" i="1"/>
  <c r="B510" i="1" s="1"/>
  <c r="C510" i="1" s="1"/>
  <c r="G510" i="1" s="1"/>
  <c r="A511" i="1"/>
  <c r="B511" i="1" s="1"/>
  <c r="C511" i="1" s="1"/>
  <c r="G511" i="1" s="1"/>
  <c r="A512" i="1"/>
  <c r="B512" i="1" s="1"/>
  <c r="C512" i="1" s="1"/>
  <c r="G512" i="1" s="1"/>
  <c r="A513" i="1"/>
  <c r="B513" i="1" s="1"/>
  <c r="C513" i="1" s="1"/>
  <c r="G513" i="1" s="1"/>
  <c r="A514" i="1"/>
  <c r="B514" i="1" s="1"/>
  <c r="C514" i="1" s="1"/>
  <c r="G514" i="1" s="1"/>
  <c r="A515" i="1"/>
  <c r="B515" i="1" s="1"/>
  <c r="C515" i="1" s="1"/>
  <c r="G515" i="1" s="1"/>
  <c r="A516" i="1"/>
  <c r="B516" i="1" s="1"/>
  <c r="C516" i="1" s="1"/>
  <c r="G516" i="1" s="1"/>
  <c r="A518" i="1"/>
  <c r="B518" i="1" s="1"/>
  <c r="C518" i="1" s="1"/>
  <c r="G518" i="1" s="1"/>
  <c r="A519" i="1"/>
  <c r="B519" i="1" s="1"/>
  <c r="C519" i="1" s="1"/>
  <c r="G519" i="1" s="1"/>
  <c r="A520" i="1"/>
  <c r="B520" i="1" s="1"/>
  <c r="C520" i="1" s="1"/>
  <c r="G520" i="1" s="1"/>
  <c r="A521" i="1"/>
  <c r="B521" i="1" s="1"/>
  <c r="C521" i="1" s="1"/>
  <c r="G521" i="1" s="1"/>
  <c r="A522" i="1"/>
  <c r="B522" i="1" s="1"/>
  <c r="C522" i="1" s="1"/>
  <c r="G522" i="1" s="1"/>
  <c r="A523" i="1"/>
  <c r="B523" i="1" s="1"/>
  <c r="C523" i="1" s="1"/>
  <c r="G523" i="1" s="1"/>
  <c r="A524" i="1"/>
  <c r="B524" i="1" s="1"/>
  <c r="C524" i="1" s="1"/>
  <c r="G524" i="1" s="1"/>
  <c r="A526" i="1"/>
  <c r="B526" i="1" s="1"/>
  <c r="C526" i="1" s="1"/>
  <c r="G526" i="1" s="1"/>
  <c r="A527" i="1"/>
  <c r="B527" i="1" s="1"/>
  <c r="C527" i="1" s="1"/>
  <c r="G527" i="1" s="1"/>
  <c r="A528" i="1"/>
  <c r="B528" i="1" s="1"/>
  <c r="C528" i="1" s="1"/>
  <c r="G528" i="1" s="1"/>
  <c r="A529" i="1"/>
  <c r="B529" i="1" s="1"/>
  <c r="C529" i="1" s="1"/>
  <c r="G529" i="1" s="1"/>
  <c r="A530" i="1"/>
  <c r="B530" i="1" s="1"/>
  <c r="C530" i="1" s="1"/>
  <c r="G530" i="1" s="1"/>
  <c r="A531" i="1"/>
  <c r="B531" i="1" s="1"/>
  <c r="C531" i="1" s="1"/>
  <c r="G531" i="1" s="1"/>
  <c r="A532" i="1"/>
  <c r="B532" i="1" s="1"/>
  <c r="C532" i="1" s="1"/>
  <c r="G532" i="1" s="1"/>
  <c r="A534" i="1"/>
  <c r="B534" i="1" s="1"/>
  <c r="C534" i="1" s="1"/>
  <c r="G534" i="1" s="1"/>
  <c r="A535" i="1"/>
  <c r="B535" i="1" s="1"/>
  <c r="C535" i="1" s="1"/>
  <c r="G535" i="1" s="1"/>
  <c r="A536" i="1"/>
  <c r="B536" i="1" s="1"/>
  <c r="C536" i="1" s="1"/>
  <c r="G536" i="1" s="1"/>
  <c r="A537" i="1"/>
  <c r="B537" i="1" s="1"/>
  <c r="C537" i="1" s="1"/>
  <c r="G537" i="1" s="1"/>
  <c r="A538" i="1"/>
  <c r="B538" i="1" s="1"/>
  <c r="C538" i="1" s="1"/>
  <c r="G538" i="1" s="1"/>
  <c r="A539" i="1"/>
  <c r="B539" i="1" s="1"/>
  <c r="C539" i="1" s="1"/>
  <c r="G539" i="1" s="1"/>
  <c r="A540" i="1"/>
  <c r="B540" i="1" s="1"/>
  <c r="C540" i="1" s="1"/>
  <c r="G540" i="1" s="1"/>
  <c r="A542" i="1"/>
  <c r="B542" i="1" s="1"/>
  <c r="C542" i="1" s="1"/>
  <c r="G542" i="1" s="1"/>
  <c r="A543" i="1"/>
  <c r="B543" i="1" s="1"/>
  <c r="C543" i="1" s="1"/>
  <c r="G543" i="1" s="1"/>
  <c r="A544" i="1"/>
  <c r="B544" i="1" s="1"/>
  <c r="C544" i="1" s="1"/>
  <c r="G544" i="1" s="1"/>
  <c r="A545" i="1"/>
  <c r="B545" i="1" s="1"/>
  <c r="C545" i="1" s="1"/>
  <c r="G545" i="1" s="1"/>
  <c r="A546" i="1"/>
  <c r="B546" i="1" s="1"/>
  <c r="C546" i="1" s="1"/>
  <c r="G546" i="1" s="1"/>
  <c r="A547" i="1"/>
  <c r="B547" i="1" s="1"/>
  <c r="C547" i="1" s="1"/>
  <c r="G547" i="1" s="1"/>
  <c r="A548" i="1"/>
  <c r="B548" i="1" s="1"/>
  <c r="C548" i="1" s="1"/>
  <c r="G548" i="1" s="1"/>
  <c r="A550" i="1"/>
  <c r="B550" i="1" s="1"/>
  <c r="C550" i="1" s="1"/>
  <c r="G550" i="1" s="1"/>
  <c r="A551" i="1"/>
  <c r="B551" i="1" s="1"/>
  <c r="C551" i="1" s="1"/>
  <c r="G551" i="1" s="1"/>
  <c r="A552" i="1"/>
  <c r="B552" i="1" s="1"/>
  <c r="C552" i="1" s="1"/>
  <c r="G552" i="1" s="1"/>
  <c r="A553" i="1"/>
  <c r="B553" i="1" s="1"/>
  <c r="C553" i="1" s="1"/>
  <c r="G553" i="1" s="1"/>
  <c r="A554" i="1"/>
  <c r="B554" i="1" s="1"/>
  <c r="C554" i="1" s="1"/>
  <c r="G554" i="1" s="1"/>
  <c r="A555" i="1"/>
  <c r="B555" i="1" s="1"/>
  <c r="C555" i="1" s="1"/>
  <c r="G555" i="1" s="1"/>
  <c r="A556" i="1"/>
  <c r="B556" i="1" s="1"/>
  <c r="C556" i="1" s="1"/>
  <c r="G556" i="1" s="1"/>
  <c r="A558" i="1"/>
  <c r="B558" i="1" s="1"/>
  <c r="C558" i="1" s="1"/>
  <c r="G558" i="1" s="1"/>
  <c r="A559" i="1"/>
  <c r="B559" i="1" s="1"/>
  <c r="C559" i="1" s="1"/>
  <c r="G559" i="1" s="1"/>
  <c r="A560" i="1"/>
  <c r="B560" i="1" s="1"/>
  <c r="C560" i="1" s="1"/>
  <c r="G560" i="1" s="1"/>
  <c r="A561" i="1"/>
  <c r="B561" i="1" s="1"/>
  <c r="C561" i="1" s="1"/>
  <c r="G561" i="1" s="1"/>
  <c r="A562" i="1"/>
  <c r="B562" i="1" s="1"/>
  <c r="C562" i="1" s="1"/>
  <c r="G562" i="1" s="1"/>
  <c r="A563" i="1"/>
  <c r="B563" i="1" s="1"/>
  <c r="C563" i="1" s="1"/>
  <c r="G563" i="1" s="1"/>
  <c r="A564" i="1"/>
  <c r="B564" i="1" s="1"/>
  <c r="C564" i="1" s="1"/>
  <c r="G564" i="1" s="1"/>
  <c r="A566" i="1"/>
  <c r="B566" i="1" s="1"/>
  <c r="C566" i="1" s="1"/>
  <c r="G566" i="1" s="1"/>
  <c r="A567" i="1"/>
  <c r="B567" i="1" s="1"/>
  <c r="C567" i="1" s="1"/>
  <c r="G567" i="1" s="1"/>
  <c r="A568" i="1"/>
  <c r="B568" i="1" s="1"/>
  <c r="C568" i="1" s="1"/>
  <c r="G568" i="1" s="1"/>
  <c r="A569" i="1"/>
  <c r="B569" i="1" s="1"/>
  <c r="C569" i="1" s="1"/>
  <c r="G569" i="1" s="1"/>
  <c r="A570" i="1"/>
  <c r="B570" i="1" s="1"/>
  <c r="C570" i="1" s="1"/>
  <c r="G570" i="1" s="1"/>
  <c r="A571" i="1"/>
  <c r="B571" i="1" s="1"/>
  <c r="C571" i="1" s="1"/>
  <c r="G571" i="1" s="1"/>
  <c r="A572" i="1"/>
  <c r="B572" i="1" s="1"/>
  <c r="C572" i="1" s="1"/>
  <c r="G572" i="1" s="1"/>
  <c r="A574" i="1"/>
  <c r="B574" i="1" s="1"/>
  <c r="C574" i="1" s="1"/>
  <c r="G574" i="1" s="1"/>
  <c r="A575" i="1"/>
  <c r="B575" i="1" s="1"/>
  <c r="C575" i="1" s="1"/>
  <c r="G575" i="1" s="1"/>
  <c r="A576" i="1"/>
  <c r="B576" i="1" s="1"/>
  <c r="C576" i="1" s="1"/>
  <c r="G576" i="1" s="1"/>
  <c r="A577" i="1"/>
  <c r="B577" i="1" s="1"/>
  <c r="C577" i="1" s="1"/>
  <c r="G577" i="1" s="1"/>
  <c r="A578" i="1"/>
  <c r="B578" i="1" s="1"/>
  <c r="C578" i="1" s="1"/>
  <c r="G578" i="1" s="1"/>
  <c r="A579" i="1"/>
  <c r="B579" i="1" s="1"/>
  <c r="C579" i="1" s="1"/>
  <c r="G579" i="1" s="1"/>
  <c r="A580" i="1"/>
  <c r="B580" i="1" s="1"/>
  <c r="C580" i="1" s="1"/>
  <c r="G580" i="1" s="1"/>
  <c r="A582" i="1"/>
  <c r="B582" i="1" s="1"/>
  <c r="C582" i="1" s="1"/>
  <c r="G582" i="1" s="1"/>
  <c r="A583" i="1"/>
  <c r="B583" i="1" s="1"/>
  <c r="C583" i="1" s="1"/>
  <c r="G583" i="1" s="1"/>
  <c r="A584" i="1"/>
  <c r="B584" i="1" s="1"/>
  <c r="C584" i="1" s="1"/>
  <c r="G584" i="1" s="1"/>
  <c r="A585" i="1"/>
  <c r="B585" i="1" s="1"/>
  <c r="C585" i="1" s="1"/>
  <c r="G585" i="1" s="1"/>
  <c r="A586" i="1"/>
  <c r="B586" i="1" s="1"/>
  <c r="C586" i="1" s="1"/>
  <c r="G586" i="1" s="1"/>
  <c r="A587" i="1"/>
  <c r="B587" i="1" s="1"/>
  <c r="C587" i="1" s="1"/>
  <c r="G587" i="1" s="1"/>
  <c r="A588" i="1"/>
  <c r="B588" i="1" s="1"/>
  <c r="C588" i="1" s="1"/>
  <c r="G588" i="1" s="1"/>
  <c r="A590" i="1"/>
  <c r="B590" i="1" s="1"/>
  <c r="C590" i="1" s="1"/>
  <c r="G590" i="1" s="1"/>
  <c r="A591" i="1"/>
  <c r="B591" i="1" s="1"/>
  <c r="C591" i="1" s="1"/>
  <c r="G591" i="1" s="1"/>
  <c r="A592" i="1"/>
  <c r="B592" i="1" s="1"/>
  <c r="C592" i="1" s="1"/>
  <c r="G592" i="1" s="1"/>
  <c r="A593" i="1"/>
  <c r="B593" i="1" s="1"/>
  <c r="C593" i="1" s="1"/>
  <c r="G593" i="1" s="1"/>
  <c r="A594" i="1"/>
  <c r="B594" i="1" s="1"/>
  <c r="C594" i="1" s="1"/>
  <c r="G594" i="1" s="1"/>
  <c r="A595" i="1"/>
  <c r="B595" i="1" s="1"/>
  <c r="C595" i="1" s="1"/>
  <c r="G595" i="1" s="1"/>
  <c r="A596" i="1"/>
  <c r="B596" i="1" s="1"/>
  <c r="C596" i="1" s="1"/>
  <c r="G596" i="1" s="1"/>
  <c r="A598" i="1"/>
  <c r="B598" i="1" s="1"/>
  <c r="C598" i="1" s="1"/>
  <c r="G598" i="1" s="1"/>
  <c r="A599" i="1"/>
  <c r="B599" i="1" s="1"/>
  <c r="C599" i="1" s="1"/>
  <c r="G599" i="1" s="1"/>
  <c r="A600" i="1"/>
  <c r="B600" i="1" s="1"/>
  <c r="C600" i="1" s="1"/>
  <c r="G600" i="1" s="1"/>
  <c r="A601" i="1"/>
  <c r="B601" i="1" s="1"/>
  <c r="C601" i="1" s="1"/>
  <c r="G601" i="1" s="1"/>
  <c r="A602" i="1"/>
  <c r="B602" i="1" s="1"/>
  <c r="C602" i="1" s="1"/>
  <c r="G602" i="1" s="1"/>
  <c r="A603" i="1"/>
  <c r="B603" i="1" s="1"/>
  <c r="C603" i="1" s="1"/>
  <c r="G603" i="1" s="1"/>
  <c r="A604" i="1"/>
  <c r="B604" i="1" s="1"/>
  <c r="C604" i="1" s="1"/>
  <c r="G604" i="1" s="1"/>
  <c r="A606" i="1"/>
  <c r="B606" i="1" s="1"/>
  <c r="C606" i="1" s="1"/>
  <c r="G606" i="1" s="1"/>
  <c r="A607" i="1"/>
  <c r="B607" i="1" s="1"/>
  <c r="C607" i="1" s="1"/>
  <c r="G607" i="1" s="1"/>
  <c r="A608" i="1"/>
  <c r="B608" i="1" s="1"/>
  <c r="C608" i="1" s="1"/>
  <c r="G608" i="1" s="1"/>
  <c r="A609" i="1"/>
  <c r="B609" i="1" s="1"/>
  <c r="C609" i="1" s="1"/>
  <c r="G609" i="1" s="1"/>
  <c r="A610" i="1"/>
  <c r="B610" i="1" s="1"/>
  <c r="C610" i="1" s="1"/>
  <c r="G610" i="1" s="1"/>
  <c r="A611" i="1"/>
  <c r="B611" i="1" s="1"/>
  <c r="C611" i="1" s="1"/>
  <c r="G611" i="1" s="1"/>
  <c r="A612" i="1"/>
  <c r="B612" i="1" s="1"/>
  <c r="C612" i="1" s="1"/>
  <c r="G612" i="1" s="1"/>
  <c r="A614" i="1"/>
  <c r="B614" i="1" s="1"/>
  <c r="C614" i="1" s="1"/>
  <c r="G614" i="1" s="1"/>
  <c r="A615" i="1"/>
  <c r="B615" i="1" s="1"/>
  <c r="C615" i="1" s="1"/>
  <c r="G615" i="1" s="1"/>
  <c r="A616" i="1"/>
  <c r="B616" i="1" s="1"/>
  <c r="C616" i="1" s="1"/>
  <c r="G616" i="1" s="1"/>
  <c r="A617" i="1"/>
  <c r="B617" i="1" s="1"/>
  <c r="C617" i="1" s="1"/>
  <c r="G617" i="1" s="1"/>
  <c r="A618" i="1"/>
  <c r="B618" i="1" s="1"/>
  <c r="C618" i="1" s="1"/>
  <c r="G618" i="1" s="1"/>
  <c r="A619" i="1"/>
  <c r="B619" i="1" s="1"/>
  <c r="C619" i="1" s="1"/>
  <c r="G619" i="1" s="1"/>
  <c r="A620" i="1"/>
  <c r="B620" i="1" s="1"/>
  <c r="C620" i="1" s="1"/>
  <c r="G620" i="1" s="1"/>
  <c r="A622" i="1"/>
  <c r="B622" i="1" s="1"/>
  <c r="C622" i="1" s="1"/>
  <c r="G622" i="1" s="1"/>
  <c r="A623" i="1"/>
  <c r="B623" i="1" s="1"/>
  <c r="C623" i="1" s="1"/>
  <c r="G623" i="1" s="1"/>
  <c r="A624" i="1"/>
  <c r="B624" i="1" s="1"/>
  <c r="C624" i="1" s="1"/>
  <c r="G624" i="1" s="1"/>
  <c r="A625" i="1"/>
  <c r="B625" i="1" s="1"/>
  <c r="C625" i="1" s="1"/>
  <c r="G625" i="1" s="1"/>
  <c r="A626" i="1"/>
  <c r="B626" i="1" s="1"/>
  <c r="C626" i="1" s="1"/>
  <c r="G626" i="1" s="1"/>
  <c r="A627" i="1"/>
  <c r="B627" i="1" s="1"/>
  <c r="C627" i="1" s="1"/>
  <c r="G627" i="1" s="1"/>
  <c r="A628" i="1"/>
  <c r="B628" i="1" s="1"/>
  <c r="C628" i="1" s="1"/>
  <c r="G628" i="1" s="1"/>
  <c r="A630" i="1"/>
  <c r="B630" i="1" s="1"/>
  <c r="C630" i="1" s="1"/>
  <c r="G630" i="1" s="1"/>
  <c r="A631" i="1"/>
  <c r="B631" i="1" s="1"/>
  <c r="C631" i="1" s="1"/>
  <c r="G631" i="1" s="1"/>
  <c r="A632" i="1"/>
  <c r="B632" i="1" s="1"/>
  <c r="C632" i="1" s="1"/>
  <c r="G632" i="1" s="1"/>
  <c r="A633" i="1"/>
  <c r="B633" i="1" s="1"/>
  <c r="C633" i="1" s="1"/>
  <c r="G633" i="1" s="1"/>
  <c r="A634" i="1"/>
  <c r="B634" i="1" s="1"/>
  <c r="C634" i="1" s="1"/>
  <c r="G634" i="1" s="1"/>
  <c r="A635" i="1"/>
  <c r="B635" i="1" s="1"/>
  <c r="C635" i="1" s="1"/>
  <c r="G635" i="1" s="1"/>
  <c r="A636" i="1"/>
  <c r="B636" i="1" s="1"/>
  <c r="C636" i="1" s="1"/>
  <c r="G636" i="1" s="1"/>
  <c r="A638" i="1"/>
  <c r="B638" i="1" s="1"/>
  <c r="C638" i="1" s="1"/>
  <c r="G638" i="1" s="1"/>
  <c r="A639" i="1"/>
  <c r="B639" i="1" s="1"/>
  <c r="C639" i="1" s="1"/>
  <c r="G639" i="1" s="1"/>
  <c r="A640" i="1"/>
  <c r="B640" i="1" s="1"/>
  <c r="C640" i="1" s="1"/>
  <c r="G640" i="1" s="1"/>
  <c r="A641" i="1"/>
  <c r="B641" i="1" s="1"/>
  <c r="C641" i="1" s="1"/>
  <c r="G641" i="1" s="1"/>
  <c r="A642" i="1"/>
  <c r="B642" i="1" s="1"/>
  <c r="C642" i="1" s="1"/>
  <c r="G642" i="1" s="1"/>
  <c r="A643" i="1"/>
  <c r="B643" i="1" s="1"/>
  <c r="C643" i="1" s="1"/>
  <c r="G643" i="1" s="1"/>
  <c r="A644" i="1"/>
  <c r="B644" i="1" s="1"/>
  <c r="C644" i="1" s="1"/>
  <c r="G644" i="1" s="1"/>
  <c r="A646" i="1"/>
  <c r="B646" i="1" s="1"/>
  <c r="C646" i="1" s="1"/>
  <c r="G646" i="1" s="1"/>
  <c r="A647" i="1"/>
  <c r="B647" i="1" s="1"/>
  <c r="C647" i="1" s="1"/>
  <c r="G647" i="1" s="1"/>
  <c r="A648" i="1"/>
  <c r="B648" i="1" s="1"/>
  <c r="C648" i="1" s="1"/>
  <c r="G648" i="1" s="1"/>
  <c r="A649" i="1"/>
  <c r="B649" i="1" s="1"/>
  <c r="C649" i="1" s="1"/>
  <c r="G649" i="1" s="1"/>
  <c r="A650" i="1"/>
  <c r="B650" i="1" s="1"/>
  <c r="C650" i="1" s="1"/>
  <c r="G650" i="1" s="1"/>
  <c r="A651" i="1"/>
  <c r="B651" i="1" s="1"/>
  <c r="C651" i="1" s="1"/>
  <c r="G651" i="1" s="1"/>
  <c r="A652" i="1"/>
  <c r="B652" i="1" s="1"/>
  <c r="C652" i="1" s="1"/>
  <c r="A654" i="1"/>
  <c r="B654" i="1" s="1"/>
  <c r="C654" i="1" s="1"/>
  <c r="G654" i="1" s="1"/>
  <c r="A655" i="1"/>
  <c r="B655" i="1" s="1"/>
  <c r="C655" i="1" s="1"/>
  <c r="G655" i="1" s="1"/>
  <c r="A656" i="1"/>
  <c r="B656" i="1" s="1"/>
  <c r="C656" i="1" s="1"/>
  <c r="G656" i="1" s="1"/>
  <c r="A657" i="1"/>
  <c r="B657" i="1" s="1"/>
  <c r="C657" i="1" s="1"/>
  <c r="G657" i="1" s="1"/>
  <c r="A658" i="1"/>
  <c r="B658" i="1" s="1"/>
  <c r="C658" i="1" s="1"/>
  <c r="G658" i="1" s="1"/>
  <c r="A659" i="1"/>
  <c r="B659" i="1" s="1"/>
  <c r="C659" i="1" s="1"/>
  <c r="G659" i="1" s="1"/>
  <c r="A660" i="1"/>
  <c r="B660" i="1" s="1"/>
  <c r="C660" i="1" s="1"/>
  <c r="G660" i="1" s="1"/>
  <c r="A662" i="1"/>
  <c r="B662" i="1" s="1"/>
  <c r="C662" i="1" s="1"/>
  <c r="G662" i="1" s="1"/>
  <c r="A663" i="1"/>
  <c r="B663" i="1" s="1"/>
  <c r="C663" i="1" s="1"/>
  <c r="G663" i="1" s="1"/>
  <c r="A664" i="1"/>
  <c r="B664" i="1" s="1"/>
  <c r="C664" i="1" s="1"/>
  <c r="G664" i="1" s="1"/>
  <c r="A665" i="1"/>
  <c r="B665" i="1" s="1"/>
  <c r="C665" i="1" s="1"/>
  <c r="G665" i="1" s="1"/>
  <c r="A666" i="1"/>
  <c r="B666" i="1" s="1"/>
  <c r="C666" i="1" s="1"/>
  <c r="G666" i="1" s="1"/>
  <c r="A667" i="1"/>
  <c r="B667" i="1" s="1"/>
  <c r="C667" i="1" s="1"/>
  <c r="G667" i="1" s="1"/>
  <c r="A668" i="1"/>
  <c r="B668" i="1" s="1"/>
  <c r="C668" i="1" s="1"/>
  <c r="G668" i="1" s="1"/>
  <c r="A670" i="1"/>
  <c r="B670" i="1" s="1"/>
  <c r="C670" i="1" s="1"/>
  <c r="G670" i="1" s="1"/>
  <c r="A671" i="1"/>
  <c r="B671" i="1" s="1"/>
  <c r="C671" i="1" s="1"/>
  <c r="G671" i="1" s="1"/>
  <c r="A672" i="1"/>
  <c r="B672" i="1" s="1"/>
  <c r="C672" i="1" s="1"/>
  <c r="G672" i="1" s="1"/>
  <c r="A673" i="1"/>
  <c r="B673" i="1" s="1"/>
  <c r="C673" i="1" s="1"/>
  <c r="G673" i="1" s="1"/>
  <c r="A674" i="1"/>
  <c r="B674" i="1" s="1"/>
  <c r="C674" i="1" s="1"/>
  <c r="G674" i="1" s="1"/>
  <c r="A675" i="1"/>
  <c r="B675" i="1" s="1"/>
  <c r="C675" i="1" s="1"/>
  <c r="G675" i="1" s="1"/>
  <c r="A676" i="1"/>
  <c r="B676" i="1" s="1"/>
  <c r="C676" i="1" s="1"/>
  <c r="G676" i="1" s="1"/>
  <c r="A678" i="1"/>
  <c r="B678" i="1" s="1"/>
  <c r="C678" i="1" s="1"/>
  <c r="G678" i="1" s="1"/>
  <c r="A679" i="1"/>
  <c r="B679" i="1" s="1"/>
  <c r="C679" i="1" s="1"/>
  <c r="G679" i="1" s="1"/>
  <c r="A680" i="1"/>
  <c r="B680" i="1" s="1"/>
  <c r="C680" i="1" s="1"/>
  <c r="G680" i="1" s="1"/>
  <c r="A681" i="1"/>
  <c r="B681" i="1" s="1"/>
  <c r="C681" i="1" s="1"/>
  <c r="G681" i="1" s="1"/>
  <c r="A682" i="1"/>
  <c r="B682" i="1" s="1"/>
  <c r="C682" i="1" s="1"/>
  <c r="G682" i="1" s="1"/>
  <c r="A683" i="1"/>
  <c r="B683" i="1" s="1"/>
  <c r="C683" i="1" s="1"/>
  <c r="G683" i="1" s="1"/>
  <c r="A684" i="1"/>
  <c r="B684" i="1" s="1"/>
  <c r="C684" i="1" s="1"/>
  <c r="G684" i="1" s="1"/>
  <c r="A686" i="1"/>
  <c r="B686" i="1" s="1"/>
  <c r="C686" i="1" s="1"/>
  <c r="G686" i="1" s="1"/>
  <c r="A687" i="1"/>
  <c r="B687" i="1" s="1"/>
  <c r="C687" i="1" s="1"/>
  <c r="G687" i="1" s="1"/>
  <c r="A688" i="1"/>
  <c r="B688" i="1" s="1"/>
  <c r="C688" i="1" s="1"/>
  <c r="G688" i="1" s="1"/>
  <c r="A689" i="1"/>
  <c r="B689" i="1" s="1"/>
  <c r="C689" i="1" s="1"/>
  <c r="G689" i="1" s="1"/>
  <c r="A690" i="1"/>
  <c r="B690" i="1" s="1"/>
  <c r="C690" i="1" s="1"/>
  <c r="G690" i="1" s="1"/>
  <c r="A691" i="1"/>
  <c r="B691" i="1" s="1"/>
  <c r="C691" i="1" s="1"/>
  <c r="G691" i="1" s="1"/>
  <c r="A692" i="1"/>
  <c r="B692" i="1" s="1"/>
  <c r="C692" i="1" s="1"/>
  <c r="G692" i="1" s="1"/>
  <c r="A694" i="1"/>
  <c r="B694" i="1" s="1"/>
  <c r="C694" i="1" s="1"/>
  <c r="G694" i="1" s="1"/>
  <c r="A695" i="1"/>
  <c r="B695" i="1" s="1"/>
  <c r="C695" i="1" s="1"/>
  <c r="G695" i="1" s="1"/>
  <c r="A696" i="1"/>
  <c r="B696" i="1" s="1"/>
  <c r="C696" i="1" s="1"/>
  <c r="G696" i="1" s="1"/>
  <c r="A697" i="1"/>
  <c r="B697" i="1" s="1"/>
  <c r="C697" i="1" s="1"/>
  <c r="G697" i="1" s="1"/>
  <c r="A698" i="1"/>
  <c r="B698" i="1" s="1"/>
  <c r="C698" i="1" s="1"/>
  <c r="G698" i="1" s="1"/>
  <c r="A699" i="1"/>
  <c r="B699" i="1" s="1"/>
  <c r="C699" i="1" s="1"/>
  <c r="G699" i="1" s="1"/>
  <c r="A700" i="1"/>
  <c r="B700" i="1" s="1"/>
  <c r="C700" i="1" s="1"/>
  <c r="G700" i="1" s="1"/>
  <c r="A702" i="1"/>
  <c r="B702" i="1" s="1"/>
  <c r="C702" i="1" s="1"/>
  <c r="G702" i="1" s="1"/>
  <c r="A703" i="1"/>
  <c r="B703" i="1" s="1"/>
  <c r="C703" i="1" s="1"/>
  <c r="G703" i="1" s="1"/>
  <c r="A704" i="1"/>
  <c r="B704" i="1" s="1"/>
  <c r="C704" i="1" s="1"/>
  <c r="G704" i="1" s="1"/>
  <c r="A705" i="1"/>
  <c r="B705" i="1" s="1"/>
  <c r="C705" i="1" s="1"/>
  <c r="G705" i="1" s="1"/>
  <c r="A706" i="1"/>
  <c r="B706" i="1" s="1"/>
  <c r="C706" i="1" s="1"/>
  <c r="G706" i="1" s="1"/>
  <c r="A707" i="1"/>
  <c r="B707" i="1" s="1"/>
  <c r="C707" i="1" s="1"/>
  <c r="G707" i="1" s="1"/>
  <c r="A708" i="1"/>
  <c r="B708" i="1" s="1"/>
  <c r="C708" i="1" s="1"/>
  <c r="G708" i="1" s="1"/>
  <c r="A710" i="1"/>
  <c r="B710" i="1" s="1"/>
  <c r="C710" i="1" s="1"/>
  <c r="G710" i="1" s="1"/>
  <c r="A711" i="1"/>
  <c r="B711" i="1" s="1"/>
  <c r="C711" i="1" s="1"/>
  <c r="G711" i="1" s="1"/>
  <c r="A712" i="1"/>
  <c r="B712" i="1" s="1"/>
  <c r="C712" i="1" s="1"/>
  <c r="G712" i="1" s="1"/>
  <c r="A713" i="1"/>
  <c r="B713" i="1" s="1"/>
  <c r="C713" i="1" s="1"/>
  <c r="G713" i="1" s="1"/>
  <c r="A714" i="1"/>
  <c r="B714" i="1" s="1"/>
  <c r="C714" i="1" s="1"/>
  <c r="G714" i="1" s="1"/>
  <c r="A715" i="1"/>
  <c r="B715" i="1" s="1"/>
  <c r="C715" i="1" s="1"/>
  <c r="G715" i="1" s="1"/>
  <c r="A716" i="1"/>
  <c r="B716" i="1" s="1"/>
  <c r="C716" i="1" s="1"/>
  <c r="G716" i="1" s="1"/>
  <c r="A718" i="1"/>
  <c r="B718" i="1" s="1"/>
  <c r="C718" i="1" s="1"/>
  <c r="G718" i="1" s="1"/>
  <c r="A719" i="1"/>
  <c r="B719" i="1" s="1"/>
  <c r="C719" i="1" s="1"/>
  <c r="G719" i="1" s="1"/>
  <c r="A720" i="1"/>
  <c r="B720" i="1" s="1"/>
  <c r="C720" i="1" s="1"/>
  <c r="G720" i="1" s="1"/>
  <c r="A721" i="1"/>
  <c r="B721" i="1" s="1"/>
  <c r="C721" i="1" s="1"/>
  <c r="G721" i="1" s="1"/>
  <c r="A722" i="1"/>
  <c r="B722" i="1" s="1"/>
  <c r="C722" i="1" s="1"/>
  <c r="G722" i="1" s="1"/>
  <c r="A723" i="1"/>
  <c r="B723" i="1" s="1"/>
  <c r="C723" i="1" s="1"/>
  <c r="G723" i="1" s="1"/>
  <c r="A724" i="1"/>
  <c r="B724" i="1" s="1"/>
  <c r="C724" i="1" s="1"/>
  <c r="G724" i="1" s="1"/>
  <c r="A726" i="1"/>
  <c r="B726" i="1" s="1"/>
  <c r="C726" i="1" s="1"/>
  <c r="G726" i="1" s="1"/>
  <c r="A727" i="1"/>
  <c r="B727" i="1" s="1"/>
  <c r="C727" i="1" s="1"/>
  <c r="G727" i="1" s="1"/>
  <c r="A728" i="1"/>
  <c r="B728" i="1" s="1"/>
  <c r="C728" i="1" s="1"/>
  <c r="A729" i="1"/>
  <c r="B729" i="1" s="1"/>
  <c r="C729" i="1" s="1"/>
  <c r="G729" i="1" s="1"/>
  <c r="A730" i="1"/>
  <c r="B730" i="1" s="1"/>
  <c r="C730" i="1" s="1"/>
  <c r="G730" i="1" s="1"/>
  <c r="A731" i="1"/>
  <c r="B731" i="1" s="1"/>
  <c r="C731" i="1" s="1"/>
  <c r="G731" i="1" s="1"/>
  <c r="A732" i="1"/>
  <c r="B732" i="1" s="1"/>
  <c r="C732" i="1" s="1"/>
  <c r="G732" i="1" s="1"/>
  <c r="A734" i="1"/>
  <c r="B734" i="1" s="1"/>
  <c r="C734" i="1" s="1"/>
  <c r="G734" i="1" s="1"/>
  <c r="A735" i="1"/>
  <c r="B735" i="1" s="1"/>
  <c r="C735" i="1" s="1"/>
  <c r="G735" i="1" s="1"/>
  <c r="A736" i="1"/>
  <c r="B736" i="1" s="1"/>
  <c r="C736" i="1" s="1"/>
  <c r="G736" i="1" s="1"/>
  <c r="A737" i="1"/>
  <c r="B737" i="1" s="1"/>
  <c r="C737" i="1" s="1"/>
  <c r="G737" i="1" s="1"/>
  <c r="A738" i="1"/>
  <c r="B738" i="1" s="1"/>
  <c r="C738" i="1" s="1"/>
  <c r="G738" i="1" s="1"/>
  <c r="A739" i="1"/>
  <c r="B739" i="1" s="1"/>
  <c r="C739" i="1" s="1"/>
  <c r="G739" i="1" s="1"/>
  <c r="A740" i="1"/>
  <c r="B740" i="1" s="1"/>
  <c r="C740" i="1" s="1"/>
  <c r="G740" i="1" s="1"/>
  <c r="A742" i="1"/>
  <c r="B742" i="1" s="1"/>
  <c r="G742" i="1" s="1"/>
  <c r="A743" i="1"/>
  <c r="B743" i="1" s="1"/>
  <c r="C743" i="1" s="1"/>
  <c r="G743" i="1" s="1"/>
  <c r="A744" i="1"/>
  <c r="B744" i="1" s="1"/>
  <c r="C744" i="1" s="1"/>
  <c r="G744" i="1" s="1"/>
  <c r="A745" i="1"/>
  <c r="B745" i="1" s="1"/>
  <c r="C745" i="1" s="1"/>
  <c r="G745" i="1" s="1"/>
  <c r="A746" i="1"/>
  <c r="B746" i="1" s="1"/>
  <c r="C746" i="1" s="1"/>
  <c r="G746" i="1" s="1"/>
  <c r="A747" i="1"/>
  <c r="B747" i="1" s="1"/>
  <c r="G747" i="1" s="1"/>
  <c r="A748" i="1"/>
  <c r="B748" i="1" s="1"/>
  <c r="G748" i="1" s="1"/>
  <c r="A750" i="1"/>
  <c r="B750" i="1" s="1"/>
  <c r="C750" i="1" s="1"/>
  <c r="G750" i="1" s="1"/>
  <c r="A751" i="1"/>
  <c r="B751" i="1" s="1"/>
  <c r="C751" i="1" s="1"/>
  <c r="G751" i="1" s="1"/>
  <c r="A752" i="1"/>
  <c r="B752" i="1" s="1"/>
  <c r="C752" i="1" s="1"/>
  <c r="G752" i="1" s="1"/>
  <c r="A753" i="1"/>
  <c r="B753" i="1" s="1"/>
  <c r="C753" i="1" s="1"/>
  <c r="G753" i="1" s="1"/>
  <c r="A754" i="1"/>
  <c r="B754" i="1" s="1"/>
  <c r="C754" i="1" s="1"/>
  <c r="G754" i="1" s="1"/>
  <c r="A755" i="1"/>
  <c r="B755" i="1" s="1"/>
  <c r="C755" i="1" s="1"/>
  <c r="G755" i="1" s="1"/>
  <c r="A756" i="1"/>
  <c r="B756" i="1" s="1"/>
  <c r="C756" i="1" s="1"/>
  <c r="G756" i="1" s="1"/>
  <c r="A758" i="1"/>
  <c r="B758" i="1" s="1"/>
  <c r="G758" i="1" s="1"/>
  <c r="A759" i="1"/>
  <c r="B759" i="1" s="1"/>
  <c r="C759" i="1" s="1"/>
  <c r="G759" i="1" s="1"/>
  <c r="A760" i="1"/>
  <c r="B760" i="1" s="1"/>
  <c r="C760" i="1" s="1"/>
  <c r="G760" i="1" s="1"/>
  <c r="A762" i="1"/>
  <c r="B762" i="1" s="1"/>
  <c r="C762" i="1" s="1"/>
  <c r="G762" i="1" s="1"/>
  <c r="A763" i="1"/>
  <c r="B763" i="1" s="1"/>
  <c r="C763" i="1" s="1"/>
  <c r="G763" i="1" s="1"/>
  <c r="A764" i="1"/>
  <c r="B764" i="1" s="1"/>
  <c r="C764" i="1" s="1"/>
  <c r="G764" i="1" s="1"/>
  <c r="A766" i="1"/>
  <c r="B766" i="1" s="1"/>
  <c r="C766" i="1" s="1"/>
  <c r="G766" i="1" s="1"/>
  <c r="A767" i="1"/>
  <c r="B767" i="1" s="1"/>
  <c r="C767" i="1" s="1"/>
  <c r="G767" i="1" s="1"/>
  <c r="A768" i="1"/>
  <c r="B768" i="1" s="1"/>
  <c r="C768" i="1" s="1"/>
  <c r="G768" i="1" s="1"/>
  <c r="A769" i="1"/>
  <c r="B769" i="1" s="1"/>
  <c r="C769" i="1" s="1"/>
  <c r="G769" i="1" s="1"/>
  <c r="A770" i="1"/>
  <c r="B770" i="1" s="1"/>
  <c r="G770" i="1" s="1"/>
  <c r="A771" i="1"/>
  <c r="B771" i="1" s="1"/>
  <c r="G771" i="1" s="1"/>
  <c r="A772" i="1"/>
  <c r="B772" i="1" s="1"/>
  <c r="C772" i="1" s="1"/>
  <c r="G772" i="1" s="1"/>
  <c r="A774" i="1"/>
  <c r="B774" i="1" s="1"/>
  <c r="G774" i="1" s="1"/>
  <c r="A775" i="1"/>
  <c r="B775" i="1" s="1"/>
  <c r="C775" i="1" s="1"/>
  <c r="G775" i="1" s="1"/>
  <c r="A776" i="1"/>
  <c r="B776" i="1" s="1"/>
  <c r="C776" i="1" s="1"/>
  <c r="G776" i="1" s="1"/>
  <c r="A777" i="1"/>
  <c r="B777" i="1" s="1"/>
  <c r="C777" i="1" s="1"/>
  <c r="G777" i="1" s="1"/>
  <c r="A778" i="1"/>
  <c r="B778" i="1" s="1"/>
  <c r="C778" i="1" s="1"/>
  <c r="G778" i="1" s="1"/>
  <c r="A779" i="1"/>
  <c r="B779" i="1" s="1"/>
  <c r="C779" i="1" s="1"/>
  <c r="G779" i="1" s="1"/>
  <c r="A780" i="1"/>
  <c r="B780" i="1" s="1"/>
  <c r="G780" i="1" s="1"/>
  <c r="A782" i="1"/>
  <c r="B782" i="1" s="1"/>
  <c r="G782" i="1" s="1"/>
  <c r="A783" i="1"/>
  <c r="B783" i="1" s="1"/>
  <c r="C783" i="1" s="1"/>
  <c r="G783" i="1" s="1"/>
  <c r="A784" i="1"/>
  <c r="B784" i="1" s="1"/>
  <c r="C784" i="1" s="1"/>
  <c r="G784" i="1" s="1"/>
  <c r="A785" i="1"/>
  <c r="B785" i="1" s="1"/>
  <c r="C785" i="1" s="1"/>
  <c r="G785" i="1" s="1"/>
  <c r="A786" i="1"/>
  <c r="B786" i="1" s="1"/>
  <c r="C786" i="1" s="1"/>
  <c r="G786" i="1" s="1"/>
  <c r="A787" i="1"/>
  <c r="B787" i="1" s="1"/>
  <c r="C787" i="1" s="1"/>
  <c r="G787" i="1" s="1"/>
  <c r="A788" i="1"/>
  <c r="B788" i="1" s="1"/>
  <c r="C788" i="1" s="1"/>
  <c r="G788" i="1" s="1"/>
  <c r="A790" i="1"/>
  <c r="B790" i="1" s="1"/>
  <c r="C790" i="1" s="1"/>
  <c r="G790" i="1" s="1"/>
  <c r="A793" i="1"/>
  <c r="B793" i="1" s="1"/>
  <c r="C793" i="1" s="1"/>
  <c r="G793" i="1" s="1"/>
  <c r="A794" i="1"/>
  <c r="B794" i="1" s="1"/>
  <c r="C794" i="1" s="1"/>
  <c r="G794" i="1" s="1"/>
  <c r="A795" i="1"/>
  <c r="B795" i="1" s="1"/>
  <c r="G795" i="1" s="1"/>
  <c r="A796" i="1"/>
  <c r="B796" i="1" s="1"/>
  <c r="G796" i="1" s="1"/>
  <c r="A798" i="1"/>
  <c r="B798" i="1" s="1"/>
  <c r="C798" i="1" s="1"/>
  <c r="G798" i="1" s="1"/>
  <c r="A799" i="1"/>
  <c r="B799" i="1" s="1"/>
  <c r="C799" i="1" s="1"/>
  <c r="G799" i="1" s="1"/>
  <c r="A800" i="1"/>
  <c r="B800" i="1" s="1"/>
  <c r="C800" i="1" s="1"/>
  <c r="G800" i="1" s="1"/>
  <c r="A801" i="1"/>
  <c r="B801" i="1" s="1"/>
  <c r="C801" i="1" s="1"/>
  <c r="G801" i="1" s="1"/>
  <c r="A802" i="1"/>
  <c r="B802" i="1" s="1"/>
  <c r="C802" i="1" s="1"/>
  <c r="G802" i="1" s="1"/>
  <c r="A804" i="1"/>
  <c r="B804" i="1" s="1"/>
  <c r="C804" i="1" s="1"/>
  <c r="G804" i="1" s="1"/>
  <c r="A806" i="1"/>
  <c r="B806" i="1" s="1"/>
  <c r="G806" i="1" s="1"/>
  <c r="A807" i="1"/>
  <c r="B807" i="1" s="1"/>
  <c r="G807" i="1" s="1"/>
  <c r="A808" i="1"/>
  <c r="B808" i="1" s="1"/>
  <c r="G808" i="1" s="1"/>
  <c r="A809" i="1"/>
  <c r="B809" i="1" s="1"/>
  <c r="G809" i="1" s="1"/>
  <c r="A810" i="1"/>
  <c r="B810" i="1" s="1"/>
  <c r="C810" i="1" s="1"/>
  <c r="G810" i="1" s="1"/>
  <c r="A811" i="1"/>
  <c r="B811" i="1" s="1"/>
  <c r="C811" i="1" s="1"/>
  <c r="G811" i="1" s="1"/>
  <c r="A812" i="1"/>
  <c r="B812" i="1" s="1"/>
  <c r="G812" i="1" s="1"/>
  <c r="A814" i="1"/>
  <c r="B814" i="1" s="1"/>
  <c r="C814" i="1" s="1"/>
  <c r="G814" i="1" s="1"/>
  <c r="A816" i="1"/>
  <c r="B816" i="1" s="1"/>
  <c r="G816" i="1" s="1"/>
  <c r="A817" i="1"/>
  <c r="B817" i="1" s="1"/>
  <c r="C817" i="1" s="1"/>
  <c r="G817" i="1" s="1"/>
  <c r="A818" i="1"/>
  <c r="B818" i="1" s="1"/>
  <c r="C818" i="1" s="1"/>
  <c r="G818" i="1" s="1"/>
  <c r="A819" i="1"/>
  <c r="B819" i="1" s="1"/>
  <c r="C819" i="1" s="1"/>
  <c r="G819" i="1" s="1"/>
  <c r="A820" i="1"/>
  <c r="B820" i="1" s="1"/>
  <c r="C820" i="1" s="1"/>
  <c r="G820" i="1" s="1"/>
  <c r="A822" i="1"/>
  <c r="B822" i="1" s="1"/>
  <c r="G822" i="1" s="1"/>
  <c r="A824" i="1"/>
  <c r="B824" i="1" s="1"/>
  <c r="C824" i="1" s="1"/>
  <c r="G824" i="1" s="1"/>
  <c r="A825" i="1"/>
  <c r="B825" i="1" s="1"/>
  <c r="C825" i="1" s="1"/>
  <c r="G825" i="1" s="1"/>
  <c r="A826" i="1"/>
  <c r="B826" i="1" s="1"/>
  <c r="C826" i="1" s="1"/>
  <c r="G826" i="1" s="1"/>
  <c r="A827" i="1"/>
  <c r="B827" i="1" s="1"/>
  <c r="C827" i="1" s="1"/>
  <c r="G827" i="1" s="1"/>
  <c r="A828" i="1"/>
  <c r="B828" i="1" s="1"/>
  <c r="G828" i="1" s="1"/>
  <c r="A830" i="1"/>
  <c r="B830" i="1" s="1"/>
  <c r="C830" i="1" s="1"/>
  <c r="G830" i="1" s="1"/>
  <c r="A832" i="1"/>
  <c r="B832" i="1" s="1"/>
  <c r="C832" i="1" s="1"/>
  <c r="G832" i="1" s="1"/>
  <c r="A833" i="1"/>
  <c r="B833" i="1" s="1"/>
  <c r="C833" i="1" s="1"/>
  <c r="G833" i="1" s="1"/>
  <c r="A834" i="1"/>
  <c r="B834" i="1" s="1"/>
  <c r="C834" i="1" s="1"/>
  <c r="G834" i="1" s="1"/>
  <c r="A835" i="1"/>
  <c r="B835" i="1" s="1"/>
  <c r="C835" i="1" s="1"/>
  <c r="G835" i="1" s="1"/>
  <c r="A836" i="1"/>
  <c r="B836" i="1" s="1"/>
  <c r="C836" i="1" s="1"/>
  <c r="G836" i="1" s="1"/>
  <c r="A838" i="1"/>
  <c r="B838" i="1" s="1"/>
  <c r="G838" i="1" s="1"/>
  <c r="A839" i="1"/>
  <c r="B839" i="1" s="1"/>
  <c r="C839" i="1" s="1"/>
  <c r="G839" i="1" s="1"/>
  <c r="A840" i="1"/>
  <c r="B840" i="1" s="1"/>
  <c r="C840" i="1" s="1"/>
  <c r="G840" i="1" s="1"/>
  <c r="A841" i="1"/>
  <c r="B841" i="1" s="1"/>
  <c r="C841" i="1" s="1"/>
  <c r="G841" i="1" s="1"/>
  <c r="A842" i="1"/>
  <c r="B842" i="1" s="1"/>
  <c r="G842" i="1" s="1"/>
  <c r="A843" i="1"/>
  <c r="B843" i="1" s="1"/>
  <c r="G843" i="1" s="1"/>
  <c r="A844" i="1"/>
  <c r="B844" i="1" s="1"/>
  <c r="C844" i="1" s="1"/>
  <c r="G844" i="1" s="1"/>
  <c r="A846" i="1"/>
  <c r="B846" i="1" s="1"/>
  <c r="G846" i="1" s="1"/>
  <c r="A847" i="1"/>
  <c r="B847" i="1" s="1"/>
  <c r="C847" i="1" s="1"/>
  <c r="G847" i="1" s="1"/>
  <c r="A848" i="1"/>
  <c r="B848" i="1" s="1"/>
  <c r="C848" i="1" s="1"/>
  <c r="G848" i="1" s="1"/>
  <c r="A849" i="1"/>
  <c r="B849" i="1" s="1"/>
  <c r="C849" i="1" s="1"/>
  <c r="G849" i="1" s="1"/>
  <c r="A850" i="1"/>
  <c r="B850" i="1" s="1"/>
  <c r="C850" i="1" s="1"/>
  <c r="G850" i="1" s="1"/>
  <c r="A851" i="1"/>
  <c r="B851" i="1" s="1"/>
  <c r="C851" i="1" s="1"/>
  <c r="G851" i="1" s="1"/>
  <c r="A852" i="1"/>
  <c r="B852" i="1" s="1"/>
  <c r="C852" i="1" s="1"/>
  <c r="G852" i="1" s="1"/>
  <c r="A854" i="1"/>
  <c r="B854" i="1" s="1"/>
  <c r="C854" i="1" s="1"/>
  <c r="G854" i="1" s="1"/>
  <c r="A855" i="1"/>
  <c r="B855" i="1" s="1"/>
  <c r="C855" i="1" s="1"/>
  <c r="G855" i="1" s="1"/>
  <c r="A856" i="1"/>
  <c r="B856" i="1" s="1"/>
  <c r="C856" i="1" s="1"/>
  <c r="G856" i="1" s="1"/>
  <c r="A857" i="1"/>
  <c r="B857" i="1" s="1"/>
  <c r="C857" i="1" s="1"/>
  <c r="G857" i="1" s="1"/>
  <c r="A858" i="1"/>
  <c r="B858" i="1" s="1"/>
  <c r="C858" i="1" s="1"/>
  <c r="G858" i="1" s="1"/>
  <c r="A859" i="1"/>
  <c r="B859" i="1" s="1"/>
  <c r="C859" i="1" s="1"/>
  <c r="G859" i="1" s="1"/>
  <c r="A860" i="1"/>
  <c r="B860" i="1" s="1"/>
  <c r="C860" i="1" s="1"/>
  <c r="G860" i="1" s="1"/>
  <c r="A862" i="1"/>
  <c r="B862" i="1" s="1"/>
  <c r="C862" i="1" s="1"/>
  <c r="G862" i="1" s="1"/>
  <c r="A863" i="1"/>
  <c r="B863" i="1" s="1"/>
  <c r="G863" i="1" s="1"/>
  <c r="A864" i="1"/>
  <c r="B864" i="1" s="1"/>
  <c r="G864" i="1" s="1"/>
  <c r="A865" i="1"/>
  <c r="B865" i="1" s="1"/>
  <c r="C865" i="1" s="1"/>
  <c r="G865" i="1" s="1"/>
  <c r="A866" i="1"/>
  <c r="B866" i="1" s="1"/>
  <c r="C866" i="1" s="1"/>
  <c r="G866" i="1" s="1"/>
  <c r="A868" i="1"/>
  <c r="B868" i="1" s="1"/>
  <c r="G868" i="1" s="1"/>
  <c r="A870" i="1"/>
  <c r="B870" i="1" s="1"/>
  <c r="C870" i="1" s="1"/>
  <c r="G870" i="1" s="1"/>
  <c r="A871" i="1"/>
  <c r="B871" i="1" s="1"/>
  <c r="G871" i="1" s="1"/>
  <c r="A872" i="1"/>
  <c r="B872" i="1" s="1"/>
  <c r="C872" i="1" s="1"/>
  <c r="G872" i="1" s="1"/>
  <c r="A873" i="1"/>
  <c r="B873" i="1" s="1"/>
  <c r="C873" i="1" s="1"/>
  <c r="G873" i="1" s="1"/>
  <c r="A874" i="1"/>
  <c r="B874" i="1" s="1"/>
  <c r="G874" i="1" s="1"/>
  <c r="A875" i="1"/>
  <c r="B875" i="1" s="1"/>
  <c r="C875" i="1" s="1"/>
  <c r="G875" i="1" s="1"/>
  <c r="A876" i="1"/>
  <c r="B876" i="1" s="1"/>
  <c r="G876" i="1" s="1"/>
  <c r="A878" i="1"/>
  <c r="B878" i="1" s="1"/>
  <c r="G878" i="1" s="1"/>
  <c r="A879" i="1"/>
  <c r="B879" i="1" s="1"/>
  <c r="G879" i="1" s="1"/>
  <c r="A880" i="1"/>
  <c r="B880" i="1" s="1"/>
  <c r="C880" i="1" s="1"/>
  <c r="G880" i="1" s="1"/>
  <c r="A881" i="1"/>
  <c r="B881" i="1" s="1"/>
  <c r="G881" i="1" s="1"/>
  <c r="A882" i="1"/>
  <c r="B882" i="1" s="1"/>
  <c r="C882" i="1" s="1"/>
  <c r="G882" i="1" s="1"/>
  <c r="A883" i="1"/>
  <c r="B883" i="1" s="1"/>
  <c r="C883" i="1" s="1"/>
  <c r="G883" i="1" s="1"/>
  <c r="A884" i="1"/>
  <c r="B884" i="1" s="1"/>
  <c r="G884" i="1" s="1"/>
  <c r="A886" i="1"/>
  <c r="B886" i="1" s="1"/>
  <c r="C886" i="1" s="1"/>
  <c r="G886" i="1" s="1"/>
  <c r="A887" i="1"/>
  <c r="B887" i="1" s="1"/>
  <c r="G887" i="1" s="1"/>
  <c r="A888" i="1"/>
  <c r="B888" i="1" s="1"/>
  <c r="C888" i="1" s="1"/>
  <c r="G888" i="1" s="1"/>
  <c r="A889" i="1"/>
  <c r="B889" i="1" s="1"/>
  <c r="C889" i="1" s="1"/>
  <c r="G889" i="1" s="1"/>
  <c r="A890" i="1"/>
  <c r="B890" i="1" s="1"/>
  <c r="C890" i="1" s="1"/>
  <c r="G890" i="1" s="1"/>
  <c r="A891" i="1"/>
  <c r="B891" i="1" s="1"/>
  <c r="C891" i="1" s="1"/>
  <c r="G891" i="1" s="1"/>
  <c r="A892" i="1"/>
  <c r="B892" i="1" s="1"/>
  <c r="C892" i="1" s="1"/>
  <c r="G892" i="1" s="1"/>
  <c r="A894" i="1"/>
  <c r="B894" i="1" s="1"/>
  <c r="C894" i="1" s="1"/>
  <c r="G894" i="1" s="1"/>
  <c r="A895" i="1"/>
  <c r="B895" i="1" s="1"/>
  <c r="G895" i="1" s="1"/>
  <c r="A896" i="1"/>
  <c r="B896" i="1" s="1"/>
  <c r="G896" i="1" s="1"/>
  <c r="A897" i="1"/>
  <c r="B897" i="1" s="1"/>
  <c r="G897" i="1" s="1"/>
  <c r="A898" i="1"/>
  <c r="B898" i="1" s="1"/>
  <c r="G898" i="1" s="1"/>
  <c r="A899" i="1"/>
  <c r="B899" i="1" s="1"/>
  <c r="G899" i="1" s="1"/>
  <c r="A900" i="1"/>
  <c r="B900" i="1" s="1"/>
  <c r="G900" i="1" s="1"/>
  <c r="A902" i="1"/>
  <c r="B902" i="1" s="1"/>
  <c r="C902" i="1" s="1"/>
  <c r="G902" i="1" s="1"/>
  <c r="A903" i="1"/>
  <c r="B903" i="1" s="1"/>
  <c r="G903" i="1" s="1"/>
  <c r="A904" i="1"/>
  <c r="B904" i="1" s="1"/>
  <c r="G904" i="1" s="1"/>
  <c r="A905" i="1"/>
  <c r="B905" i="1" s="1"/>
  <c r="G905" i="1" s="1"/>
  <c r="A906" i="1"/>
  <c r="B906" i="1" s="1"/>
  <c r="C906" i="1" s="1"/>
  <c r="G906" i="1" s="1"/>
  <c r="A907" i="1"/>
  <c r="B907" i="1" s="1"/>
  <c r="G907" i="1" s="1"/>
  <c r="A908" i="1"/>
  <c r="B908" i="1" s="1"/>
  <c r="G908" i="1" s="1"/>
  <c r="A910" i="1"/>
  <c r="B910" i="1" s="1"/>
  <c r="G910" i="1" s="1"/>
  <c r="A911" i="1"/>
  <c r="B911" i="1" s="1"/>
  <c r="C911" i="1" s="1"/>
  <c r="G911" i="1" s="1"/>
  <c r="A912" i="1"/>
  <c r="B912" i="1" s="1"/>
  <c r="C912" i="1" s="1"/>
  <c r="G912" i="1" s="1"/>
  <c r="A913" i="1"/>
  <c r="B913" i="1" s="1"/>
  <c r="C913" i="1" s="1"/>
  <c r="G913" i="1" s="1"/>
  <c r="A914" i="1"/>
  <c r="B914" i="1" s="1"/>
  <c r="G914" i="1" s="1"/>
  <c r="A915" i="1"/>
  <c r="B915" i="1" s="1"/>
  <c r="G915" i="1" s="1"/>
  <c r="A916" i="1"/>
  <c r="B916" i="1" s="1"/>
  <c r="G916" i="1" s="1"/>
  <c r="A918" i="1"/>
  <c r="B918" i="1" s="1"/>
  <c r="G918" i="1" s="1"/>
  <c r="A919" i="1"/>
  <c r="B919" i="1" s="1"/>
  <c r="C919" i="1" s="1"/>
  <c r="G919" i="1" s="1"/>
  <c r="A920" i="1"/>
  <c r="B920" i="1" s="1"/>
  <c r="C920" i="1" s="1"/>
  <c r="G920" i="1" s="1"/>
  <c r="A921" i="1"/>
  <c r="B921" i="1" s="1"/>
  <c r="G921" i="1" s="1"/>
  <c r="A922" i="1"/>
  <c r="B922" i="1" s="1"/>
  <c r="G922" i="1" s="1"/>
  <c r="A923" i="1"/>
  <c r="B923" i="1" s="1"/>
  <c r="G923" i="1" s="1"/>
  <c r="A924" i="1"/>
  <c r="B924" i="1" s="1"/>
  <c r="G924" i="1" s="1"/>
  <c r="A926" i="1"/>
  <c r="B926" i="1" s="1"/>
  <c r="G926" i="1" s="1"/>
  <c r="A927" i="1"/>
  <c r="B927" i="1" s="1"/>
  <c r="G927" i="1" s="1"/>
  <c r="A928" i="1"/>
  <c r="B928" i="1" s="1"/>
  <c r="G928" i="1" s="1"/>
  <c r="A929" i="1"/>
  <c r="B929" i="1" s="1"/>
  <c r="C929" i="1" s="1"/>
  <c r="G929" i="1" s="1"/>
  <c r="A930" i="1"/>
  <c r="B930" i="1" s="1"/>
  <c r="C930" i="1" s="1"/>
  <c r="G930" i="1" s="1"/>
  <c r="A931" i="1"/>
  <c r="B931" i="1" s="1"/>
  <c r="C931" i="1" s="1"/>
  <c r="G931" i="1" s="1"/>
  <c r="A932" i="1"/>
  <c r="B932" i="1" s="1"/>
  <c r="G932" i="1" s="1"/>
  <c r="A934" i="1"/>
  <c r="B934" i="1" s="1"/>
  <c r="G934" i="1" s="1"/>
  <c r="A935" i="1"/>
  <c r="B935" i="1" s="1"/>
  <c r="C935" i="1" s="1"/>
  <c r="G935" i="1" s="1"/>
  <c r="A936" i="1"/>
  <c r="B936" i="1" s="1"/>
  <c r="C936" i="1" s="1"/>
  <c r="G936" i="1" s="1"/>
  <c r="A937" i="1"/>
  <c r="B937" i="1" s="1"/>
  <c r="G937" i="1" s="1"/>
  <c r="A938" i="1"/>
  <c r="B938" i="1" s="1"/>
  <c r="G938" i="1" s="1"/>
  <c r="A939" i="1"/>
  <c r="B939" i="1" s="1"/>
  <c r="C939" i="1" s="1"/>
  <c r="G939" i="1" s="1"/>
  <c r="A940" i="1"/>
  <c r="B940" i="1" s="1"/>
  <c r="G940" i="1" s="1"/>
  <c r="A2" i="1"/>
  <c r="B2" i="1" s="1"/>
  <c r="C2" i="1" s="1"/>
  <c r="G2" i="1" s="1"/>
  <c r="C1481" i="1" l="1"/>
  <c r="G1481" i="1" s="1"/>
  <c r="G1480" i="1"/>
  <c r="C1480" i="1"/>
  <c r="C1479" i="1"/>
  <c r="G1479" i="1" s="1"/>
  <c r="F652" i="1"/>
  <c r="G652" i="1"/>
  <c r="D728" i="1"/>
  <c r="G728" i="1"/>
  <c r="D309" i="1"/>
  <c r="G309" i="1"/>
  <c r="F1933" i="1"/>
  <c r="E1933" i="1"/>
  <c r="D1933" i="1"/>
  <c r="F1924" i="1"/>
  <c r="E1924" i="1"/>
  <c r="D1924" i="1"/>
  <c r="F1884" i="1"/>
  <c r="E1884" i="1"/>
  <c r="D1884" i="1"/>
  <c r="F1852" i="1"/>
  <c r="E1852" i="1"/>
  <c r="D1852" i="1"/>
  <c r="F1820" i="1"/>
  <c r="E1820" i="1"/>
  <c r="D1820" i="1"/>
  <c r="F1788" i="1"/>
  <c r="E1788" i="1"/>
  <c r="D1788" i="1"/>
  <c r="F1915" i="1"/>
  <c r="E1915" i="1"/>
  <c r="D1915" i="1"/>
  <c r="F2406" i="1"/>
  <c r="E2406" i="1"/>
  <c r="D2406" i="1"/>
  <c r="F2398" i="1"/>
  <c r="E2398" i="1"/>
  <c r="D2398" i="1"/>
  <c r="F2390" i="1"/>
  <c r="E2390" i="1"/>
  <c r="D2390" i="1"/>
  <c r="F2382" i="1"/>
  <c r="E2382" i="1"/>
  <c r="D2382" i="1"/>
  <c r="F2374" i="1"/>
  <c r="E2374" i="1"/>
  <c r="D2374" i="1"/>
  <c r="F2366" i="1"/>
  <c r="E2366" i="1"/>
  <c r="D2366" i="1"/>
  <c r="F2358" i="1"/>
  <c r="E2358" i="1"/>
  <c r="D2358" i="1"/>
  <c r="F2342" i="1"/>
  <c r="E2342" i="1"/>
  <c r="D2342" i="1"/>
  <c r="F2334" i="1"/>
  <c r="E2334" i="1"/>
  <c r="D2334" i="1"/>
  <c r="F2326" i="1"/>
  <c r="E2326" i="1"/>
  <c r="D2326" i="1"/>
  <c r="F2318" i="1"/>
  <c r="E2318" i="1"/>
  <c r="D2318" i="1"/>
  <c r="F2310" i="1"/>
  <c r="E2310" i="1"/>
  <c r="D2310" i="1"/>
  <c r="F2302" i="1"/>
  <c r="E2302" i="1"/>
  <c r="D2302" i="1"/>
  <c r="F2294" i="1"/>
  <c r="E2294" i="1"/>
  <c r="D2294" i="1"/>
  <c r="F2278" i="1"/>
  <c r="E2278" i="1"/>
  <c r="D2278" i="1"/>
  <c r="F2270" i="1"/>
  <c r="E2270" i="1"/>
  <c r="D2270" i="1"/>
  <c r="F2262" i="1"/>
  <c r="E2262" i="1"/>
  <c r="D2262" i="1"/>
  <c r="F2254" i="1"/>
  <c r="E2254" i="1"/>
  <c r="D2254" i="1"/>
  <c r="F2246" i="1"/>
  <c r="E2246" i="1"/>
  <c r="D2246" i="1"/>
  <c r="F2238" i="1"/>
  <c r="E2238" i="1"/>
  <c r="D2238" i="1"/>
  <c r="F2230" i="1"/>
  <c r="E2230" i="1"/>
  <c r="D2230" i="1"/>
  <c r="F2214" i="1"/>
  <c r="E2214" i="1"/>
  <c r="D2214" i="1"/>
  <c r="F2206" i="1"/>
  <c r="E2206" i="1"/>
  <c r="D2206" i="1"/>
  <c r="F2198" i="1"/>
  <c r="E2198" i="1"/>
  <c r="D2198" i="1"/>
  <c r="F2190" i="1"/>
  <c r="E2190" i="1"/>
  <c r="D2190" i="1"/>
  <c r="F2182" i="1"/>
  <c r="E2182" i="1"/>
  <c r="D2182" i="1"/>
  <c r="F2174" i="1"/>
  <c r="E2174" i="1"/>
  <c r="D2174" i="1"/>
  <c r="F2166" i="1"/>
  <c r="E2166" i="1"/>
  <c r="D2166" i="1"/>
  <c r="F2150" i="1"/>
  <c r="E2150" i="1"/>
  <c r="D2150" i="1"/>
  <c r="F2142" i="1"/>
  <c r="E2142" i="1"/>
  <c r="D2142" i="1"/>
  <c r="F2134" i="1"/>
  <c r="E2134" i="1"/>
  <c r="D2134" i="1"/>
  <c r="F2126" i="1"/>
  <c r="E2126" i="1"/>
  <c r="D2126" i="1"/>
  <c r="F2118" i="1"/>
  <c r="E2118" i="1"/>
  <c r="D2118" i="1"/>
  <c r="F2110" i="1"/>
  <c r="E2110" i="1"/>
  <c r="D2110" i="1"/>
  <c r="F2102" i="1"/>
  <c r="E2102" i="1"/>
  <c r="D2102" i="1"/>
  <c r="F2086" i="1"/>
  <c r="E2086" i="1"/>
  <c r="D2086" i="1"/>
  <c r="F2078" i="1"/>
  <c r="E2078" i="1"/>
  <c r="D2078" i="1"/>
  <c r="F2070" i="1"/>
  <c r="E2070" i="1"/>
  <c r="D2070" i="1"/>
  <c r="F2062" i="1"/>
  <c r="E2062" i="1"/>
  <c r="D2062" i="1"/>
  <c r="F2054" i="1"/>
  <c r="E2054" i="1"/>
  <c r="D2054" i="1"/>
  <c r="F2046" i="1"/>
  <c r="E2046" i="1"/>
  <c r="D2046" i="1"/>
  <c r="F2038" i="1"/>
  <c r="E2038" i="1"/>
  <c r="D2038" i="1"/>
  <c r="F2022" i="1"/>
  <c r="E2022" i="1"/>
  <c r="D2022" i="1"/>
  <c r="F2014" i="1"/>
  <c r="E2014" i="1"/>
  <c r="D2014" i="1"/>
  <c r="F2006" i="1"/>
  <c r="E2006" i="1"/>
  <c r="D2006" i="1"/>
  <c r="F1998" i="1"/>
  <c r="E1998" i="1"/>
  <c r="D1998" i="1"/>
  <c r="F1990" i="1"/>
  <c r="E1990" i="1"/>
  <c r="D1990" i="1"/>
  <c r="F1982" i="1"/>
  <c r="E1982" i="1"/>
  <c r="D1982" i="1"/>
  <c r="F1974" i="1"/>
  <c r="E1974" i="1"/>
  <c r="D1974" i="1"/>
  <c r="F1958" i="1"/>
  <c r="E1958" i="1"/>
  <c r="D1958" i="1"/>
  <c r="F1950" i="1"/>
  <c r="E1950" i="1"/>
  <c r="D1950" i="1"/>
  <c r="F1942" i="1"/>
  <c r="E1942" i="1"/>
  <c r="D1942" i="1"/>
  <c r="F1862" i="1"/>
  <c r="E1862" i="1"/>
  <c r="D1862" i="1"/>
  <c r="F1830" i="1"/>
  <c r="E1830" i="1"/>
  <c r="D1830" i="1"/>
  <c r="F1798" i="1"/>
  <c r="E1798" i="1"/>
  <c r="D1798" i="1"/>
  <c r="F1766" i="1"/>
  <c r="E1766" i="1"/>
  <c r="D1766" i="1"/>
  <c r="F2420" i="1"/>
  <c r="E2420" i="1"/>
  <c r="D2420" i="1"/>
  <c r="F2412" i="1"/>
  <c r="E2412" i="1"/>
  <c r="D2412" i="1"/>
  <c r="F2404" i="1"/>
  <c r="E2404" i="1"/>
  <c r="D2404" i="1"/>
  <c r="F2396" i="1"/>
  <c r="E2396" i="1"/>
  <c r="D2396" i="1"/>
  <c r="F2388" i="1"/>
  <c r="E2388" i="1"/>
  <c r="D2388" i="1"/>
  <c r="F2380" i="1"/>
  <c r="E2380" i="1"/>
  <c r="D2380" i="1"/>
  <c r="F2372" i="1"/>
  <c r="E2372" i="1"/>
  <c r="D2372" i="1"/>
  <c r="F2364" i="1"/>
  <c r="E2364" i="1"/>
  <c r="D2364" i="1"/>
  <c r="F2356" i="1"/>
  <c r="E2356" i="1"/>
  <c r="D2356" i="1"/>
  <c r="F2348" i="1"/>
  <c r="E2348" i="1"/>
  <c r="D2348" i="1"/>
  <c r="F2340" i="1"/>
  <c r="E2340" i="1"/>
  <c r="D2340" i="1"/>
  <c r="F2332" i="1"/>
  <c r="E2332" i="1"/>
  <c r="D2332" i="1"/>
  <c r="F2324" i="1"/>
  <c r="E2324" i="1"/>
  <c r="D2324" i="1"/>
  <c r="F2316" i="1"/>
  <c r="E2316" i="1"/>
  <c r="D2316" i="1"/>
  <c r="F2308" i="1"/>
  <c r="E2308" i="1"/>
  <c r="D2308" i="1"/>
  <c r="F2300" i="1"/>
  <c r="E2300" i="1"/>
  <c r="D2300" i="1"/>
  <c r="F2292" i="1"/>
  <c r="E2292" i="1"/>
  <c r="D2292" i="1"/>
  <c r="F2284" i="1"/>
  <c r="E2284" i="1"/>
  <c r="D2284" i="1"/>
  <c r="F2276" i="1"/>
  <c r="E2276" i="1"/>
  <c r="D2276" i="1"/>
  <c r="F2268" i="1"/>
  <c r="E2268" i="1"/>
  <c r="D2268" i="1"/>
  <c r="F2260" i="1"/>
  <c r="E2260" i="1"/>
  <c r="D2260" i="1"/>
  <c r="F2252" i="1"/>
  <c r="E2252" i="1"/>
  <c r="D2252" i="1"/>
  <c r="F2244" i="1"/>
  <c r="E2244" i="1"/>
  <c r="D2244" i="1"/>
  <c r="F2236" i="1"/>
  <c r="E2236" i="1"/>
  <c r="D2236" i="1"/>
  <c r="F2228" i="1"/>
  <c r="E2228" i="1"/>
  <c r="D2228" i="1"/>
  <c r="F2220" i="1"/>
  <c r="E2220" i="1"/>
  <c r="D2220" i="1"/>
  <c r="F2212" i="1"/>
  <c r="E2212" i="1"/>
  <c r="D2212" i="1"/>
  <c r="F2204" i="1"/>
  <c r="E2204" i="1"/>
  <c r="D2204" i="1"/>
  <c r="F2196" i="1"/>
  <c r="E2196" i="1"/>
  <c r="D2196" i="1"/>
  <c r="F2188" i="1"/>
  <c r="E2188" i="1"/>
  <c r="D2188" i="1"/>
  <c r="F2180" i="1"/>
  <c r="E2180" i="1"/>
  <c r="D2180" i="1"/>
  <c r="F2172" i="1"/>
  <c r="E2172" i="1"/>
  <c r="D2172" i="1"/>
  <c r="F2164" i="1"/>
  <c r="E2164" i="1"/>
  <c r="D2164" i="1"/>
  <c r="F2156" i="1"/>
  <c r="E2156" i="1"/>
  <c r="D2156" i="1"/>
  <c r="F2148" i="1"/>
  <c r="E2148" i="1"/>
  <c r="D2148" i="1"/>
  <c r="F2140" i="1"/>
  <c r="E2140" i="1"/>
  <c r="D2140" i="1"/>
  <c r="F2132" i="1"/>
  <c r="E2132" i="1"/>
  <c r="D2132" i="1"/>
  <c r="F2124" i="1"/>
  <c r="E2124" i="1"/>
  <c r="D2124" i="1"/>
  <c r="F2116" i="1"/>
  <c r="E2116" i="1"/>
  <c r="D2116" i="1"/>
  <c r="F2108" i="1"/>
  <c r="E2108" i="1"/>
  <c r="D2108" i="1"/>
  <c r="F2100" i="1"/>
  <c r="E2100" i="1"/>
  <c r="D2100" i="1"/>
  <c r="F2092" i="1"/>
  <c r="E2092" i="1"/>
  <c r="D2092" i="1"/>
  <c r="F2084" i="1"/>
  <c r="E2084" i="1"/>
  <c r="D2084" i="1"/>
  <c r="F2076" i="1"/>
  <c r="E2076" i="1"/>
  <c r="D2076" i="1"/>
  <c r="F2068" i="1"/>
  <c r="E2068" i="1"/>
  <c r="D2068" i="1"/>
  <c r="F2060" i="1"/>
  <c r="E2060" i="1"/>
  <c r="D2060" i="1"/>
  <c r="F2052" i="1"/>
  <c r="E2052" i="1"/>
  <c r="D2052" i="1"/>
  <c r="F2044" i="1"/>
  <c r="E2044" i="1"/>
  <c r="D2044" i="1"/>
  <c r="F2036" i="1"/>
  <c r="E2036" i="1"/>
  <c r="D2036" i="1"/>
  <c r="F2028" i="1"/>
  <c r="E2028" i="1"/>
  <c r="D2028" i="1"/>
  <c r="F2020" i="1"/>
  <c r="E2020" i="1"/>
  <c r="D2020" i="1"/>
  <c r="F2012" i="1"/>
  <c r="E2012" i="1"/>
  <c r="D2012" i="1"/>
  <c r="F2004" i="1"/>
  <c r="E2004" i="1"/>
  <c r="D2004" i="1"/>
  <c r="F1996" i="1"/>
  <c r="E1996" i="1"/>
  <c r="D1996" i="1"/>
  <c r="F1988" i="1"/>
  <c r="E1988" i="1"/>
  <c r="D1988" i="1"/>
  <c r="F1980" i="1"/>
  <c r="E1980" i="1"/>
  <c r="D1980" i="1"/>
  <c r="F1972" i="1"/>
  <c r="E1972" i="1"/>
  <c r="D1972" i="1"/>
  <c r="F1964" i="1"/>
  <c r="E1964" i="1"/>
  <c r="D1964" i="1"/>
  <c r="F1956" i="1"/>
  <c r="E1956" i="1"/>
  <c r="D1956" i="1"/>
  <c r="F1948" i="1"/>
  <c r="E1948" i="1"/>
  <c r="D1948" i="1"/>
  <c r="F1940" i="1"/>
  <c r="E1940" i="1"/>
  <c r="D1940" i="1"/>
  <c r="F1932" i="1"/>
  <c r="E1932" i="1"/>
  <c r="D1932" i="1"/>
  <c r="F1916" i="1"/>
  <c r="E1916" i="1"/>
  <c r="D1916" i="1"/>
  <c r="F1908" i="1"/>
  <c r="E1908" i="1"/>
  <c r="D1908" i="1"/>
  <c r="F1900" i="1"/>
  <c r="E1900" i="1"/>
  <c r="D1900" i="1"/>
  <c r="F1892" i="1"/>
  <c r="E1892" i="1"/>
  <c r="D1892" i="1"/>
  <c r="F1876" i="1"/>
  <c r="E1876" i="1"/>
  <c r="D1876" i="1"/>
  <c r="F1868" i="1"/>
  <c r="E1868" i="1"/>
  <c r="D1868" i="1"/>
  <c r="F1860" i="1"/>
  <c r="E1860" i="1"/>
  <c r="D1860" i="1"/>
  <c r="F1844" i="1"/>
  <c r="E1844" i="1"/>
  <c r="D1844" i="1"/>
  <c r="F1836" i="1"/>
  <c r="E1836" i="1"/>
  <c r="D1836" i="1"/>
  <c r="F1828" i="1"/>
  <c r="E1828" i="1"/>
  <c r="D1828" i="1"/>
  <c r="F1812" i="1"/>
  <c r="E1812" i="1"/>
  <c r="D1812" i="1"/>
  <c r="F1804" i="1"/>
  <c r="E1804" i="1"/>
  <c r="D1804" i="1"/>
  <c r="F1796" i="1"/>
  <c r="E1796" i="1"/>
  <c r="D1796" i="1"/>
  <c r="F1780" i="1"/>
  <c r="E1780" i="1"/>
  <c r="D1780" i="1"/>
  <c r="F1772" i="1"/>
  <c r="E1772" i="1"/>
  <c r="D1772" i="1"/>
  <c r="F1764" i="1"/>
  <c r="E1764" i="1"/>
  <c r="D1764" i="1"/>
  <c r="F1526" i="1"/>
  <c r="E1526" i="1"/>
  <c r="F1518" i="1"/>
  <c r="E1518" i="1"/>
  <c r="F1478" i="1"/>
  <c r="E1478" i="1"/>
  <c r="F1310" i="1"/>
  <c r="E1310" i="1"/>
  <c r="F1054" i="1"/>
  <c r="E1054" i="1"/>
  <c r="D1054" i="1"/>
  <c r="F1038" i="1"/>
  <c r="E1038" i="1"/>
  <c r="D1038" i="1"/>
  <c r="F1022" i="1"/>
  <c r="E1022" i="1"/>
  <c r="D1022" i="1"/>
  <c r="F982" i="1"/>
  <c r="E982" i="1"/>
  <c r="D982" i="1"/>
  <c r="F974" i="1"/>
  <c r="E974" i="1"/>
  <c r="D974" i="1"/>
  <c r="F958" i="1"/>
  <c r="E958" i="1"/>
  <c r="D958" i="1"/>
  <c r="F1905" i="1"/>
  <c r="E1905" i="1"/>
  <c r="D1905" i="1"/>
  <c r="F2403" i="1"/>
  <c r="E2403" i="1"/>
  <c r="D2403" i="1"/>
  <c r="F2371" i="1"/>
  <c r="E2371" i="1"/>
  <c r="D2371" i="1"/>
  <c r="F2331" i="1"/>
  <c r="E2331" i="1"/>
  <c r="D2331" i="1"/>
  <c r="F2291" i="1"/>
  <c r="E2291" i="1"/>
  <c r="D2291" i="1"/>
  <c r="F2251" i="1"/>
  <c r="E2251" i="1"/>
  <c r="D2251" i="1"/>
  <c r="F2203" i="1"/>
  <c r="E2203" i="1"/>
  <c r="D2203" i="1"/>
  <c r="F2171" i="1"/>
  <c r="E2171" i="1"/>
  <c r="D2171" i="1"/>
  <c r="F2131" i="1"/>
  <c r="E2131" i="1"/>
  <c r="D2131" i="1"/>
  <c r="F2091" i="1"/>
  <c r="E2091" i="1"/>
  <c r="D2091" i="1"/>
  <c r="F2051" i="1"/>
  <c r="E2051" i="1"/>
  <c r="D2051" i="1"/>
  <c r="F2011" i="1"/>
  <c r="E2011" i="1"/>
  <c r="D2011" i="1"/>
  <c r="F1963" i="1"/>
  <c r="E1963" i="1"/>
  <c r="D1963" i="1"/>
  <c r="F1923" i="1"/>
  <c r="E1923" i="1"/>
  <c r="D1923" i="1"/>
  <c r="F1899" i="1"/>
  <c r="E1899" i="1"/>
  <c r="D1899" i="1"/>
  <c r="F1883" i="1"/>
  <c r="E1883" i="1"/>
  <c r="D1883" i="1"/>
  <c r="F1875" i="1"/>
  <c r="E1875" i="1"/>
  <c r="D1875" i="1"/>
  <c r="F1867" i="1"/>
  <c r="E1867" i="1"/>
  <c r="D1867" i="1"/>
  <c r="F1859" i="1"/>
  <c r="E1859" i="1"/>
  <c r="D1859" i="1"/>
  <c r="F1851" i="1"/>
  <c r="E1851" i="1"/>
  <c r="D1851" i="1"/>
  <c r="F1843" i="1"/>
  <c r="E1843" i="1"/>
  <c r="D1843" i="1"/>
  <c r="F1835" i="1"/>
  <c r="E1835" i="1"/>
  <c r="D1835" i="1"/>
  <c r="F1827" i="1"/>
  <c r="E1827" i="1"/>
  <c r="D1827" i="1"/>
  <c r="F1819" i="1"/>
  <c r="E1819" i="1"/>
  <c r="D1819" i="1"/>
  <c r="F1811" i="1"/>
  <c r="E1811" i="1"/>
  <c r="D1811" i="1"/>
  <c r="F1803" i="1"/>
  <c r="E1803" i="1"/>
  <c r="D1803" i="1"/>
  <c r="F1795" i="1"/>
  <c r="E1795" i="1"/>
  <c r="D1795" i="1"/>
  <c r="F1787" i="1"/>
  <c r="E1787" i="1"/>
  <c r="D1787" i="1"/>
  <c r="F1779" i="1"/>
  <c r="E1779" i="1"/>
  <c r="D1779" i="1"/>
  <c r="F1771" i="1"/>
  <c r="E1771" i="1"/>
  <c r="D1771" i="1"/>
  <c r="F1763" i="1"/>
  <c r="E1763" i="1"/>
  <c r="D1763" i="1"/>
  <c r="F2414" i="1"/>
  <c r="E2414" i="1"/>
  <c r="D2414" i="1"/>
  <c r="F2350" i="1"/>
  <c r="E2350" i="1"/>
  <c r="D2350" i="1"/>
  <c r="F2286" i="1"/>
  <c r="E2286" i="1"/>
  <c r="D2286" i="1"/>
  <c r="F2222" i="1"/>
  <c r="E2222" i="1"/>
  <c r="D2222" i="1"/>
  <c r="F2158" i="1"/>
  <c r="E2158" i="1"/>
  <c r="D2158" i="1"/>
  <c r="F2094" i="1"/>
  <c r="E2094" i="1"/>
  <c r="D2094" i="1"/>
  <c r="F2030" i="1"/>
  <c r="E2030" i="1"/>
  <c r="D2030" i="1"/>
  <c r="F1966" i="1"/>
  <c r="E1966" i="1"/>
  <c r="D1966" i="1"/>
  <c r="F1894" i="1"/>
  <c r="E1894" i="1"/>
  <c r="D1894" i="1"/>
  <c r="F1809" i="1"/>
  <c r="E1809" i="1"/>
  <c r="D1809" i="1"/>
  <c r="F2387" i="1"/>
  <c r="E2387" i="1"/>
  <c r="D2387" i="1"/>
  <c r="F2339" i="1"/>
  <c r="E2339" i="1"/>
  <c r="D2339" i="1"/>
  <c r="F2307" i="1"/>
  <c r="E2307" i="1"/>
  <c r="D2307" i="1"/>
  <c r="F2275" i="1"/>
  <c r="E2275" i="1"/>
  <c r="D2275" i="1"/>
  <c r="F2235" i="1"/>
  <c r="E2235" i="1"/>
  <c r="D2235" i="1"/>
  <c r="F2195" i="1"/>
  <c r="E2195" i="1"/>
  <c r="D2195" i="1"/>
  <c r="F2155" i="1"/>
  <c r="E2155" i="1"/>
  <c r="D2155" i="1"/>
  <c r="F2107" i="1"/>
  <c r="E2107" i="1"/>
  <c r="D2107" i="1"/>
  <c r="F2075" i="1"/>
  <c r="E2075" i="1"/>
  <c r="D2075" i="1"/>
  <c r="F2035" i="1"/>
  <c r="E2035" i="1"/>
  <c r="D2035" i="1"/>
  <c r="F1995" i="1"/>
  <c r="E1995" i="1"/>
  <c r="D1995" i="1"/>
  <c r="F1971" i="1"/>
  <c r="E1971" i="1"/>
  <c r="D1971" i="1"/>
  <c r="F1939" i="1"/>
  <c r="E1939" i="1"/>
  <c r="D1939" i="1"/>
  <c r="F2418" i="1"/>
  <c r="E2418" i="1"/>
  <c r="D2418" i="1"/>
  <c r="F2410" i="1"/>
  <c r="E2410" i="1"/>
  <c r="D2410" i="1"/>
  <c r="F2402" i="1"/>
  <c r="E2402" i="1"/>
  <c r="D2402" i="1"/>
  <c r="F2394" i="1"/>
  <c r="E2394" i="1"/>
  <c r="D2394" i="1"/>
  <c r="F2386" i="1"/>
  <c r="E2386" i="1"/>
  <c r="D2386" i="1"/>
  <c r="F2378" i="1"/>
  <c r="E2378" i="1"/>
  <c r="D2378" i="1"/>
  <c r="F2370" i="1"/>
  <c r="E2370" i="1"/>
  <c r="D2370" i="1"/>
  <c r="F2362" i="1"/>
  <c r="D2362" i="1"/>
  <c r="E2362" i="1"/>
  <c r="F2354" i="1"/>
  <c r="E2354" i="1"/>
  <c r="D2354" i="1"/>
  <c r="F2346" i="1"/>
  <c r="E2346" i="1"/>
  <c r="D2346" i="1"/>
  <c r="F2338" i="1"/>
  <c r="E2338" i="1"/>
  <c r="D2338" i="1"/>
  <c r="F2330" i="1"/>
  <c r="E2330" i="1"/>
  <c r="D2330" i="1"/>
  <c r="F2322" i="1"/>
  <c r="E2322" i="1"/>
  <c r="D2322" i="1"/>
  <c r="F2314" i="1"/>
  <c r="E2314" i="1"/>
  <c r="D2314" i="1"/>
  <c r="F2306" i="1"/>
  <c r="E2306" i="1"/>
  <c r="D2306" i="1"/>
  <c r="F2298" i="1"/>
  <c r="D2298" i="1"/>
  <c r="E2298" i="1"/>
  <c r="F2290" i="1"/>
  <c r="E2290" i="1"/>
  <c r="D2290" i="1"/>
  <c r="F2282" i="1"/>
  <c r="E2282" i="1"/>
  <c r="D2282" i="1"/>
  <c r="F2274" i="1"/>
  <c r="E2274" i="1"/>
  <c r="D2274" i="1"/>
  <c r="F2266" i="1"/>
  <c r="E2266" i="1"/>
  <c r="D2266" i="1"/>
  <c r="F2258" i="1"/>
  <c r="E2258" i="1"/>
  <c r="D2258" i="1"/>
  <c r="F2250" i="1"/>
  <c r="E2250" i="1"/>
  <c r="D2250" i="1"/>
  <c r="F2242" i="1"/>
  <c r="E2242" i="1"/>
  <c r="D2242" i="1"/>
  <c r="F2234" i="1"/>
  <c r="E2234" i="1"/>
  <c r="D2234" i="1"/>
  <c r="F2226" i="1"/>
  <c r="E2226" i="1"/>
  <c r="D2226" i="1"/>
  <c r="F2218" i="1"/>
  <c r="E2218" i="1"/>
  <c r="D2218" i="1"/>
  <c r="F2210" i="1"/>
  <c r="E2210" i="1"/>
  <c r="D2210" i="1"/>
  <c r="F2202" i="1"/>
  <c r="E2202" i="1"/>
  <c r="D2202" i="1"/>
  <c r="F2194" i="1"/>
  <c r="E2194" i="1"/>
  <c r="D2194" i="1"/>
  <c r="F2186" i="1"/>
  <c r="E2186" i="1"/>
  <c r="D2186" i="1"/>
  <c r="F2178" i="1"/>
  <c r="E2178" i="1"/>
  <c r="D2178" i="1"/>
  <c r="F2170" i="1"/>
  <c r="E2170" i="1"/>
  <c r="D2170" i="1"/>
  <c r="F2162" i="1"/>
  <c r="E2162" i="1"/>
  <c r="D2162" i="1"/>
  <c r="F2154" i="1"/>
  <c r="E2154" i="1"/>
  <c r="D2154" i="1"/>
  <c r="F2146" i="1"/>
  <c r="E2146" i="1"/>
  <c r="D2146" i="1"/>
  <c r="F2138" i="1"/>
  <c r="E2138" i="1"/>
  <c r="D2138" i="1"/>
  <c r="F2130" i="1"/>
  <c r="E2130" i="1"/>
  <c r="D2130" i="1"/>
  <c r="F2122" i="1"/>
  <c r="E2122" i="1"/>
  <c r="D2122" i="1"/>
  <c r="F2114" i="1"/>
  <c r="E2114" i="1"/>
  <c r="D2114" i="1"/>
  <c r="F2106" i="1"/>
  <c r="E2106" i="1"/>
  <c r="D2106" i="1"/>
  <c r="F2098" i="1"/>
  <c r="E2098" i="1"/>
  <c r="D2098" i="1"/>
  <c r="F2090" i="1"/>
  <c r="E2090" i="1"/>
  <c r="D2090" i="1"/>
  <c r="F2082" i="1"/>
  <c r="E2082" i="1"/>
  <c r="D2082" i="1"/>
  <c r="F2074" i="1"/>
  <c r="E2074" i="1"/>
  <c r="D2074" i="1"/>
  <c r="F2066" i="1"/>
  <c r="E2066" i="1"/>
  <c r="D2066" i="1"/>
  <c r="F2058" i="1"/>
  <c r="E2058" i="1"/>
  <c r="D2058" i="1"/>
  <c r="F2050" i="1"/>
  <c r="E2050" i="1"/>
  <c r="D2050" i="1"/>
  <c r="F2042" i="1"/>
  <c r="E2042" i="1"/>
  <c r="D2042" i="1"/>
  <c r="F2034" i="1"/>
  <c r="E2034" i="1"/>
  <c r="D2034" i="1"/>
  <c r="F2026" i="1"/>
  <c r="E2026" i="1"/>
  <c r="D2026" i="1"/>
  <c r="F2018" i="1"/>
  <c r="E2018" i="1"/>
  <c r="D2018" i="1"/>
  <c r="F2010" i="1"/>
  <c r="E2010" i="1"/>
  <c r="D2010" i="1"/>
  <c r="F2002" i="1"/>
  <c r="E2002" i="1"/>
  <c r="D2002" i="1"/>
  <c r="F1994" i="1"/>
  <c r="E1994" i="1"/>
  <c r="D1994" i="1"/>
  <c r="F1986" i="1"/>
  <c r="E1986" i="1"/>
  <c r="D1986" i="1"/>
  <c r="F1978" i="1"/>
  <c r="E1978" i="1"/>
  <c r="D1978" i="1"/>
  <c r="F1970" i="1"/>
  <c r="E1970" i="1"/>
  <c r="D1970" i="1"/>
  <c r="F1962" i="1"/>
  <c r="E1962" i="1"/>
  <c r="D1962" i="1"/>
  <c r="F1954" i="1"/>
  <c r="E1954" i="1"/>
  <c r="D1954" i="1"/>
  <c r="F1946" i="1"/>
  <c r="E1946" i="1"/>
  <c r="D1946" i="1"/>
  <c r="F1938" i="1"/>
  <c r="E1938" i="1"/>
  <c r="D1938" i="1"/>
  <c r="F1930" i="1"/>
  <c r="E1930" i="1"/>
  <c r="D1930" i="1"/>
  <c r="F1922" i="1"/>
  <c r="E1922" i="1"/>
  <c r="D1922" i="1"/>
  <c r="F1914" i="1"/>
  <c r="E1914" i="1"/>
  <c r="D1914" i="1"/>
  <c r="F1906" i="1"/>
  <c r="E1906" i="1"/>
  <c r="D1906" i="1"/>
  <c r="F1898" i="1"/>
  <c r="E1898" i="1"/>
  <c r="D1898" i="1"/>
  <c r="F1890" i="1"/>
  <c r="E1890" i="1"/>
  <c r="D1890" i="1"/>
  <c r="F1882" i="1"/>
  <c r="E1882" i="1"/>
  <c r="D1882" i="1"/>
  <c r="F1874" i="1"/>
  <c r="E1874" i="1"/>
  <c r="D1874" i="1"/>
  <c r="F1866" i="1"/>
  <c r="E1866" i="1"/>
  <c r="D1866" i="1"/>
  <c r="F1858" i="1"/>
  <c r="E1858" i="1"/>
  <c r="D1858" i="1"/>
  <c r="F1850" i="1"/>
  <c r="E1850" i="1"/>
  <c r="D1850" i="1"/>
  <c r="F1842" i="1"/>
  <c r="E1842" i="1"/>
  <c r="D1842" i="1"/>
  <c r="F1834" i="1"/>
  <c r="E1834" i="1"/>
  <c r="D1834" i="1"/>
  <c r="F1826" i="1"/>
  <c r="E1826" i="1"/>
  <c r="D1826" i="1"/>
  <c r="F1818" i="1"/>
  <c r="E1818" i="1"/>
  <c r="D1818" i="1"/>
  <c r="F1810" i="1"/>
  <c r="E1810" i="1"/>
  <c r="D1810" i="1"/>
  <c r="F1802" i="1"/>
  <c r="E1802" i="1"/>
  <c r="D1802" i="1"/>
  <c r="F1794" i="1"/>
  <c r="E1794" i="1"/>
  <c r="D1794" i="1"/>
  <c r="F1786" i="1"/>
  <c r="E1786" i="1"/>
  <c r="D1786" i="1"/>
  <c r="F1778" i="1"/>
  <c r="E1778" i="1"/>
  <c r="D1778" i="1"/>
  <c r="F1770" i="1"/>
  <c r="E1770" i="1"/>
  <c r="D1770" i="1"/>
  <c r="F1762" i="1"/>
  <c r="E1762" i="1"/>
  <c r="D1762" i="1"/>
  <c r="F1532" i="1"/>
  <c r="E1532" i="1"/>
  <c r="F1524" i="1"/>
  <c r="E1524" i="1"/>
  <c r="F1308" i="1"/>
  <c r="E1308" i="1"/>
  <c r="F2417" i="1"/>
  <c r="E2417" i="1"/>
  <c r="D2417" i="1"/>
  <c r="F2409" i="1"/>
  <c r="E2409" i="1"/>
  <c r="D2409" i="1"/>
  <c r="F2401" i="1"/>
  <c r="E2401" i="1"/>
  <c r="D2401" i="1"/>
  <c r="F2393" i="1"/>
  <c r="E2393" i="1"/>
  <c r="D2393" i="1"/>
  <c r="F2385" i="1"/>
  <c r="E2385" i="1"/>
  <c r="D2385" i="1"/>
  <c r="F2377" i="1"/>
  <c r="E2377" i="1"/>
  <c r="D2377" i="1"/>
  <c r="F2369" i="1"/>
  <c r="E2369" i="1"/>
  <c r="D2369" i="1"/>
  <c r="F2361" i="1"/>
  <c r="E2361" i="1"/>
  <c r="D2361" i="1"/>
  <c r="F2353" i="1"/>
  <c r="E2353" i="1"/>
  <c r="D2353" i="1"/>
  <c r="F2345" i="1"/>
  <c r="E2345" i="1"/>
  <c r="D2345" i="1"/>
  <c r="F2337" i="1"/>
  <c r="E2337" i="1"/>
  <c r="D2337" i="1"/>
  <c r="F2329" i="1"/>
  <c r="E2329" i="1"/>
  <c r="D2329" i="1"/>
  <c r="F2321" i="1"/>
  <c r="E2321" i="1"/>
  <c r="D2321" i="1"/>
  <c r="F2313" i="1"/>
  <c r="E2313" i="1"/>
  <c r="D2313" i="1"/>
  <c r="F2305" i="1"/>
  <c r="E2305" i="1"/>
  <c r="D2305" i="1"/>
  <c r="F2297" i="1"/>
  <c r="E2297" i="1"/>
  <c r="D2297" i="1"/>
  <c r="F2289" i="1"/>
  <c r="E2289" i="1"/>
  <c r="D2289" i="1"/>
  <c r="F2281" i="1"/>
  <c r="E2281" i="1"/>
  <c r="D2281" i="1"/>
  <c r="F2273" i="1"/>
  <c r="E2273" i="1"/>
  <c r="D2273" i="1"/>
  <c r="F2265" i="1"/>
  <c r="E2265" i="1"/>
  <c r="D2265" i="1"/>
  <c r="F2257" i="1"/>
  <c r="E2257" i="1"/>
  <c r="D2257" i="1"/>
  <c r="F2249" i="1"/>
  <c r="E2249" i="1"/>
  <c r="D2249" i="1"/>
  <c r="F2241" i="1"/>
  <c r="E2241" i="1"/>
  <c r="D2241" i="1"/>
  <c r="F2233" i="1"/>
  <c r="E2233" i="1"/>
  <c r="D2233" i="1"/>
  <c r="F2225" i="1"/>
  <c r="E2225" i="1"/>
  <c r="D2225" i="1"/>
  <c r="F2217" i="1"/>
  <c r="E2217" i="1"/>
  <c r="D2217" i="1"/>
  <c r="F2209" i="1"/>
  <c r="E2209" i="1"/>
  <c r="D2209" i="1"/>
  <c r="F2201" i="1"/>
  <c r="E2201" i="1"/>
  <c r="D2201" i="1"/>
  <c r="F2193" i="1"/>
  <c r="E2193" i="1"/>
  <c r="D2193" i="1"/>
  <c r="F2185" i="1"/>
  <c r="E2185" i="1"/>
  <c r="D2185" i="1"/>
  <c r="F2177" i="1"/>
  <c r="E2177" i="1"/>
  <c r="D2177" i="1"/>
  <c r="F2169" i="1"/>
  <c r="E2169" i="1"/>
  <c r="D2169" i="1"/>
  <c r="F2161" i="1"/>
  <c r="E2161" i="1"/>
  <c r="D2161" i="1"/>
  <c r="F2153" i="1"/>
  <c r="E2153" i="1"/>
  <c r="D2153" i="1"/>
  <c r="F2145" i="1"/>
  <c r="E2145" i="1"/>
  <c r="D2145" i="1"/>
  <c r="F2137" i="1"/>
  <c r="E2137" i="1"/>
  <c r="D2137" i="1"/>
  <c r="F2129" i="1"/>
  <c r="E2129" i="1"/>
  <c r="D2129" i="1"/>
  <c r="F2121" i="1"/>
  <c r="E2121" i="1"/>
  <c r="D2121" i="1"/>
  <c r="F2113" i="1"/>
  <c r="E2113" i="1"/>
  <c r="D2113" i="1"/>
  <c r="F2105" i="1"/>
  <c r="E2105" i="1"/>
  <c r="D2105" i="1"/>
  <c r="F2097" i="1"/>
  <c r="E2097" i="1"/>
  <c r="D2097" i="1"/>
  <c r="F2089" i="1"/>
  <c r="E2089" i="1"/>
  <c r="D2089" i="1"/>
  <c r="F2081" i="1"/>
  <c r="E2081" i="1"/>
  <c r="D2081" i="1"/>
  <c r="F2073" i="1"/>
  <c r="E2073" i="1"/>
  <c r="D2073" i="1"/>
  <c r="F2065" i="1"/>
  <c r="E2065" i="1"/>
  <c r="D2065" i="1"/>
  <c r="F2057" i="1"/>
  <c r="E2057" i="1"/>
  <c r="D2057" i="1"/>
  <c r="F2049" i="1"/>
  <c r="E2049" i="1"/>
  <c r="D2049" i="1"/>
  <c r="F2041" i="1"/>
  <c r="E2041" i="1"/>
  <c r="D2041" i="1"/>
  <c r="F2033" i="1"/>
  <c r="E2033" i="1"/>
  <c r="D2033" i="1"/>
  <c r="F2025" i="1"/>
  <c r="E2025" i="1"/>
  <c r="D2025" i="1"/>
  <c r="F2017" i="1"/>
  <c r="E2017" i="1"/>
  <c r="D2017" i="1"/>
  <c r="F2009" i="1"/>
  <c r="E2009" i="1"/>
  <c r="D2009" i="1"/>
  <c r="F2001" i="1"/>
  <c r="E2001" i="1"/>
  <c r="D2001" i="1"/>
  <c r="F1993" i="1"/>
  <c r="E1993" i="1"/>
  <c r="D1993" i="1"/>
  <c r="F1985" i="1"/>
  <c r="E1985" i="1"/>
  <c r="D1985" i="1"/>
  <c r="F1977" i="1"/>
  <c r="E1977" i="1"/>
  <c r="D1977" i="1"/>
  <c r="F1969" i="1"/>
  <c r="E1969" i="1"/>
  <c r="D1969" i="1"/>
  <c r="F1961" i="1"/>
  <c r="E1961" i="1"/>
  <c r="D1961" i="1"/>
  <c r="F1953" i="1"/>
  <c r="E1953" i="1"/>
  <c r="D1953" i="1"/>
  <c r="F1945" i="1"/>
  <c r="E1945" i="1"/>
  <c r="D1945" i="1"/>
  <c r="F1937" i="1"/>
  <c r="E1937" i="1"/>
  <c r="D1937" i="1"/>
  <c r="F1929" i="1"/>
  <c r="E1929" i="1"/>
  <c r="D1929" i="1"/>
  <c r="F1921" i="1"/>
  <c r="E1921" i="1"/>
  <c r="D1921" i="1"/>
  <c r="F1913" i="1"/>
  <c r="E1913" i="1"/>
  <c r="D1913" i="1"/>
  <c r="F1897" i="1"/>
  <c r="E1897" i="1"/>
  <c r="D1897" i="1"/>
  <c r="F1889" i="1"/>
  <c r="E1889" i="1"/>
  <c r="D1889" i="1"/>
  <c r="F1881" i="1"/>
  <c r="E1881" i="1"/>
  <c r="D1881" i="1"/>
  <c r="F1865" i="1"/>
  <c r="E1865" i="1"/>
  <c r="D1865" i="1"/>
  <c r="F1857" i="1"/>
  <c r="E1857" i="1"/>
  <c r="D1857" i="1"/>
  <c r="F1849" i="1"/>
  <c r="E1849" i="1"/>
  <c r="D1849" i="1"/>
  <c r="F1833" i="1"/>
  <c r="E1833" i="1"/>
  <c r="D1833" i="1"/>
  <c r="F1825" i="1"/>
  <c r="E1825" i="1"/>
  <c r="D1825" i="1"/>
  <c r="F1817" i="1"/>
  <c r="E1817" i="1"/>
  <c r="D1817" i="1"/>
  <c r="F1801" i="1"/>
  <c r="E1801" i="1"/>
  <c r="D1801" i="1"/>
  <c r="F1793" i="1"/>
  <c r="E1793" i="1"/>
  <c r="D1793" i="1"/>
  <c r="F1785" i="1"/>
  <c r="E1785" i="1"/>
  <c r="D1785" i="1"/>
  <c r="F1769" i="1"/>
  <c r="E1769" i="1"/>
  <c r="D1769" i="1"/>
  <c r="F1761" i="1"/>
  <c r="E1761" i="1"/>
  <c r="D1761" i="1"/>
  <c r="F1523" i="1"/>
  <c r="E1523" i="1"/>
  <c r="F1099" i="1"/>
  <c r="F1043" i="1"/>
  <c r="E1043" i="1"/>
  <c r="D1043" i="1"/>
  <c r="F1027" i="1"/>
  <c r="E1027" i="1"/>
  <c r="D1027" i="1"/>
  <c r="F987" i="1"/>
  <c r="E987" i="1"/>
  <c r="D987" i="1"/>
  <c r="F963" i="1"/>
  <c r="E963" i="1"/>
  <c r="D963" i="1"/>
  <c r="F955" i="1"/>
  <c r="E955" i="1"/>
  <c r="D955" i="1"/>
  <c r="F947" i="1"/>
  <c r="E947" i="1"/>
  <c r="D947" i="1"/>
  <c r="F1873" i="1"/>
  <c r="E1873" i="1"/>
  <c r="D1873" i="1"/>
  <c r="F2395" i="1"/>
  <c r="E2395" i="1"/>
  <c r="D2395" i="1"/>
  <c r="F2355" i="1"/>
  <c r="E2355" i="1"/>
  <c r="D2355" i="1"/>
  <c r="F2299" i="1"/>
  <c r="E2299" i="1"/>
  <c r="D2299" i="1"/>
  <c r="F2259" i="1"/>
  <c r="E2259" i="1"/>
  <c r="D2259" i="1"/>
  <c r="F2219" i="1"/>
  <c r="E2219" i="1"/>
  <c r="D2219" i="1"/>
  <c r="F2163" i="1"/>
  <c r="E2163" i="1"/>
  <c r="D2163" i="1"/>
  <c r="F2123" i="1"/>
  <c r="E2123" i="1"/>
  <c r="D2123" i="1"/>
  <c r="F2067" i="1"/>
  <c r="E2067" i="1"/>
  <c r="D2067" i="1"/>
  <c r="F2019" i="1"/>
  <c r="E2019" i="1"/>
  <c r="D2019" i="1"/>
  <c r="F1987" i="1"/>
  <c r="E1987" i="1"/>
  <c r="D1987" i="1"/>
  <c r="F1955" i="1"/>
  <c r="E1955" i="1"/>
  <c r="D1955" i="1"/>
  <c r="F1907" i="1"/>
  <c r="E1907" i="1"/>
  <c r="D1907" i="1"/>
  <c r="F2416" i="1"/>
  <c r="E2416" i="1"/>
  <c r="D2416" i="1"/>
  <c r="F2408" i="1"/>
  <c r="E2408" i="1"/>
  <c r="D2408" i="1"/>
  <c r="F2400" i="1"/>
  <c r="E2400" i="1"/>
  <c r="D2400" i="1"/>
  <c r="F2392" i="1"/>
  <c r="E2392" i="1"/>
  <c r="D2392" i="1"/>
  <c r="F2384" i="1"/>
  <c r="E2384" i="1"/>
  <c r="D2384" i="1"/>
  <c r="F2376" i="1"/>
  <c r="E2376" i="1"/>
  <c r="D2376" i="1"/>
  <c r="F2368" i="1"/>
  <c r="E2368" i="1"/>
  <c r="D2368" i="1"/>
  <c r="F2360" i="1"/>
  <c r="E2360" i="1"/>
  <c r="D2360" i="1"/>
  <c r="F2352" i="1"/>
  <c r="E2352" i="1"/>
  <c r="D2352" i="1"/>
  <c r="F2344" i="1"/>
  <c r="E2344" i="1"/>
  <c r="D2344" i="1"/>
  <c r="F2336" i="1"/>
  <c r="E2336" i="1"/>
  <c r="D2336" i="1"/>
  <c r="F2328" i="1"/>
  <c r="E2328" i="1"/>
  <c r="D2328" i="1"/>
  <c r="F2320" i="1"/>
  <c r="E2320" i="1"/>
  <c r="D2320" i="1"/>
  <c r="F2312" i="1"/>
  <c r="E2312" i="1"/>
  <c r="D2312" i="1"/>
  <c r="F2304" i="1"/>
  <c r="E2304" i="1"/>
  <c r="D2304" i="1"/>
  <c r="F2296" i="1"/>
  <c r="E2296" i="1"/>
  <c r="D2296" i="1"/>
  <c r="F2288" i="1"/>
  <c r="E2288" i="1"/>
  <c r="D2288" i="1"/>
  <c r="F2280" i="1"/>
  <c r="E2280" i="1"/>
  <c r="D2280" i="1"/>
  <c r="F2272" i="1"/>
  <c r="E2272" i="1"/>
  <c r="D2272" i="1"/>
  <c r="F2264" i="1"/>
  <c r="E2264" i="1"/>
  <c r="D2264" i="1"/>
  <c r="F2256" i="1"/>
  <c r="E2256" i="1"/>
  <c r="D2256" i="1"/>
  <c r="F2248" i="1"/>
  <c r="E2248" i="1"/>
  <c r="D2248" i="1"/>
  <c r="F2240" i="1"/>
  <c r="E2240" i="1"/>
  <c r="D2240" i="1"/>
  <c r="F2232" i="1"/>
  <c r="E2232" i="1"/>
  <c r="D2232" i="1"/>
  <c r="F2224" i="1"/>
  <c r="E2224" i="1"/>
  <c r="D2224" i="1"/>
  <c r="F2216" i="1"/>
  <c r="E2216" i="1"/>
  <c r="D2216" i="1"/>
  <c r="F2208" i="1"/>
  <c r="E2208" i="1"/>
  <c r="D2208" i="1"/>
  <c r="F2200" i="1"/>
  <c r="E2200" i="1"/>
  <c r="D2200" i="1"/>
  <c r="F2192" i="1"/>
  <c r="E2192" i="1"/>
  <c r="D2192" i="1"/>
  <c r="F2184" i="1"/>
  <c r="E2184" i="1"/>
  <c r="D2184" i="1"/>
  <c r="F2176" i="1"/>
  <c r="E2176" i="1"/>
  <c r="D2176" i="1"/>
  <c r="F2168" i="1"/>
  <c r="E2168" i="1"/>
  <c r="D2168" i="1"/>
  <c r="F2160" i="1"/>
  <c r="E2160" i="1"/>
  <c r="D2160" i="1"/>
  <c r="F2152" i="1"/>
  <c r="E2152" i="1"/>
  <c r="D2152" i="1"/>
  <c r="F2144" i="1"/>
  <c r="E2144" i="1"/>
  <c r="D2144" i="1"/>
  <c r="F2136" i="1"/>
  <c r="E2136" i="1"/>
  <c r="D2136" i="1"/>
  <c r="F2128" i="1"/>
  <c r="E2128" i="1"/>
  <c r="D2128" i="1"/>
  <c r="F2120" i="1"/>
  <c r="E2120" i="1"/>
  <c r="D2120" i="1"/>
  <c r="F2112" i="1"/>
  <c r="E2112" i="1"/>
  <c r="D2112" i="1"/>
  <c r="F2104" i="1"/>
  <c r="E2104" i="1"/>
  <c r="D2104" i="1"/>
  <c r="F2096" i="1"/>
  <c r="E2096" i="1"/>
  <c r="D2096" i="1"/>
  <c r="F2088" i="1"/>
  <c r="E2088" i="1"/>
  <c r="D2088" i="1"/>
  <c r="F2080" i="1"/>
  <c r="E2080" i="1"/>
  <c r="D2080" i="1"/>
  <c r="F2072" i="1"/>
  <c r="E2072" i="1"/>
  <c r="D2072" i="1"/>
  <c r="F2064" i="1"/>
  <c r="E2064" i="1"/>
  <c r="D2064" i="1"/>
  <c r="F2056" i="1"/>
  <c r="E2056" i="1"/>
  <c r="D2056" i="1"/>
  <c r="F2048" i="1"/>
  <c r="E2048" i="1"/>
  <c r="D2048" i="1"/>
  <c r="F2040" i="1"/>
  <c r="E2040" i="1"/>
  <c r="D2040" i="1"/>
  <c r="F2032" i="1"/>
  <c r="E2032" i="1"/>
  <c r="D2032" i="1"/>
  <c r="F2024" i="1"/>
  <c r="E2024" i="1"/>
  <c r="D2024" i="1"/>
  <c r="F2016" i="1"/>
  <c r="E2016" i="1"/>
  <c r="D2016" i="1"/>
  <c r="F2008" i="1"/>
  <c r="E2008" i="1"/>
  <c r="D2008" i="1"/>
  <c r="F2000" i="1"/>
  <c r="E2000" i="1"/>
  <c r="D2000" i="1"/>
  <c r="F1992" i="1"/>
  <c r="E1992" i="1"/>
  <c r="D1992" i="1"/>
  <c r="F1984" i="1"/>
  <c r="E1984" i="1"/>
  <c r="D1984" i="1"/>
  <c r="F1976" i="1"/>
  <c r="E1976" i="1"/>
  <c r="D1976" i="1"/>
  <c r="F1968" i="1"/>
  <c r="E1968" i="1"/>
  <c r="D1968" i="1"/>
  <c r="F1960" i="1"/>
  <c r="E1960" i="1"/>
  <c r="D1960" i="1"/>
  <c r="F1952" i="1"/>
  <c r="E1952" i="1"/>
  <c r="D1952" i="1"/>
  <c r="F1944" i="1"/>
  <c r="E1944" i="1"/>
  <c r="D1944" i="1"/>
  <c r="F1936" i="1"/>
  <c r="E1936" i="1"/>
  <c r="D1936" i="1"/>
  <c r="F1928" i="1"/>
  <c r="E1928" i="1"/>
  <c r="D1928" i="1"/>
  <c r="F1920" i="1"/>
  <c r="E1920" i="1"/>
  <c r="D1920" i="1"/>
  <c r="F1912" i="1"/>
  <c r="E1912" i="1"/>
  <c r="D1912" i="1"/>
  <c r="F1904" i="1"/>
  <c r="E1904" i="1"/>
  <c r="D1904" i="1"/>
  <c r="F1896" i="1"/>
  <c r="E1896" i="1"/>
  <c r="D1896" i="1"/>
  <c r="F1888" i="1"/>
  <c r="E1888" i="1"/>
  <c r="D1888" i="1"/>
  <c r="F1880" i="1"/>
  <c r="E1880" i="1"/>
  <c r="D1880" i="1"/>
  <c r="F1872" i="1"/>
  <c r="E1872" i="1"/>
  <c r="D1872" i="1"/>
  <c r="F1864" i="1"/>
  <c r="E1864" i="1"/>
  <c r="D1864" i="1"/>
  <c r="F1856" i="1"/>
  <c r="E1856" i="1"/>
  <c r="D1856" i="1"/>
  <c r="F1848" i="1"/>
  <c r="E1848" i="1"/>
  <c r="D1848" i="1"/>
  <c r="F1840" i="1"/>
  <c r="E1840" i="1"/>
  <c r="D1840" i="1"/>
  <c r="F1832" i="1"/>
  <c r="E1832" i="1"/>
  <c r="D1832" i="1"/>
  <c r="F1824" i="1"/>
  <c r="E1824" i="1"/>
  <c r="D1824" i="1"/>
  <c r="F1816" i="1"/>
  <c r="E1816" i="1"/>
  <c r="D1816" i="1"/>
  <c r="F1808" i="1"/>
  <c r="E1808" i="1"/>
  <c r="D1808" i="1"/>
  <c r="F1800" i="1"/>
  <c r="E1800" i="1"/>
  <c r="D1800" i="1"/>
  <c r="F1792" i="1"/>
  <c r="E1792" i="1"/>
  <c r="D1792" i="1"/>
  <c r="F1784" i="1"/>
  <c r="E1784" i="1"/>
  <c r="D1784" i="1"/>
  <c r="F1776" i="1"/>
  <c r="E1776" i="1"/>
  <c r="D1776" i="1"/>
  <c r="F1768" i="1"/>
  <c r="E1768" i="1"/>
  <c r="D1768" i="1"/>
  <c r="F1760" i="1"/>
  <c r="E1760" i="1"/>
  <c r="D1760" i="1"/>
  <c r="F1522" i="1"/>
  <c r="E1522" i="1"/>
  <c r="F1050" i="1"/>
  <c r="E1050" i="1"/>
  <c r="D1050" i="1"/>
  <c r="F1026" i="1"/>
  <c r="E1026" i="1"/>
  <c r="D1026" i="1"/>
  <c r="F1002" i="1"/>
  <c r="E1002" i="1"/>
  <c r="D1002" i="1"/>
  <c r="F962" i="1"/>
  <c r="E962" i="1"/>
  <c r="D962" i="1"/>
  <c r="F954" i="1"/>
  <c r="E954" i="1"/>
  <c r="D954" i="1"/>
  <c r="F1777" i="1"/>
  <c r="E1777" i="1"/>
  <c r="D1777" i="1"/>
  <c r="F2411" i="1"/>
  <c r="E2411" i="1"/>
  <c r="D2411" i="1"/>
  <c r="F2363" i="1"/>
  <c r="E2363" i="1"/>
  <c r="D2363" i="1"/>
  <c r="F2323" i="1"/>
  <c r="E2323" i="1"/>
  <c r="D2323" i="1"/>
  <c r="F2283" i="1"/>
  <c r="E2283" i="1"/>
  <c r="D2283" i="1"/>
  <c r="F2243" i="1"/>
  <c r="E2243" i="1"/>
  <c r="D2243" i="1"/>
  <c r="F2211" i="1"/>
  <c r="E2211" i="1"/>
  <c r="D2211" i="1"/>
  <c r="F2179" i="1"/>
  <c r="E2179" i="1"/>
  <c r="D2179" i="1"/>
  <c r="F2139" i="1"/>
  <c r="E2139" i="1"/>
  <c r="D2139" i="1"/>
  <c r="F2099" i="1"/>
  <c r="E2099" i="1"/>
  <c r="D2099" i="1"/>
  <c r="F2059" i="1"/>
  <c r="E2059" i="1"/>
  <c r="D2059" i="1"/>
  <c r="F2027" i="1"/>
  <c r="E2027" i="1"/>
  <c r="D2027" i="1"/>
  <c r="F1947" i="1"/>
  <c r="E1947" i="1"/>
  <c r="D1947" i="1"/>
  <c r="F1891" i="1"/>
  <c r="E1891" i="1"/>
  <c r="D1891" i="1"/>
  <c r="F2415" i="1"/>
  <c r="E2415" i="1"/>
  <c r="D2415" i="1"/>
  <c r="F2407" i="1"/>
  <c r="E2407" i="1"/>
  <c r="D2407" i="1"/>
  <c r="F2399" i="1"/>
  <c r="E2399" i="1"/>
  <c r="D2399" i="1"/>
  <c r="F2391" i="1"/>
  <c r="E2391" i="1"/>
  <c r="D2391" i="1"/>
  <c r="F2383" i="1"/>
  <c r="E2383" i="1"/>
  <c r="D2383" i="1"/>
  <c r="F2375" i="1"/>
  <c r="E2375" i="1"/>
  <c r="D2375" i="1"/>
  <c r="F2367" i="1"/>
  <c r="E2367" i="1"/>
  <c r="D2367" i="1"/>
  <c r="F2359" i="1"/>
  <c r="E2359" i="1"/>
  <c r="D2359" i="1"/>
  <c r="F2351" i="1"/>
  <c r="E2351" i="1"/>
  <c r="D2351" i="1"/>
  <c r="F2343" i="1"/>
  <c r="E2343" i="1"/>
  <c r="D2343" i="1"/>
  <c r="F2335" i="1"/>
  <c r="E2335" i="1"/>
  <c r="D2335" i="1"/>
  <c r="F2327" i="1"/>
  <c r="E2327" i="1"/>
  <c r="D2327" i="1"/>
  <c r="F2319" i="1"/>
  <c r="E2319" i="1"/>
  <c r="D2319" i="1"/>
  <c r="F2311" i="1"/>
  <c r="E2311" i="1"/>
  <c r="D2311" i="1"/>
  <c r="F2303" i="1"/>
  <c r="E2303" i="1"/>
  <c r="D2303" i="1"/>
  <c r="F2295" i="1"/>
  <c r="E2295" i="1"/>
  <c r="D2295" i="1"/>
  <c r="F2287" i="1"/>
  <c r="E2287" i="1"/>
  <c r="D2287" i="1"/>
  <c r="F2279" i="1"/>
  <c r="E2279" i="1"/>
  <c r="D2279" i="1"/>
  <c r="F2271" i="1"/>
  <c r="E2271" i="1"/>
  <c r="D2271" i="1"/>
  <c r="F2263" i="1"/>
  <c r="E2263" i="1"/>
  <c r="D2263" i="1"/>
  <c r="F2255" i="1"/>
  <c r="E2255" i="1"/>
  <c r="D2255" i="1"/>
  <c r="F2247" i="1"/>
  <c r="E2247" i="1"/>
  <c r="D2247" i="1"/>
  <c r="F2239" i="1"/>
  <c r="E2239" i="1"/>
  <c r="D2239" i="1"/>
  <c r="F2231" i="1"/>
  <c r="E2231" i="1"/>
  <c r="D2231" i="1"/>
  <c r="F2223" i="1"/>
  <c r="E2223" i="1"/>
  <c r="D2223" i="1"/>
  <c r="F2215" i="1"/>
  <c r="E2215" i="1"/>
  <c r="D2215" i="1"/>
  <c r="F2207" i="1"/>
  <c r="E2207" i="1"/>
  <c r="D2207" i="1"/>
  <c r="F2199" i="1"/>
  <c r="E2199" i="1"/>
  <c r="D2199" i="1"/>
  <c r="F2191" i="1"/>
  <c r="E2191" i="1"/>
  <c r="D2191" i="1"/>
  <c r="F2183" i="1"/>
  <c r="E2183" i="1"/>
  <c r="D2183" i="1"/>
  <c r="F2175" i="1"/>
  <c r="E2175" i="1"/>
  <c r="D2175" i="1"/>
  <c r="F2167" i="1"/>
  <c r="E2167" i="1"/>
  <c r="D2167" i="1"/>
  <c r="F2159" i="1"/>
  <c r="E2159" i="1"/>
  <c r="D2159" i="1"/>
  <c r="F2151" i="1"/>
  <c r="E2151" i="1"/>
  <c r="D2151" i="1"/>
  <c r="F2143" i="1"/>
  <c r="E2143" i="1"/>
  <c r="D2143" i="1"/>
  <c r="F2135" i="1"/>
  <c r="E2135" i="1"/>
  <c r="D2135" i="1"/>
  <c r="F2127" i="1"/>
  <c r="E2127" i="1"/>
  <c r="D2127" i="1"/>
  <c r="F2119" i="1"/>
  <c r="E2119" i="1"/>
  <c r="D2119" i="1"/>
  <c r="F2111" i="1"/>
  <c r="E2111" i="1"/>
  <c r="D2111" i="1"/>
  <c r="F2103" i="1"/>
  <c r="E2103" i="1"/>
  <c r="D2103" i="1"/>
  <c r="F2095" i="1"/>
  <c r="E2095" i="1"/>
  <c r="D2095" i="1"/>
  <c r="F2087" i="1"/>
  <c r="E2087" i="1"/>
  <c r="D2087" i="1"/>
  <c r="F2079" i="1"/>
  <c r="E2079" i="1"/>
  <c r="D2079" i="1"/>
  <c r="F2071" i="1"/>
  <c r="E2071" i="1"/>
  <c r="D2071" i="1"/>
  <c r="F2063" i="1"/>
  <c r="E2063" i="1"/>
  <c r="D2063" i="1"/>
  <c r="F2055" i="1"/>
  <c r="E2055" i="1"/>
  <c r="D2055" i="1"/>
  <c r="F2047" i="1"/>
  <c r="E2047" i="1"/>
  <c r="D2047" i="1"/>
  <c r="F2039" i="1"/>
  <c r="E2039" i="1"/>
  <c r="D2039" i="1"/>
  <c r="F2031" i="1"/>
  <c r="E2031" i="1"/>
  <c r="D2031" i="1"/>
  <c r="F2023" i="1"/>
  <c r="E2023" i="1"/>
  <c r="D2023" i="1"/>
  <c r="F2015" i="1"/>
  <c r="E2015" i="1"/>
  <c r="D2015" i="1"/>
  <c r="F2007" i="1"/>
  <c r="E2007" i="1"/>
  <c r="D2007" i="1"/>
  <c r="F1999" i="1"/>
  <c r="E1999" i="1"/>
  <c r="D1999" i="1"/>
  <c r="F1991" i="1"/>
  <c r="E1991" i="1"/>
  <c r="D1991" i="1"/>
  <c r="F1983" i="1"/>
  <c r="E1983" i="1"/>
  <c r="D1983" i="1"/>
  <c r="F1975" i="1"/>
  <c r="E1975" i="1"/>
  <c r="D1975" i="1"/>
  <c r="F1967" i="1"/>
  <c r="E1967" i="1"/>
  <c r="D1967" i="1"/>
  <c r="F1959" i="1"/>
  <c r="E1959" i="1"/>
  <c r="D1959" i="1"/>
  <c r="F1951" i="1"/>
  <c r="E1951" i="1"/>
  <c r="D1951" i="1"/>
  <c r="F1943" i="1"/>
  <c r="E1943" i="1"/>
  <c r="D1943" i="1"/>
  <c r="F1935" i="1"/>
  <c r="E1935" i="1"/>
  <c r="D1935" i="1"/>
  <c r="F1927" i="1"/>
  <c r="E1927" i="1"/>
  <c r="D1927" i="1"/>
  <c r="F1919" i="1"/>
  <c r="E1919" i="1"/>
  <c r="D1919" i="1"/>
  <c r="F1911" i="1"/>
  <c r="E1911" i="1"/>
  <c r="D1911" i="1"/>
  <c r="F1903" i="1"/>
  <c r="E1903" i="1"/>
  <c r="D1903" i="1"/>
  <c r="F1895" i="1"/>
  <c r="E1895" i="1"/>
  <c r="D1895" i="1"/>
  <c r="F1887" i="1"/>
  <c r="E1887" i="1"/>
  <c r="D1887" i="1"/>
  <c r="F1879" i="1"/>
  <c r="E1879" i="1"/>
  <c r="D1879" i="1"/>
  <c r="F1871" i="1"/>
  <c r="E1871" i="1"/>
  <c r="D1871" i="1"/>
  <c r="F1863" i="1"/>
  <c r="E1863" i="1"/>
  <c r="D1863" i="1"/>
  <c r="F1855" i="1"/>
  <c r="E1855" i="1"/>
  <c r="D1855" i="1"/>
  <c r="F1847" i="1"/>
  <c r="E1847" i="1"/>
  <c r="D1847" i="1"/>
  <c r="F1839" i="1"/>
  <c r="E1839" i="1"/>
  <c r="D1839" i="1"/>
  <c r="F1831" i="1"/>
  <c r="E1831" i="1"/>
  <c r="D1831" i="1"/>
  <c r="F1823" i="1"/>
  <c r="E1823" i="1"/>
  <c r="D1823" i="1"/>
  <c r="F1815" i="1"/>
  <c r="E1815" i="1"/>
  <c r="D1815" i="1"/>
  <c r="F1807" i="1"/>
  <c r="E1807" i="1"/>
  <c r="D1807" i="1"/>
  <c r="F1799" i="1"/>
  <c r="E1799" i="1"/>
  <c r="D1799" i="1"/>
  <c r="F1791" i="1"/>
  <c r="E1791" i="1"/>
  <c r="D1791" i="1"/>
  <c r="F1783" i="1"/>
  <c r="E1783" i="1"/>
  <c r="D1783" i="1"/>
  <c r="F1775" i="1"/>
  <c r="E1775" i="1"/>
  <c r="D1775" i="1"/>
  <c r="F1767" i="1"/>
  <c r="E1767" i="1"/>
  <c r="D1767" i="1"/>
  <c r="F1759" i="1"/>
  <c r="E1759" i="1"/>
  <c r="D1759" i="1"/>
  <c r="F2419" i="1"/>
  <c r="E2419" i="1"/>
  <c r="D2419" i="1"/>
  <c r="F2379" i="1"/>
  <c r="E2379" i="1"/>
  <c r="D2379" i="1"/>
  <c r="F2347" i="1"/>
  <c r="E2347" i="1"/>
  <c r="D2347" i="1"/>
  <c r="F2315" i="1"/>
  <c r="E2315" i="1"/>
  <c r="D2315" i="1"/>
  <c r="F2267" i="1"/>
  <c r="E2267" i="1"/>
  <c r="D2267" i="1"/>
  <c r="F2227" i="1"/>
  <c r="E2227" i="1"/>
  <c r="D2227" i="1"/>
  <c r="F2187" i="1"/>
  <c r="E2187" i="1"/>
  <c r="D2187" i="1"/>
  <c r="F2147" i="1"/>
  <c r="E2147" i="1"/>
  <c r="D2147" i="1"/>
  <c r="F2115" i="1"/>
  <c r="E2115" i="1"/>
  <c r="D2115" i="1"/>
  <c r="F2083" i="1"/>
  <c r="E2083" i="1"/>
  <c r="D2083" i="1"/>
  <c r="F2043" i="1"/>
  <c r="E2043" i="1"/>
  <c r="D2043" i="1"/>
  <c r="F2003" i="1"/>
  <c r="E2003" i="1"/>
  <c r="D2003" i="1"/>
  <c r="F1979" i="1"/>
  <c r="E1979" i="1"/>
  <c r="D1979" i="1"/>
  <c r="F1931" i="1"/>
  <c r="E1931" i="1"/>
  <c r="D1931" i="1"/>
  <c r="D856" i="1"/>
  <c r="F1934" i="1"/>
  <c r="E1934" i="1"/>
  <c r="D1934" i="1"/>
  <c r="F1926" i="1"/>
  <c r="E1926" i="1"/>
  <c r="D1926" i="1"/>
  <c r="F1918" i="1"/>
  <c r="E1918" i="1"/>
  <c r="D1918" i="1"/>
  <c r="F1910" i="1"/>
  <c r="E1910" i="1"/>
  <c r="D1910" i="1"/>
  <c r="F1902" i="1"/>
  <c r="E1902" i="1"/>
  <c r="D1902" i="1"/>
  <c r="F1886" i="1"/>
  <c r="E1886" i="1"/>
  <c r="D1886" i="1"/>
  <c r="F1878" i="1"/>
  <c r="E1878" i="1"/>
  <c r="D1878" i="1"/>
  <c r="F1870" i="1"/>
  <c r="E1870" i="1"/>
  <c r="D1870" i="1"/>
  <c r="F1854" i="1"/>
  <c r="E1854" i="1"/>
  <c r="D1854" i="1"/>
  <c r="F1846" i="1"/>
  <c r="E1846" i="1"/>
  <c r="D1846" i="1"/>
  <c r="F1838" i="1"/>
  <c r="E1838" i="1"/>
  <c r="D1838" i="1"/>
  <c r="F1822" i="1"/>
  <c r="E1822" i="1"/>
  <c r="D1822" i="1"/>
  <c r="F1814" i="1"/>
  <c r="E1814" i="1"/>
  <c r="D1814" i="1"/>
  <c r="F1806" i="1"/>
  <c r="E1806" i="1"/>
  <c r="D1806" i="1"/>
  <c r="F1790" i="1"/>
  <c r="E1790" i="1"/>
  <c r="D1790" i="1"/>
  <c r="F1782" i="1"/>
  <c r="E1782" i="1"/>
  <c r="D1782" i="1"/>
  <c r="F1774" i="1"/>
  <c r="E1774" i="1"/>
  <c r="D1774" i="1"/>
  <c r="F1520" i="1"/>
  <c r="E1520" i="1"/>
  <c r="E1480" i="1"/>
  <c r="F1841" i="1"/>
  <c r="E1841" i="1"/>
  <c r="D1841" i="1"/>
  <c r="F2421" i="1"/>
  <c r="E2421" i="1"/>
  <c r="D2421" i="1"/>
  <c r="F2413" i="1"/>
  <c r="E2413" i="1"/>
  <c r="D2413" i="1"/>
  <c r="F2405" i="1"/>
  <c r="E2405" i="1"/>
  <c r="D2405" i="1"/>
  <c r="F2397" i="1"/>
  <c r="E2397" i="1"/>
  <c r="D2397" i="1"/>
  <c r="F2389" i="1"/>
  <c r="E2389" i="1"/>
  <c r="D2389" i="1"/>
  <c r="F2381" i="1"/>
  <c r="E2381" i="1"/>
  <c r="D2381" i="1"/>
  <c r="F2373" i="1"/>
  <c r="E2373" i="1"/>
  <c r="D2373" i="1"/>
  <c r="F2365" i="1"/>
  <c r="E2365" i="1"/>
  <c r="D2365" i="1"/>
  <c r="F2357" i="1"/>
  <c r="E2357" i="1"/>
  <c r="D2357" i="1"/>
  <c r="F2349" i="1"/>
  <c r="E2349" i="1"/>
  <c r="D2349" i="1"/>
  <c r="F2341" i="1"/>
  <c r="E2341" i="1"/>
  <c r="D2341" i="1"/>
  <c r="F2333" i="1"/>
  <c r="E2333" i="1"/>
  <c r="D2333" i="1"/>
  <c r="F2325" i="1"/>
  <c r="E2325" i="1"/>
  <c r="D2325" i="1"/>
  <c r="F2317" i="1"/>
  <c r="E2317" i="1"/>
  <c r="D2317" i="1"/>
  <c r="F2309" i="1"/>
  <c r="E2309" i="1"/>
  <c r="D2309" i="1"/>
  <c r="F2301" i="1"/>
  <c r="E2301" i="1"/>
  <c r="D2301" i="1"/>
  <c r="F2293" i="1"/>
  <c r="E2293" i="1"/>
  <c r="D2293" i="1"/>
  <c r="F2285" i="1"/>
  <c r="E2285" i="1"/>
  <c r="D2285" i="1"/>
  <c r="F2277" i="1"/>
  <c r="E2277" i="1"/>
  <c r="D2277" i="1"/>
  <c r="F2269" i="1"/>
  <c r="E2269" i="1"/>
  <c r="D2269" i="1"/>
  <c r="F2261" i="1"/>
  <c r="E2261" i="1"/>
  <c r="D2261" i="1"/>
  <c r="F2253" i="1"/>
  <c r="E2253" i="1"/>
  <c r="D2253" i="1"/>
  <c r="F2245" i="1"/>
  <c r="E2245" i="1"/>
  <c r="D2245" i="1"/>
  <c r="F2237" i="1"/>
  <c r="E2237" i="1"/>
  <c r="D2237" i="1"/>
  <c r="F2229" i="1"/>
  <c r="E2229" i="1"/>
  <c r="D2229" i="1"/>
  <c r="F2221" i="1"/>
  <c r="E2221" i="1"/>
  <c r="D2221" i="1"/>
  <c r="F2213" i="1"/>
  <c r="E2213" i="1"/>
  <c r="D2213" i="1"/>
  <c r="F2205" i="1"/>
  <c r="E2205" i="1"/>
  <c r="D2205" i="1"/>
  <c r="F2197" i="1"/>
  <c r="E2197" i="1"/>
  <c r="D2197" i="1"/>
  <c r="F2189" i="1"/>
  <c r="E2189" i="1"/>
  <c r="D2189" i="1"/>
  <c r="F2181" i="1"/>
  <c r="E2181" i="1"/>
  <c r="D2181" i="1"/>
  <c r="F2173" i="1"/>
  <c r="E2173" i="1"/>
  <c r="D2173" i="1"/>
  <c r="F2165" i="1"/>
  <c r="E2165" i="1"/>
  <c r="D2165" i="1"/>
  <c r="F2157" i="1"/>
  <c r="E2157" i="1"/>
  <c r="D2157" i="1"/>
  <c r="F2149" i="1"/>
  <c r="E2149" i="1"/>
  <c r="D2149" i="1"/>
  <c r="F2141" i="1"/>
  <c r="E2141" i="1"/>
  <c r="D2141" i="1"/>
  <c r="F2133" i="1"/>
  <c r="E2133" i="1"/>
  <c r="D2133" i="1"/>
  <c r="F2125" i="1"/>
  <c r="E2125" i="1"/>
  <c r="D2125" i="1"/>
  <c r="F2117" i="1"/>
  <c r="E2117" i="1"/>
  <c r="D2117" i="1"/>
  <c r="F2109" i="1"/>
  <c r="E2109" i="1"/>
  <c r="D2109" i="1"/>
  <c r="F2101" i="1"/>
  <c r="E2101" i="1"/>
  <c r="D2101" i="1"/>
  <c r="F2093" i="1"/>
  <c r="E2093" i="1"/>
  <c r="D2093" i="1"/>
  <c r="F2085" i="1"/>
  <c r="E2085" i="1"/>
  <c r="D2085" i="1"/>
  <c r="F2077" i="1"/>
  <c r="E2077" i="1"/>
  <c r="D2077" i="1"/>
  <c r="F2069" i="1"/>
  <c r="E2069" i="1"/>
  <c r="D2069" i="1"/>
  <c r="F2061" i="1"/>
  <c r="E2061" i="1"/>
  <c r="D2061" i="1"/>
  <c r="F2053" i="1"/>
  <c r="E2053" i="1"/>
  <c r="D2053" i="1"/>
  <c r="F2045" i="1"/>
  <c r="E2045" i="1"/>
  <c r="D2045" i="1"/>
  <c r="F2037" i="1"/>
  <c r="E2037" i="1"/>
  <c r="D2037" i="1"/>
  <c r="F2029" i="1"/>
  <c r="E2029" i="1"/>
  <c r="D2029" i="1"/>
  <c r="F2021" i="1"/>
  <c r="E2021" i="1"/>
  <c r="D2021" i="1"/>
  <c r="F2013" i="1"/>
  <c r="E2013" i="1"/>
  <c r="D2013" i="1"/>
  <c r="F2005" i="1"/>
  <c r="E2005" i="1"/>
  <c r="D2005" i="1"/>
  <c r="F1997" i="1"/>
  <c r="E1997" i="1"/>
  <c r="D1997" i="1"/>
  <c r="F1989" i="1"/>
  <c r="E1989" i="1"/>
  <c r="D1989" i="1"/>
  <c r="F1981" i="1"/>
  <c r="E1981" i="1"/>
  <c r="D1981" i="1"/>
  <c r="F1973" i="1"/>
  <c r="E1973" i="1"/>
  <c r="D1973" i="1"/>
  <c r="F1965" i="1"/>
  <c r="E1965" i="1"/>
  <c r="D1965" i="1"/>
  <c r="F1957" i="1"/>
  <c r="E1957" i="1"/>
  <c r="D1957" i="1"/>
  <c r="F1949" i="1"/>
  <c r="E1949" i="1"/>
  <c r="D1949" i="1"/>
  <c r="F1941" i="1"/>
  <c r="E1941" i="1"/>
  <c r="D1941" i="1"/>
  <c r="F1925" i="1"/>
  <c r="E1925" i="1"/>
  <c r="D1925" i="1"/>
  <c r="F1917" i="1"/>
  <c r="E1917" i="1"/>
  <c r="D1917" i="1"/>
  <c r="F1909" i="1"/>
  <c r="E1909" i="1"/>
  <c r="D1909" i="1"/>
  <c r="F1901" i="1"/>
  <c r="E1901" i="1"/>
  <c r="D1901" i="1"/>
  <c r="F1893" i="1"/>
  <c r="E1893" i="1"/>
  <c r="D1893" i="1"/>
  <c r="F1885" i="1"/>
  <c r="E1885" i="1"/>
  <c r="D1885" i="1"/>
  <c r="F1877" i="1"/>
  <c r="E1877" i="1"/>
  <c r="D1877" i="1"/>
  <c r="F1869" i="1"/>
  <c r="E1869" i="1"/>
  <c r="D1869" i="1"/>
  <c r="F1861" i="1"/>
  <c r="E1861" i="1"/>
  <c r="D1861" i="1"/>
  <c r="F1853" i="1"/>
  <c r="E1853" i="1"/>
  <c r="D1853" i="1"/>
  <c r="F1845" i="1"/>
  <c r="E1845" i="1"/>
  <c r="D1845" i="1"/>
  <c r="F1837" i="1"/>
  <c r="E1837" i="1"/>
  <c r="D1837" i="1"/>
  <c r="F1829" i="1"/>
  <c r="E1829" i="1"/>
  <c r="D1829" i="1"/>
  <c r="F1821" i="1"/>
  <c r="E1821" i="1"/>
  <c r="D1821" i="1"/>
  <c r="F1813" i="1"/>
  <c r="E1813" i="1"/>
  <c r="D1813" i="1"/>
  <c r="F1805" i="1"/>
  <c r="E1805" i="1"/>
  <c r="D1805" i="1"/>
  <c r="F1797" i="1"/>
  <c r="E1797" i="1"/>
  <c r="D1797" i="1"/>
  <c r="F1789" i="1"/>
  <c r="E1789" i="1"/>
  <c r="D1789" i="1"/>
  <c r="F1781" i="1"/>
  <c r="E1781" i="1"/>
  <c r="D1781" i="1"/>
  <c r="F1773" i="1"/>
  <c r="E1773" i="1"/>
  <c r="D1773" i="1"/>
  <c r="F1765" i="1"/>
  <c r="E1765" i="1"/>
  <c r="D1765" i="1"/>
  <c r="F1519" i="1"/>
  <c r="E1519" i="1"/>
  <c r="F1311" i="1"/>
  <c r="E1311" i="1"/>
  <c r="F1103" i="1"/>
  <c r="F1055" i="1"/>
  <c r="E1055" i="1"/>
  <c r="D1055" i="1"/>
  <c r="F1039" i="1"/>
  <c r="E1039" i="1"/>
  <c r="D1039" i="1"/>
  <c r="F1031" i="1"/>
  <c r="E1031" i="1"/>
  <c r="D1031" i="1"/>
  <c r="F1023" i="1"/>
  <c r="E1023" i="1"/>
  <c r="D1023" i="1"/>
  <c r="F1015" i="1"/>
  <c r="E1015" i="1"/>
  <c r="D1015" i="1"/>
  <c r="F999" i="1"/>
  <c r="E999" i="1"/>
  <c r="D999" i="1"/>
  <c r="F991" i="1"/>
  <c r="E991" i="1"/>
  <c r="F951" i="1"/>
  <c r="E951" i="1"/>
  <c r="D951" i="1"/>
  <c r="F1042" i="1"/>
  <c r="E1042" i="1"/>
  <c r="D1042" i="1"/>
  <c r="F1010" i="1"/>
  <c r="E1010" i="1"/>
  <c r="D1010" i="1"/>
  <c r="F978" i="1"/>
  <c r="E978" i="1"/>
  <c r="D978" i="1"/>
  <c r="F946" i="1"/>
  <c r="E946" i="1"/>
  <c r="D946" i="1"/>
  <c r="F1533" i="1"/>
  <c r="E1533" i="1"/>
  <c r="F1525" i="1"/>
  <c r="E1525" i="1"/>
  <c r="F1517" i="1"/>
  <c r="E1517" i="1"/>
  <c r="F1309" i="1"/>
  <c r="E1309" i="1"/>
  <c r="F1101" i="1"/>
  <c r="F1045" i="1"/>
  <c r="E1045" i="1"/>
  <c r="D1045" i="1"/>
  <c r="F1037" i="1"/>
  <c r="E1037" i="1"/>
  <c r="D1037" i="1"/>
  <c r="F1021" i="1"/>
  <c r="E1021" i="1"/>
  <c r="D1021" i="1"/>
  <c r="F1013" i="1"/>
  <c r="E1013" i="1"/>
  <c r="D1013" i="1"/>
  <c r="F973" i="1"/>
  <c r="E973" i="1"/>
  <c r="D973" i="1"/>
  <c r="F957" i="1"/>
  <c r="E957" i="1"/>
  <c r="D957" i="1"/>
  <c r="F1052" i="1"/>
  <c r="E1052" i="1"/>
  <c r="D1052" i="1"/>
  <c r="F1044" i="1"/>
  <c r="E1044" i="1"/>
  <c r="D1044" i="1"/>
  <c r="F1020" i="1"/>
  <c r="E1020" i="1"/>
  <c r="D1020" i="1"/>
  <c r="F1004" i="1"/>
  <c r="E1004" i="1"/>
  <c r="D1004" i="1"/>
  <c r="F972" i="1"/>
  <c r="E972" i="1"/>
  <c r="D972" i="1"/>
  <c r="F964" i="1"/>
  <c r="E964" i="1"/>
  <c r="D964" i="1"/>
  <c r="F1521" i="1"/>
  <c r="E1521" i="1"/>
  <c r="E1481" i="1"/>
  <c r="F1049" i="1"/>
  <c r="E1049" i="1"/>
  <c r="D1049" i="1"/>
  <c r="F1033" i="1"/>
  <c r="E1033" i="1"/>
  <c r="D1033" i="1"/>
  <c r="F1017" i="1"/>
  <c r="E1017" i="1"/>
  <c r="D1017" i="1"/>
  <c r="F1009" i="1"/>
  <c r="E1009" i="1"/>
  <c r="D1009" i="1"/>
  <c r="F1001" i="1"/>
  <c r="E1001" i="1"/>
  <c r="D1001" i="1"/>
  <c r="F977" i="1"/>
  <c r="E977" i="1"/>
  <c r="D977" i="1"/>
  <c r="F945" i="1"/>
  <c r="E945" i="1"/>
  <c r="D945" i="1"/>
  <c r="F1040" i="1"/>
  <c r="E1040" i="1"/>
  <c r="D1040" i="1"/>
  <c r="F1016" i="1"/>
  <c r="E1016" i="1"/>
  <c r="D1016" i="1"/>
  <c r="F1008" i="1"/>
  <c r="E1008" i="1"/>
  <c r="D1008" i="1"/>
  <c r="F984" i="1"/>
  <c r="E984" i="1"/>
  <c r="D984" i="1"/>
  <c r="F976" i="1"/>
  <c r="E976" i="1"/>
  <c r="D976" i="1"/>
  <c r="F968" i="1"/>
  <c r="E968" i="1"/>
  <c r="D968" i="1"/>
  <c r="F935" i="1"/>
  <c r="E935" i="1"/>
  <c r="D935" i="1"/>
  <c r="F855" i="1"/>
  <c r="E855" i="1"/>
  <c r="D855" i="1"/>
  <c r="F831" i="1"/>
  <c r="E831" i="1"/>
  <c r="D831" i="1"/>
  <c r="F799" i="1"/>
  <c r="E799" i="1"/>
  <c r="D799" i="1"/>
  <c r="F759" i="1"/>
  <c r="E759" i="1"/>
  <c r="D759" i="1"/>
  <c r="F727" i="1"/>
  <c r="E727" i="1"/>
  <c r="D727" i="1"/>
  <c r="F695" i="1"/>
  <c r="E695" i="1"/>
  <c r="D695" i="1"/>
  <c r="F663" i="1"/>
  <c r="E663" i="1"/>
  <c r="D663" i="1"/>
  <c r="E639" i="1"/>
  <c r="F639" i="1"/>
  <c r="D639" i="1"/>
  <c r="F599" i="1"/>
  <c r="E599" i="1"/>
  <c r="D599" i="1"/>
  <c r="F567" i="1"/>
  <c r="E567" i="1"/>
  <c r="D567" i="1"/>
  <c r="F535" i="1"/>
  <c r="E535" i="1"/>
  <c r="D535" i="1"/>
  <c r="F503" i="1"/>
  <c r="E503" i="1"/>
  <c r="D503" i="1"/>
  <c r="F471" i="1"/>
  <c r="E471" i="1"/>
  <c r="D471" i="1"/>
  <c r="F439" i="1"/>
  <c r="E439" i="1"/>
  <c r="D439" i="1"/>
  <c r="F399" i="1"/>
  <c r="D399" i="1"/>
  <c r="E399" i="1"/>
  <c r="F351" i="1"/>
  <c r="E351" i="1"/>
  <c r="D351" i="1"/>
  <c r="F319" i="1"/>
  <c r="E319" i="1"/>
  <c r="D319" i="1"/>
  <c r="F231" i="1"/>
  <c r="E231" i="1"/>
  <c r="D231" i="1"/>
  <c r="F191" i="1"/>
  <c r="E191" i="1"/>
  <c r="D191" i="1"/>
  <c r="F143" i="1"/>
  <c r="D143" i="1"/>
  <c r="E143" i="1"/>
  <c r="F103" i="1"/>
  <c r="E103" i="1"/>
  <c r="D103" i="1"/>
  <c r="F71" i="1"/>
  <c r="E71" i="1"/>
  <c r="D71" i="1"/>
  <c r="E15" i="1"/>
  <c r="F15" i="1"/>
  <c r="D15" i="1"/>
  <c r="F854" i="1"/>
  <c r="E854" i="1"/>
  <c r="D854" i="1"/>
  <c r="F702" i="1"/>
  <c r="E702" i="1"/>
  <c r="D702" i="1"/>
  <c r="F670" i="1"/>
  <c r="E670" i="1"/>
  <c r="D670" i="1"/>
  <c r="F646" i="1"/>
  <c r="E646" i="1"/>
  <c r="D646" i="1"/>
  <c r="F614" i="1"/>
  <c r="E614" i="1"/>
  <c r="D614" i="1"/>
  <c r="F582" i="1"/>
  <c r="E582" i="1"/>
  <c r="D582" i="1"/>
  <c r="F550" i="1"/>
  <c r="E550" i="1"/>
  <c r="D550" i="1"/>
  <c r="F534" i="1"/>
  <c r="E534" i="1"/>
  <c r="D534" i="1"/>
  <c r="F14" i="1"/>
  <c r="E14" i="1"/>
  <c r="D14" i="1"/>
  <c r="F810" i="1"/>
  <c r="E810" i="1"/>
  <c r="D810" i="1"/>
  <c r="F786" i="1"/>
  <c r="E786" i="1"/>
  <c r="D786" i="1"/>
  <c r="E746" i="1"/>
  <c r="F746" i="1"/>
  <c r="D746" i="1"/>
  <c r="F714" i="1"/>
  <c r="E714" i="1"/>
  <c r="D714" i="1"/>
  <c r="F682" i="1"/>
  <c r="E682" i="1"/>
  <c r="D682" i="1"/>
  <c r="F658" i="1"/>
  <c r="E658" i="1"/>
  <c r="D658" i="1"/>
  <c r="F626" i="1"/>
  <c r="E626" i="1"/>
  <c r="D626" i="1"/>
  <c r="F586" i="1"/>
  <c r="E586" i="1"/>
  <c r="D586" i="1"/>
  <c r="F554" i="1"/>
  <c r="E554" i="1"/>
  <c r="D554" i="1"/>
  <c r="F530" i="1"/>
  <c r="E530" i="1"/>
  <c r="D530" i="1"/>
  <c r="F498" i="1"/>
  <c r="E498" i="1"/>
  <c r="D498" i="1"/>
  <c r="F474" i="1"/>
  <c r="E474" i="1"/>
  <c r="D474" i="1"/>
  <c r="F929" i="1"/>
  <c r="E929" i="1"/>
  <c r="D929" i="1"/>
  <c r="F865" i="1"/>
  <c r="E865" i="1"/>
  <c r="D865" i="1"/>
  <c r="F841" i="1"/>
  <c r="E841" i="1"/>
  <c r="D841" i="1"/>
  <c r="F817" i="1"/>
  <c r="E817" i="1"/>
  <c r="D817" i="1"/>
  <c r="F801" i="1"/>
  <c r="E801" i="1"/>
  <c r="D801" i="1"/>
  <c r="F777" i="1"/>
  <c r="E777" i="1"/>
  <c r="D777" i="1"/>
  <c r="F753" i="1"/>
  <c r="E753" i="1"/>
  <c r="D753" i="1"/>
  <c r="F737" i="1"/>
  <c r="E737" i="1"/>
  <c r="D737" i="1"/>
  <c r="F713" i="1"/>
  <c r="E713" i="1"/>
  <c r="D713" i="1"/>
  <c r="F689" i="1"/>
  <c r="E689" i="1"/>
  <c r="D689" i="1"/>
  <c r="F657" i="1"/>
  <c r="E657" i="1"/>
  <c r="D657" i="1"/>
  <c r="F641" i="1"/>
  <c r="E641" i="1"/>
  <c r="D641" i="1"/>
  <c r="F617" i="1"/>
  <c r="E617" i="1"/>
  <c r="D617" i="1"/>
  <c r="F936" i="1"/>
  <c r="E936" i="1"/>
  <c r="D936" i="1"/>
  <c r="F920" i="1"/>
  <c r="E920" i="1"/>
  <c r="D920" i="1"/>
  <c r="F912" i="1"/>
  <c r="E912" i="1"/>
  <c r="D912" i="1"/>
  <c r="F880" i="1"/>
  <c r="E880" i="1"/>
  <c r="D880" i="1"/>
  <c r="F872" i="1"/>
  <c r="E872" i="1"/>
  <c r="D872" i="1"/>
  <c r="F840" i="1"/>
  <c r="E840" i="1"/>
  <c r="D840" i="1"/>
  <c r="F776" i="1"/>
  <c r="E776" i="1"/>
  <c r="D776" i="1"/>
  <c r="F752" i="1"/>
  <c r="E752" i="1"/>
  <c r="D752" i="1"/>
  <c r="F744" i="1"/>
  <c r="E744" i="1"/>
  <c r="D744" i="1"/>
  <c r="F712" i="1"/>
  <c r="E712" i="1"/>
  <c r="D712" i="1"/>
  <c r="F688" i="1"/>
  <c r="E688" i="1"/>
  <c r="D688" i="1"/>
  <c r="F680" i="1"/>
  <c r="E680" i="1"/>
  <c r="D680" i="1"/>
  <c r="F648" i="1"/>
  <c r="E648" i="1"/>
  <c r="D648" i="1"/>
  <c r="F624" i="1"/>
  <c r="E624" i="1"/>
  <c r="D624" i="1"/>
  <c r="F616" i="1"/>
  <c r="E616" i="1"/>
  <c r="D616" i="1"/>
  <c r="F600" i="1"/>
  <c r="E600" i="1"/>
  <c r="D600" i="1"/>
  <c r="F576" i="1"/>
  <c r="E576" i="1"/>
  <c r="D576" i="1"/>
  <c r="F560" i="1"/>
  <c r="E560" i="1"/>
  <c r="D560" i="1"/>
  <c r="F552" i="1"/>
  <c r="E552" i="1"/>
  <c r="D552" i="1"/>
  <c r="F512" i="1"/>
  <c r="E512" i="1"/>
  <c r="D512" i="1"/>
  <c r="F496" i="1"/>
  <c r="E496" i="1"/>
  <c r="D496" i="1"/>
  <c r="F480" i="1"/>
  <c r="E480" i="1"/>
  <c r="D480" i="1"/>
  <c r="E464" i="1"/>
  <c r="F464" i="1"/>
  <c r="D464" i="1"/>
  <c r="F448" i="1"/>
  <c r="E448" i="1"/>
  <c r="D448" i="1"/>
  <c r="F432" i="1"/>
  <c r="E432" i="1"/>
  <c r="D432" i="1"/>
  <c r="F416" i="1"/>
  <c r="E416" i="1"/>
  <c r="D416" i="1"/>
  <c r="F400" i="1"/>
  <c r="E400" i="1"/>
  <c r="D400" i="1"/>
  <c r="F384" i="1"/>
  <c r="E384" i="1"/>
  <c r="D384" i="1"/>
  <c r="F376" i="1"/>
  <c r="E376" i="1"/>
  <c r="D376" i="1"/>
  <c r="F368" i="1"/>
  <c r="E368" i="1"/>
  <c r="D368" i="1"/>
  <c r="F352" i="1"/>
  <c r="E352" i="1"/>
  <c r="D352" i="1"/>
  <c r="F344" i="1"/>
  <c r="E344" i="1"/>
  <c r="D344" i="1"/>
  <c r="F312" i="1"/>
  <c r="E312" i="1"/>
  <c r="D312" i="1"/>
  <c r="F304" i="1"/>
  <c r="E304" i="1"/>
  <c r="D304" i="1"/>
  <c r="E288" i="1"/>
  <c r="F288" i="1"/>
  <c r="D288" i="1"/>
  <c r="F272" i="1"/>
  <c r="E272" i="1"/>
  <c r="D272" i="1"/>
  <c r="F256" i="1"/>
  <c r="E256" i="1"/>
  <c r="D256" i="1"/>
  <c r="F248" i="1"/>
  <c r="E248" i="1"/>
  <c r="D248" i="1"/>
  <c r="F240" i="1"/>
  <c r="E240" i="1"/>
  <c r="D240" i="1"/>
  <c r="F224" i="1"/>
  <c r="E224" i="1"/>
  <c r="D224" i="1"/>
  <c r="F216" i="1"/>
  <c r="E216" i="1"/>
  <c r="D216" i="1"/>
  <c r="E208" i="1"/>
  <c r="F208" i="1"/>
  <c r="D208" i="1"/>
  <c r="F176" i="1"/>
  <c r="E176" i="1"/>
  <c r="D176" i="1"/>
  <c r="F144" i="1"/>
  <c r="E144" i="1"/>
  <c r="D144" i="1"/>
  <c r="F120" i="1"/>
  <c r="E120" i="1"/>
  <c r="D120" i="1"/>
  <c r="F112" i="1"/>
  <c r="E112" i="1"/>
  <c r="D112" i="1"/>
  <c r="F88" i="1"/>
  <c r="E88" i="1"/>
  <c r="D88" i="1"/>
  <c r="F56" i="1"/>
  <c r="E56" i="1"/>
  <c r="D56" i="1"/>
  <c r="F24" i="1"/>
  <c r="E24" i="1"/>
  <c r="D24" i="1"/>
  <c r="F16" i="1"/>
  <c r="E16" i="1"/>
  <c r="D16" i="1"/>
  <c r="F492" i="1"/>
  <c r="E492" i="1"/>
  <c r="D492" i="1"/>
  <c r="F2" i="1"/>
  <c r="E2" i="1"/>
  <c r="D2" i="1"/>
  <c r="F894" i="1"/>
  <c r="E894" i="1"/>
  <c r="D894" i="1"/>
  <c r="F766" i="1"/>
  <c r="E766" i="1"/>
  <c r="D766" i="1"/>
  <c r="F710" i="1"/>
  <c r="E710" i="1"/>
  <c r="D710" i="1"/>
  <c r="F662" i="1"/>
  <c r="E662" i="1"/>
  <c r="D662" i="1"/>
  <c r="F598" i="1"/>
  <c r="E598" i="1"/>
  <c r="D598" i="1"/>
  <c r="F566" i="1"/>
  <c r="E566" i="1"/>
  <c r="D566" i="1"/>
  <c r="F542" i="1"/>
  <c r="E542" i="1"/>
  <c r="D542" i="1"/>
  <c r="F518" i="1"/>
  <c r="E518" i="1"/>
  <c r="D518" i="1"/>
  <c r="F502" i="1"/>
  <c r="E502" i="1"/>
  <c r="D502" i="1"/>
  <c r="F486" i="1"/>
  <c r="E486" i="1"/>
  <c r="D486" i="1"/>
  <c r="F478" i="1"/>
  <c r="E478" i="1"/>
  <c r="D478" i="1"/>
  <c r="F470" i="1"/>
  <c r="E470" i="1"/>
  <c r="D470" i="1"/>
  <c r="F454" i="1"/>
  <c r="E454" i="1"/>
  <c r="D454" i="1"/>
  <c r="F446" i="1"/>
  <c r="E446" i="1"/>
  <c r="D446" i="1"/>
  <c r="F438" i="1"/>
  <c r="E438" i="1"/>
  <c r="D438" i="1"/>
  <c r="F422" i="1"/>
  <c r="E422" i="1"/>
  <c r="D422" i="1"/>
  <c r="F414" i="1"/>
  <c r="E414" i="1"/>
  <c r="D414" i="1"/>
  <c r="F406" i="1"/>
  <c r="E406" i="1"/>
  <c r="D406" i="1"/>
  <c r="F398" i="1"/>
  <c r="E398" i="1"/>
  <c r="D398" i="1"/>
  <c r="F390" i="1"/>
  <c r="E390" i="1"/>
  <c r="D390" i="1"/>
  <c r="F374" i="1"/>
  <c r="E374" i="1"/>
  <c r="D374" i="1"/>
  <c r="F358" i="1"/>
  <c r="E358" i="1"/>
  <c r="D358" i="1"/>
  <c r="F334" i="1"/>
  <c r="E334" i="1"/>
  <c r="D334" i="1"/>
  <c r="F326" i="1"/>
  <c r="E326" i="1"/>
  <c r="D326" i="1"/>
  <c r="F310" i="1"/>
  <c r="E310" i="1"/>
  <c r="D310" i="1"/>
  <c r="F302" i="1"/>
  <c r="E302" i="1"/>
  <c r="D302" i="1"/>
  <c r="F262" i="1"/>
  <c r="E262" i="1"/>
  <c r="D262" i="1"/>
  <c r="F246" i="1"/>
  <c r="E246" i="1"/>
  <c r="D246" i="1"/>
  <c r="F230" i="1"/>
  <c r="E230" i="1"/>
  <c r="D230" i="1"/>
  <c r="F206" i="1"/>
  <c r="E206" i="1"/>
  <c r="D206" i="1"/>
  <c r="F198" i="1"/>
  <c r="E198" i="1"/>
  <c r="D198" i="1"/>
  <c r="F182" i="1"/>
  <c r="E182" i="1"/>
  <c r="D182" i="1"/>
  <c r="F174" i="1"/>
  <c r="E174" i="1"/>
  <c r="D174" i="1"/>
  <c r="F166" i="1"/>
  <c r="E166" i="1"/>
  <c r="D166" i="1"/>
  <c r="F142" i="1"/>
  <c r="E142" i="1"/>
  <c r="D142" i="1"/>
  <c r="F110" i="1"/>
  <c r="E110" i="1"/>
  <c r="D110" i="1"/>
  <c r="F102" i="1"/>
  <c r="E102" i="1"/>
  <c r="D102" i="1"/>
  <c r="F78" i="1"/>
  <c r="E78" i="1"/>
  <c r="D78" i="1"/>
  <c r="F70" i="1"/>
  <c r="E70" i="1"/>
  <c r="D70" i="1"/>
  <c r="F38" i="1"/>
  <c r="E38" i="1"/>
  <c r="D38" i="1"/>
  <c r="F6" i="1"/>
  <c r="E6" i="1"/>
  <c r="D6" i="1"/>
  <c r="F428" i="1"/>
  <c r="E428" i="1"/>
  <c r="D428" i="1"/>
  <c r="F363" i="1"/>
  <c r="E363" i="1"/>
  <c r="D363" i="1"/>
  <c r="F919" i="1"/>
  <c r="E919" i="1"/>
  <c r="D919" i="1"/>
  <c r="E933" i="1"/>
  <c r="F933" i="1"/>
  <c r="D933" i="1"/>
  <c r="F925" i="1"/>
  <c r="E925" i="1"/>
  <c r="D925" i="1"/>
  <c r="F917" i="1"/>
  <c r="E917" i="1"/>
  <c r="D917" i="1"/>
  <c r="F909" i="1"/>
  <c r="E909" i="1"/>
  <c r="D909" i="1"/>
  <c r="F901" i="1"/>
  <c r="E901" i="1"/>
  <c r="D901" i="1"/>
  <c r="E893" i="1"/>
  <c r="F893" i="1"/>
  <c r="D893" i="1"/>
  <c r="F861" i="1"/>
  <c r="E861" i="1"/>
  <c r="D861" i="1"/>
  <c r="F837" i="1"/>
  <c r="E837" i="1"/>
  <c r="D837" i="1"/>
  <c r="F773" i="1"/>
  <c r="E773" i="1"/>
  <c r="D773" i="1"/>
  <c r="F765" i="1"/>
  <c r="E765" i="1"/>
  <c r="D765" i="1"/>
  <c r="F733" i="1"/>
  <c r="E733" i="1"/>
  <c r="D733" i="1"/>
  <c r="F709" i="1"/>
  <c r="E709" i="1"/>
  <c r="D709" i="1"/>
  <c r="E701" i="1"/>
  <c r="F701" i="1"/>
  <c r="D701" i="1"/>
  <c r="F669" i="1"/>
  <c r="E669" i="1"/>
  <c r="D669" i="1"/>
  <c r="F645" i="1"/>
  <c r="E645" i="1"/>
  <c r="D645" i="1"/>
  <c r="F637" i="1"/>
  <c r="E637" i="1"/>
  <c r="D637" i="1"/>
  <c r="F613" i="1"/>
  <c r="E613" i="1"/>
  <c r="D613" i="1"/>
  <c r="F597" i="1"/>
  <c r="E597" i="1"/>
  <c r="D597" i="1"/>
  <c r="F589" i="1"/>
  <c r="E589" i="1"/>
  <c r="D589" i="1"/>
  <c r="F573" i="1"/>
  <c r="E573" i="1"/>
  <c r="D573" i="1"/>
  <c r="F549" i="1"/>
  <c r="E549" i="1"/>
  <c r="D549" i="1"/>
  <c r="F533" i="1"/>
  <c r="E533" i="1"/>
  <c r="D533" i="1"/>
  <c r="F525" i="1"/>
  <c r="E525" i="1"/>
  <c r="D525" i="1"/>
  <c r="F189" i="1"/>
  <c r="E189" i="1"/>
  <c r="D189" i="1"/>
  <c r="F157" i="1"/>
  <c r="E157" i="1"/>
  <c r="D157" i="1"/>
  <c r="F125" i="1"/>
  <c r="E125" i="1"/>
  <c r="D125" i="1"/>
  <c r="F109" i="1"/>
  <c r="E109" i="1"/>
  <c r="D109" i="1"/>
  <c r="F61" i="1"/>
  <c r="E61" i="1"/>
  <c r="D61" i="1"/>
  <c r="F45" i="1"/>
  <c r="E45" i="1"/>
  <c r="D45" i="1"/>
  <c r="F37" i="1"/>
  <c r="E37" i="1"/>
  <c r="D37" i="1"/>
  <c r="F578" i="1"/>
  <c r="E578" i="1"/>
  <c r="D578" i="1"/>
  <c r="F524" i="1"/>
  <c r="E524" i="1"/>
  <c r="D524" i="1"/>
  <c r="F348" i="1"/>
  <c r="E348" i="1"/>
  <c r="D348" i="1"/>
  <c r="E201" i="1"/>
  <c r="F201" i="1"/>
  <c r="D201" i="1"/>
  <c r="F895" i="1"/>
  <c r="E895" i="1"/>
  <c r="D895" i="1"/>
  <c r="F791" i="1"/>
  <c r="E791" i="1"/>
  <c r="D791" i="1"/>
  <c r="F767" i="1"/>
  <c r="E767" i="1"/>
  <c r="D767" i="1"/>
  <c r="F735" i="1"/>
  <c r="E735" i="1"/>
  <c r="D735" i="1"/>
  <c r="F703" i="1"/>
  <c r="E703" i="1"/>
  <c r="D703" i="1"/>
  <c r="F671" i="1"/>
  <c r="E671" i="1"/>
  <c r="D671" i="1"/>
  <c r="F631" i="1"/>
  <c r="E631" i="1"/>
  <c r="D631" i="1"/>
  <c r="F607" i="1"/>
  <c r="E607" i="1"/>
  <c r="D607" i="1"/>
  <c r="F575" i="1"/>
  <c r="E575" i="1"/>
  <c r="D575" i="1"/>
  <c r="F543" i="1"/>
  <c r="E543" i="1"/>
  <c r="D543" i="1"/>
  <c r="F511" i="1"/>
  <c r="E511" i="1"/>
  <c r="D511" i="1"/>
  <c r="F479" i="1"/>
  <c r="E479" i="1"/>
  <c r="D479" i="1"/>
  <c r="F447" i="1"/>
  <c r="E447" i="1"/>
  <c r="D447" i="1"/>
  <c r="F415" i="1"/>
  <c r="E415" i="1"/>
  <c r="D415" i="1"/>
  <c r="F367" i="1"/>
  <c r="E367" i="1"/>
  <c r="D367" i="1"/>
  <c r="F327" i="1"/>
  <c r="E327" i="1"/>
  <c r="D327" i="1"/>
  <c r="F287" i="1"/>
  <c r="E287" i="1"/>
  <c r="D287" i="1"/>
  <c r="F239" i="1"/>
  <c r="D239" i="1"/>
  <c r="E239" i="1"/>
  <c r="F199" i="1"/>
  <c r="E199" i="1"/>
  <c r="D199" i="1"/>
  <c r="F159" i="1"/>
  <c r="E159" i="1"/>
  <c r="D159" i="1"/>
  <c r="F111" i="1"/>
  <c r="E111" i="1"/>
  <c r="D111" i="1"/>
  <c r="E63" i="1"/>
  <c r="F63" i="1"/>
  <c r="D63" i="1"/>
  <c r="E31" i="1"/>
  <c r="F31" i="1"/>
  <c r="D31" i="1"/>
  <c r="F588" i="1"/>
  <c r="E588" i="1"/>
  <c r="D588" i="1"/>
  <c r="F862" i="1"/>
  <c r="E862" i="1"/>
  <c r="D862" i="1"/>
  <c r="F790" i="1"/>
  <c r="E790" i="1"/>
  <c r="D790" i="1"/>
  <c r="F278" i="1"/>
  <c r="E278" i="1"/>
  <c r="D278" i="1"/>
  <c r="F860" i="1"/>
  <c r="E860" i="1"/>
  <c r="D860" i="1"/>
  <c r="F852" i="1"/>
  <c r="E852" i="1"/>
  <c r="D852" i="1"/>
  <c r="F836" i="1"/>
  <c r="D836" i="1"/>
  <c r="E836" i="1"/>
  <c r="F820" i="1"/>
  <c r="E820" i="1"/>
  <c r="D820" i="1"/>
  <c r="F804" i="1"/>
  <c r="E804" i="1"/>
  <c r="D804" i="1"/>
  <c r="F788" i="1"/>
  <c r="E788" i="1"/>
  <c r="D788" i="1"/>
  <c r="F772" i="1"/>
  <c r="D772" i="1"/>
  <c r="E772" i="1"/>
  <c r="F764" i="1"/>
  <c r="D764" i="1"/>
  <c r="E764" i="1"/>
  <c r="F756" i="1"/>
  <c r="E756" i="1"/>
  <c r="D756" i="1"/>
  <c r="F740" i="1"/>
  <c r="E740" i="1"/>
  <c r="D740" i="1"/>
  <c r="F732" i="1"/>
  <c r="E732" i="1"/>
  <c r="D732" i="1"/>
  <c r="F724" i="1"/>
  <c r="E724" i="1"/>
  <c r="D724" i="1"/>
  <c r="F708" i="1"/>
  <c r="E708" i="1"/>
  <c r="D708" i="1"/>
  <c r="F700" i="1"/>
  <c r="E700" i="1"/>
  <c r="D700" i="1"/>
  <c r="F692" i="1"/>
  <c r="E692" i="1"/>
  <c r="D692" i="1"/>
  <c r="F676" i="1"/>
  <c r="E676" i="1"/>
  <c r="D676" i="1"/>
  <c r="F668" i="1"/>
  <c r="E668" i="1"/>
  <c r="D668" i="1"/>
  <c r="F660" i="1"/>
  <c r="E660" i="1"/>
  <c r="D660" i="1"/>
  <c r="F644" i="1"/>
  <c r="D644" i="1"/>
  <c r="E644" i="1"/>
  <c r="F636" i="1"/>
  <c r="D636" i="1"/>
  <c r="E636" i="1"/>
  <c r="F628" i="1"/>
  <c r="E628" i="1"/>
  <c r="D628" i="1"/>
  <c r="F612" i="1"/>
  <c r="E612" i="1"/>
  <c r="D612" i="1"/>
  <c r="F604" i="1"/>
  <c r="E604" i="1"/>
  <c r="D604" i="1"/>
  <c r="F596" i="1"/>
  <c r="E596" i="1"/>
  <c r="D596" i="1"/>
  <c r="F580" i="1"/>
  <c r="E580" i="1"/>
  <c r="D580" i="1"/>
  <c r="F572" i="1"/>
  <c r="D572" i="1"/>
  <c r="E572" i="1"/>
  <c r="F564" i="1"/>
  <c r="E564" i="1"/>
  <c r="D564" i="1"/>
  <c r="F548" i="1"/>
  <c r="E548" i="1"/>
  <c r="D548" i="1"/>
  <c r="F540" i="1"/>
  <c r="E540" i="1"/>
  <c r="D540" i="1"/>
  <c r="F532" i="1"/>
  <c r="E532" i="1"/>
  <c r="D532" i="1"/>
  <c r="F516" i="1"/>
  <c r="E516" i="1"/>
  <c r="D516" i="1"/>
  <c r="F508" i="1"/>
  <c r="D508" i="1"/>
  <c r="E508" i="1"/>
  <c r="F500" i="1"/>
  <c r="E500" i="1"/>
  <c r="D500" i="1"/>
  <c r="F484" i="1"/>
  <c r="E484" i="1"/>
  <c r="D484" i="1"/>
  <c r="F476" i="1"/>
  <c r="E476" i="1"/>
  <c r="D476" i="1"/>
  <c r="F468" i="1"/>
  <c r="E468" i="1"/>
  <c r="D468" i="1"/>
  <c r="F452" i="1"/>
  <c r="E452" i="1"/>
  <c r="D452" i="1"/>
  <c r="F444" i="1"/>
  <c r="E444" i="1"/>
  <c r="D444" i="1"/>
  <c r="F436" i="1"/>
  <c r="E436" i="1"/>
  <c r="D436" i="1"/>
  <c r="F420" i="1"/>
  <c r="E420" i="1"/>
  <c r="D420" i="1"/>
  <c r="F412" i="1"/>
  <c r="E412" i="1"/>
  <c r="D412" i="1"/>
  <c r="F404" i="1"/>
  <c r="E404" i="1"/>
  <c r="D404" i="1"/>
  <c r="F396" i="1"/>
  <c r="E396" i="1"/>
  <c r="D396" i="1"/>
  <c r="F388" i="1"/>
  <c r="E388" i="1"/>
  <c r="D388" i="1"/>
  <c r="F380" i="1"/>
  <c r="E380" i="1"/>
  <c r="D380" i="1"/>
  <c r="F372" i="1"/>
  <c r="E372" i="1"/>
  <c r="D372" i="1"/>
  <c r="F364" i="1"/>
  <c r="E364" i="1"/>
  <c r="D364" i="1"/>
  <c r="F356" i="1"/>
  <c r="E356" i="1"/>
  <c r="D356" i="1"/>
  <c r="F340" i="1"/>
  <c r="E340" i="1"/>
  <c r="D340" i="1"/>
  <c r="F332" i="1"/>
  <c r="E332" i="1"/>
  <c r="D332" i="1"/>
  <c r="F324" i="1"/>
  <c r="E324" i="1"/>
  <c r="D324" i="1"/>
  <c r="F316" i="1"/>
  <c r="E316" i="1"/>
  <c r="D316" i="1"/>
  <c r="F300" i="1"/>
  <c r="E300" i="1"/>
  <c r="D300" i="1"/>
  <c r="F284" i="1"/>
  <c r="E284" i="1"/>
  <c r="D284" i="1"/>
  <c r="F276" i="1"/>
  <c r="E276" i="1"/>
  <c r="D276" i="1"/>
  <c r="F268" i="1"/>
  <c r="E268" i="1"/>
  <c r="D268" i="1"/>
  <c r="F260" i="1"/>
  <c r="E260" i="1"/>
  <c r="D260" i="1"/>
  <c r="F252" i="1"/>
  <c r="E252" i="1"/>
  <c r="D252" i="1"/>
  <c r="F244" i="1"/>
  <c r="E244" i="1"/>
  <c r="D244" i="1"/>
  <c r="F236" i="1"/>
  <c r="E236" i="1"/>
  <c r="D236" i="1"/>
  <c r="F228" i="1"/>
  <c r="E228" i="1"/>
  <c r="D228" i="1"/>
  <c r="F220" i="1"/>
  <c r="E220" i="1"/>
  <c r="D220" i="1"/>
  <c r="F212" i="1"/>
  <c r="E212" i="1"/>
  <c r="D212" i="1"/>
  <c r="F204" i="1"/>
  <c r="E204" i="1"/>
  <c r="D204" i="1"/>
  <c r="F196" i="1"/>
  <c r="E196" i="1"/>
  <c r="D196" i="1"/>
  <c r="F188" i="1"/>
  <c r="E188" i="1"/>
  <c r="D188" i="1"/>
  <c r="F180" i="1"/>
  <c r="E180" i="1"/>
  <c r="D180" i="1"/>
  <c r="F164" i="1"/>
  <c r="E164" i="1"/>
  <c r="D164" i="1"/>
  <c r="F156" i="1"/>
  <c r="E156" i="1"/>
  <c r="D156" i="1"/>
  <c r="F124" i="1"/>
  <c r="E124" i="1"/>
  <c r="D124" i="1"/>
  <c r="F92" i="1"/>
  <c r="E92" i="1"/>
  <c r="D92" i="1"/>
  <c r="F84" i="1"/>
  <c r="E84" i="1"/>
  <c r="D84" i="1"/>
  <c r="F68" i="1"/>
  <c r="E68" i="1"/>
  <c r="D68" i="1"/>
  <c r="F60" i="1"/>
  <c r="E60" i="1"/>
  <c r="D60" i="1"/>
  <c r="F52" i="1"/>
  <c r="E52" i="1"/>
  <c r="D52" i="1"/>
  <c r="F44" i="1"/>
  <c r="E44" i="1"/>
  <c r="D44" i="1"/>
  <c r="F36" i="1"/>
  <c r="E36" i="1"/>
  <c r="D36" i="1"/>
  <c r="F20" i="1"/>
  <c r="E20" i="1"/>
  <c r="D20" i="1"/>
  <c r="F4" i="1"/>
  <c r="E4" i="1"/>
  <c r="D4" i="1"/>
  <c r="F336" i="1"/>
  <c r="E336" i="1"/>
  <c r="D336" i="1"/>
  <c r="F911" i="1"/>
  <c r="E911" i="1"/>
  <c r="D911" i="1"/>
  <c r="F839" i="1"/>
  <c r="E839" i="1"/>
  <c r="D839" i="1"/>
  <c r="F775" i="1"/>
  <c r="E775" i="1"/>
  <c r="D775" i="1"/>
  <c r="F743" i="1"/>
  <c r="E743" i="1"/>
  <c r="D743" i="1"/>
  <c r="F711" i="1"/>
  <c r="E711" i="1"/>
  <c r="D711" i="1"/>
  <c r="F687" i="1"/>
  <c r="E687" i="1"/>
  <c r="D687" i="1"/>
  <c r="F655" i="1"/>
  <c r="E655" i="1"/>
  <c r="D655" i="1"/>
  <c r="F623" i="1"/>
  <c r="E623" i="1"/>
  <c r="D623" i="1"/>
  <c r="E591" i="1"/>
  <c r="F591" i="1"/>
  <c r="D591" i="1"/>
  <c r="F559" i="1"/>
  <c r="E559" i="1"/>
  <c r="D559" i="1"/>
  <c r="F527" i="1"/>
  <c r="E527" i="1"/>
  <c r="D527" i="1"/>
  <c r="F495" i="1"/>
  <c r="E495" i="1"/>
  <c r="D495" i="1"/>
  <c r="F463" i="1"/>
  <c r="D463" i="1"/>
  <c r="E463" i="1"/>
  <c r="F431" i="1"/>
  <c r="D431" i="1"/>
  <c r="E431" i="1"/>
  <c r="F383" i="1"/>
  <c r="E383" i="1"/>
  <c r="D383" i="1"/>
  <c r="F359" i="1"/>
  <c r="E359" i="1"/>
  <c r="D359" i="1"/>
  <c r="F303" i="1"/>
  <c r="D303" i="1"/>
  <c r="E303" i="1"/>
  <c r="F263" i="1"/>
  <c r="E263" i="1"/>
  <c r="D263" i="1"/>
  <c r="F207" i="1"/>
  <c r="D207" i="1"/>
  <c r="E207" i="1"/>
  <c r="F175" i="1"/>
  <c r="D175" i="1"/>
  <c r="E175" i="1"/>
  <c r="E127" i="1"/>
  <c r="F127" i="1"/>
  <c r="D127" i="1"/>
  <c r="F95" i="1"/>
  <c r="E95" i="1"/>
  <c r="D95" i="1"/>
  <c r="E47" i="1"/>
  <c r="F47" i="1"/>
  <c r="D47" i="1"/>
  <c r="F7" i="1"/>
  <c r="E7" i="1"/>
  <c r="D7" i="1"/>
  <c r="F219" i="1"/>
  <c r="E219" i="1"/>
  <c r="D219" i="1"/>
  <c r="F886" i="1"/>
  <c r="E886" i="1"/>
  <c r="D886" i="1"/>
  <c r="F798" i="1"/>
  <c r="E798" i="1"/>
  <c r="D798" i="1"/>
  <c r="F734" i="1"/>
  <c r="E734" i="1"/>
  <c r="D734" i="1"/>
  <c r="F694" i="1"/>
  <c r="E694" i="1"/>
  <c r="D694" i="1"/>
  <c r="F630" i="1"/>
  <c r="E630" i="1"/>
  <c r="D630" i="1"/>
  <c r="F270" i="1"/>
  <c r="E270" i="1"/>
  <c r="D270" i="1"/>
  <c r="F892" i="1"/>
  <c r="E892" i="1"/>
  <c r="D892" i="1"/>
  <c r="F891" i="1"/>
  <c r="E891" i="1"/>
  <c r="D891" i="1"/>
  <c r="F883" i="1"/>
  <c r="E883" i="1"/>
  <c r="D883" i="1"/>
  <c r="F875" i="1"/>
  <c r="E875" i="1"/>
  <c r="D875" i="1"/>
  <c r="F859" i="1"/>
  <c r="E859" i="1"/>
  <c r="D859" i="1"/>
  <c r="F851" i="1"/>
  <c r="E851" i="1"/>
  <c r="D851" i="1"/>
  <c r="F827" i="1"/>
  <c r="E827" i="1"/>
  <c r="D827" i="1"/>
  <c r="F819" i="1"/>
  <c r="E819" i="1"/>
  <c r="D819" i="1"/>
  <c r="F811" i="1"/>
  <c r="E811" i="1"/>
  <c r="D811" i="1"/>
  <c r="F787" i="1"/>
  <c r="E787" i="1"/>
  <c r="D787" i="1"/>
  <c r="F779" i="1"/>
  <c r="E779" i="1"/>
  <c r="D779" i="1"/>
  <c r="F763" i="1"/>
  <c r="E763" i="1"/>
  <c r="D763" i="1"/>
  <c r="F755" i="1"/>
  <c r="E755" i="1"/>
  <c r="D755" i="1"/>
  <c r="F731" i="1"/>
  <c r="E731" i="1"/>
  <c r="D731" i="1"/>
  <c r="F723" i="1"/>
  <c r="E723" i="1"/>
  <c r="D723" i="1"/>
  <c r="F715" i="1"/>
  <c r="E715" i="1"/>
  <c r="D715" i="1"/>
  <c r="F699" i="1"/>
  <c r="E699" i="1"/>
  <c r="D699" i="1"/>
  <c r="F691" i="1"/>
  <c r="E691" i="1"/>
  <c r="D691" i="1"/>
  <c r="F683" i="1"/>
  <c r="E683" i="1"/>
  <c r="D683" i="1"/>
  <c r="F667" i="1"/>
  <c r="E667" i="1"/>
  <c r="D667" i="1"/>
  <c r="F659" i="1"/>
  <c r="E659" i="1"/>
  <c r="D659" i="1"/>
  <c r="F651" i="1"/>
  <c r="E651" i="1"/>
  <c r="D651" i="1"/>
  <c r="F635" i="1"/>
  <c r="E635" i="1"/>
  <c r="D635" i="1"/>
  <c r="F627" i="1"/>
  <c r="E627" i="1"/>
  <c r="D627" i="1"/>
  <c r="F619" i="1"/>
  <c r="E619" i="1"/>
  <c r="D619" i="1"/>
  <c r="F603" i="1"/>
  <c r="E603" i="1"/>
  <c r="D603" i="1"/>
  <c r="F595" i="1"/>
  <c r="E595" i="1"/>
  <c r="D595" i="1"/>
  <c r="F587" i="1"/>
  <c r="E587" i="1"/>
  <c r="D587" i="1"/>
  <c r="F571" i="1"/>
  <c r="E571" i="1"/>
  <c r="D571" i="1"/>
  <c r="F563" i="1"/>
  <c r="E563" i="1"/>
  <c r="D563" i="1"/>
  <c r="F555" i="1"/>
  <c r="E555" i="1"/>
  <c r="D555" i="1"/>
  <c r="F539" i="1"/>
  <c r="E539" i="1"/>
  <c r="D539" i="1"/>
  <c r="F531" i="1"/>
  <c r="E531" i="1"/>
  <c r="D531" i="1"/>
  <c r="F523" i="1"/>
  <c r="E523" i="1"/>
  <c r="D523" i="1"/>
  <c r="F507" i="1"/>
  <c r="E507" i="1"/>
  <c r="D507" i="1"/>
  <c r="F499" i="1"/>
  <c r="E499" i="1"/>
  <c r="D499" i="1"/>
  <c r="F491" i="1"/>
  <c r="E491" i="1"/>
  <c r="D491" i="1"/>
  <c r="F475" i="1"/>
  <c r="E475" i="1"/>
  <c r="D475" i="1"/>
  <c r="F467" i="1"/>
  <c r="E467" i="1"/>
  <c r="D467" i="1"/>
  <c r="F459" i="1"/>
  <c r="E459" i="1"/>
  <c r="D459" i="1"/>
  <c r="F443" i="1"/>
  <c r="E443" i="1"/>
  <c r="D443" i="1"/>
  <c r="F435" i="1"/>
  <c r="E435" i="1"/>
  <c r="D435" i="1"/>
  <c r="F427" i="1"/>
  <c r="E427" i="1"/>
  <c r="D427" i="1"/>
  <c r="F411" i="1"/>
  <c r="E411" i="1"/>
  <c r="D411" i="1"/>
  <c r="F395" i="1"/>
  <c r="E395" i="1"/>
  <c r="D395" i="1"/>
  <c r="F387" i="1"/>
  <c r="E387" i="1"/>
  <c r="D387" i="1"/>
  <c r="F355" i="1"/>
  <c r="E355" i="1"/>
  <c r="D355" i="1"/>
  <c r="F347" i="1"/>
  <c r="E347" i="1"/>
  <c r="D347" i="1"/>
  <c r="F331" i="1"/>
  <c r="E331" i="1"/>
  <c r="D331" i="1"/>
  <c r="F315" i="1"/>
  <c r="E315" i="1"/>
  <c r="D315" i="1"/>
  <c r="F299" i="1"/>
  <c r="E299" i="1"/>
  <c r="D299" i="1"/>
  <c r="F291" i="1"/>
  <c r="E291" i="1"/>
  <c r="D291" i="1"/>
  <c r="F283" i="1"/>
  <c r="E283" i="1"/>
  <c r="D283" i="1"/>
  <c r="F267" i="1"/>
  <c r="E267" i="1"/>
  <c r="D267" i="1"/>
  <c r="F259" i="1"/>
  <c r="E259" i="1"/>
  <c r="D259" i="1"/>
  <c r="F235" i="1"/>
  <c r="E235" i="1"/>
  <c r="D235" i="1"/>
  <c r="F227" i="1"/>
  <c r="E227" i="1"/>
  <c r="D227" i="1"/>
  <c r="F195" i="1"/>
  <c r="E195" i="1"/>
  <c r="D195" i="1"/>
  <c r="F187" i="1"/>
  <c r="E187" i="1"/>
  <c r="D187" i="1"/>
  <c r="F163" i="1"/>
  <c r="E163" i="1"/>
  <c r="D163" i="1"/>
  <c r="F155" i="1"/>
  <c r="E155" i="1"/>
  <c r="D155" i="1"/>
  <c r="F131" i="1"/>
  <c r="E131" i="1"/>
  <c r="D131" i="1"/>
  <c r="F123" i="1"/>
  <c r="E123" i="1"/>
  <c r="D123" i="1"/>
  <c r="F91" i="1"/>
  <c r="E91" i="1"/>
  <c r="D91" i="1"/>
  <c r="F59" i="1"/>
  <c r="E59" i="1"/>
  <c r="D59" i="1"/>
  <c r="F35" i="1"/>
  <c r="E35" i="1"/>
  <c r="D35" i="1"/>
  <c r="F27" i="1"/>
  <c r="E27" i="1"/>
  <c r="D27" i="1"/>
  <c r="F3" i="1"/>
  <c r="E3" i="1"/>
  <c r="D3" i="1"/>
  <c r="F611" i="1"/>
  <c r="E611" i="1"/>
  <c r="D611" i="1"/>
  <c r="F460" i="1"/>
  <c r="E460" i="1"/>
  <c r="D460" i="1"/>
  <c r="F251" i="1"/>
  <c r="E251" i="1"/>
  <c r="D251" i="1"/>
  <c r="F271" i="1"/>
  <c r="D271" i="1"/>
  <c r="E271" i="1"/>
  <c r="F902" i="1"/>
  <c r="E902" i="1"/>
  <c r="D902" i="1"/>
  <c r="F342" i="1"/>
  <c r="E342" i="1"/>
  <c r="D342" i="1"/>
  <c r="F890" i="1"/>
  <c r="E890" i="1"/>
  <c r="D890" i="1"/>
  <c r="F858" i="1"/>
  <c r="E858" i="1"/>
  <c r="D858" i="1"/>
  <c r="F826" i="1"/>
  <c r="E826" i="1"/>
  <c r="D826" i="1"/>
  <c r="F794" i="1"/>
  <c r="E794" i="1"/>
  <c r="D794" i="1"/>
  <c r="F762" i="1"/>
  <c r="E762" i="1"/>
  <c r="D762" i="1"/>
  <c r="F730" i="1"/>
  <c r="E730" i="1"/>
  <c r="D730" i="1"/>
  <c r="F698" i="1"/>
  <c r="E698" i="1"/>
  <c r="D698" i="1"/>
  <c r="F666" i="1"/>
  <c r="E666" i="1"/>
  <c r="D666" i="1"/>
  <c r="F634" i="1"/>
  <c r="E634" i="1"/>
  <c r="D634" i="1"/>
  <c r="F602" i="1"/>
  <c r="E602" i="1"/>
  <c r="D602" i="1"/>
  <c r="F562" i="1"/>
  <c r="E562" i="1"/>
  <c r="D562" i="1"/>
  <c r="F522" i="1"/>
  <c r="E522" i="1"/>
  <c r="D522" i="1"/>
  <c r="F490" i="1"/>
  <c r="E490" i="1"/>
  <c r="D490" i="1"/>
  <c r="F466" i="1"/>
  <c r="E466" i="1"/>
  <c r="D466" i="1"/>
  <c r="F442" i="1"/>
  <c r="E442" i="1"/>
  <c r="D442" i="1"/>
  <c r="F434" i="1"/>
  <c r="E434" i="1"/>
  <c r="D434" i="1"/>
  <c r="F426" i="1"/>
  <c r="E426" i="1"/>
  <c r="D426" i="1"/>
  <c r="F410" i="1"/>
  <c r="E410" i="1"/>
  <c r="D410" i="1"/>
  <c r="F394" i="1"/>
  <c r="E394" i="1"/>
  <c r="D394" i="1"/>
  <c r="F362" i="1"/>
  <c r="E362" i="1"/>
  <c r="D362" i="1"/>
  <c r="F330" i="1"/>
  <c r="E330" i="1"/>
  <c r="D330" i="1"/>
  <c r="F298" i="1"/>
  <c r="E298" i="1"/>
  <c r="D298" i="1"/>
  <c r="F266" i="1"/>
  <c r="E266" i="1"/>
  <c r="D266" i="1"/>
  <c r="F234" i="1"/>
  <c r="E234" i="1"/>
  <c r="D234" i="1"/>
  <c r="F202" i="1"/>
  <c r="E202" i="1"/>
  <c r="D202" i="1"/>
  <c r="F154" i="1"/>
  <c r="E154" i="1"/>
  <c r="D154" i="1"/>
  <c r="F320" i="1"/>
  <c r="E320" i="1"/>
  <c r="D320" i="1"/>
  <c r="F847" i="1"/>
  <c r="E847" i="1"/>
  <c r="D847" i="1"/>
  <c r="F815" i="1"/>
  <c r="E815" i="1"/>
  <c r="D815" i="1"/>
  <c r="F783" i="1"/>
  <c r="E783" i="1"/>
  <c r="D783" i="1"/>
  <c r="F751" i="1"/>
  <c r="E751" i="1"/>
  <c r="D751" i="1"/>
  <c r="F719" i="1"/>
  <c r="E719" i="1"/>
  <c r="D719" i="1"/>
  <c r="F679" i="1"/>
  <c r="E679" i="1"/>
  <c r="D679" i="1"/>
  <c r="F647" i="1"/>
  <c r="E647" i="1"/>
  <c r="D647" i="1"/>
  <c r="F615" i="1"/>
  <c r="E615" i="1"/>
  <c r="D615" i="1"/>
  <c r="F583" i="1"/>
  <c r="E583" i="1"/>
  <c r="D583" i="1"/>
  <c r="F551" i="1"/>
  <c r="E551" i="1"/>
  <c r="D551" i="1"/>
  <c r="F519" i="1"/>
  <c r="E519" i="1"/>
  <c r="D519" i="1"/>
  <c r="F487" i="1"/>
  <c r="E487" i="1"/>
  <c r="D487" i="1"/>
  <c r="F455" i="1"/>
  <c r="E455" i="1"/>
  <c r="D455" i="1"/>
  <c r="F423" i="1"/>
  <c r="E423" i="1"/>
  <c r="D423" i="1"/>
  <c r="F391" i="1"/>
  <c r="E391" i="1"/>
  <c r="D391" i="1"/>
  <c r="D335" i="1"/>
  <c r="F335" i="1"/>
  <c r="E335" i="1"/>
  <c r="F295" i="1"/>
  <c r="E295" i="1"/>
  <c r="D295" i="1"/>
  <c r="E255" i="1"/>
  <c r="F255" i="1"/>
  <c r="D255" i="1"/>
  <c r="F223" i="1"/>
  <c r="E223" i="1"/>
  <c r="D223" i="1"/>
  <c r="F167" i="1"/>
  <c r="E167" i="1"/>
  <c r="D167" i="1"/>
  <c r="F135" i="1"/>
  <c r="E135" i="1"/>
  <c r="D135" i="1"/>
  <c r="E79" i="1"/>
  <c r="F79" i="1"/>
  <c r="D79" i="1"/>
  <c r="F39" i="1"/>
  <c r="E39" i="1"/>
  <c r="D39" i="1"/>
  <c r="F870" i="1"/>
  <c r="E870" i="1"/>
  <c r="D870" i="1"/>
  <c r="F830" i="1"/>
  <c r="E830" i="1"/>
  <c r="D830" i="1"/>
  <c r="F726" i="1"/>
  <c r="E726" i="1"/>
  <c r="D726" i="1"/>
  <c r="F678" i="1"/>
  <c r="E678" i="1"/>
  <c r="D678" i="1"/>
  <c r="F638" i="1"/>
  <c r="E638" i="1"/>
  <c r="D638" i="1"/>
  <c r="F606" i="1"/>
  <c r="E606" i="1"/>
  <c r="D606" i="1"/>
  <c r="F574" i="1"/>
  <c r="E574" i="1"/>
  <c r="D574" i="1"/>
  <c r="F510" i="1"/>
  <c r="E510" i="1"/>
  <c r="D510" i="1"/>
  <c r="F46" i="1"/>
  <c r="E46" i="1"/>
  <c r="D46" i="1"/>
  <c r="F882" i="1"/>
  <c r="E882" i="1"/>
  <c r="D882" i="1"/>
  <c r="E850" i="1"/>
  <c r="D850" i="1"/>
  <c r="F850" i="1"/>
  <c r="F818" i="1"/>
  <c r="E818" i="1"/>
  <c r="D818" i="1"/>
  <c r="F778" i="1"/>
  <c r="E778" i="1"/>
  <c r="D778" i="1"/>
  <c r="F754" i="1"/>
  <c r="E754" i="1"/>
  <c r="D754" i="1"/>
  <c r="F722" i="1"/>
  <c r="E722" i="1"/>
  <c r="D722" i="1"/>
  <c r="F690" i="1"/>
  <c r="E690" i="1"/>
  <c r="D690" i="1"/>
  <c r="F650" i="1"/>
  <c r="E650" i="1"/>
  <c r="D650" i="1"/>
  <c r="F618" i="1"/>
  <c r="E618" i="1"/>
  <c r="D618" i="1"/>
  <c r="F594" i="1"/>
  <c r="E594" i="1"/>
  <c r="D594" i="1"/>
  <c r="F570" i="1"/>
  <c r="E570" i="1"/>
  <c r="D570" i="1"/>
  <c r="F538" i="1"/>
  <c r="E538" i="1"/>
  <c r="D538" i="1"/>
  <c r="F506" i="1"/>
  <c r="E506" i="1"/>
  <c r="D506" i="1"/>
  <c r="F458" i="1"/>
  <c r="E458" i="1"/>
  <c r="D458" i="1"/>
  <c r="F913" i="1"/>
  <c r="E913" i="1"/>
  <c r="D913" i="1"/>
  <c r="F897" i="1"/>
  <c r="E897" i="1"/>
  <c r="D897" i="1"/>
  <c r="F873" i="1"/>
  <c r="E873" i="1"/>
  <c r="D873" i="1"/>
  <c r="F849" i="1"/>
  <c r="E849" i="1"/>
  <c r="D849" i="1"/>
  <c r="F833" i="1"/>
  <c r="E833" i="1"/>
  <c r="D833" i="1"/>
  <c r="F785" i="1"/>
  <c r="E785" i="1"/>
  <c r="D785" i="1"/>
  <c r="F769" i="1"/>
  <c r="E769" i="1"/>
  <c r="D769" i="1"/>
  <c r="F745" i="1"/>
  <c r="E745" i="1"/>
  <c r="D745" i="1"/>
  <c r="F721" i="1"/>
  <c r="E721" i="1"/>
  <c r="D721" i="1"/>
  <c r="F705" i="1"/>
  <c r="E705" i="1"/>
  <c r="D705" i="1"/>
  <c r="F681" i="1"/>
  <c r="E681" i="1"/>
  <c r="D681" i="1"/>
  <c r="F673" i="1"/>
  <c r="E673" i="1"/>
  <c r="D673" i="1"/>
  <c r="F649" i="1"/>
  <c r="E649" i="1"/>
  <c r="D649" i="1"/>
  <c r="F625" i="1"/>
  <c r="E625" i="1"/>
  <c r="D625" i="1"/>
  <c r="F609" i="1"/>
  <c r="E609" i="1"/>
  <c r="D609" i="1"/>
  <c r="F593" i="1"/>
  <c r="E593" i="1"/>
  <c r="D593" i="1"/>
  <c r="F585" i="1"/>
  <c r="E585" i="1"/>
  <c r="D585" i="1"/>
  <c r="F577" i="1"/>
  <c r="E577" i="1"/>
  <c r="D577" i="1"/>
  <c r="F561" i="1"/>
  <c r="E561" i="1"/>
  <c r="D561" i="1"/>
  <c r="F553" i="1"/>
  <c r="E553" i="1"/>
  <c r="D553" i="1"/>
  <c r="F545" i="1"/>
  <c r="E545" i="1"/>
  <c r="D545" i="1"/>
  <c r="F529" i="1"/>
  <c r="E529" i="1"/>
  <c r="D529" i="1"/>
  <c r="F521" i="1"/>
  <c r="E521" i="1"/>
  <c r="D521" i="1"/>
  <c r="F513" i="1"/>
  <c r="E513" i="1"/>
  <c r="D513" i="1"/>
  <c r="F497" i="1"/>
  <c r="E497" i="1"/>
  <c r="D497" i="1"/>
  <c r="E489" i="1"/>
  <c r="F489" i="1"/>
  <c r="D489" i="1"/>
  <c r="F481" i="1"/>
  <c r="E481" i="1"/>
  <c r="D481" i="1"/>
  <c r="F465" i="1"/>
  <c r="E465" i="1"/>
  <c r="D465" i="1"/>
  <c r="E457" i="1"/>
  <c r="F457" i="1"/>
  <c r="D457" i="1"/>
  <c r="F449" i="1"/>
  <c r="E449" i="1"/>
  <c r="D449" i="1"/>
  <c r="F433" i="1"/>
  <c r="E433" i="1"/>
  <c r="D433" i="1"/>
  <c r="E425" i="1"/>
  <c r="F425" i="1"/>
  <c r="D425" i="1"/>
  <c r="F417" i="1"/>
  <c r="E417" i="1"/>
  <c r="D417" i="1"/>
  <c r="E409" i="1"/>
  <c r="F409" i="1"/>
  <c r="D409" i="1"/>
  <c r="F401" i="1"/>
  <c r="E401" i="1"/>
  <c r="D401" i="1"/>
  <c r="F369" i="1"/>
  <c r="E369" i="1"/>
  <c r="D369" i="1"/>
  <c r="E361" i="1"/>
  <c r="F361" i="1"/>
  <c r="D361" i="1"/>
  <c r="F345" i="1"/>
  <c r="E345" i="1"/>
  <c r="D345" i="1"/>
  <c r="F337" i="1"/>
  <c r="E337" i="1"/>
  <c r="D337" i="1"/>
  <c r="E329" i="1"/>
  <c r="F329" i="1"/>
  <c r="D329" i="1"/>
  <c r="E313" i="1"/>
  <c r="F313" i="1"/>
  <c r="D313" i="1"/>
  <c r="E297" i="1"/>
  <c r="F297" i="1"/>
  <c r="D297" i="1"/>
  <c r="E281" i="1"/>
  <c r="F281" i="1"/>
  <c r="D281" i="1"/>
  <c r="F273" i="1"/>
  <c r="E273" i="1"/>
  <c r="D273" i="1"/>
  <c r="F241" i="1"/>
  <c r="E241" i="1"/>
  <c r="D241" i="1"/>
  <c r="F209" i="1"/>
  <c r="E209" i="1"/>
  <c r="D209" i="1"/>
  <c r="F177" i="1"/>
  <c r="E177" i="1"/>
  <c r="D177" i="1"/>
  <c r="E169" i="1"/>
  <c r="F169" i="1"/>
  <c r="D169" i="1"/>
  <c r="E153" i="1"/>
  <c r="F153" i="1"/>
  <c r="D153" i="1"/>
  <c r="F145" i="1"/>
  <c r="E145" i="1"/>
  <c r="D145" i="1"/>
  <c r="E137" i="1"/>
  <c r="F137" i="1"/>
  <c r="D137" i="1"/>
  <c r="E121" i="1"/>
  <c r="F121" i="1"/>
  <c r="D121" i="1"/>
  <c r="E105" i="1"/>
  <c r="F105" i="1"/>
  <c r="D105" i="1"/>
  <c r="F89" i="1"/>
  <c r="E89" i="1"/>
  <c r="D89" i="1"/>
  <c r="F73" i="1"/>
  <c r="E73" i="1"/>
  <c r="D73" i="1"/>
  <c r="F57" i="1"/>
  <c r="D57" i="1"/>
  <c r="E57" i="1"/>
  <c r="F49" i="1"/>
  <c r="E49" i="1"/>
  <c r="D49" i="1"/>
  <c r="E41" i="1"/>
  <c r="D41" i="1"/>
  <c r="F41" i="1"/>
  <c r="E25" i="1"/>
  <c r="F25" i="1"/>
  <c r="D25" i="1"/>
  <c r="F17" i="1"/>
  <c r="D17" i="1"/>
  <c r="E17" i="1"/>
  <c r="F547" i="1"/>
  <c r="E547" i="1"/>
  <c r="D547" i="1"/>
  <c r="F379" i="1"/>
  <c r="E379" i="1"/>
  <c r="D379" i="1"/>
  <c r="F857" i="1"/>
  <c r="E857" i="1"/>
  <c r="F158" i="1"/>
  <c r="E158" i="1"/>
  <c r="F22" i="1"/>
  <c r="E22" i="1"/>
  <c r="D22" i="1"/>
  <c r="F716" i="1"/>
  <c r="E716" i="1"/>
  <c r="D716" i="1"/>
  <c r="F610" i="1"/>
  <c r="E610" i="1"/>
  <c r="D610" i="1"/>
  <c r="F546" i="1"/>
  <c r="E546" i="1"/>
  <c r="D546" i="1"/>
  <c r="F514" i="1"/>
  <c r="E514" i="1"/>
  <c r="D514" i="1"/>
  <c r="F482" i="1"/>
  <c r="E482" i="1"/>
  <c r="D482" i="1"/>
  <c r="F450" i="1"/>
  <c r="E450" i="1"/>
  <c r="D450" i="1"/>
  <c r="F418" i="1"/>
  <c r="E418" i="1"/>
  <c r="D418" i="1"/>
  <c r="E377" i="1"/>
  <c r="F377" i="1"/>
  <c r="D377" i="1"/>
  <c r="F305" i="1"/>
  <c r="E305" i="1"/>
  <c r="D305" i="1"/>
  <c r="F292" i="1"/>
  <c r="E292" i="1"/>
  <c r="D292" i="1"/>
  <c r="E249" i="1"/>
  <c r="F249" i="1"/>
  <c r="D249" i="1"/>
  <c r="E233" i="1"/>
  <c r="F233" i="1"/>
  <c r="D233" i="1"/>
  <c r="F217" i="1"/>
  <c r="E217" i="1"/>
  <c r="D217" i="1"/>
  <c r="F184" i="1"/>
  <c r="E184" i="1"/>
  <c r="D184" i="1"/>
  <c r="F148" i="1"/>
  <c r="E148" i="1"/>
  <c r="D148" i="1"/>
  <c r="F132" i="1"/>
  <c r="E132" i="1"/>
  <c r="D132" i="1"/>
  <c r="F113" i="1"/>
  <c r="E113" i="1"/>
  <c r="D113" i="1"/>
  <c r="F99" i="1"/>
  <c r="E99" i="1"/>
  <c r="D99" i="1"/>
  <c r="E80" i="1"/>
  <c r="F80" i="1"/>
  <c r="D80" i="1"/>
  <c r="F28" i="1"/>
  <c r="E28" i="1"/>
  <c r="D28" i="1"/>
  <c r="F378" i="1"/>
  <c r="E378" i="1"/>
  <c r="D378" i="1"/>
  <c r="F346" i="1"/>
  <c r="E346" i="1"/>
  <c r="D346" i="1"/>
  <c r="F314" i="1"/>
  <c r="E314" i="1"/>
  <c r="D314" i="1"/>
  <c r="F282" i="1"/>
  <c r="E282" i="1"/>
  <c r="D282" i="1"/>
  <c r="F250" i="1"/>
  <c r="E250" i="1"/>
  <c r="D250" i="1"/>
  <c r="F218" i="1"/>
  <c r="E218" i="1"/>
  <c r="D218" i="1"/>
  <c r="F101" i="1"/>
  <c r="E101" i="1"/>
  <c r="D101" i="1"/>
  <c r="D652" i="1"/>
  <c r="F343" i="1"/>
  <c r="E343" i="1"/>
  <c r="D343" i="1"/>
  <c r="F279" i="1"/>
  <c r="E279" i="1"/>
  <c r="D279" i="1"/>
  <c r="F183" i="1"/>
  <c r="E183" i="1"/>
  <c r="D183" i="1"/>
  <c r="F55" i="1"/>
  <c r="E55" i="1"/>
  <c r="D55" i="1"/>
  <c r="F939" i="1"/>
  <c r="E939" i="1"/>
  <c r="D939" i="1"/>
  <c r="F825" i="1"/>
  <c r="E825" i="1"/>
  <c r="D825" i="1"/>
  <c r="F739" i="1"/>
  <c r="E739" i="1"/>
  <c r="D739" i="1"/>
  <c r="F697" i="1"/>
  <c r="E697" i="1"/>
  <c r="D697" i="1"/>
  <c r="F654" i="1"/>
  <c r="E654" i="1"/>
  <c r="D654" i="1"/>
  <c r="F601" i="1"/>
  <c r="E601" i="1"/>
  <c r="D601" i="1"/>
  <c r="F558" i="1"/>
  <c r="E558" i="1"/>
  <c r="D558" i="1"/>
  <c r="E505" i="1"/>
  <c r="F505" i="1"/>
  <c r="D505" i="1"/>
  <c r="F462" i="1"/>
  <c r="E462" i="1"/>
  <c r="D462" i="1"/>
  <c r="F419" i="1"/>
  <c r="E419" i="1"/>
  <c r="D419" i="1"/>
  <c r="F308" i="1"/>
  <c r="E308" i="1"/>
  <c r="D308" i="1"/>
  <c r="E265" i="1"/>
  <c r="F265" i="1"/>
  <c r="D265" i="1"/>
  <c r="F152" i="1"/>
  <c r="E152" i="1"/>
  <c r="D152" i="1"/>
  <c r="F100" i="1"/>
  <c r="E100" i="1"/>
  <c r="D100" i="1"/>
  <c r="F656" i="1"/>
  <c r="E656" i="1"/>
  <c r="D656" i="1"/>
  <c r="F108" i="1"/>
  <c r="E108" i="1"/>
  <c r="D108" i="1"/>
  <c r="F318" i="1"/>
  <c r="E318" i="1"/>
  <c r="D318" i="1"/>
  <c r="F118" i="1"/>
  <c r="E118" i="1"/>
  <c r="D118" i="1"/>
  <c r="F30" i="1"/>
  <c r="E30" i="1"/>
  <c r="D30" i="1"/>
  <c r="F906" i="1"/>
  <c r="E906" i="1"/>
  <c r="D906" i="1"/>
  <c r="F834" i="1"/>
  <c r="E834" i="1"/>
  <c r="D834" i="1"/>
  <c r="F684" i="1"/>
  <c r="E684" i="1"/>
  <c r="D684" i="1"/>
  <c r="F853" i="1"/>
  <c r="E853" i="1"/>
  <c r="D853" i="1"/>
  <c r="F717" i="1"/>
  <c r="E717" i="1"/>
  <c r="D717" i="1"/>
  <c r="F685" i="1"/>
  <c r="E685" i="1"/>
  <c r="D685" i="1"/>
  <c r="F653" i="1"/>
  <c r="E653" i="1"/>
  <c r="D653" i="1"/>
  <c r="F605" i="1"/>
  <c r="E605" i="1"/>
  <c r="D605" i="1"/>
  <c r="F565" i="1"/>
  <c r="E565" i="1"/>
  <c r="D565" i="1"/>
  <c r="F541" i="1"/>
  <c r="E541" i="1"/>
  <c r="D541" i="1"/>
  <c r="F517" i="1"/>
  <c r="E517" i="1"/>
  <c r="D517" i="1"/>
  <c r="F493" i="1"/>
  <c r="E493" i="1"/>
  <c r="D493" i="1"/>
  <c r="F469" i="1"/>
  <c r="E469" i="1"/>
  <c r="D469" i="1"/>
  <c r="F453" i="1"/>
  <c r="E453" i="1"/>
  <c r="D453" i="1"/>
  <c r="F429" i="1"/>
  <c r="E429" i="1"/>
  <c r="D429" i="1"/>
  <c r="F413" i="1"/>
  <c r="E413" i="1"/>
  <c r="D413" i="1"/>
  <c r="F405" i="1"/>
  <c r="E405" i="1"/>
  <c r="D405" i="1"/>
  <c r="F397" i="1"/>
  <c r="E397" i="1"/>
  <c r="D397" i="1"/>
  <c r="F381" i="1"/>
  <c r="E381" i="1"/>
  <c r="D381" i="1"/>
  <c r="F373" i="1"/>
  <c r="E373" i="1"/>
  <c r="F365" i="1"/>
  <c r="E365" i="1"/>
  <c r="D365" i="1"/>
  <c r="F357" i="1"/>
  <c r="E357" i="1"/>
  <c r="D357" i="1"/>
  <c r="F349" i="1"/>
  <c r="E349" i="1"/>
  <c r="D349" i="1"/>
  <c r="F341" i="1"/>
  <c r="E341" i="1"/>
  <c r="D341" i="1"/>
  <c r="F333" i="1"/>
  <c r="E333" i="1"/>
  <c r="D333" i="1"/>
  <c r="F325" i="1"/>
  <c r="E325" i="1"/>
  <c r="D325" i="1"/>
  <c r="F317" i="1"/>
  <c r="E317" i="1"/>
  <c r="D317" i="1"/>
  <c r="F309" i="1"/>
  <c r="E309" i="1"/>
  <c r="F301" i="1"/>
  <c r="E301" i="1"/>
  <c r="D301" i="1"/>
  <c r="F293" i="1"/>
  <c r="E293" i="1"/>
  <c r="D293" i="1"/>
  <c r="F285" i="1"/>
  <c r="E285" i="1"/>
  <c r="D285" i="1"/>
  <c r="F277" i="1"/>
  <c r="E277" i="1"/>
  <c r="D277" i="1"/>
  <c r="F269" i="1"/>
  <c r="E269" i="1"/>
  <c r="D269" i="1"/>
  <c r="F261" i="1"/>
  <c r="E261" i="1"/>
  <c r="D261" i="1"/>
  <c r="F253" i="1"/>
  <c r="E253" i="1"/>
  <c r="D253" i="1"/>
  <c r="F245" i="1"/>
  <c r="E245" i="1"/>
  <c r="D245" i="1"/>
  <c r="F237" i="1"/>
  <c r="E237" i="1"/>
  <c r="D237" i="1"/>
  <c r="F229" i="1"/>
  <c r="E229" i="1"/>
  <c r="D229" i="1"/>
  <c r="F221" i="1"/>
  <c r="E221" i="1"/>
  <c r="D221" i="1"/>
  <c r="F213" i="1"/>
  <c r="E213" i="1"/>
  <c r="D213" i="1"/>
  <c r="F205" i="1"/>
  <c r="E205" i="1"/>
  <c r="D205" i="1"/>
  <c r="F197" i="1"/>
  <c r="E197" i="1"/>
  <c r="D197" i="1"/>
  <c r="F173" i="1"/>
  <c r="E173" i="1"/>
  <c r="D173" i="1"/>
  <c r="F165" i="1"/>
  <c r="E165" i="1"/>
  <c r="D165" i="1"/>
  <c r="F149" i="1"/>
  <c r="E149" i="1"/>
  <c r="D149" i="1"/>
  <c r="F141" i="1"/>
  <c r="E141" i="1"/>
  <c r="D141" i="1"/>
  <c r="F133" i="1"/>
  <c r="E133" i="1"/>
  <c r="D133" i="1"/>
  <c r="F117" i="1"/>
  <c r="E117" i="1"/>
  <c r="D117" i="1"/>
  <c r="F93" i="1"/>
  <c r="E93" i="1"/>
  <c r="D93" i="1"/>
  <c r="F85" i="1"/>
  <c r="E85" i="1"/>
  <c r="D85" i="1"/>
  <c r="F77" i="1"/>
  <c r="D77" i="1"/>
  <c r="E77" i="1"/>
  <c r="F69" i="1"/>
  <c r="E69" i="1"/>
  <c r="D69" i="1"/>
  <c r="F53" i="1"/>
  <c r="E53" i="1"/>
  <c r="D53" i="1"/>
  <c r="F29" i="1"/>
  <c r="E29" i="1"/>
  <c r="D29" i="1"/>
  <c r="F21" i="1"/>
  <c r="E21" i="1"/>
  <c r="D21" i="1"/>
  <c r="F13" i="1"/>
  <c r="E13" i="1"/>
  <c r="D13" i="1"/>
  <c r="F5" i="1"/>
  <c r="E5" i="1"/>
  <c r="D5" i="1"/>
  <c r="F375" i="1"/>
  <c r="E375" i="1"/>
  <c r="D375" i="1"/>
  <c r="F87" i="1"/>
  <c r="E87" i="1"/>
  <c r="D87" i="1"/>
  <c r="F867" i="1"/>
  <c r="E867" i="1"/>
  <c r="D867" i="1"/>
  <c r="F814" i="1"/>
  <c r="E814" i="1"/>
  <c r="D814" i="1"/>
  <c r="F729" i="1"/>
  <c r="E729" i="1"/>
  <c r="F686" i="1"/>
  <c r="E686" i="1"/>
  <c r="D686" i="1"/>
  <c r="F643" i="1"/>
  <c r="E643" i="1"/>
  <c r="D643" i="1"/>
  <c r="F569" i="1"/>
  <c r="E569" i="1"/>
  <c r="D569" i="1"/>
  <c r="F515" i="1"/>
  <c r="E515" i="1"/>
  <c r="D515" i="1"/>
  <c r="F483" i="1"/>
  <c r="E483" i="1"/>
  <c r="D483" i="1"/>
  <c r="E441" i="1"/>
  <c r="F441" i="1"/>
  <c r="D441" i="1"/>
  <c r="E393" i="1"/>
  <c r="F393" i="1"/>
  <c r="D393" i="1"/>
  <c r="F294" i="1"/>
  <c r="E294" i="1"/>
  <c r="D294" i="1"/>
  <c r="F134" i="1"/>
  <c r="E134" i="1"/>
  <c r="D134" i="1"/>
  <c r="F67" i="1"/>
  <c r="E67" i="1"/>
  <c r="D67" i="1"/>
  <c r="E805" i="1"/>
  <c r="F805" i="1"/>
  <c r="D805" i="1"/>
  <c r="F181" i="1"/>
  <c r="E181" i="1"/>
  <c r="D181" i="1"/>
  <c r="F382" i="1"/>
  <c r="E382" i="1"/>
  <c r="D382" i="1"/>
  <c r="F254" i="1"/>
  <c r="E254" i="1"/>
  <c r="D254" i="1"/>
  <c r="F86" i="1"/>
  <c r="E86" i="1"/>
  <c r="D86" i="1"/>
  <c r="F706" i="1"/>
  <c r="E706" i="1"/>
  <c r="D706" i="1"/>
  <c r="F620" i="1"/>
  <c r="E620" i="1"/>
  <c r="D620" i="1"/>
  <c r="F845" i="1"/>
  <c r="E845" i="1"/>
  <c r="D845" i="1"/>
  <c r="F813" i="1"/>
  <c r="E813" i="1"/>
  <c r="D813" i="1"/>
  <c r="F661" i="1"/>
  <c r="E661" i="1"/>
  <c r="D661" i="1"/>
  <c r="F629" i="1"/>
  <c r="E629" i="1"/>
  <c r="D629" i="1"/>
  <c r="F581" i="1"/>
  <c r="E581" i="1"/>
  <c r="D581" i="1"/>
  <c r="F557" i="1"/>
  <c r="E557" i="1"/>
  <c r="D557" i="1"/>
  <c r="F501" i="1"/>
  <c r="E501" i="1"/>
  <c r="F485" i="1"/>
  <c r="E485" i="1"/>
  <c r="D485" i="1"/>
  <c r="F461" i="1"/>
  <c r="E461" i="1"/>
  <c r="D461" i="1"/>
  <c r="F437" i="1"/>
  <c r="E437" i="1"/>
  <c r="D437" i="1"/>
  <c r="F421" i="1"/>
  <c r="E421" i="1"/>
  <c r="D421" i="1"/>
  <c r="F389" i="1"/>
  <c r="E389" i="1"/>
  <c r="D389" i="1"/>
  <c r="F172" i="1"/>
  <c r="E172" i="1"/>
  <c r="D172" i="1"/>
  <c r="F140" i="1"/>
  <c r="E140" i="1"/>
  <c r="F76" i="1"/>
  <c r="E76" i="1"/>
  <c r="D76" i="1"/>
  <c r="F12" i="1"/>
  <c r="E12" i="1"/>
  <c r="D12" i="1"/>
  <c r="D857" i="1"/>
  <c r="D729" i="1"/>
  <c r="D501" i="1"/>
  <c r="D158" i="1"/>
  <c r="F407" i="1"/>
  <c r="E407" i="1"/>
  <c r="D407" i="1"/>
  <c r="F215" i="1"/>
  <c r="E215" i="1"/>
  <c r="D215" i="1"/>
  <c r="F119" i="1"/>
  <c r="E119" i="1"/>
  <c r="D119" i="1"/>
  <c r="F803" i="1"/>
  <c r="E803" i="1"/>
  <c r="D803" i="1"/>
  <c r="F718" i="1"/>
  <c r="E718" i="1"/>
  <c r="D718" i="1"/>
  <c r="F675" i="1"/>
  <c r="E675" i="1"/>
  <c r="D675" i="1"/>
  <c r="E633" i="1"/>
  <c r="F633" i="1"/>
  <c r="D633" i="1"/>
  <c r="F590" i="1"/>
  <c r="E590" i="1"/>
  <c r="D590" i="1"/>
  <c r="F526" i="1"/>
  <c r="E526" i="1"/>
  <c r="D526" i="1"/>
  <c r="F473" i="1"/>
  <c r="E473" i="1"/>
  <c r="D473" i="1"/>
  <c r="F430" i="1"/>
  <c r="E430" i="1"/>
  <c r="D430" i="1"/>
  <c r="F366" i="1"/>
  <c r="E366" i="1"/>
  <c r="D366" i="1"/>
  <c r="F280" i="1"/>
  <c r="E280" i="1"/>
  <c r="D280" i="1"/>
  <c r="F116" i="1"/>
  <c r="E116" i="1"/>
  <c r="D116" i="1"/>
  <c r="F48" i="1"/>
  <c r="E48" i="1"/>
  <c r="D48" i="1"/>
  <c r="F784" i="1"/>
  <c r="E784" i="1"/>
  <c r="D784" i="1"/>
  <c r="F720" i="1"/>
  <c r="E720" i="1"/>
  <c r="D720" i="1"/>
  <c r="F536" i="1"/>
  <c r="E536" i="1"/>
  <c r="D536" i="1"/>
  <c r="F214" i="1"/>
  <c r="E214" i="1"/>
  <c r="D214" i="1"/>
  <c r="F94" i="1"/>
  <c r="E94" i="1"/>
  <c r="D94" i="1"/>
  <c r="F802" i="1"/>
  <c r="E802" i="1"/>
  <c r="D802" i="1"/>
  <c r="F642" i="1"/>
  <c r="E642" i="1"/>
  <c r="D642" i="1"/>
  <c r="F821" i="1"/>
  <c r="E821" i="1"/>
  <c r="D821" i="1"/>
  <c r="F789" i="1"/>
  <c r="E789" i="1"/>
  <c r="D789" i="1"/>
  <c r="F757" i="1"/>
  <c r="E757" i="1"/>
  <c r="D757" i="1"/>
  <c r="F725" i="1"/>
  <c r="E725" i="1"/>
  <c r="D725" i="1"/>
  <c r="F693" i="1"/>
  <c r="E693" i="1"/>
  <c r="D693" i="1"/>
  <c r="F621" i="1"/>
  <c r="E621" i="1"/>
  <c r="D621" i="1"/>
  <c r="F509" i="1"/>
  <c r="E509" i="1"/>
  <c r="D509" i="1"/>
  <c r="F477" i="1"/>
  <c r="E477" i="1"/>
  <c r="D477" i="1"/>
  <c r="F445" i="1"/>
  <c r="E445" i="1"/>
  <c r="D445" i="1"/>
  <c r="F403" i="1"/>
  <c r="E403" i="1"/>
  <c r="D403" i="1"/>
  <c r="F371" i="1"/>
  <c r="E371" i="1"/>
  <c r="D371" i="1"/>
  <c r="F339" i="1"/>
  <c r="E339" i="1"/>
  <c r="D339" i="1"/>
  <c r="F307" i="1"/>
  <c r="E307" i="1"/>
  <c r="D307" i="1"/>
  <c r="F275" i="1"/>
  <c r="E275" i="1"/>
  <c r="D275" i="1"/>
  <c r="F243" i="1"/>
  <c r="E243" i="1"/>
  <c r="D243" i="1"/>
  <c r="F211" i="1"/>
  <c r="E211" i="1"/>
  <c r="D211" i="1"/>
  <c r="F203" i="1"/>
  <c r="E203" i="1"/>
  <c r="D203" i="1"/>
  <c r="F179" i="1"/>
  <c r="E179" i="1"/>
  <c r="D179" i="1"/>
  <c r="F171" i="1"/>
  <c r="E171" i="1"/>
  <c r="D171" i="1"/>
  <c r="F147" i="1"/>
  <c r="E147" i="1"/>
  <c r="D147" i="1"/>
  <c r="F139" i="1"/>
  <c r="E139" i="1"/>
  <c r="D139" i="1"/>
  <c r="F115" i="1"/>
  <c r="E115" i="1"/>
  <c r="D115" i="1"/>
  <c r="F107" i="1"/>
  <c r="E107" i="1"/>
  <c r="D107" i="1"/>
  <c r="F83" i="1"/>
  <c r="E83" i="1"/>
  <c r="D83" i="1"/>
  <c r="F75" i="1"/>
  <c r="E75" i="1"/>
  <c r="D75" i="1"/>
  <c r="F51" i="1"/>
  <c r="E51" i="1"/>
  <c r="D51" i="1"/>
  <c r="F43" i="1"/>
  <c r="E43" i="1"/>
  <c r="D43" i="1"/>
  <c r="F19" i="1"/>
  <c r="E19" i="1"/>
  <c r="D19" i="1"/>
  <c r="F11" i="1"/>
  <c r="E11" i="1"/>
  <c r="D11" i="1"/>
  <c r="F247" i="1"/>
  <c r="E247" i="1"/>
  <c r="D247" i="1"/>
  <c r="F151" i="1"/>
  <c r="E151" i="1"/>
  <c r="D151" i="1"/>
  <c r="F931" i="1"/>
  <c r="E931" i="1"/>
  <c r="D931" i="1"/>
  <c r="F889" i="1"/>
  <c r="E889" i="1"/>
  <c r="D889" i="1"/>
  <c r="F835" i="1"/>
  <c r="E835" i="1"/>
  <c r="D835" i="1"/>
  <c r="F793" i="1"/>
  <c r="E793" i="1"/>
  <c r="F750" i="1"/>
  <c r="E750" i="1"/>
  <c r="D750" i="1"/>
  <c r="F707" i="1"/>
  <c r="E707" i="1"/>
  <c r="D707" i="1"/>
  <c r="F665" i="1"/>
  <c r="E665" i="1"/>
  <c r="D665" i="1"/>
  <c r="F622" i="1"/>
  <c r="E622" i="1"/>
  <c r="D622" i="1"/>
  <c r="F579" i="1"/>
  <c r="E579" i="1"/>
  <c r="D579" i="1"/>
  <c r="F537" i="1"/>
  <c r="E537" i="1"/>
  <c r="D537" i="1"/>
  <c r="F494" i="1"/>
  <c r="E494" i="1"/>
  <c r="D494" i="1"/>
  <c r="F451" i="1"/>
  <c r="E451" i="1"/>
  <c r="D451" i="1"/>
  <c r="F408" i="1"/>
  <c r="E408" i="1"/>
  <c r="D408" i="1"/>
  <c r="F323" i="1"/>
  <c r="E323" i="1"/>
  <c r="D323" i="1"/>
  <c r="F238" i="1"/>
  <c r="E238" i="1"/>
  <c r="D238" i="1"/>
  <c r="E185" i="1"/>
  <c r="F185" i="1"/>
  <c r="D185" i="1"/>
  <c r="F81" i="1"/>
  <c r="E81" i="1"/>
  <c r="D81" i="1"/>
  <c r="F848" i="1"/>
  <c r="E848" i="1"/>
  <c r="D848" i="1"/>
  <c r="F677" i="1"/>
  <c r="E677" i="1"/>
  <c r="D677" i="1"/>
  <c r="F286" i="1"/>
  <c r="E286" i="1"/>
  <c r="D286" i="1"/>
  <c r="F190" i="1"/>
  <c r="E190" i="1"/>
  <c r="D190" i="1"/>
  <c r="F126" i="1"/>
  <c r="E126" i="1"/>
  <c r="D126" i="1"/>
  <c r="F62" i="1"/>
  <c r="D62" i="1"/>
  <c r="E62" i="1"/>
  <c r="F866" i="1"/>
  <c r="E866" i="1"/>
  <c r="D866" i="1"/>
  <c r="F738" i="1"/>
  <c r="E738" i="1"/>
  <c r="D738" i="1"/>
  <c r="F674" i="1"/>
  <c r="E674" i="1"/>
  <c r="D674" i="1"/>
  <c r="F556" i="1"/>
  <c r="E556" i="1"/>
  <c r="D556" i="1"/>
  <c r="F402" i="1"/>
  <c r="E402" i="1"/>
  <c r="D402" i="1"/>
  <c r="F386" i="1"/>
  <c r="E386" i="1"/>
  <c r="D386" i="1"/>
  <c r="F370" i="1"/>
  <c r="E370" i="1"/>
  <c r="D370" i="1"/>
  <c r="F354" i="1"/>
  <c r="E354" i="1"/>
  <c r="D354" i="1"/>
  <c r="F338" i="1"/>
  <c r="E338" i="1"/>
  <c r="D338" i="1"/>
  <c r="F322" i="1"/>
  <c r="E322" i="1"/>
  <c r="D322" i="1"/>
  <c r="F306" i="1"/>
  <c r="E306" i="1"/>
  <c r="D306" i="1"/>
  <c r="F290" i="1"/>
  <c r="E290" i="1"/>
  <c r="D290" i="1"/>
  <c r="F274" i="1"/>
  <c r="E274" i="1"/>
  <c r="D274" i="1"/>
  <c r="F258" i="1"/>
  <c r="E258" i="1"/>
  <c r="D258" i="1"/>
  <c r="F242" i="1"/>
  <c r="E242" i="1"/>
  <c r="D242" i="1"/>
  <c r="F226" i="1"/>
  <c r="E226" i="1"/>
  <c r="D226" i="1"/>
  <c r="F210" i="1"/>
  <c r="E210" i="1"/>
  <c r="D210" i="1"/>
  <c r="F194" i="1"/>
  <c r="E194" i="1"/>
  <c r="D194" i="1"/>
  <c r="F186" i="1"/>
  <c r="E186" i="1"/>
  <c r="D186" i="1"/>
  <c r="F178" i="1"/>
  <c r="E178" i="1"/>
  <c r="D178" i="1"/>
  <c r="F170" i="1"/>
  <c r="E170" i="1"/>
  <c r="D170" i="1"/>
  <c r="F162" i="1"/>
  <c r="E162" i="1"/>
  <c r="D162" i="1"/>
  <c r="F146" i="1"/>
  <c r="E146" i="1"/>
  <c r="D146" i="1"/>
  <c r="F138" i="1"/>
  <c r="E138" i="1"/>
  <c r="D138" i="1"/>
  <c r="F130" i="1"/>
  <c r="E130" i="1"/>
  <c r="D130" i="1"/>
  <c r="F122" i="1"/>
  <c r="E122" i="1"/>
  <c r="D122" i="1"/>
  <c r="F114" i="1"/>
  <c r="E114" i="1"/>
  <c r="D114" i="1"/>
  <c r="F106" i="1"/>
  <c r="E106" i="1"/>
  <c r="D106" i="1"/>
  <c r="F98" i="1"/>
  <c r="E98" i="1"/>
  <c r="D98" i="1"/>
  <c r="F90" i="1"/>
  <c r="E90" i="1"/>
  <c r="D90" i="1"/>
  <c r="F82" i="1"/>
  <c r="E82" i="1"/>
  <c r="D82" i="1"/>
  <c r="F74" i="1"/>
  <c r="E74" i="1"/>
  <c r="D74" i="1"/>
  <c r="F66" i="1"/>
  <c r="E66" i="1"/>
  <c r="D66" i="1"/>
  <c r="F58" i="1"/>
  <c r="E58" i="1"/>
  <c r="D58" i="1"/>
  <c r="F50" i="1"/>
  <c r="E50" i="1"/>
  <c r="D50" i="1"/>
  <c r="F42" i="1"/>
  <c r="E42" i="1"/>
  <c r="D42" i="1"/>
  <c r="F34" i="1"/>
  <c r="E34" i="1"/>
  <c r="D34" i="1"/>
  <c r="F26" i="1"/>
  <c r="E26" i="1"/>
  <c r="D26" i="1"/>
  <c r="F18" i="1"/>
  <c r="E18" i="1"/>
  <c r="D18" i="1"/>
  <c r="F10" i="1"/>
  <c r="E10" i="1"/>
  <c r="D10" i="1"/>
  <c r="D140" i="1"/>
  <c r="F23" i="1"/>
  <c r="E23" i="1"/>
  <c r="D23" i="1"/>
  <c r="F350" i="1"/>
  <c r="E350" i="1"/>
  <c r="D350" i="1"/>
  <c r="F222" i="1"/>
  <c r="E222" i="1"/>
  <c r="D222" i="1"/>
  <c r="F150" i="1"/>
  <c r="E150" i="1"/>
  <c r="D150" i="1"/>
  <c r="F54" i="1"/>
  <c r="E54" i="1"/>
  <c r="D54" i="1"/>
  <c r="F930" i="1"/>
  <c r="E930" i="1"/>
  <c r="D930" i="1"/>
  <c r="F844" i="1"/>
  <c r="E844" i="1"/>
  <c r="D844" i="1"/>
  <c r="F385" i="1"/>
  <c r="E385" i="1"/>
  <c r="D385" i="1"/>
  <c r="F353" i="1"/>
  <c r="E353" i="1"/>
  <c r="D353" i="1"/>
  <c r="F321" i="1"/>
  <c r="E321" i="1"/>
  <c r="D321" i="1"/>
  <c r="F289" i="1"/>
  <c r="E289" i="1"/>
  <c r="D289" i="1"/>
  <c r="F257" i="1"/>
  <c r="E257" i="1"/>
  <c r="D257" i="1"/>
  <c r="F225" i="1"/>
  <c r="E225" i="1"/>
  <c r="D225" i="1"/>
  <c r="F193" i="1"/>
  <c r="E193" i="1"/>
  <c r="D193" i="1"/>
  <c r="F161" i="1"/>
  <c r="E161" i="1"/>
  <c r="D161" i="1"/>
  <c r="F129" i="1"/>
  <c r="E129" i="1"/>
  <c r="D129" i="1"/>
  <c r="F97" i="1"/>
  <c r="E97" i="1"/>
  <c r="D97" i="1"/>
  <c r="F65" i="1"/>
  <c r="E65" i="1"/>
  <c r="D65" i="1"/>
  <c r="F33" i="1"/>
  <c r="E33" i="1"/>
  <c r="D33" i="1"/>
  <c r="F9" i="1"/>
  <c r="E9" i="1"/>
  <c r="D9" i="1"/>
  <c r="D373" i="1"/>
  <c r="E652" i="1"/>
  <c r="F311" i="1"/>
  <c r="E311" i="1"/>
  <c r="D311" i="1"/>
  <c r="F899" i="1"/>
  <c r="E899" i="1"/>
  <c r="D899" i="1"/>
  <c r="F896" i="1"/>
  <c r="E896" i="1"/>
  <c r="D896" i="1"/>
  <c r="F888" i="1"/>
  <c r="E888" i="1"/>
  <c r="D888" i="1"/>
  <c r="F856" i="1"/>
  <c r="E856" i="1"/>
  <c r="F832" i="1"/>
  <c r="E832" i="1"/>
  <c r="D832" i="1"/>
  <c r="F824" i="1"/>
  <c r="E824" i="1"/>
  <c r="D824" i="1"/>
  <c r="F800" i="1"/>
  <c r="E800" i="1"/>
  <c r="D800" i="1"/>
  <c r="F768" i="1"/>
  <c r="E768" i="1"/>
  <c r="D768" i="1"/>
  <c r="F760" i="1"/>
  <c r="E760" i="1"/>
  <c r="D760" i="1"/>
  <c r="F736" i="1"/>
  <c r="E736" i="1"/>
  <c r="D736" i="1"/>
  <c r="F728" i="1"/>
  <c r="E728" i="1"/>
  <c r="F704" i="1"/>
  <c r="E704" i="1"/>
  <c r="D704" i="1"/>
  <c r="F696" i="1"/>
  <c r="E696" i="1"/>
  <c r="D696" i="1"/>
  <c r="E672" i="1"/>
  <c r="F672" i="1"/>
  <c r="D672" i="1"/>
  <c r="F664" i="1"/>
  <c r="E664" i="1"/>
  <c r="D664" i="1"/>
  <c r="F640" i="1"/>
  <c r="E640" i="1"/>
  <c r="D640" i="1"/>
  <c r="F632" i="1"/>
  <c r="E632" i="1"/>
  <c r="D632" i="1"/>
  <c r="F608" i="1"/>
  <c r="E608" i="1"/>
  <c r="D608" i="1"/>
  <c r="E592" i="1"/>
  <c r="F592" i="1"/>
  <c r="D592" i="1"/>
  <c r="F584" i="1"/>
  <c r="E584" i="1"/>
  <c r="D584" i="1"/>
  <c r="F568" i="1"/>
  <c r="E568" i="1"/>
  <c r="D568" i="1"/>
  <c r="F544" i="1"/>
  <c r="E544" i="1"/>
  <c r="D544" i="1"/>
  <c r="F528" i="1"/>
  <c r="E528" i="1"/>
  <c r="D528" i="1"/>
  <c r="F520" i="1"/>
  <c r="E520" i="1"/>
  <c r="D520" i="1"/>
  <c r="F504" i="1"/>
  <c r="E504" i="1"/>
  <c r="D504" i="1"/>
  <c r="F488" i="1"/>
  <c r="E488" i="1"/>
  <c r="D488" i="1"/>
  <c r="F472" i="1"/>
  <c r="E472" i="1"/>
  <c r="D472" i="1"/>
  <c r="F456" i="1"/>
  <c r="E456" i="1"/>
  <c r="D456" i="1"/>
  <c r="F440" i="1"/>
  <c r="E440" i="1"/>
  <c r="D440" i="1"/>
  <c r="F424" i="1"/>
  <c r="E424" i="1"/>
  <c r="D424" i="1"/>
  <c r="F392" i="1"/>
  <c r="E392" i="1"/>
  <c r="D392" i="1"/>
  <c r="F360" i="1"/>
  <c r="E360" i="1"/>
  <c r="D360" i="1"/>
  <c r="F328" i="1"/>
  <c r="E328" i="1"/>
  <c r="D328" i="1"/>
  <c r="F296" i="1"/>
  <c r="E296" i="1"/>
  <c r="D296" i="1"/>
  <c r="F264" i="1"/>
  <c r="E264" i="1"/>
  <c r="D264" i="1"/>
  <c r="F232" i="1"/>
  <c r="E232" i="1"/>
  <c r="D232" i="1"/>
  <c r="F200" i="1"/>
  <c r="E200" i="1"/>
  <c r="D200" i="1"/>
  <c r="F192" i="1"/>
  <c r="E192" i="1"/>
  <c r="D192" i="1"/>
  <c r="F168" i="1"/>
  <c r="E168" i="1"/>
  <c r="D168" i="1"/>
  <c r="E160" i="1"/>
  <c r="F160" i="1"/>
  <c r="D160" i="1"/>
  <c r="F136" i="1"/>
  <c r="E136" i="1"/>
  <c r="D136" i="1"/>
  <c r="F128" i="1"/>
  <c r="E128" i="1"/>
  <c r="D128" i="1"/>
  <c r="F104" i="1"/>
  <c r="E104" i="1"/>
  <c r="D104" i="1"/>
  <c r="F96" i="1"/>
  <c r="E96" i="1"/>
  <c r="D96" i="1"/>
  <c r="F72" i="1"/>
  <c r="E72" i="1"/>
  <c r="D72" i="1"/>
  <c r="E64" i="1"/>
  <c r="F64" i="1"/>
  <c r="D64" i="1"/>
  <c r="F40" i="1"/>
  <c r="E40" i="1"/>
  <c r="D40" i="1"/>
  <c r="E32" i="1"/>
  <c r="F32" i="1"/>
  <c r="D32" i="1"/>
  <c r="F8" i="1"/>
  <c r="E8" i="1"/>
  <c r="D8" i="1"/>
  <c r="D793" i="1"/>
  <c r="G792" i="1" l="1"/>
</calcChain>
</file>

<file path=xl/sharedStrings.xml><?xml version="1.0" encoding="utf-8"?>
<sst xmlns="http://schemas.openxmlformats.org/spreadsheetml/2006/main" count="33157" uniqueCount="8933">
  <si>
    <t>VIN</t>
  </si>
  <si>
    <t>Last 6 Didgit of VIN</t>
  </si>
  <si>
    <t>first 5 digit</t>
  </si>
  <si>
    <t>no space</t>
  </si>
  <si>
    <t>UnitNo</t>
  </si>
  <si>
    <t>Status</t>
  </si>
  <si>
    <t>Class</t>
  </si>
  <si>
    <t>Make</t>
  </si>
  <si>
    <t>Model</t>
  </si>
  <si>
    <t>ModelYear</t>
  </si>
  <si>
    <t>RefreshDate</t>
  </si>
  <si>
    <t>Category</t>
  </si>
  <si>
    <t>Division</t>
  </si>
  <si>
    <t>Terminal</t>
  </si>
  <si>
    <t>LastTripID</t>
  </si>
  <si>
    <t>LasttripDate</t>
  </si>
  <si>
    <t>InductionDate</t>
  </si>
  <si>
    <t>TruckId</t>
  </si>
  <si>
    <t>1XKTDB9X35J978012</t>
  </si>
  <si>
    <t>978012</t>
  </si>
  <si>
    <t>900</t>
  </si>
  <si>
    <t>INACTIVE</t>
  </si>
  <si>
    <t>Company</t>
  </si>
  <si>
    <t>KENWORTH</t>
  </si>
  <si>
    <t>T2000</t>
  </si>
  <si>
    <t/>
  </si>
  <si>
    <t>PEARL GLOBAL LOGISTICS</t>
  </si>
  <si>
    <t>DONOTUSE</t>
  </si>
  <si>
    <t>1XKTDB9X25J978521</t>
  </si>
  <si>
    <t>978521</t>
  </si>
  <si>
    <t>901</t>
  </si>
  <si>
    <t>4V4ND2GG4YN234024</t>
  </si>
  <si>
    <t>234024</t>
  </si>
  <si>
    <t>902</t>
  </si>
  <si>
    <t>VOLVO</t>
  </si>
  <si>
    <t>VVN</t>
  </si>
  <si>
    <t>PEARL GLOBAL LOG.</t>
  </si>
  <si>
    <t>BKFS LOGISTICS</t>
  </si>
  <si>
    <t>1XKAD49X16J985514</t>
  </si>
  <si>
    <t>985514</t>
  </si>
  <si>
    <t>903</t>
  </si>
  <si>
    <t>CON</t>
  </si>
  <si>
    <t>CHARGER LOGISTICS INC</t>
  </si>
  <si>
    <t>4V4NC9GH86N409845</t>
  </si>
  <si>
    <t>409845</t>
  </si>
  <si>
    <t>905</t>
  </si>
  <si>
    <t>4VG7DBRF1XN776132</t>
  </si>
  <si>
    <t>776132</t>
  </si>
  <si>
    <t>907</t>
  </si>
  <si>
    <t>SWIFT INTEGRATED LOG</t>
  </si>
  <si>
    <t>1FUJA6CKX7LX63971</t>
  </si>
  <si>
    <t>X63971</t>
  </si>
  <si>
    <t>910</t>
  </si>
  <si>
    <t>FREIGHTLINER</t>
  </si>
  <si>
    <t>COLUMBIA</t>
  </si>
  <si>
    <t>CIT</t>
  </si>
  <si>
    <t>XKADB9X27J997337</t>
  </si>
  <si>
    <t>997337</t>
  </si>
  <si>
    <t>912</t>
  </si>
  <si>
    <t>T600</t>
  </si>
  <si>
    <t>1XKADB9X97J997335</t>
  </si>
  <si>
    <t>997335</t>
  </si>
  <si>
    <t>914</t>
  </si>
  <si>
    <t>Owner Operator</t>
  </si>
  <si>
    <t>1FUJA6CVX8LZ05344</t>
  </si>
  <si>
    <t>Z05344</t>
  </si>
  <si>
    <t>927</t>
  </si>
  <si>
    <t>GE Capital Corp</t>
  </si>
  <si>
    <t>1FUJA6CV18LZ05345</t>
  </si>
  <si>
    <t>Z05345</t>
  </si>
  <si>
    <t>929</t>
  </si>
  <si>
    <t>4VG7DAJH7WN752245</t>
  </si>
  <si>
    <t>752245</t>
  </si>
  <si>
    <t>930</t>
  </si>
  <si>
    <t>4V4NC9TH24N366400</t>
  </si>
  <si>
    <t>366400</t>
  </si>
  <si>
    <t>932</t>
  </si>
  <si>
    <t>2HSFHAER4XC065279</t>
  </si>
  <si>
    <t>065279</t>
  </si>
  <si>
    <t>933</t>
  </si>
  <si>
    <t>INTERNATIONAL</t>
  </si>
  <si>
    <t>1XKADB9X65J083654</t>
  </si>
  <si>
    <t>083654</t>
  </si>
  <si>
    <t>934</t>
  </si>
  <si>
    <t>1FUJA6CG11LH29830</t>
  </si>
  <si>
    <t>H29830</t>
  </si>
  <si>
    <t>935</t>
  </si>
  <si>
    <t>120</t>
  </si>
  <si>
    <t>1FUJCRCK77PY55012</t>
  </si>
  <si>
    <t>Y55012</t>
  </si>
  <si>
    <t>7936</t>
  </si>
  <si>
    <t>ACTIVE</t>
  </si>
  <si>
    <t>(ON) TX SINGLE</t>
  </si>
  <si>
    <t>Mississauga2509RoyalWindsor</t>
  </si>
  <si>
    <t>1XKADB9X36J982425</t>
  </si>
  <si>
    <t>982425</t>
  </si>
  <si>
    <t>938</t>
  </si>
  <si>
    <t>705</t>
  </si>
  <si>
    <t>JHBNE8JT751S10277</t>
  </si>
  <si>
    <t>S10277</t>
  </si>
  <si>
    <t>709</t>
  </si>
  <si>
    <t>HINO</t>
  </si>
  <si>
    <t>HIN</t>
  </si>
  <si>
    <t>1XKTDB9X5XJ957097</t>
  </si>
  <si>
    <t>957097</t>
  </si>
  <si>
    <t>144</t>
  </si>
  <si>
    <t>Temporary</t>
  </si>
  <si>
    <t>1M1AA13Y93W15414</t>
  </si>
  <si>
    <t>W15414</t>
  </si>
  <si>
    <t>961</t>
  </si>
  <si>
    <t>MACK</t>
  </si>
  <si>
    <t>600</t>
  </si>
  <si>
    <t>1XKADB9X07J116182</t>
  </si>
  <si>
    <t>116182</t>
  </si>
  <si>
    <t>951</t>
  </si>
  <si>
    <t>1XKADB9X37J116290</t>
  </si>
  <si>
    <t>116290</t>
  </si>
  <si>
    <t>953</t>
  </si>
  <si>
    <t>5KJJALCK47PY5688</t>
  </si>
  <si>
    <t>PY5688</t>
  </si>
  <si>
    <t>954</t>
  </si>
  <si>
    <t>WESTERN STAR</t>
  </si>
  <si>
    <t>CNV</t>
  </si>
  <si>
    <t>2HSCEAMR3YC056068</t>
  </si>
  <si>
    <t>056068</t>
  </si>
  <si>
    <t>939</t>
  </si>
  <si>
    <t>920</t>
  </si>
  <si>
    <t>1XKADB9X57J116193</t>
  </si>
  <si>
    <t>116193</t>
  </si>
  <si>
    <t>952</t>
  </si>
  <si>
    <t>1FUJAHCG11LG85999</t>
  </si>
  <si>
    <t>G85999</t>
  </si>
  <si>
    <t>7956</t>
  </si>
  <si>
    <t>1FUJBBCK08LZ37974</t>
  </si>
  <si>
    <t>Z37974</t>
  </si>
  <si>
    <t>955</t>
  </si>
  <si>
    <t>1M1AA13Y33W15289</t>
  </si>
  <si>
    <t>W15289</t>
  </si>
  <si>
    <t>960</t>
  </si>
  <si>
    <t>1FUYSSZB5YLF62821</t>
  </si>
  <si>
    <t>F62821</t>
  </si>
  <si>
    <t>301</t>
  </si>
  <si>
    <t>FRT</t>
  </si>
  <si>
    <t>2FUPDXYB8TA676649</t>
  </si>
  <si>
    <t>676649</t>
  </si>
  <si>
    <t>957</t>
  </si>
  <si>
    <t>4V4NC9GH43N339921</t>
  </si>
  <si>
    <t>339921</t>
  </si>
  <si>
    <t>963</t>
  </si>
  <si>
    <t>VNL</t>
  </si>
  <si>
    <t>2HSCNSBR77C34972</t>
  </si>
  <si>
    <t>C34972</t>
  </si>
  <si>
    <t>965</t>
  </si>
  <si>
    <t>940</t>
  </si>
  <si>
    <t>CHARGER LOGISTICS USA INC</t>
  </si>
  <si>
    <t>KJJAEDE77PW8010</t>
  </si>
  <si>
    <t>PW8010</t>
  </si>
  <si>
    <t>964</t>
  </si>
  <si>
    <t>KJJAEDE84PN08625</t>
  </si>
  <si>
    <t>N08625</t>
  </si>
  <si>
    <t>966</t>
  </si>
  <si>
    <t>WB1</t>
  </si>
  <si>
    <t>1FUJCRCK76PW51454</t>
  </si>
  <si>
    <t>W51454</t>
  </si>
  <si>
    <t>968</t>
  </si>
  <si>
    <t>1XKADB9XX6J981143</t>
  </si>
  <si>
    <t>981143</t>
  </si>
  <si>
    <t>969</t>
  </si>
  <si>
    <t>XKADB9X37J116175</t>
  </si>
  <si>
    <t>116175</t>
  </si>
  <si>
    <t>9900</t>
  </si>
  <si>
    <t>XKADB9X97J116181</t>
  </si>
  <si>
    <t>116181</t>
  </si>
  <si>
    <t>9901</t>
  </si>
  <si>
    <t>XKADB9X07J116246</t>
  </si>
  <si>
    <t>116246</t>
  </si>
  <si>
    <t>9902</t>
  </si>
  <si>
    <t>XKADB9XX7J116240</t>
  </si>
  <si>
    <t>116240</t>
  </si>
  <si>
    <t>9903</t>
  </si>
  <si>
    <t>FUYNWEB7YLF23054</t>
  </si>
  <si>
    <t>F23054</t>
  </si>
  <si>
    <t>402</t>
  </si>
  <si>
    <t>1FUJBBCK27LY65190</t>
  </si>
  <si>
    <t>Y65190</t>
  </si>
  <si>
    <t>971</t>
  </si>
  <si>
    <t>1XKTDB9X54J975580</t>
  </si>
  <si>
    <t>975580</t>
  </si>
  <si>
    <t>972EX</t>
  </si>
  <si>
    <t>972EXP</t>
  </si>
  <si>
    <t>1FUJBBCK17LY35369</t>
  </si>
  <si>
    <t>Y35369</t>
  </si>
  <si>
    <t>7973</t>
  </si>
  <si>
    <t>(ON) MIDWEST</t>
  </si>
  <si>
    <t>XKADB9X66J118680</t>
  </si>
  <si>
    <t>118680</t>
  </si>
  <si>
    <t>9908</t>
  </si>
  <si>
    <t>XKADB9X76J117425</t>
  </si>
  <si>
    <t>117425</t>
  </si>
  <si>
    <t>9905</t>
  </si>
  <si>
    <t>XKADB9X96J117443</t>
  </si>
  <si>
    <t>117443</t>
  </si>
  <si>
    <t>9906</t>
  </si>
  <si>
    <t>XKADB9X36J118748</t>
  </si>
  <si>
    <t>118748</t>
  </si>
  <si>
    <t>9909</t>
  </si>
  <si>
    <t>1FUJA6CVX4PM55830</t>
  </si>
  <si>
    <t>M55830</t>
  </si>
  <si>
    <t>7974</t>
  </si>
  <si>
    <t>XKADB9X76J118672</t>
  </si>
  <si>
    <t>118672</t>
  </si>
  <si>
    <t>9907</t>
  </si>
  <si>
    <t>XKADB9XX6J117418</t>
  </si>
  <si>
    <t>117418</t>
  </si>
  <si>
    <t>9910</t>
  </si>
  <si>
    <t>XKADB9X86J117434</t>
  </si>
  <si>
    <t>117434</t>
  </si>
  <si>
    <t>9911</t>
  </si>
  <si>
    <t>1XKWD69X1XJ952984</t>
  </si>
  <si>
    <t>952984</t>
  </si>
  <si>
    <t>975</t>
  </si>
  <si>
    <t>W900</t>
  </si>
  <si>
    <t>4V4LC9KK69N279496</t>
  </si>
  <si>
    <t>279496</t>
  </si>
  <si>
    <t>977</t>
  </si>
  <si>
    <t>VVT</t>
  </si>
  <si>
    <t>XKADB9X64J971268</t>
  </si>
  <si>
    <t>971268</t>
  </si>
  <si>
    <t>978</t>
  </si>
  <si>
    <t>T60</t>
  </si>
  <si>
    <t>1FUJBBCK97PY432</t>
  </si>
  <si>
    <t>7PY432</t>
  </si>
  <si>
    <t>979</t>
  </si>
  <si>
    <t>1FUJBBAV46LU25032</t>
  </si>
  <si>
    <t>U25032</t>
  </si>
  <si>
    <t>972</t>
  </si>
  <si>
    <t>PETERBILT</t>
  </si>
  <si>
    <t>379</t>
  </si>
  <si>
    <t>4V4NC9TJ67N452929</t>
  </si>
  <si>
    <t>452929</t>
  </si>
  <si>
    <t>980</t>
  </si>
  <si>
    <t>4V4NC9GH85N384394</t>
  </si>
  <si>
    <t>384394</t>
  </si>
  <si>
    <t>981</t>
  </si>
  <si>
    <t>1M1AK06Y75N00338</t>
  </si>
  <si>
    <t>N00338</t>
  </si>
  <si>
    <t>983</t>
  </si>
  <si>
    <t>1XKADB9X75J059301</t>
  </si>
  <si>
    <t>059301</t>
  </si>
  <si>
    <t>982</t>
  </si>
  <si>
    <t>1FUJBBCK07PW63005</t>
  </si>
  <si>
    <t>W63005</t>
  </si>
  <si>
    <t>7984</t>
  </si>
  <si>
    <t>OUT OF SERVICE</t>
  </si>
  <si>
    <t>Windsor6500Cantelon</t>
  </si>
  <si>
    <t>1XKADB9X36J107779</t>
  </si>
  <si>
    <t>107779</t>
  </si>
  <si>
    <t>985</t>
  </si>
  <si>
    <t>1FUJA6CK87LX55187</t>
  </si>
  <si>
    <t>X55187</t>
  </si>
  <si>
    <t>986</t>
  </si>
  <si>
    <t>FUJA6CV84LM46082</t>
  </si>
  <si>
    <t>M46082</t>
  </si>
  <si>
    <t>987</t>
  </si>
  <si>
    <t>4V4NC9GH77N455412</t>
  </si>
  <si>
    <t>455412</t>
  </si>
  <si>
    <t>988</t>
  </si>
  <si>
    <t>1XP7DB9X35D862383</t>
  </si>
  <si>
    <t>862383</t>
  </si>
  <si>
    <t>989</t>
  </si>
  <si>
    <t>4V4NC9GH67N468703</t>
  </si>
  <si>
    <t>468703</t>
  </si>
  <si>
    <t>990</t>
  </si>
  <si>
    <t>IFUJA6CK55LN71239</t>
  </si>
  <si>
    <t>N71239</t>
  </si>
  <si>
    <t>991</t>
  </si>
  <si>
    <t>1FUJBBCK76PN17800</t>
  </si>
  <si>
    <t>N17800</t>
  </si>
  <si>
    <t>992</t>
  </si>
  <si>
    <t>FUJBBAV67LX21784</t>
  </si>
  <si>
    <t>X21784</t>
  </si>
  <si>
    <t>9912</t>
  </si>
  <si>
    <t>CENTURY</t>
  </si>
  <si>
    <t>Element Financial Co</t>
  </si>
  <si>
    <t>FUJBBAV47LX21783</t>
  </si>
  <si>
    <t>X21783</t>
  </si>
  <si>
    <t>9914</t>
  </si>
  <si>
    <t>FUJBBAV07LX21800</t>
  </si>
  <si>
    <t>X21800</t>
  </si>
  <si>
    <t>9915</t>
  </si>
  <si>
    <t>FUJBBAV07LX21778</t>
  </si>
  <si>
    <t>X21778</t>
  </si>
  <si>
    <t>9916</t>
  </si>
  <si>
    <t>3HSCEAMR63N053530</t>
  </si>
  <si>
    <t>053530</t>
  </si>
  <si>
    <t>993</t>
  </si>
  <si>
    <t>UJA6CK86LU76921</t>
  </si>
  <si>
    <t>U76921</t>
  </si>
  <si>
    <t>9917</t>
  </si>
  <si>
    <t>4V4NC9TG17N436240</t>
  </si>
  <si>
    <t>436240</t>
  </si>
  <si>
    <t>994</t>
  </si>
  <si>
    <t>FUJBBAV07LX21781</t>
  </si>
  <si>
    <t>X21781</t>
  </si>
  <si>
    <t>9918</t>
  </si>
  <si>
    <t>FUJA6AVX6DX28482</t>
  </si>
  <si>
    <t>X28482</t>
  </si>
  <si>
    <t>9919</t>
  </si>
  <si>
    <t>FUJA6CK26LU76879</t>
  </si>
  <si>
    <t>U76879</t>
  </si>
  <si>
    <t>9920</t>
  </si>
  <si>
    <t>1XKADB9X37R155107</t>
  </si>
  <si>
    <t>155107</t>
  </si>
  <si>
    <t>995</t>
  </si>
  <si>
    <t>1XKAD49X77J167447</t>
  </si>
  <si>
    <t>167447</t>
  </si>
  <si>
    <t>996</t>
  </si>
  <si>
    <t>1FUJBBAV36PW76441</t>
  </si>
  <si>
    <t>W76441</t>
  </si>
  <si>
    <t>997</t>
  </si>
  <si>
    <t>1XP7DB9X87D743148</t>
  </si>
  <si>
    <t>743148</t>
  </si>
  <si>
    <t>999</t>
  </si>
  <si>
    <t xml:space="preserve">CON </t>
  </si>
  <si>
    <t>V4NC9TG97N437717</t>
  </si>
  <si>
    <t>437717</t>
  </si>
  <si>
    <t>998</t>
  </si>
  <si>
    <t>4V4NC9TG57N487532</t>
  </si>
  <si>
    <t>487532</t>
  </si>
  <si>
    <t>1000</t>
  </si>
  <si>
    <t>4V4NC9TG67N487538</t>
  </si>
  <si>
    <t>487538</t>
  </si>
  <si>
    <t>1001O</t>
  </si>
  <si>
    <t>1FUJBBCK97PX36839</t>
  </si>
  <si>
    <t>X36839</t>
  </si>
  <si>
    <t>1003</t>
  </si>
  <si>
    <t>4V4NC9TG37N456408</t>
  </si>
  <si>
    <t>456408</t>
  </si>
  <si>
    <t>1002</t>
  </si>
  <si>
    <t>1FUJA6CK55LN71239</t>
  </si>
  <si>
    <t>9921</t>
  </si>
  <si>
    <t>2HSCNAPR95C186055</t>
  </si>
  <si>
    <t>186055</t>
  </si>
  <si>
    <t>739</t>
  </si>
  <si>
    <t>4V4NC9GH41N312330</t>
  </si>
  <si>
    <t>312330</t>
  </si>
  <si>
    <t>1004</t>
  </si>
  <si>
    <t>1FUJBBAV27PW76593</t>
  </si>
  <si>
    <t>W76593</t>
  </si>
  <si>
    <t>1005</t>
  </si>
  <si>
    <t>1FUJBBCK84LM72127</t>
  </si>
  <si>
    <t>M72127</t>
  </si>
  <si>
    <t>1006</t>
  </si>
  <si>
    <t>4V4NC9GH07N468423</t>
  </si>
  <si>
    <t>468423</t>
  </si>
  <si>
    <t>1007</t>
  </si>
  <si>
    <t>V4NC9GH87N468427</t>
  </si>
  <si>
    <t>468427</t>
  </si>
  <si>
    <t>1008</t>
  </si>
  <si>
    <t>2HSCEAXRX3C057528</t>
  </si>
  <si>
    <t>057528</t>
  </si>
  <si>
    <t>1014</t>
  </si>
  <si>
    <t>V4NC9GHX7N468235</t>
  </si>
  <si>
    <t>468235</t>
  </si>
  <si>
    <t>1009</t>
  </si>
  <si>
    <t>4V4NC9GH13N347992</t>
  </si>
  <si>
    <t>347992</t>
  </si>
  <si>
    <t>1011</t>
  </si>
  <si>
    <t>4V4NC9GH84N363933</t>
  </si>
  <si>
    <t>363933</t>
  </si>
  <si>
    <t>1010</t>
  </si>
  <si>
    <t>XKADB9X57R175049</t>
  </si>
  <si>
    <t>175049</t>
  </si>
  <si>
    <t>9922</t>
  </si>
  <si>
    <t>Coast Capital</t>
  </si>
  <si>
    <t>XKADB9X17R175050</t>
  </si>
  <si>
    <t>175050</t>
  </si>
  <si>
    <t>9923</t>
  </si>
  <si>
    <t>1XKADB9X37R17505</t>
  </si>
  <si>
    <t>R17505</t>
  </si>
  <si>
    <t>9924</t>
  </si>
  <si>
    <t>XKADB9X57R175052</t>
  </si>
  <si>
    <t>175052</t>
  </si>
  <si>
    <t>9925</t>
  </si>
  <si>
    <t>4V4NC9KJ77N468512</t>
  </si>
  <si>
    <t>468512</t>
  </si>
  <si>
    <t>1015</t>
  </si>
  <si>
    <t>4V4ND1JJ8YN240567</t>
  </si>
  <si>
    <t>240567</t>
  </si>
  <si>
    <t>1012</t>
  </si>
  <si>
    <t>4V4NC9TG55N383944</t>
  </si>
  <si>
    <t>383944</t>
  </si>
  <si>
    <t>71016</t>
  </si>
  <si>
    <t>FUJA6AV57LW21041</t>
  </si>
  <si>
    <t>W21041</t>
  </si>
  <si>
    <t>9926</t>
  </si>
  <si>
    <t>FUJA6AV97LW21043</t>
  </si>
  <si>
    <t>W21043</t>
  </si>
  <si>
    <t>9927</t>
  </si>
  <si>
    <t>FUJA6AV87LW21065</t>
  </si>
  <si>
    <t>W21065</t>
  </si>
  <si>
    <t>9928</t>
  </si>
  <si>
    <t>FUJA6AV57LW21170</t>
  </si>
  <si>
    <t>W21170</t>
  </si>
  <si>
    <t>9929</t>
  </si>
  <si>
    <t>FUJA6AV57LW21184</t>
  </si>
  <si>
    <t>W21184</t>
  </si>
  <si>
    <t>9930</t>
  </si>
  <si>
    <t>2GTEK19V331289131</t>
  </si>
  <si>
    <t>289131</t>
  </si>
  <si>
    <t>718 P</t>
  </si>
  <si>
    <t>718P</t>
  </si>
  <si>
    <t>718 PU</t>
  </si>
  <si>
    <t>GMC</t>
  </si>
  <si>
    <t>SIE</t>
  </si>
  <si>
    <t>Brampton25Production</t>
  </si>
  <si>
    <t>1FUJA6AV87LW21227</t>
  </si>
  <si>
    <t>W21227</t>
  </si>
  <si>
    <t>1017</t>
  </si>
  <si>
    <t>1FUJA6AVX7LW21262</t>
  </si>
  <si>
    <t>W21262</t>
  </si>
  <si>
    <t>1018</t>
  </si>
  <si>
    <t>(ON) LOCAL</t>
  </si>
  <si>
    <t>1FUJA6AV17LW21263</t>
  </si>
  <si>
    <t>W21263</t>
  </si>
  <si>
    <t>1019</t>
  </si>
  <si>
    <t>1FUJA6AV37LW21264</t>
  </si>
  <si>
    <t>W21264</t>
  </si>
  <si>
    <t>1020</t>
  </si>
  <si>
    <t>FUJA6AVX7LW21309</t>
  </si>
  <si>
    <t>W21309</t>
  </si>
  <si>
    <t>1021</t>
  </si>
  <si>
    <t>82366</t>
  </si>
  <si>
    <t>711 F</t>
  </si>
  <si>
    <t>711F</t>
  </si>
  <si>
    <t>711 FL</t>
  </si>
  <si>
    <t>TOYOTA (FORKLIFT)</t>
  </si>
  <si>
    <t>42-6FGCU25</t>
  </si>
  <si>
    <t>2HSCNAPR56C235043</t>
  </si>
  <si>
    <t>235043</t>
  </si>
  <si>
    <t>1022</t>
  </si>
  <si>
    <t>4VG7DARJ3XN772310</t>
  </si>
  <si>
    <t>772310</t>
  </si>
  <si>
    <t>1023</t>
  </si>
  <si>
    <t>2HSCEAHR27C409540</t>
  </si>
  <si>
    <t>409540</t>
  </si>
  <si>
    <t>1025</t>
  </si>
  <si>
    <t>2HSCEAHR47C409541</t>
  </si>
  <si>
    <t>409541</t>
  </si>
  <si>
    <t>1026</t>
  </si>
  <si>
    <t>2HSCEAHR57C409550</t>
  </si>
  <si>
    <t>409550</t>
  </si>
  <si>
    <t>1027</t>
  </si>
  <si>
    <t>XP7DU9X97D670948</t>
  </si>
  <si>
    <t>670948</t>
  </si>
  <si>
    <t>1024</t>
  </si>
  <si>
    <t>1FUJA6CK97LW89409</t>
  </si>
  <si>
    <t>W89409</t>
  </si>
  <si>
    <t>9932</t>
  </si>
  <si>
    <t>1FUJCRCK77PY55009</t>
  </si>
  <si>
    <t>Y55009</t>
  </si>
  <si>
    <t>1028</t>
  </si>
  <si>
    <t>1FVXFB00XDDBW9263</t>
  </si>
  <si>
    <t>BW9263</t>
  </si>
  <si>
    <t>9931</t>
  </si>
  <si>
    <t>CORONADO</t>
  </si>
  <si>
    <t>(MI) HIGHWAY</t>
  </si>
  <si>
    <t>Romulus28800Highland</t>
  </si>
  <si>
    <t>1FUJGLCK58LAC4889</t>
  </si>
  <si>
    <t>AC4889</t>
  </si>
  <si>
    <t>1029</t>
  </si>
  <si>
    <t>CASCADIA</t>
  </si>
  <si>
    <t>1FUJGLDR0DLFE1037</t>
  </si>
  <si>
    <t>FE1037</t>
  </si>
  <si>
    <t>9933</t>
  </si>
  <si>
    <t>1FUJGLCK78LAC4862</t>
  </si>
  <si>
    <t>AC4862</t>
  </si>
  <si>
    <t>1030</t>
  </si>
  <si>
    <t>1FUJBBAV21LH58213</t>
  </si>
  <si>
    <t>H58213</t>
  </si>
  <si>
    <t>1031</t>
  </si>
  <si>
    <t>1FUJBBAV71LH58210</t>
  </si>
  <si>
    <t>H58210</t>
  </si>
  <si>
    <t>1032</t>
  </si>
  <si>
    <t>1FUJBBCKX7LY58374</t>
  </si>
  <si>
    <t>Y58374</t>
  </si>
  <si>
    <t>1033</t>
  </si>
  <si>
    <t>4V4NC9TJ04N353230</t>
  </si>
  <si>
    <t>353230</t>
  </si>
  <si>
    <t>9934</t>
  </si>
  <si>
    <t>TR</t>
  </si>
  <si>
    <t>1FUJGLCK48LAC4866</t>
  </si>
  <si>
    <t>AC4866</t>
  </si>
  <si>
    <t>1035</t>
  </si>
  <si>
    <t>4V4NC9EH4DN139738</t>
  </si>
  <si>
    <t>139738</t>
  </si>
  <si>
    <t>71036</t>
  </si>
  <si>
    <t>71036-SOLD</t>
  </si>
  <si>
    <t>Travelers Financial</t>
  </si>
  <si>
    <t>4V4NC9TH66N392162</t>
  </si>
  <si>
    <t>392162</t>
  </si>
  <si>
    <t>1034</t>
  </si>
  <si>
    <t>FUJA6CG84LM81559</t>
  </si>
  <si>
    <t>M81559</t>
  </si>
  <si>
    <t>1037</t>
  </si>
  <si>
    <t>1XKAD49X0DJ959046</t>
  </si>
  <si>
    <t>959046</t>
  </si>
  <si>
    <t>1038</t>
  </si>
  <si>
    <t>3ALXFB009DDFD1867</t>
  </si>
  <si>
    <t>FD1867</t>
  </si>
  <si>
    <t>9935</t>
  </si>
  <si>
    <t>3ALXFB000DDFD1868</t>
  </si>
  <si>
    <t>FD1868</t>
  </si>
  <si>
    <t>9936</t>
  </si>
  <si>
    <t>4V4ND1RJ0YN240440</t>
  </si>
  <si>
    <t>240440</t>
  </si>
  <si>
    <t>1039</t>
  </si>
  <si>
    <t>11VA817E67A000017</t>
  </si>
  <si>
    <t>000017</t>
  </si>
  <si>
    <t>1040</t>
  </si>
  <si>
    <t>KALMAR</t>
  </si>
  <si>
    <t>OTTAWA</t>
  </si>
  <si>
    <t>(TX) LOCAL</t>
  </si>
  <si>
    <t>Laredo13620Evolutionloop</t>
  </si>
  <si>
    <t>1XKAD49X47J207712</t>
  </si>
  <si>
    <t>207712</t>
  </si>
  <si>
    <t>1042</t>
  </si>
  <si>
    <t>CT</t>
  </si>
  <si>
    <t>4V4NC9EH6DN142883</t>
  </si>
  <si>
    <t>142883</t>
  </si>
  <si>
    <t>1043</t>
  </si>
  <si>
    <t>Volvo Financial</t>
  </si>
  <si>
    <t>V4NC9EH8DN142884</t>
  </si>
  <si>
    <t>142884</t>
  </si>
  <si>
    <t>1044</t>
  </si>
  <si>
    <t>4V4NC9KJ7AN285442</t>
  </si>
  <si>
    <t>285442</t>
  </si>
  <si>
    <t>1041</t>
  </si>
  <si>
    <t>4V4NC9TG29N270359</t>
  </si>
  <si>
    <t>270359</t>
  </si>
  <si>
    <t>1045</t>
  </si>
  <si>
    <t>FUJGLD50ELFM3535</t>
  </si>
  <si>
    <t>FM3535</t>
  </si>
  <si>
    <t>9937</t>
  </si>
  <si>
    <t>1FUJGLD52ELFM3536</t>
  </si>
  <si>
    <t>FM3536</t>
  </si>
  <si>
    <t>9938L</t>
  </si>
  <si>
    <t>1FUJGLD52ELFM3537</t>
  </si>
  <si>
    <t>FM3537</t>
  </si>
  <si>
    <t>9939L</t>
  </si>
  <si>
    <t>FUJA6CKX6DW24738</t>
  </si>
  <si>
    <t>W24738</t>
  </si>
  <si>
    <t>1046</t>
  </si>
  <si>
    <t>PBDP9X4ED221198</t>
  </si>
  <si>
    <t>221198</t>
  </si>
  <si>
    <t>1047</t>
  </si>
  <si>
    <t>579</t>
  </si>
  <si>
    <t>1XPHD49XXBD126049</t>
  </si>
  <si>
    <t>126049</t>
  </si>
  <si>
    <t>1048</t>
  </si>
  <si>
    <t>4V4NC9TH69N280661</t>
  </si>
  <si>
    <t>280661</t>
  </si>
  <si>
    <t>1049</t>
  </si>
  <si>
    <t>UJA6CK57LX63263</t>
  </si>
  <si>
    <t>X63263</t>
  </si>
  <si>
    <t>1050</t>
  </si>
  <si>
    <t>1FUJGLD59ELFP2225</t>
  </si>
  <si>
    <t>FP2225</t>
  </si>
  <si>
    <t>9950L</t>
  </si>
  <si>
    <t>1FUJGLD50ELFP2226</t>
  </si>
  <si>
    <t>FP2226</t>
  </si>
  <si>
    <t>9951L</t>
  </si>
  <si>
    <t>4V4NC9GH45N369181</t>
  </si>
  <si>
    <t>369181</t>
  </si>
  <si>
    <t>71051</t>
  </si>
  <si>
    <t>1FUJGLBG0ALAL1367</t>
  </si>
  <si>
    <t>AL1367</t>
  </si>
  <si>
    <t>71053</t>
  </si>
  <si>
    <t>(ON) MI</t>
  </si>
  <si>
    <t>1FUJBBCK97PY43213</t>
  </si>
  <si>
    <t>Y43213</t>
  </si>
  <si>
    <t>1052</t>
  </si>
  <si>
    <t>1XKADB9XX7J199622</t>
  </si>
  <si>
    <t>199622</t>
  </si>
  <si>
    <t>1054</t>
  </si>
  <si>
    <t>KW</t>
  </si>
  <si>
    <t>41147</t>
  </si>
  <si>
    <t>41147-D-ACTION</t>
  </si>
  <si>
    <t>2HSCNAPR15C163871</t>
  </si>
  <si>
    <t>163871</t>
  </si>
  <si>
    <t>1055</t>
  </si>
  <si>
    <t>INTL</t>
  </si>
  <si>
    <t>XPBDP9X1ED230649</t>
  </si>
  <si>
    <t>230649</t>
  </si>
  <si>
    <t>1056</t>
  </si>
  <si>
    <t>XPBDP9X8ED230650</t>
  </si>
  <si>
    <t>230650</t>
  </si>
  <si>
    <t>1057</t>
  </si>
  <si>
    <t>BDP9XXED230651</t>
  </si>
  <si>
    <t>230651</t>
  </si>
  <si>
    <t>9954</t>
  </si>
  <si>
    <t>XPBDP9X8ED230809</t>
  </si>
  <si>
    <t>230809</t>
  </si>
  <si>
    <t>9955</t>
  </si>
  <si>
    <t>BDP9X4ED230810</t>
  </si>
  <si>
    <t>230810</t>
  </si>
  <si>
    <t>9952</t>
  </si>
  <si>
    <t>V4NC9EH3EN152997</t>
  </si>
  <si>
    <t>152997</t>
  </si>
  <si>
    <t>9953</t>
  </si>
  <si>
    <t>VNL64T670</t>
  </si>
  <si>
    <t>4V4NC9EH7EN162187</t>
  </si>
  <si>
    <t>162187</t>
  </si>
  <si>
    <t>1058</t>
  </si>
  <si>
    <t>VNL64T</t>
  </si>
  <si>
    <t>4NC9EH7EN162190</t>
  </si>
  <si>
    <t>162190</t>
  </si>
  <si>
    <t>1059</t>
  </si>
  <si>
    <t>4V4NC9EH0EN147983</t>
  </si>
  <si>
    <t>147983</t>
  </si>
  <si>
    <t>1060</t>
  </si>
  <si>
    <t>1XKADU9X77J994302</t>
  </si>
  <si>
    <t>994302</t>
  </si>
  <si>
    <t>1061</t>
  </si>
  <si>
    <t>V4NC9TJ56N391426</t>
  </si>
  <si>
    <t>391426</t>
  </si>
  <si>
    <t>1062</t>
  </si>
  <si>
    <t>4NC9EH1EN152867</t>
  </si>
  <si>
    <t>152867</t>
  </si>
  <si>
    <t>1063</t>
  </si>
  <si>
    <t>4V4NC9EH2EN162761</t>
  </si>
  <si>
    <t>162761</t>
  </si>
  <si>
    <t>9956L</t>
  </si>
  <si>
    <t>1XPXD49X6ED233826</t>
  </si>
  <si>
    <t>233826</t>
  </si>
  <si>
    <t>1064</t>
  </si>
  <si>
    <t>4V4NC9EH39N277052</t>
  </si>
  <si>
    <t>277052</t>
  </si>
  <si>
    <t>1065</t>
  </si>
  <si>
    <t>1XKADB9X17J158652</t>
  </si>
  <si>
    <t>158652</t>
  </si>
  <si>
    <t>1066</t>
  </si>
  <si>
    <t>XPBDP9X4ED234534</t>
  </si>
  <si>
    <t>234534</t>
  </si>
  <si>
    <t>9957</t>
  </si>
  <si>
    <t>PBDP9X6ED234535</t>
  </si>
  <si>
    <t>234535</t>
  </si>
  <si>
    <t>9958</t>
  </si>
  <si>
    <t>1FUJBBAV67LX21784</t>
  </si>
  <si>
    <t>710</t>
  </si>
  <si>
    <t>1FUJA6AVX6DX28482</t>
  </si>
  <si>
    <t>714</t>
  </si>
  <si>
    <t>4V4NC9GH66N419788</t>
  </si>
  <si>
    <t>419788</t>
  </si>
  <si>
    <t>71067</t>
  </si>
  <si>
    <t>JA6CK86LU76921</t>
  </si>
  <si>
    <t>712</t>
  </si>
  <si>
    <t>COL-DET</t>
  </si>
  <si>
    <t>UJA6CK26LU76879</t>
  </si>
  <si>
    <t>715</t>
  </si>
  <si>
    <t>1FUJBBAV07LX21800</t>
  </si>
  <si>
    <t>711</t>
  </si>
  <si>
    <t>4V4NC9EH59N277053</t>
  </si>
  <si>
    <t>277053</t>
  </si>
  <si>
    <t>1068</t>
  </si>
  <si>
    <t>V4NC9EH68N494884</t>
  </si>
  <si>
    <t>494884</t>
  </si>
  <si>
    <t>1069</t>
  </si>
  <si>
    <t>4V4NC9KJ49N490602</t>
  </si>
  <si>
    <t>490602</t>
  </si>
  <si>
    <t>1070</t>
  </si>
  <si>
    <t>5KJJALCK47PY56888</t>
  </si>
  <si>
    <t>Y56888</t>
  </si>
  <si>
    <t>1071</t>
  </si>
  <si>
    <t>PBDP9X7ED234527</t>
  </si>
  <si>
    <t>234527</t>
  </si>
  <si>
    <t>9959</t>
  </si>
  <si>
    <t>XPBDP9X9ED234528</t>
  </si>
  <si>
    <t>234528</t>
  </si>
  <si>
    <t>9960</t>
  </si>
  <si>
    <t>PBDP9X0ED234529</t>
  </si>
  <si>
    <t>234529</t>
  </si>
  <si>
    <t>9961</t>
  </si>
  <si>
    <t>XPBDP9X7ED234530</t>
  </si>
  <si>
    <t>234530</t>
  </si>
  <si>
    <t>9962</t>
  </si>
  <si>
    <t>1FUPDDYB4YLG59477</t>
  </si>
  <si>
    <t>G59477</t>
  </si>
  <si>
    <t>716</t>
  </si>
  <si>
    <t>1FUJBBAV27PW76951</t>
  </si>
  <si>
    <t>W76951</t>
  </si>
  <si>
    <t>717</t>
  </si>
  <si>
    <t>4V4NC9EH6EN162259</t>
  </si>
  <si>
    <t>162259</t>
  </si>
  <si>
    <t>1072</t>
  </si>
  <si>
    <t>1FUJA6CKX7LY49524</t>
  </si>
  <si>
    <t>Y49524</t>
  </si>
  <si>
    <t>1073</t>
  </si>
  <si>
    <t>1FUJA6CKX6DW24738</t>
  </si>
  <si>
    <t>720</t>
  </si>
  <si>
    <t>4V4NC9TGX7N436561</t>
  </si>
  <si>
    <t>436561</t>
  </si>
  <si>
    <t>719</t>
  </si>
  <si>
    <t>VN</t>
  </si>
  <si>
    <t>4V4NC9EH68N494884</t>
  </si>
  <si>
    <t>718</t>
  </si>
  <si>
    <t>1XP7DU9X97D670948</t>
  </si>
  <si>
    <t>722</t>
  </si>
  <si>
    <t>4V4NC9EH88N494885</t>
  </si>
  <si>
    <t>494885</t>
  </si>
  <si>
    <t>71074</t>
  </si>
  <si>
    <t>(ON) PA</t>
  </si>
  <si>
    <t>1FUJGLDRXELFL1315</t>
  </si>
  <si>
    <t>FL1315</t>
  </si>
  <si>
    <t>7723</t>
  </si>
  <si>
    <t>4V4NC9KJ57N477290</t>
  </si>
  <si>
    <t>477290</t>
  </si>
  <si>
    <t>721</t>
  </si>
  <si>
    <t>1FUJA6CK27LZ18853</t>
  </si>
  <si>
    <t>Z18853</t>
  </si>
  <si>
    <t>9963</t>
  </si>
  <si>
    <t>TT</t>
  </si>
  <si>
    <t>1XKADB9X39J221012</t>
  </si>
  <si>
    <t>221012</t>
  </si>
  <si>
    <t>9964</t>
  </si>
  <si>
    <t>1NPXGGGG70D244249</t>
  </si>
  <si>
    <t>244249</t>
  </si>
  <si>
    <t>9965L</t>
  </si>
  <si>
    <t>386</t>
  </si>
  <si>
    <t>1FUJA6AVX7LW21309</t>
  </si>
  <si>
    <t>725</t>
  </si>
  <si>
    <t>1XKADB9XX6J117418</t>
  </si>
  <si>
    <t>727</t>
  </si>
  <si>
    <t>4NC9GH87N468427</t>
  </si>
  <si>
    <t>724</t>
  </si>
  <si>
    <t>95933</t>
  </si>
  <si>
    <t>959338 TST</t>
  </si>
  <si>
    <t>KADB9X97J116181</t>
  </si>
  <si>
    <t>726</t>
  </si>
  <si>
    <t>BDP9X4ED221198</t>
  </si>
  <si>
    <t>728</t>
  </si>
  <si>
    <t>1FUJBBAV67PW77083</t>
  </si>
  <si>
    <t>W77083</t>
  </si>
  <si>
    <t>7731</t>
  </si>
  <si>
    <t>ST120</t>
  </si>
  <si>
    <t>1M1AK06YX7N020393</t>
  </si>
  <si>
    <t>020393</t>
  </si>
  <si>
    <t>734</t>
  </si>
  <si>
    <t>1M1AK06Y27N020386</t>
  </si>
  <si>
    <t>020386</t>
  </si>
  <si>
    <t>733</t>
  </si>
  <si>
    <t>4V4NC9TG97N437717</t>
  </si>
  <si>
    <t>7732</t>
  </si>
  <si>
    <t>PBDP9X4ED234534</t>
  </si>
  <si>
    <t>729</t>
  </si>
  <si>
    <t>V4NC9EH7FN179542</t>
  </si>
  <si>
    <t>179542</t>
  </si>
  <si>
    <t>1076-</t>
  </si>
  <si>
    <t>1076-SOLD</t>
  </si>
  <si>
    <t>M1AK06Y35N003397</t>
  </si>
  <si>
    <t>003397</t>
  </si>
  <si>
    <t>735</t>
  </si>
  <si>
    <t>1NPXGGGG10D248894</t>
  </si>
  <si>
    <t>248894</t>
  </si>
  <si>
    <t>9966L</t>
  </si>
  <si>
    <t>NPXGGGG30D248895</t>
  </si>
  <si>
    <t>248895</t>
  </si>
  <si>
    <t>9967L</t>
  </si>
  <si>
    <t>1NPXGGGG50D248896</t>
  </si>
  <si>
    <t>248896</t>
  </si>
  <si>
    <t>9968L</t>
  </si>
  <si>
    <t>1NPXGGGG70D248897</t>
  </si>
  <si>
    <t>248897</t>
  </si>
  <si>
    <t>9969</t>
  </si>
  <si>
    <t>1NPXGGGG90D248898</t>
  </si>
  <si>
    <t>248898</t>
  </si>
  <si>
    <t>9970L</t>
  </si>
  <si>
    <t>FUJAHBD21LH69949</t>
  </si>
  <si>
    <t>H69949</t>
  </si>
  <si>
    <t>1077</t>
  </si>
  <si>
    <t>D12</t>
  </si>
  <si>
    <t>1XP7DU9X07D670952</t>
  </si>
  <si>
    <t>670952</t>
  </si>
  <si>
    <t>7730</t>
  </si>
  <si>
    <t>387</t>
  </si>
  <si>
    <t>3ALXA7007EDFY8490</t>
  </si>
  <si>
    <t>FY8490</t>
  </si>
  <si>
    <t>9972</t>
  </si>
  <si>
    <t>3ALXA7000EDFY8492</t>
  </si>
  <si>
    <t>FY8492</t>
  </si>
  <si>
    <t>9973L</t>
  </si>
  <si>
    <t>3ALXA7001EDFY8498</t>
  </si>
  <si>
    <t>FY8498</t>
  </si>
  <si>
    <t>9974L</t>
  </si>
  <si>
    <t>4V4NC9EJ9AN272381</t>
  </si>
  <si>
    <t>272381</t>
  </si>
  <si>
    <t>1080</t>
  </si>
  <si>
    <t>CONV</t>
  </si>
  <si>
    <t>1FUJA6CK97LX83581</t>
  </si>
  <si>
    <t>X83581</t>
  </si>
  <si>
    <t>9971</t>
  </si>
  <si>
    <t>1XKADB8X17J093075</t>
  </si>
  <si>
    <t>093075</t>
  </si>
  <si>
    <t>1078</t>
  </si>
  <si>
    <t>FUJCRCKX7PY57336</t>
  </si>
  <si>
    <t>Y57336</t>
  </si>
  <si>
    <t>1075</t>
  </si>
  <si>
    <t>1FUJGLDRXCSBJ3047</t>
  </si>
  <si>
    <t>BJ3047</t>
  </si>
  <si>
    <t>1079</t>
  </si>
  <si>
    <t>CSC</t>
  </si>
  <si>
    <t>4V4NC9EH6EN162486</t>
  </si>
  <si>
    <t>162486</t>
  </si>
  <si>
    <t>1081</t>
  </si>
  <si>
    <t>4V4NC9GH14N348688</t>
  </si>
  <si>
    <t>348688</t>
  </si>
  <si>
    <t>7737</t>
  </si>
  <si>
    <t>4V4NC9GHX6N409698</t>
  </si>
  <si>
    <t>409698</t>
  </si>
  <si>
    <t>7738</t>
  </si>
  <si>
    <t>4V4NC9EJXCN557464</t>
  </si>
  <si>
    <t>557464</t>
  </si>
  <si>
    <t>7739</t>
  </si>
  <si>
    <t>M1AK06Y05N003390</t>
  </si>
  <si>
    <t>003390</t>
  </si>
  <si>
    <t>7736</t>
  </si>
  <si>
    <t>4V4NC9EJ6DN564817</t>
  </si>
  <si>
    <t>564817</t>
  </si>
  <si>
    <t>1082</t>
  </si>
  <si>
    <t>XPFDB0X16D664038</t>
  </si>
  <si>
    <t>664038</t>
  </si>
  <si>
    <t>1084</t>
  </si>
  <si>
    <t>XPHDU9X37N659667</t>
  </si>
  <si>
    <t>659667</t>
  </si>
  <si>
    <t>1085</t>
  </si>
  <si>
    <t>1XPHDU9X77N659669</t>
  </si>
  <si>
    <t>659669</t>
  </si>
  <si>
    <t>1086</t>
  </si>
  <si>
    <t>4V4NC9TH94N366376</t>
  </si>
  <si>
    <t>366376</t>
  </si>
  <si>
    <t>1087</t>
  </si>
  <si>
    <t>1FUJA6CV36LW87874</t>
  </si>
  <si>
    <t>W87874</t>
  </si>
  <si>
    <t>1088</t>
  </si>
  <si>
    <t>COL-MER</t>
  </si>
  <si>
    <t>4V4NC9TH24N366378</t>
  </si>
  <si>
    <t>366378</t>
  </si>
  <si>
    <t>71089</t>
  </si>
  <si>
    <t>1XPFDB0XX6D664037</t>
  </si>
  <si>
    <t>664037</t>
  </si>
  <si>
    <t>740</t>
  </si>
  <si>
    <t>1M1AE06Y44N016066</t>
  </si>
  <si>
    <t>016066</t>
  </si>
  <si>
    <t>741</t>
  </si>
  <si>
    <t>1M1AK07Y06N007858</t>
  </si>
  <si>
    <t>007858</t>
  </si>
  <si>
    <t>742</t>
  </si>
  <si>
    <t>5KJJALCV66PU53469</t>
  </si>
  <si>
    <t>U53469</t>
  </si>
  <si>
    <t>743</t>
  </si>
  <si>
    <t>1M1AK07Y35N004354</t>
  </si>
  <si>
    <t>004354</t>
  </si>
  <si>
    <t>744</t>
  </si>
  <si>
    <t>1FUJGLDRXELFJ9665</t>
  </si>
  <si>
    <t>FJ9665</t>
  </si>
  <si>
    <t>71093</t>
  </si>
  <si>
    <t>V4NC9EJ8BN293790</t>
  </si>
  <si>
    <t>293790</t>
  </si>
  <si>
    <t>1083</t>
  </si>
  <si>
    <t>4V4NC9KJ28N490466</t>
  </si>
  <si>
    <t>490466</t>
  </si>
  <si>
    <t>7745</t>
  </si>
  <si>
    <t>3ALXFB004FDGA4694</t>
  </si>
  <si>
    <t>GA4694</t>
  </si>
  <si>
    <t>9975</t>
  </si>
  <si>
    <t>CC132064 T</t>
  </si>
  <si>
    <t>XPBDP9X4ED221198</t>
  </si>
  <si>
    <t>1091</t>
  </si>
  <si>
    <t>1XPBDP9X4ED234534</t>
  </si>
  <si>
    <t>1090</t>
  </si>
  <si>
    <t>ADB9X97J116181</t>
  </si>
  <si>
    <t>1092</t>
  </si>
  <si>
    <t>V4NC9EH7FN908798</t>
  </si>
  <si>
    <t>908798</t>
  </si>
  <si>
    <t>9976-</t>
  </si>
  <si>
    <t>9976-SOLD</t>
  </si>
  <si>
    <t>VNL64T 670</t>
  </si>
  <si>
    <t>4V4NC9EH9FN908799</t>
  </si>
  <si>
    <t>908799</t>
  </si>
  <si>
    <t>9977L</t>
  </si>
  <si>
    <t>4V4NC9EH1FN908800</t>
  </si>
  <si>
    <t>908800</t>
  </si>
  <si>
    <t>9978L</t>
  </si>
  <si>
    <t>V4NC9EH3FN908801</t>
  </si>
  <si>
    <t>908801</t>
  </si>
  <si>
    <t>9979</t>
  </si>
  <si>
    <t>4V4NC9EH5FN908802</t>
  </si>
  <si>
    <t>908802</t>
  </si>
  <si>
    <t>9980L</t>
  </si>
  <si>
    <t>(TX) HIGHWAY</t>
  </si>
  <si>
    <t xml:space="preserve">HSCNSBR77C349723 </t>
  </si>
  <si>
    <t xml:space="preserve">49723 </t>
  </si>
  <si>
    <t>1095</t>
  </si>
  <si>
    <t>1FUJA6AV87LW21065</t>
  </si>
  <si>
    <t>1100</t>
  </si>
  <si>
    <t>1FUJA6AV97LW21043</t>
  </si>
  <si>
    <t>1099</t>
  </si>
  <si>
    <t>XKADB9X37R175051</t>
  </si>
  <si>
    <t>175051</t>
  </si>
  <si>
    <t>1098</t>
  </si>
  <si>
    <t>V4NC9GH57N433408</t>
  </si>
  <si>
    <t>433408</t>
  </si>
  <si>
    <t>1094</t>
  </si>
  <si>
    <t>V4NC9TG98N492508</t>
  </si>
  <si>
    <t>492508</t>
  </si>
  <si>
    <t>1096</t>
  </si>
  <si>
    <t>V4NC9EJ9FN174541</t>
  </si>
  <si>
    <t>174541</t>
  </si>
  <si>
    <t>1097</t>
  </si>
  <si>
    <t>M1AK07Y97N024384</t>
  </si>
  <si>
    <t>024384</t>
  </si>
  <si>
    <t>1102</t>
  </si>
  <si>
    <t>CXN613</t>
  </si>
  <si>
    <t>1M1AK07Y76N012426</t>
  </si>
  <si>
    <t>012426</t>
  </si>
  <si>
    <t>1103</t>
  </si>
  <si>
    <t>1M1AK07Y36N012424</t>
  </si>
  <si>
    <t>012424</t>
  </si>
  <si>
    <t>1104</t>
  </si>
  <si>
    <t>M1AK07Y55N003366</t>
  </si>
  <si>
    <t>003366</t>
  </si>
  <si>
    <t>1105</t>
  </si>
  <si>
    <t>1FUJA6AV64LM59271</t>
  </si>
  <si>
    <t>M59271</t>
  </si>
  <si>
    <t>746</t>
  </si>
  <si>
    <t>FUY3MDBXYLF38921</t>
  </si>
  <si>
    <t>F38921</t>
  </si>
  <si>
    <t>747</t>
  </si>
  <si>
    <t>1NPXGGGG90D246245</t>
  </si>
  <si>
    <t>246245</t>
  </si>
  <si>
    <t>2200</t>
  </si>
  <si>
    <t>1NPXGGGG00D246246</t>
  </si>
  <si>
    <t>246246</t>
  </si>
  <si>
    <t>2201</t>
  </si>
  <si>
    <t>1NPXGGGG40D246248</t>
  </si>
  <si>
    <t>246248</t>
  </si>
  <si>
    <t>2202</t>
  </si>
  <si>
    <t>V4NC9EHXFN179714</t>
  </si>
  <si>
    <t>179714</t>
  </si>
  <si>
    <t>1101</t>
  </si>
  <si>
    <t>1NPXGGGG20D246247</t>
  </si>
  <si>
    <t>246247</t>
  </si>
  <si>
    <t>2203</t>
  </si>
  <si>
    <t>1NPXGGGG70D246244</t>
  </si>
  <si>
    <t>246244</t>
  </si>
  <si>
    <t>2204L</t>
  </si>
  <si>
    <t>1NPXGGGG10D268157</t>
  </si>
  <si>
    <t>268157</t>
  </si>
  <si>
    <t>9999</t>
  </si>
  <si>
    <t>389</t>
  </si>
  <si>
    <t>4V4NC9EH3EN152921</t>
  </si>
  <si>
    <t>152921</t>
  </si>
  <si>
    <t>1106</t>
  </si>
  <si>
    <t>4V4NC9EJ79N276277</t>
  </si>
  <si>
    <t>276277</t>
  </si>
  <si>
    <t>7700</t>
  </si>
  <si>
    <t>4V4NC9EH4CN555318</t>
  </si>
  <si>
    <t>555318</t>
  </si>
  <si>
    <t>1107</t>
  </si>
  <si>
    <t>4NC9EH3EN152997</t>
  </si>
  <si>
    <t>1109</t>
  </si>
  <si>
    <t>1XKADB8X47J093247</t>
  </si>
  <si>
    <t>093247</t>
  </si>
  <si>
    <t>1108</t>
  </si>
  <si>
    <t>C5901</t>
  </si>
  <si>
    <t>C5902</t>
  </si>
  <si>
    <t>C5903</t>
  </si>
  <si>
    <t>C5904</t>
  </si>
  <si>
    <t>C5905</t>
  </si>
  <si>
    <t>366</t>
  </si>
  <si>
    <t>FK691</t>
  </si>
  <si>
    <t>1M1AK07Y55N001052</t>
  </si>
  <si>
    <t>001052</t>
  </si>
  <si>
    <t>748</t>
  </si>
  <si>
    <t>M1AE06Y55N022122</t>
  </si>
  <si>
    <t>022122</t>
  </si>
  <si>
    <t>749</t>
  </si>
  <si>
    <t>1XKTDB9X86J982185</t>
  </si>
  <si>
    <t>982185</t>
  </si>
  <si>
    <t>1110</t>
  </si>
  <si>
    <t>1XKDDB0X86J990000</t>
  </si>
  <si>
    <t>990000</t>
  </si>
  <si>
    <t>1111</t>
  </si>
  <si>
    <t>T800</t>
  </si>
  <si>
    <t>Dorval9800Ryan</t>
  </si>
  <si>
    <t>3ALXFB007FDGD3655</t>
  </si>
  <si>
    <t>GD3655</t>
  </si>
  <si>
    <t>9981</t>
  </si>
  <si>
    <t xml:space="preserve">FREIGHTLINER </t>
  </si>
  <si>
    <t>3ALXFB002FDGD3658</t>
  </si>
  <si>
    <t>GD3658</t>
  </si>
  <si>
    <t>9982</t>
  </si>
  <si>
    <t>1FUJGLD55FLGE3935</t>
  </si>
  <si>
    <t>GE3935</t>
  </si>
  <si>
    <t>71112</t>
  </si>
  <si>
    <t>(ON) TX TEAM</t>
  </si>
  <si>
    <t>4V4NC9EJ4FN183650</t>
  </si>
  <si>
    <t>183650</t>
  </si>
  <si>
    <t>1114</t>
  </si>
  <si>
    <t>3ALXFB009FDGD3656</t>
  </si>
  <si>
    <t>GD3656</t>
  </si>
  <si>
    <t>9983</t>
  </si>
  <si>
    <t>3ALXFB000FDGD3657</t>
  </si>
  <si>
    <t>GD3657</t>
  </si>
  <si>
    <t>9984</t>
  </si>
  <si>
    <t>1FUJA6CK46LV47015</t>
  </si>
  <si>
    <t>V47015</t>
  </si>
  <si>
    <t>1115</t>
  </si>
  <si>
    <t>3ALXFB004FDGD3659</t>
  </si>
  <si>
    <t>GD3659</t>
  </si>
  <si>
    <t>9985</t>
  </si>
  <si>
    <t>1FUJA6CK87LZ42994</t>
  </si>
  <si>
    <t>Z42994</t>
  </si>
  <si>
    <t>9986</t>
  </si>
  <si>
    <t>2HSCNSCR27C524488</t>
  </si>
  <si>
    <t>524488</t>
  </si>
  <si>
    <t>7750</t>
  </si>
  <si>
    <t>9400</t>
  </si>
  <si>
    <t>4V4NC9TH97N455918</t>
  </si>
  <si>
    <t>455918</t>
  </si>
  <si>
    <t>1116</t>
  </si>
  <si>
    <t>53407</t>
  </si>
  <si>
    <t>534078-TST</t>
  </si>
  <si>
    <t>73802</t>
  </si>
  <si>
    <t>738024-TST</t>
  </si>
  <si>
    <t>PBDP9X1ED230649</t>
  </si>
  <si>
    <t>9987</t>
  </si>
  <si>
    <t>1FUJGLCK48LAC2776</t>
  </si>
  <si>
    <t>AC2776</t>
  </si>
  <si>
    <t>71117</t>
  </si>
  <si>
    <t>FK692</t>
  </si>
  <si>
    <t>4V4NC9EJ2AN280919</t>
  </si>
  <si>
    <t>280919</t>
  </si>
  <si>
    <t>1119</t>
  </si>
  <si>
    <t>670</t>
  </si>
  <si>
    <t>4V4NC9EJ59N285186</t>
  </si>
  <si>
    <t>285186</t>
  </si>
  <si>
    <t>9988</t>
  </si>
  <si>
    <t>1XKADB9X86J117434</t>
  </si>
  <si>
    <t>1120</t>
  </si>
  <si>
    <t>1XPFDB9X56N64002</t>
  </si>
  <si>
    <t>N64002</t>
  </si>
  <si>
    <t>1118</t>
  </si>
  <si>
    <t>4V4NC9EH0DN563546</t>
  </si>
  <si>
    <t>563546</t>
  </si>
  <si>
    <t>71121</t>
  </si>
  <si>
    <t>(ON) MIDWEST TEAM</t>
  </si>
  <si>
    <t>2HSCHSCR96C338775</t>
  </si>
  <si>
    <t>338775</t>
  </si>
  <si>
    <t xml:space="preserve">786- </t>
  </si>
  <si>
    <t>786-</t>
  </si>
  <si>
    <t>786- OUTSIDE CR</t>
  </si>
  <si>
    <t>1XKTDB9X37J992494</t>
  </si>
  <si>
    <t>992494</t>
  </si>
  <si>
    <t>9989</t>
  </si>
  <si>
    <t xml:space="preserve">Kenworth </t>
  </si>
  <si>
    <t>XKTDB9X17J992509</t>
  </si>
  <si>
    <t>992509</t>
  </si>
  <si>
    <t>1123</t>
  </si>
  <si>
    <t>XKTDB9X27J992499</t>
  </si>
  <si>
    <t>992499</t>
  </si>
  <si>
    <t>1124</t>
  </si>
  <si>
    <t>XKTDB9XX7J992475</t>
  </si>
  <si>
    <t>992475</t>
  </si>
  <si>
    <t>1125</t>
  </si>
  <si>
    <t>XKTDB9X77J992479</t>
  </si>
  <si>
    <t>992479</t>
  </si>
  <si>
    <t>1126</t>
  </si>
  <si>
    <t>4V4NC9GH97N455962</t>
  </si>
  <si>
    <t>455962</t>
  </si>
  <si>
    <t>1122</t>
  </si>
  <si>
    <t>1FUJCRCKX7PY57336</t>
  </si>
  <si>
    <t>1127</t>
  </si>
  <si>
    <t>4V4NC9EHXFN179714</t>
  </si>
  <si>
    <t>1128</t>
  </si>
  <si>
    <t>1NPXGGGG60D268106</t>
  </si>
  <si>
    <t>268106</t>
  </si>
  <si>
    <t>9990L</t>
  </si>
  <si>
    <t>1M1AK07Y97N024384</t>
  </si>
  <si>
    <t>751</t>
  </si>
  <si>
    <t>1M1AK07Y55N003366</t>
  </si>
  <si>
    <t>752</t>
  </si>
  <si>
    <t>1NPXGGGGX0D268108</t>
  </si>
  <si>
    <t>268108</t>
  </si>
  <si>
    <t>9992L</t>
  </si>
  <si>
    <t>1NPXGGGG80D268107</t>
  </si>
  <si>
    <t>268107</t>
  </si>
  <si>
    <t>9991L</t>
  </si>
  <si>
    <t>1FUJGLDR6ASAV1899</t>
  </si>
  <si>
    <t>AV1899</t>
  </si>
  <si>
    <t>1129</t>
  </si>
  <si>
    <t>1M1AA13Y33W152896</t>
  </si>
  <si>
    <t>152896</t>
  </si>
  <si>
    <t>760</t>
  </si>
  <si>
    <t>1M1AA13Y93W154149</t>
  </si>
  <si>
    <t>154149</t>
  </si>
  <si>
    <t>761</t>
  </si>
  <si>
    <t>1M1AK06Y75N003385</t>
  </si>
  <si>
    <t>003385</t>
  </si>
  <si>
    <t>783</t>
  </si>
  <si>
    <t>1XPFDB0X16D664038</t>
  </si>
  <si>
    <t>753</t>
  </si>
  <si>
    <t>1XPFDB9X56N640029</t>
  </si>
  <si>
    <t>640029</t>
  </si>
  <si>
    <t>754</t>
  </si>
  <si>
    <t>FUJA6CK67LX63918</t>
  </si>
  <si>
    <t>X63918</t>
  </si>
  <si>
    <t>1130</t>
  </si>
  <si>
    <t>CL120</t>
  </si>
  <si>
    <t>1FUJA6DR69DAC1896</t>
  </si>
  <si>
    <t>AC1896</t>
  </si>
  <si>
    <t>9993</t>
  </si>
  <si>
    <t>XKTDB9X46J992518</t>
  </si>
  <si>
    <t>992518</t>
  </si>
  <si>
    <t>1132</t>
  </si>
  <si>
    <t>XKTDB9X37J997484</t>
  </si>
  <si>
    <t>997484</t>
  </si>
  <si>
    <t>1133</t>
  </si>
  <si>
    <t>XKTDB9X86J981067</t>
  </si>
  <si>
    <t>981067</t>
  </si>
  <si>
    <t>1134</t>
  </si>
  <si>
    <t>XKTDB9XX7J997496</t>
  </si>
  <si>
    <t>997496</t>
  </si>
  <si>
    <t>1135</t>
  </si>
  <si>
    <t>XKTDB9X17J992476</t>
  </si>
  <si>
    <t>992476</t>
  </si>
  <si>
    <t>1136</t>
  </si>
  <si>
    <t>4V4NC9GH87N468427</t>
  </si>
  <si>
    <t>1131</t>
  </si>
  <si>
    <t>1M1AE06Y55N022122</t>
  </si>
  <si>
    <t>9998-</t>
  </si>
  <si>
    <t>9998-05MD-SOLD</t>
  </si>
  <si>
    <t>52924</t>
  </si>
  <si>
    <t>529240-TFT</t>
  </si>
  <si>
    <t>1M1AK06Y35N003397</t>
  </si>
  <si>
    <t>9997-</t>
  </si>
  <si>
    <t>9997-05MD</t>
  </si>
  <si>
    <t>4V4NC9TJ56N391426</t>
  </si>
  <si>
    <t>71137</t>
  </si>
  <si>
    <t>XKTDB9X97J999160</t>
  </si>
  <si>
    <t>999160</t>
  </si>
  <si>
    <t>1146-</t>
  </si>
  <si>
    <t>1146-07M</t>
  </si>
  <si>
    <t>1FUJA6CG53LK59169</t>
  </si>
  <si>
    <t>K59169</t>
  </si>
  <si>
    <t>79994</t>
  </si>
  <si>
    <t>1FUJA6AV17LV56799</t>
  </si>
  <si>
    <t>V56799</t>
  </si>
  <si>
    <t>79995</t>
  </si>
  <si>
    <t>FUJGLDR0BSAX8145</t>
  </si>
  <si>
    <t>AX8145</t>
  </si>
  <si>
    <t>79996</t>
  </si>
  <si>
    <t>Cascadia 125</t>
  </si>
  <si>
    <t>53111</t>
  </si>
  <si>
    <t>5311180-TFT</t>
  </si>
  <si>
    <t>4V4NC9EH4GN928475</t>
  </si>
  <si>
    <t>928475</t>
  </si>
  <si>
    <t>71140</t>
  </si>
  <si>
    <t>VNL 64T 670</t>
  </si>
  <si>
    <t>4V4NC9EH6GN928476</t>
  </si>
  <si>
    <t>928476</t>
  </si>
  <si>
    <t>71141</t>
  </si>
  <si>
    <t>FUJGLD52GLGE4865</t>
  </si>
  <si>
    <t>GE4865</t>
  </si>
  <si>
    <t>1142-</t>
  </si>
  <si>
    <t>1142-16A</t>
  </si>
  <si>
    <t>FUJGLD54GLGE4866</t>
  </si>
  <si>
    <t>GE4866</t>
  </si>
  <si>
    <t>1143-</t>
  </si>
  <si>
    <t>1143-16A</t>
  </si>
  <si>
    <t>FUJGLD56GLGE4867</t>
  </si>
  <si>
    <t>GE4867</t>
  </si>
  <si>
    <t>1144-</t>
  </si>
  <si>
    <t>1144-16A</t>
  </si>
  <si>
    <t>FUJGLD58GLGE4868</t>
  </si>
  <si>
    <t>GE4868</t>
  </si>
  <si>
    <t>1145-</t>
  </si>
  <si>
    <t>1145-16A</t>
  </si>
  <si>
    <t>3ALXA7000FDGH6049</t>
  </si>
  <si>
    <t>GH6049</t>
  </si>
  <si>
    <t>9701-</t>
  </si>
  <si>
    <t>9701-15MTL</t>
  </si>
  <si>
    <t>3ALXA7003FDGH6028</t>
  </si>
  <si>
    <t>GH6028</t>
  </si>
  <si>
    <t>9705-</t>
  </si>
  <si>
    <t>9705-15MT</t>
  </si>
  <si>
    <t>1FUJGLD58GLGE4871</t>
  </si>
  <si>
    <t>GE4871</t>
  </si>
  <si>
    <t>1138</t>
  </si>
  <si>
    <t>FUJGLD56GLGE4870</t>
  </si>
  <si>
    <t>GE4870</t>
  </si>
  <si>
    <t>71139</t>
  </si>
  <si>
    <t>XKTDB9X37J99750</t>
  </si>
  <si>
    <t>J99750</t>
  </si>
  <si>
    <t>1147-</t>
  </si>
  <si>
    <t>1147-07M</t>
  </si>
  <si>
    <t>XKTDB9X27J999162</t>
  </si>
  <si>
    <t>999162</t>
  </si>
  <si>
    <t>1148-</t>
  </si>
  <si>
    <t>1148-07M</t>
  </si>
  <si>
    <t>XKTDB9X87J997495</t>
  </si>
  <si>
    <t>997495</t>
  </si>
  <si>
    <t>1149-</t>
  </si>
  <si>
    <t>1149-07M</t>
  </si>
  <si>
    <t>3ALXA7000FDGH6052</t>
  </si>
  <si>
    <t>GH6052</t>
  </si>
  <si>
    <t>9702-</t>
  </si>
  <si>
    <t>9702-15MT</t>
  </si>
  <si>
    <t>3ALXA7002FDGH6053</t>
  </si>
  <si>
    <t>GH6053</t>
  </si>
  <si>
    <t>9703-</t>
  </si>
  <si>
    <t>9703-15MTL</t>
  </si>
  <si>
    <t>3ALXA7007FDGH6050</t>
  </si>
  <si>
    <t>GH6050</t>
  </si>
  <si>
    <t>9704-</t>
  </si>
  <si>
    <t>9704-15MT</t>
  </si>
  <si>
    <t>4V4NC9GH47N468697</t>
  </si>
  <si>
    <t>468697</t>
  </si>
  <si>
    <t>71151</t>
  </si>
  <si>
    <t>1XKTDB9X67J997494</t>
  </si>
  <si>
    <t>997494</t>
  </si>
  <si>
    <t>1150-</t>
  </si>
  <si>
    <t>1150-07M</t>
  </si>
  <si>
    <t>4V4NC9TJX7N453145</t>
  </si>
  <si>
    <t>453145</t>
  </si>
  <si>
    <t>71152</t>
  </si>
  <si>
    <t>1FUJGLDR9BSAY6857</t>
  </si>
  <si>
    <t>AY6857</t>
  </si>
  <si>
    <t>79707</t>
  </si>
  <si>
    <t>4V4NC9EJ3FN910308</t>
  </si>
  <si>
    <t>910308</t>
  </si>
  <si>
    <t>71153</t>
  </si>
  <si>
    <t>1FUJBBAV07LV92280</t>
  </si>
  <si>
    <t>V92280</t>
  </si>
  <si>
    <t>79708</t>
  </si>
  <si>
    <t>1FUJA6CK37LX69868</t>
  </si>
  <si>
    <t>X69868</t>
  </si>
  <si>
    <t>79709</t>
  </si>
  <si>
    <t>Columbia 120</t>
  </si>
  <si>
    <t>1FUJBBCK37LX03276</t>
  </si>
  <si>
    <t>X03276</t>
  </si>
  <si>
    <t>79710</t>
  </si>
  <si>
    <t>V4NC9TG26N411166</t>
  </si>
  <si>
    <t>411166</t>
  </si>
  <si>
    <t>79712</t>
  </si>
  <si>
    <t>XP7D49X66D888232</t>
  </si>
  <si>
    <t>888232</t>
  </si>
  <si>
    <t>79711</t>
  </si>
  <si>
    <t>4V4NC9EJ2BN295194</t>
  </si>
  <si>
    <t>295194</t>
  </si>
  <si>
    <t>71154</t>
  </si>
  <si>
    <t>4V4NC9TH69N265545</t>
  </si>
  <si>
    <t>265545</t>
  </si>
  <si>
    <t>79706</t>
  </si>
  <si>
    <t>RK Leasing LLC</t>
  </si>
  <si>
    <t>4V4NC9TJ37N450958</t>
  </si>
  <si>
    <t>450958</t>
  </si>
  <si>
    <t>79714</t>
  </si>
  <si>
    <t>4V4NC9TH27N444100</t>
  </si>
  <si>
    <t>444100</t>
  </si>
  <si>
    <t>79715</t>
  </si>
  <si>
    <t>4V4NC9GH36N432854</t>
  </si>
  <si>
    <t>432854</t>
  </si>
  <si>
    <t>71156</t>
  </si>
  <si>
    <t>4V4NC9EJXGN928323</t>
  </si>
  <si>
    <t>928323</t>
  </si>
  <si>
    <t>71155</t>
  </si>
  <si>
    <t>XKTDB9X07J999158</t>
  </si>
  <si>
    <t>999158</t>
  </si>
  <si>
    <t>1158-</t>
  </si>
  <si>
    <t>1158-07M</t>
  </si>
  <si>
    <t>1FUJGMDR1BDAW9206</t>
  </si>
  <si>
    <t>AW9206</t>
  </si>
  <si>
    <t>71157</t>
  </si>
  <si>
    <t>XKTDB9X27J999159</t>
  </si>
  <si>
    <t>999159</t>
  </si>
  <si>
    <t>1159-</t>
  </si>
  <si>
    <t>1159-07M</t>
  </si>
  <si>
    <t>XKTDB9X87J999165</t>
  </si>
  <si>
    <t>999165</t>
  </si>
  <si>
    <t>1160-</t>
  </si>
  <si>
    <t>1160-07M</t>
  </si>
  <si>
    <t>XKTDB9X57J997485</t>
  </si>
  <si>
    <t>997485</t>
  </si>
  <si>
    <t>1161-</t>
  </si>
  <si>
    <t>1161-07M</t>
  </si>
  <si>
    <t>XKTDB9X77J997486</t>
  </si>
  <si>
    <t>997486</t>
  </si>
  <si>
    <t>1162-</t>
  </si>
  <si>
    <t>1162-07M</t>
  </si>
  <si>
    <t>1GBE5C1104F509884</t>
  </si>
  <si>
    <t>509884</t>
  </si>
  <si>
    <t>704</t>
  </si>
  <si>
    <t>CHEVROLET</t>
  </si>
  <si>
    <t>C55</t>
  </si>
  <si>
    <t>Buffalo98Coder</t>
  </si>
  <si>
    <t>V4NC9TJ87N448347</t>
  </si>
  <si>
    <t>448347</t>
  </si>
  <si>
    <t>79716</t>
  </si>
  <si>
    <t>V4NC9TJX7N448348</t>
  </si>
  <si>
    <t>448348</t>
  </si>
  <si>
    <t>79717</t>
  </si>
  <si>
    <t>1FDXE45S96HA81331</t>
  </si>
  <si>
    <t>A81331</t>
  </si>
  <si>
    <t>8907</t>
  </si>
  <si>
    <t>FORD</t>
  </si>
  <si>
    <t>E450</t>
  </si>
  <si>
    <t>1FUJBBCV77LZ47538</t>
  </si>
  <si>
    <t>Z47538</t>
  </si>
  <si>
    <t>79718</t>
  </si>
  <si>
    <t>4V4NC9EH4GN928962</t>
  </si>
  <si>
    <t>928962</t>
  </si>
  <si>
    <t>902-R</t>
  </si>
  <si>
    <t>902-RT</t>
  </si>
  <si>
    <t>HSDJSJR9CN448263</t>
  </si>
  <si>
    <t>448263</t>
  </si>
  <si>
    <t>79720</t>
  </si>
  <si>
    <t>Prostar</t>
  </si>
  <si>
    <t>1FUJGLDR5BSAS9572</t>
  </si>
  <si>
    <t>AS9572</t>
  </si>
  <si>
    <t>71163</t>
  </si>
  <si>
    <t>2HSCESBR27C376652</t>
  </si>
  <si>
    <t>376652</t>
  </si>
  <si>
    <t>79719</t>
  </si>
  <si>
    <t xml:space="preserve">INTERNATIONAL </t>
  </si>
  <si>
    <t>9200i</t>
  </si>
  <si>
    <t>1FUJBBCK87PW63415</t>
  </si>
  <si>
    <t>W63415</t>
  </si>
  <si>
    <t>79721</t>
  </si>
  <si>
    <t>1FUJGLCK49LAA4098</t>
  </si>
  <si>
    <t>AA4098</t>
  </si>
  <si>
    <t>79722</t>
  </si>
  <si>
    <t>1FUJGLDR1CBSJ3051</t>
  </si>
  <si>
    <t>SJ3051</t>
  </si>
  <si>
    <t>79723</t>
  </si>
  <si>
    <t>CASCADIA 125</t>
  </si>
  <si>
    <t>4V4NC9EH3CN555049</t>
  </si>
  <si>
    <t>555049</t>
  </si>
  <si>
    <t>71164</t>
  </si>
  <si>
    <t>IFUJBBDR09DAH5121</t>
  </si>
  <si>
    <t>AH5121</t>
  </si>
  <si>
    <t>79724</t>
  </si>
  <si>
    <t>4V4NC9EH3GN934963</t>
  </si>
  <si>
    <t>934963</t>
  </si>
  <si>
    <t>71165</t>
  </si>
  <si>
    <t>4V4NC9EH5GN934964</t>
  </si>
  <si>
    <t>934964</t>
  </si>
  <si>
    <t>71166</t>
  </si>
  <si>
    <t>XKTDB9X07J997507</t>
  </si>
  <si>
    <t>997507</t>
  </si>
  <si>
    <t>1167-</t>
  </si>
  <si>
    <t>1167-07M</t>
  </si>
  <si>
    <t>1XKTDB9X17J997497</t>
  </si>
  <si>
    <t>997497</t>
  </si>
  <si>
    <t>1168-</t>
  </si>
  <si>
    <t>1168-07M</t>
  </si>
  <si>
    <t>XKTDB9X27J997489</t>
  </si>
  <si>
    <t>997489</t>
  </si>
  <si>
    <t>1169-</t>
  </si>
  <si>
    <t>1169-07M</t>
  </si>
  <si>
    <t>4V4NC9EJ9CN539957</t>
  </si>
  <si>
    <t>539957</t>
  </si>
  <si>
    <t>71170</t>
  </si>
  <si>
    <t>4V4NC9EH1EN162556</t>
  </si>
  <si>
    <t>162556</t>
  </si>
  <si>
    <t>71171</t>
  </si>
  <si>
    <t>XKTDB9XX7J997501</t>
  </si>
  <si>
    <t>997501</t>
  </si>
  <si>
    <t>1172-</t>
  </si>
  <si>
    <t>1172-07M</t>
  </si>
  <si>
    <t>XKTDB9X07J999161</t>
  </si>
  <si>
    <t>999161</t>
  </si>
  <si>
    <t>1173-</t>
  </si>
  <si>
    <t>1173-07M</t>
  </si>
  <si>
    <t>1XKYD49X0GJ981552</t>
  </si>
  <si>
    <t>981552</t>
  </si>
  <si>
    <t>71174</t>
  </si>
  <si>
    <t>4V4NC9TG67N434094</t>
  </si>
  <si>
    <t>434094</t>
  </si>
  <si>
    <t>71175</t>
  </si>
  <si>
    <t>WD3BE8CC4C5687970</t>
  </si>
  <si>
    <t>687970</t>
  </si>
  <si>
    <t>8903</t>
  </si>
  <si>
    <t>MERCESES-BENZ</t>
  </si>
  <si>
    <t>SP 2500</t>
  </si>
  <si>
    <t>1GB6G4BG2A1121913</t>
  </si>
  <si>
    <t>121913</t>
  </si>
  <si>
    <t>8904</t>
  </si>
  <si>
    <t>EXPRESS 3500</t>
  </si>
  <si>
    <t>ARK TRUCK AND TRAILER REPAIR INC.</t>
  </si>
  <si>
    <t>474</t>
  </si>
  <si>
    <t>FK693</t>
  </si>
  <si>
    <t>FK694</t>
  </si>
  <si>
    <t>230301G9866</t>
  </si>
  <si>
    <t>1G9866</t>
  </si>
  <si>
    <t>FK696</t>
  </si>
  <si>
    <t>HELI</t>
  </si>
  <si>
    <t>AT9003004</t>
  </si>
  <si>
    <t>003004</t>
  </si>
  <si>
    <t>FK695</t>
  </si>
  <si>
    <t>CAT</t>
  </si>
  <si>
    <t>C5000</t>
  </si>
  <si>
    <t>1XKAD49X79J248323</t>
  </si>
  <si>
    <t>248323</t>
  </si>
  <si>
    <t>71176</t>
  </si>
  <si>
    <t>4V4NC9EH0EN169935</t>
  </si>
  <si>
    <t>169935</t>
  </si>
  <si>
    <t>71177</t>
  </si>
  <si>
    <t>FUJBBCG03LJ52889</t>
  </si>
  <si>
    <t>J52889</t>
  </si>
  <si>
    <t>79725</t>
  </si>
  <si>
    <t>1FUJBBCG16LW32931</t>
  </si>
  <si>
    <t>W32931</t>
  </si>
  <si>
    <t>79726</t>
  </si>
  <si>
    <t>1FUJGLDR69LAL3750</t>
  </si>
  <si>
    <t>AL3750</t>
  </si>
  <si>
    <t>79727</t>
  </si>
  <si>
    <t>FUJBBCK57PU33637</t>
  </si>
  <si>
    <t>U33637</t>
  </si>
  <si>
    <t>79728</t>
  </si>
  <si>
    <t>FK697</t>
  </si>
  <si>
    <t>1FUJA6CK47LX35471</t>
  </si>
  <si>
    <t>X35471</t>
  </si>
  <si>
    <t>79729</t>
  </si>
  <si>
    <t>1FT7X2B6XFED60332</t>
  </si>
  <si>
    <t>D60332</t>
  </si>
  <si>
    <t>8908</t>
  </si>
  <si>
    <t>FORD F250 SUPER DUTY</t>
  </si>
  <si>
    <t>250</t>
  </si>
  <si>
    <t>Woodstock1276Commerce</t>
  </si>
  <si>
    <t>GS3208-88150</t>
  </si>
  <si>
    <t>-88150</t>
  </si>
  <si>
    <t>FK698</t>
  </si>
  <si>
    <t>GS2032</t>
  </si>
  <si>
    <t>1XKADP9X6BJ948910</t>
  </si>
  <si>
    <t>948910</t>
  </si>
  <si>
    <t>71178</t>
  </si>
  <si>
    <t>1XPHDP9X1CD139548</t>
  </si>
  <si>
    <t>139548</t>
  </si>
  <si>
    <t>71179</t>
  </si>
  <si>
    <t>4V4NC9EJ79N276280</t>
  </si>
  <si>
    <t>276280</t>
  </si>
  <si>
    <t>71180</t>
  </si>
  <si>
    <t>4V4NC9EH5BN293713</t>
  </si>
  <si>
    <t>293713</t>
  </si>
  <si>
    <t>79731</t>
  </si>
  <si>
    <t>1FUJGLDR59LAL8504</t>
  </si>
  <si>
    <t>AL8504</t>
  </si>
  <si>
    <t>79732</t>
  </si>
  <si>
    <t>4V4NC9EH1EN169927</t>
  </si>
  <si>
    <t>169927</t>
  </si>
  <si>
    <t>71181</t>
  </si>
  <si>
    <t>4V4NC9EH0GN949131</t>
  </si>
  <si>
    <t>949131</t>
  </si>
  <si>
    <t>71182</t>
  </si>
  <si>
    <t>4V4NC9EH8DN142884</t>
  </si>
  <si>
    <t>79733</t>
  </si>
  <si>
    <t>1XKADB9X76J118672</t>
  </si>
  <si>
    <t>79730</t>
  </si>
  <si>
    <t>FUJGLD55GLGZ8049</t>
  </si>
  <si>
    <t>GZ8049</t>
  </si>
  <si>
    <t>1184-</t>
  </si>
  <si>
    <t>1184-16AD</t>
  </si>
  <si>
    <t>FUJGLD51GLGZ8050</t>
  </si>
  <si>
    <t>GZ8050</t>
  </si>
  <si>
    <t>1185-</t>
  </si>
  <si>
    <t>1185-16AD</t>
  </si>
  <si>
    <t>FUJGLD53GLGZ8051</t>
  </si>
  <si>
    <t>GZ8051</t>
  </si>
  <si>
    <t>1186-</t>
  </si>
  <si>
    <t>1186-16AD</t>
  </si>
  <si>
    <t>FUJGLD55GLGZ8052</t>
  </si>
  <si>
    <t>GZ8052</t>
  </si>
  <si>
    <t>1187-</t>
  </si>
  <si>
    <t>1187-16AD</t>
  </si>
  <si>
    <t>FUJGLD57GLGZ805</t>
  </si>
  <si>
    <t>LGZ805</t>
  </si>
  <si>
    <t>1188-</t>
  </si>
  <si>
    <t>1188-16AD</t>
  </si>
  <si>
    <t>FUJGLDR5GLGZ8054</t>
  </si>
  <si>
    <t>GZ8054</t>
  </si>
  <si>
    <t>9736-</t>
  </si>
  <si>
    <t>9736-16ALD</t>
  </si>
  <si>
    <t>UJGLDR7GLGZ8055</t>
  </si>
  <si>
    <t>GZ8055</t>
  </si>
  <si>
    <t>9737-</t>
  </si>
  <si>
    <t>9737-16ALD</t>
  </si>
  <si>
    <t>FUJGLDR9GLGZ8056</t>
  </si>
  <si>
    <t>GZ8056</t>
  </si>
  <si>
    <t>9738-</t>
  </si>
  <si>
    <t>9738-16ALD</t>
  </si>
  <si>
    <t>FUJGLDR0GLGZ8057</t>
  </si>
  <si>
    <t>GZ8057</t>
  </si>
  <si>
    <t>9739-</t>
  </si>
  <si>
    <t>9739-16ALD</t>
  </si>
  <si>
    <t>1FUJGLDR2GLGZ8058</t>
  </si>
  <si>
    <t>GZ8058</t>
  </si>
  <si>
    <t>9740-</t>
  </si>
  <si>
    <t>9740-16ADL</t>
  </si>
  <si>
    <t>V4NC9GH17N451095</t>
  </si>
  <si>
    <t>451095</t>
  </si>
  <si>
    <t>71183</t>
  </si>
  <si>
    <t>4V4LC9KL07N430306</t>
  </si>
  <si>
    <t>430306</t>
  </si>
  <si>
    <t>79735</t>
  </si>
  <si>
    <t>FUJA6CK57LX63263</t>
  </si>
  <si>
    <t>71189</t>
  </si>
  <si>
    <t>FUJGLCKX8LZ66020</t>
  </si>
  <si>
    <t>Z66020</t>
  </si>
  <si>
    <t>79742</t>
  </si>
  <si>
    <t>1FUJGLDR6BSAY6864</t>
  </si>
  <si>
    <t>AY6864</t>
  </si>
  <si>
    <t>71190</t>
  </si>
  <si>
    <t>1XKFD49X5BJ285205</t>
  </si>
  <si>
    <t>285205</t>
  </si>
  <si>
    <t>79744</t>
  </si>
  <si>
    <t>T700</t>
  </si>
  <si>
    <t>3HSDJSJR3CN544020</t>
  </si>
  <si>
    <t>544020</t>
  </si>
  <si>
    <t>79741</t>
  </si>
  <si>
    <t>35- C</t>
  </si>
  <si>
    <t>35-C</t>
  </si>
  <si>
    <t>35- CAPITAL</t>
  </si>
  <si>
    <t>1XPBDP9X9GD334356</t>
  </si>
  <si>
    <t>334356</t>
  </si>
  <si>
    <t>71191</t>
  </si>
  <si>
    <t>FUJA6CK55LN39939</t>
  </si>
  <si>
    <t>N39939</t>
  </si>
  <si>
    <t>79743</t>
  </si>
  <si>
    <t>COLUMBIA 120</t>
  </si>
  <si>
    <t>1FUJGLDR3ALAG5085</t>
  </si>
  <si>
    <t>AG5085</t>
  </si>
  <si>
    <t>79745</t>
  </si>
  <si>
    <t>1FUJA6CK26LV45750</t>
  </si>
  <si>
    <t>V45750</t>
  </si>
  <si>
    <t>79746</t>
  </si>
  <si>
    <t>1FUJGLD55GLGZ1344</t>
  </si>
  <si>
    <t>GZ1344</t>
  </si>
  <si>
    <t>71192</t>
  </si>
  <si>
    <t>1FUJGLD57GLGZ1345</t>
  </si>
  <si>
    <t>GZ1345</t>
  </si>
  <si>
    <t>71193</t>
  </si>
  <si>
    <t>1FUJGLD59GLGZ1346</t>
  </si>
  <si>
    <t>GZ1346</t>
  </si>
  <si>
    <t>71194</t>
  </si>
  <si>
    <t>V4NC9EH6CN554994</t>
  </si>
  <si>
    <t>554994</t>
  </si>
  <si>
    <t>71195</t>
  </si>
  <si>
    <t>4V4NC9EH5GN915315</t>
  </si>
  <si>
    <t>915315</t>
  </si>
  <si>
    <t>71196</t>
  </si>
  <si>
    <t>FUJGLDR3DLBS0806</t>
  </si>
  <si>
    <t>BS0806</t>
  </si>
  <si>
    <t>79747</t>
  </si>
  <si>
    <t>FUJGLD53GLGZ1486</t>
  </si>
  <si>
    <t>GZ1486</t>
  </si>
  <si>
    <t>9748-</t>
  </si>
  <si>
    <t>9748-16A</t>
  </si>
  <si>
    <t>FUJGLD55GLGZ1487</t>
  </si>
  <si>
    <t>GZ1487</t>
  </si>
  <si>
    <t>9749-</t>
  </si>
  <si>
    <t>9749-16A</t>
  </si>
  <si>
    <t>FUJGLD55GLGZ1490</t>
  </si>
  <si>
    <t>GZ1490</t>
  </si>
  <si>
    <t>9750-</t>
  </si>
  <si>
    <t>9750-16A</t>
  </si>
  <si>
    <t>FUJGLD57GLGZ1491</t>
  </si>
  <si>
    <t>GZ1491</t>
  </si>
  <si>
    <t>9751-</t>
  </si>
  <si>
    <t>9751-16A</t>
  </si>
  <si>
    <t>FUJGLD58GLGZ1452</t>
  </si>
  <si>
    <t>GZ1452</t>
  </si>
  <si>
    <t>9752-</t>
  </si>
  <si>
    <t>9752-16AT</t>
  </si>
  <si>
    <t>FUJGLD53GLGZ1455</t>
  </si>
  <si>
    <t>GZ1455</t>
  </si>
  <si>
    <t>9753-</t>
  </si>
  <si>
    <t>9753-16A</t>
  </si>
  <si>
    <t>FUJGLD5XGLGZ8046</t>
  </si>
  <si>
    <t>GZ8046</t>
  </si>
  <si>
    <t>9754-</t>
  </si>
  <si>
    <t>9754-16AD</t>
  </si>
  <si>
    <t>FUJGLD58GLGZ1449</t>
  </si>
  <si>
    <t>GZ1449</t>
  </si>
  <si>
    <t>9755-</t>
  </si>
  <si>
    <t>9755-16AT</t>
  </si>
  <si>
    <t>FUJGLD50GLGZ1459</t>
  </si>
  <si>
    <t>GZ1459</t>
  </si>
  <si>
    <t>9756-</t>
  </si>
  <si>
    <t>9756-16A</t>
  </si>
  <si>
    <t>1FUJGLD56GLGZ1448</t>
  </si>
  <si>
    <t>GZ1448</t>
  </si>
  <si>
    <t>9757-</t>
  </si>
  <si>
    <t>9757-16ATL</t>
  </si>
  <si>
    <t>(MI) REGIONAL</t>
  </si>
  <si>
    <t>1XP7D49X66D888232</t>
  </si>
  <si>
    <t>79758</t>
  </si>
  <si>
    <t>1FUJGLDR3DLFA0451</t>
  </si>
  <si>
    <t>FA0451</t>
  </si>
  <si>
    <t>71197</t>
  </si>
  <si>
    <t>1FUJGLD50FLFY1915</t>
  </si>
  <si>
    <t>FY1915</t>
  </si>
  <si>
    <t>71198</t>
  </si>
  <si>
    <t>FRIEGHTLINER</t>
  </si>
  <si>
    <t>V4NC9EH3GN928774</t>
  </si>
  <si>
    <t>928774</t>
  </si>
  <si>
    <t>71203</t>
  </si>
  <si>
    <t>1XKYD49X1FJ976486</t>
  </si>
  <si>
    <t>976486</t>
  </si>
  <si>
    <t>71200</t>
  </si>
  <si>
    <t>1XKYD49X3FJ976487</t>
  </si>
  <si>
    <t>976487</t>
  </si>
  <si>
    <t>71201</t>
  </si>
  <si>
    <t>1FUJGLDR2DLBZ3441</t>
  </si>
  <si>
    <t>BZ3441</t>
  </si>
  <si>
    <t>71202</t>
  </si>
  <si>
    <t>XKYD49X5FJ976488</t>
  </si>
  <si>
    <t>976488</t>
  </si>
  <si>
    <t>71199</t>
  </si>
  <si>
    <t>1FUJGLD51GLGZ1373</t>
  </si>
  <si>
    <t>GZ1373</t>
  </si>
  <si>
    <t>71204</t>
  </si>
  <si>
    <t>1FUJGLD56GLGZ8044</t>
  </si>
  <si>
    <t>GZ8044</t>
  </si>
  <si>
    <t>1205-</t>
  </si>
  <si>
    <t>1205-16AD-SOLD</t>
  </si>
  <si>
    <t>FUJGLD58GLGZ8045</t>
  </si>
  <si>
    <t>GZ8045</t>
  </si>
  <si>
    <t>1206-</t>
  </si>
  <si>
    <t>1206-16AD-SOLD</t>
  </si>
  <si>
    <t>(ON) WINDSOR SHORT</t>
  </si>
  <si>
    <t>1XPHDB9X47D672406</t>
  </si>
  <si>
    <t>672406</t>
  </si>
  <si>
    <t>7763</t>
  </si>
  <si>
    <t>1FUJGLD51GLGZ8047</t>
  </si>
  <si>
    <t>GZ8047</t>
  </si>
  <si>
    <t>1207-</t>
  </si>
  <si>
    <t>1207-16AD-SOLD</t>
  </si>
  <si>
    <t>1FUJGLD53GLGZ8048</t>
  </si>
  <si>
    <t>GZ8048</t>
  </si>
  <si>
    <t>1208-</t>
  </si>
  <si>
    <t>1208-16AD-SOLD</t>
  </si>
  <si>
    <t>1FUJGLD51GLGZ1485</t>
  </si>
  <si>
    <t>GZ1485</t>
  </si>
  <si>
    <t>1209-</t>
  </si>
  <si>
    <t>1209-16A-SOLD</t>
  </si>
  <si>
    <t>1FUJGLD57GLGZ1488</t>
  </si>
  <si>
    <t>GZ1488</t>
  </si>
  <si>
    <t>755-1</t>
  </si>
  <si>
    <t>755-16A-SOLD</t>
  </si>
  <si>
    <t>(QC) HIGHWAY</t>
  </si>
  <si>
    <t>FUJGLD59GLGZ1489</t>
  </si>
  <si>
    <t>GZ1489</t>
  </si>
  <si>
    <t>756-1</t>
  </si>
  <si>
    <t>756-16A-SOLD</t>
  </si>
  <si>
    <t>FUJGLD59GLGZ1492</t>
  </si>
  <si>
    <t>GZ1492</t>
  </si>
  <si>
    <t>757-1</t>
  </si>
  <si>
    <t>757-16A-SOLD</t>
  </si>
  <si>
    <t>1FUJGLD50GLGZ1493</t>
  </si>
  <si>
    <t>GZ1493</t>
  </si>
  <si>
    <t>758-1</t>
  </si>
  <si>
    <t>758-16A-SOLD</t>
  </si>
  <si>
    <t>1FUJGLD52GLGZ1494</t>
  </si>
  <si>
    <t>GZ1494</t>
  </si>
  <si>
    <t>759-1</t>
  </si>
  <si>
    <t>759-16A-SOLD</t>
  </si>
  <si>
    <t>1XKADB9X57R175049</t>
  </si>
  <si>
    <t>79759</t>
  </si>
  <si>
    <t>11VF814E5BA000223</t>
  </si>
  <si>
    <t>000223</t>
  </si>
  <si>
    <t>1212S</t>
  </si>
  <si>
    <t>1212SH</t>
  </si>
  <si>
    <t>1XKADB9X17R175050</t>
  </si>
  <si>
    <t>79760</t>
  </si>
  <si>
    <t>1XKTDB9X17J992476</t>
  </si>
  <si>
    <t>79763</t>
  </si>
  <si>
    <t>XKTDB9X37J997503</t>
  </si>
  <si>
    <t>997503</t>
  </si>
  <si>
    <t>79764</t>
  </si>
  <si>
    <t>KADB9X27J997337</t>
  </si>
  <si>
    <t>79765</t>
  </si>
  <si>
    <t>1M1AK06Y05N003390</t>
  </si>
  <si>
    <t>762</t>
  </si>
  <si>
    <t>1XKTDB9XX7J997496</t>
  </si>
  <si>
    <t>79762</t>
  </si>
  <si>
    <t>4V4NC9EJ9AN277404</t>
  </si>
  <si>
    <t>277404</t>
  </si>
  <si>
    <t>71211</t>
  </si>
  <si>
    <t>4V4NC9GH46N411821</t>
  </si>
  <si>
    <t>411821</t>
  </si>
  <si>
    <t>71214</t>
  </si>
  <si>
    <t>4V4NC9EH7AN287541</t>
  </si>
  <si>
    <t>287541</t>
  </si>
  <si>
    <t>71210</t>
  </si>
  <si>
    <t>4V4NC9TG06N408217</t>
  </si>
  <si>
    <t>408217</t>
  </si>
  <si>
    <t>79766</t>
  </si>
  <si>
    <t>79766OOS</t>
  </si>
  <si>
    <t>FUJA6CKX5PU02844</t>
  </si>
  <si>
    <t>U02844</t>
  </si>
  <si>
    <t>79767</t>
  </si>
  <si>
    <t>1XKADB9X57R175052</t>
  </si>
  <si>
    <t>79761</t>
  </si>
  <si>
    <t>1FUJA6AV57LW21041</t>
  </si>
  <si>
    <t>764</t>
  </si>
  <si>
    <t>(ON) NAPANEE</t>
  </si>
  <si>
    <t>1FUJA6AV57LW21170</t>
  </si>
  <si>
    <t>765</t>
  </si>
  <si>
    <t>2HSCBAXR52C049540</t>
  </si>
  <si>
    <t>049540</t>
  </si>
  <si>
    <t>766</t>
  </si>
  <si>
    <t>9100</t>
  </si>
  <si>
    <t>1FUJA6CG83PL03920</t>
  </si>
  <si>
    <t>L03920</t>
  </si>
  <si>
    <t>79769</t>
  </si>
  <si>
    <t>1FUJGLDR2ASAM5520</t>
  </si>
  <si>
    <t>AM5520</t>
  </si>
  <si>
    <t>79770</t>
  </si>
  <si>
    <t>1FUJGLD59GLGZ1461</t>
  </si>
  <si>
    <t>GZ1461</t>
  </si>
  <si>
    <t>M002-</t>
  </si>
  <si>
    <t>M002-SOLD</t>
  </si>
  <si>
    <t>MY BIG RIG TRANSPORT LTD</t>
  </si>
  <si>
    <t>FUJGLD50GLGZ1445</t>
  </si>
  <si>
    <t>GZ1445</t>
  </si>
  <si>
    <t>500-1</t>
  </si>
  <si>
    <t>500-16AT</t>
  </si>
  <si>
    <t>BNK TRANSPORT INC</t>
  </si>
  <si>
    <t>FUJGLD52GLGZ1446</t>
  </si>
  <si>
    <t>GZ1446</t>
  </si>
  <si>
    <t>501-1</t>
  </si>
  <si>
    <t>501-16AT</t>
  </si>
  <si>
    <t>FUJGLD54GLGZ1447</t>
  </si>
  <si>
    <t>GZ1447</t>
  </si>
  <si>
    <t>502-1</t>
  </si>
  <si>
    <t>502-16AT</t>
  </si>
  <si>
    <t>FUJGLD54GLGZ1450</t>
  </si>
  <si>
    <t>GZ1450</t>
  </si>
  <si>
    <t>503-1</t>
  </si>
  <si>
    <t>503-16AT</t>
  </si>
  <si>
    <t>1FUJGLD56GLGZ1451</t>
  </si>
  <si>
    <t>GZ1451</t>
  </si>
  <si>
    <t>504-1</t>
  </si>
  <si>
    <t>504-16ATL</t>
  </si>
  <si>
    <t>4V4NC9GH98N460158</t>
  </si>
  <si>
    <t>460158</t>
  </si>
  <si>
    <t>71215</t>
  </si>
  <si>
    <t>1XKADB9X37J116175</t>
  </si>
  <si>
    <t>79734</t>
  </si>
  <si>
    <t>1XKTDB9X46J992518</t>
  </si>
  <si>
    <t>79771</t>
  </si>
  <si>
    <t>1XKADB9XX7J116240</t>
  </si>
  <si>
    <t>79772</t>
  </si>
  <si>
    <t>1FUJGLD5XGLGZ1453</t>
  </si>
  <si>
    <t>GZ1453</t>
  </si>
  <si>
    <t>767-1</t>
  </si>
  <si>
    <t>767-16AT-SOLD</t>
  </si>
  <si>
    <t>1FUJGLD51GLGZ1454</t>
  </si>
  <si>
    <t>GZ1454</t>
  </si>
  <si>
    <t>768-1</t>
  </si>
  <si>
    <t>768-16AT-SOLD</t>
  </si>
  <si>
    <t>1FUJGLD55GLGZ1456</t>
  </si>
  <si>
    <t>GZ1456</t>
  </si>
  <si>
    <t>769-1</t>
  </si>
  <si>
    <t>769-16A-SOLD</t>
  </si>
  <si>
    <t>1FUJGLD57GLGZ1457</t>
  </si>
  <si>
    <t>GZ1457</t>
  </si>
  <si>
    <t>770-1</t>
  </si>
  <si>
    <t>770-16A-SOLD</t>
  </si>
  <si>
    <t>1FUJGLD59GLGZ1458</t>
  </si>
  <si>
    <t>GZ1458</t>
  </si>
  <si>
    <t>771-1</t>
  </si>
  <si>
    <t>771-16A-SOLD</t>
  </si>
  <si>
    <t>1FUJGLD57GLGZ1460</t>
  </si>
  <si>
    <t>GZ1460</t>
  </si>
  <si>
    <t>772-1</t>
  </si>
  <si>
    <t>772-16A-SOLD</t>
  </si>
  <si>
    <t>1XKYD49X7GJ981290</t>
  </si>
  <si>
    <t>981290</t>
  </si>
  <si>
    <t>71216</t>
  </si>
  <si>
    <t>1XKTDB9X27J999162</t>
  </si>
  <si>
    <t>79773</t>
  </si>
  <si>
    <t>1FUJGLBG4GLHJ1331</t>
  </si>
  <si>
    <t>HJ1331</t>
  </si>
  <si>
    <t>71217</t>
  </si>
  <si>
    <t>4V4NC9EH9GN928455</t>
  </si>
  <si>
    <t>928455</t>
  </si>
  <si>
    <t>71218</t>
  </si>
  <si>
    <t>4V4NC9EH6GN928171</t>
  </si>
  <si>
    <t>928171</t>
  </si>
  <si>
    <t>71219</t>
  </si>
  <si>
    <t>4V4NC9EH4GN928721</t>
  </si>
  <si>
    <t>928721</t>
  </si>
  <si>
    <t>71220</t>
  </si>
  <si>
    <t>11VF814E7BA000224</t>
  </si>
  <si>
    <t>000224</t>
  </si>
  <si>
    <t>1616S</t>
  </si>
  <si>
    <t>1616SH</t>
  </si>
  <si>
    <t>(MI) LOCAL</t>
  </si>
  <si>
    <t>1FUJBBAV07LX21778</t>
  </si>
  <si>
    <t>773</t>
  </si>
  <si>
    <t>1FUJBBAV07LX21781</t>
  </si>
  <si>
    <t>774</t>
  </si>
  <si>
    <t>1FUJGLD58GLGX1752</t>
  </si>
  <si>
    <t>GX1752</t>
  </si>
  <si>
    <t>71221</t>
  </si>
  <si>
    <t>4V4NC9EH9FN910732</t>
  </si>
  <si>
    <t>910732</t>
  </si>
  <si>
    <t>71222</t>
  </si>
  <si>
    <t>4V4NC9GH17N468561</t>
  </si>
  <si>
    <t>468561</t>
  </si>
  <si>
    <t>71223</t>
  </si>
  <si>
    <t>1XKTDB9X27J997508</t>
  </si>
  <si>
    <t>997508</t>
  </si>
  <si>
    <t>71224</t>
  </si>
  <si>
    <t>1FUJGLDR1BLAY2022</t>
  </si>
  <si>
    <t>AY2022</t>
  </si>
  <si>
    <t>79775</t>
  </si>
  <si>
    <t>4V4NC9TJ53N342772</t>
  </si>
  <si>
    <t>342772</t>
  </si>
  <si>
    <t>M500</t>
  </si>
  <si>
    <t>1XKTDB9X87J997495</t>
  </si>
  <si>
    <t>79768</t>
  </si>
  <si>
    <t>4V4NC9GH07N457454</t>
  </si>
  <si>
    <t>457454</t>
  </si>
  <si>
    <t>7775</t>
  </si>
  <si>
    <t>4V4NC9EH3EN152997</t>
  </si>
  <si>
    <t>79774</t>
  </si>
  <si>
    <t>1FUJGLDR6CLBB5318</t>
  </si>
  <si>
    <t>BB5318</t>
  </si>
  <si>
    <t>71226</t>
  </si>
  <si>
    <t>1FUJGLD57GLGX1757</t>
  </si>
  <si>
    <t>GX1757</t>
  </si>
  <si>
    <t>71225</t>
  </si>
  <si>
    <t>4V4NC9EH9CN553807</t>
  </si>
  <si>
    <t>553807</t>
  </si>
  <si>
    <t>71228</t>
  </si>
  <si>
    <t>1FUJA6CG84LM81559</t>
  </si>
  <si>
    <t>71227</t>
  </si>
  <si>
    <t>4V4NC9KJ57N477287</t>
  </si>
  <si>
    <t>477287</t>
  </si>
  <si>
    <t>7776</t>
  </si>
  <si>
    <t>HSDJSJR5CN610518</t>
  </si>
  <si>
    <t>610518</t>
  </si>
  <si>
    <t>7777</t>
  </si>
  <si>
    <t>PROST</t>
  </si>
  <si>
    <t>1FUJGLDR0CSBN4593</t>
  </si>
  <si>
    <t>BN4593</t>
  </si>
  <si>
    <t>79776</t>
  </si>
  <si>
    <t>1FUJGLD50GLHM1597</t>
  </si>
  <si>
    <t>HM1597</t>
  </si>
  <si>
    <t>1229-</t>
  </si>
  <si>
    <t>1229-16A-SOLD</t>
  </si>
  <si>
    <t>1FUJGLD52GLHM1598</t>
  </si>
  <si>
    <t>HM1598</t>
  </si>
  <si>
    <t>1230-</t>
  </si>
  <si>
    <t>1230-16A-SOLD</t>
  </si>
  <si>
    <t>1FUJGLD54GLHM1599</t>
  </si>
  <si>
    <t>HM1599</t>
  </si>
  <si>
    <t>1231-</t>
  </si>
  <si>
    <t>1231-16A-SOLD</t>
  </si>
  <si>
    <t>FUJGLD57GLHM1600</t>
  </si>
  <si>
    <t>HM1600</t>
  </si>
  <si>
    <t>1232-</t>
  </si>
  <si>
    <t>1232-16A-SOLD</t>
  </si>
  <si>
    <t>1FUJGLD59GLHM1601</t>
  </si>
  <si>
    <t>HM1601</t>
  </si>
  <si>
    <t>1233-</t>
  </si>
  <si>
    <t>1233-16A-SOLD</t>
  </si>
  <si>
    <t>1FUJGLD58GLHM1587</t>
  </si>
  <si>
    <t>HM1587</t>
  </si>
  <si>
    <t>778-1</t>
  </si>
  <si>
    <t>778-16AB-SOLD</t>
  </si>
  <si>
    <t>1FUJGLD5XGLHM1588</t>
  </si>
  <si>
    <t>HM1588</t>
  </si>
  <si>
    <t>779-1</t>
  </si>
  <si>
    <t>779-16AB-SOLD</t>
  </si>
  <si>
    <t>1FUJGLD51GLHM1589</t>
  </si>
  <si>
    <t>HM1589</t>
  </si>
  <si>
    <t>780-1</t>
  </si>
  <si>
    <t>780-16AB-SOLD</t>
  </si>
  <si>
    <t>1FUJGLD5XGLHM1591</t>
  </si>
  <si>
    <t>HM1591</t>
  </si>
  <si>
    <t>781-1</t>
  </si>
  <si>
    <t>781-16AB-SOLD</t>
  </si>
  <si>
    <t>1FUJGLD51GLHM1592</t>
  </si>
  <si>
    <t>HM1592</t>
  </si>
  <si>
    <t>782-1</t>
  </si>
  <si>
    <t>782-16AB</t>
  </si>
  <si>
    <t>4V4NC9GHX7N468235</t>
  </si>
  <si>
    <t>7784</t>
  </si>
  <si>
    <t>4V4NC9TH7CN559320</t>
  </si>
  <si>
    <t>559320</t>
  </si>
  <si>
    <t>7785</t>
  </si>
  <si>
    <t>1XKADB9X16J982083</t>
  </si>
  <si>
    <t>982083</t>
  </si>
  <si>
    <t>7786</t>
  </si>
  <si>
    <t>1FUJGLD58GLHM1590</t>
  </si>
  <si>
    <t>HM1590</t>
  </si>
  <si>
    <t>787-1</t>
  </si>
  <si>
    <t>787-16AB</t>
  </si>
  <si>
    <t>FUJGLD53GLHM1593</t>
  </si>
  <si>
    <t>HM1593</t>
  </si>
  <si>
    <t>788-1</t>
  </si>
  <si>
    <t>788-16AB-SOLD</t>
  </si>
  <si>
    <t>EAST HIGHWAY</t>
  </si>
  <si>
    <t>1FUJGLD55GLHM1594</t>
  </si>
  <si>
    <t>HM1594</t>
  </si>
  <si>
    <t>789-1</t>
  </si>
  <si>
    <t>789-16AB-SOLD</t>
  </si>
  <si>
    <t>1FUJGLD57GLHM1595</t>
  </si>
  <si>
    <t>HM1595</t>
  </si>
  <si>
    <t>790-1</t>
  </si>
  <si>
    <t>790-16AB-SOLD</t>
  </si>
  <si>
    <t>1FUJGLD59GLHM1596</t>
  </si>
  <si>
    <t>HM1596</t>
  </si>
  <si>
    <t>791-1</t>
  </si>
  <si>
    <t>791-16AB-SOLD</t>
  </si>
  <si>
    <t>4V4NC9EH1CN555972</t>
  </si>
  <si>
    <t>555972</t>
  </si>
  <si>
    <t>7792</t>
  </si>
  <si>
    <t>1FUJGLD54GLGZ8043</t>
  </si>
  <si>
    <t>GZ8043</t>
  </si>
  <si>
    <t>7793</t>
  </si>
  <si>
    <t>79777</t>
  </si>
  <si>
    <t>TLV53</t>
  </si>
  <si>
    <t>TLV531062 - TFT</t>
  </si>
  <si>
    <t>4V4NC9TG98N492508</t>
  </si>
  <si>
    <t>6601</t>
  </si>
  <si>
    <t>(ON)MIDWEST LONGHAUL</t>
  </si>
  <si>
    <t>VRP LOGISTICS</t>
  </si>
  <si>
    <t>4V4NC9TH3CN559329</t>
  </si>
  <si>
    <t>559329</t>
  </si>
  <si>
    <t>7794</t>
  </si>
  <si>
    <t>4V4NC9GH55N395028</t>
  </si>
  <si>
    <t>395028</t>
  </si>
  <si>
    <t>7795</t>
  </si>
  <si>
    <t>1XKADB9X66J118680</t>
  </si>
  <si>
    <t>79780</t>
  </si>
  <si>
    <t>FUJGLD50GLHM1602</t>
  </si>
  <si>
    <t>HM1602</t>
  </si>
  <si>
    <t>505-1</t>
  </si>
  <si>
    <t>505-16AT</t>
  </si>
  <si>
    <t>1FUJGLD52GLHM1603</t>
  </si>
  <si>
    <t>HM1603</t>
  </si>
  <si>
    <t>506-1</t>
  </si>
  <si>
    <t>506-16AT-SOLD</t>
  </si>
  <si>
    <t>FUJGLD54GLHM1604</t>
  </si>
  <si>
    <t>HM1604</t>
  </si>
  <si>
    <t>507-1</t>
  </si>
  <si>
    <t>507-16AT</t>
  </si>
  <si>
    <t>FUJGLD56GLHM1605</t>
  </si>
  <si>
    <t>HM1605</t>
  </si>
  <si>
    <t>508-1</t>
  </si>
  <si>
    <t>508-16AT</t>
  </si>
  <si>
    <t>FUJGLD58GLHM160</t>
  </si>
  <si>
    <t>LHM160</t>
  </si>
  <si>
    <t>509-1</t>
  </si>
  <si>
    <t>509-16AT</t>
  </si>
  <si>
    <t>1FUJGLD51GLHM1608</t>
  </si>
  <si>
    <t>HM1608</t>
  </si>
  <si>
    <t>511-1</t>
  </si>
  <si>
    <t>511-16AT-SOLD</t>
  </si>
  <si>
    <t>1FUJGLD53GLHM1612</t>
  </si>
  <si>
    <t>HM1612</t>
  </si>
  <si>
    <t>516-1</t>
  </si>
  <si>
    <t>516-16ATL</t>
  </si>
  <si>
    <t>(TX) REGIONAL</t>
  </si>
  <si>
    <t>1FUJGLD55GLHM1613</t>
  </si>
  <si>
    <t>HM1613</t>
  </si>
  <si>
    <t>517-1</t>
  </si>
  <si>
    <t>517-16AT-SOLD</t>
  </si>
  <si>
    <t>1FUJGLD50GLHM1616</t>
  </si>
  <si>
    <t>HM1616</t>
  </si>
  <si>
    <t>520-1</t>
  </si>
  <si>
    <t>520-16AT-SOLD</t>
  </si>
  <si>
    <t>USA HIGHWAY</t>
  </si>
  <si>
    <t>1FUJGLD5XGLHM1607</t>
  </si>
  <si>
    <t>HM1607</t>
  </si>
  <si>
    <t>510-1</t>
  </si>
  <si>
    <t>510-16AT-SOLD</t>
  </si>
  <si>
    <t>FUJGLD53GLHM1609</t>
  </si>
  <si>
    <t>HM1609</t>
  </si>
  <si>
    <t>512-1</t>
  </si>
  <si>
    <t>512-16AT</t>
  </si>
  <si>
    <t>1FUJGLD5XGLHM1610</t>
  </si>
  <si>
    <t>HM1610</t>
  </si>
  <si>
    <t>514-1</t>
  </si>
  <si>
    <t>514-16AT-SOLD</t>
  </si>
  <si>
    <t>1FUJGLD51GLHM1611</t>
  </si>
  <si>
    <t>HM1611</t>
  </si>
  <si>
    <t>515-1</t>
  </si>
  <si>
    <t>515-16AT-SOLD</t>
  </si>
  <si>
    <t>1FUJGLD57GLHM1614</t>
  </si>
  <si>
    <t>HM1614</t>
  </si>
  <si>
    <t>518-1</t>
  </si>
  <si>
    <t>518-16ATL</t>
  </si>
  <si>
    <t>1FUJGLD59GLHM1615</t>
  </si>
  <si>
    <t>HM1615</t>
  </si>
  <si>
    <t>519-1</t>
  </si>
  <si>
    <t>519-16AT-SOLD</t>
  </si>
  <si>
    <t>1XKADP9X0CJ952162</t>
  </si>
  <si>
    <t>952162</t>
  </si>
  <si>
    <t>7796</t>
  </si>
  <si>
    <t>FUJGLDRXCLBH0077</t>
  </si>
  <si>
    <t>BH0077</t>
  </si>
  <si>
    <t>79779</t>
  </si>
  <si>
    <t>1FUJA6CK57LX63263</t>
  </si>
  <si>
    <t>7797</t>
  </si>
  <si>
    <t>1XKTDB9X17J992509</t>
  </si>
  <si>
    <t>7798</t>
  </si>
  <si>
    <t>1XKADB9X56J978005</t>
  </si>
  <si>
    <t>978005</t>
  </si>
  <si>
    <t>79781</t>
  </si>
  <si>
    <t>1XPBDP9X8ED230809</t>
  </si>
  <si>
    <t>1236-</t>
  </si>
  <si>
    <t>1236-14MT</t>
  </si>
  <si>
    <t>XPBDP9X4ED230810</t>
  </si>
  <si>
    <t>1234-</t>
  </si>
  <si>
    <t>1234-14MT</t>
  </si>
  <si>
    <t>XPBDP9XXED230651</t>
  </si>
  <si>
    <t>1235-</t>
  </si>
  <si>
    <t>1235-14MT</t>
  </si>
  <si>
    <t>XPBDP9X6ED234535</t>
  </si>
  <si>
    <t>1237-</t>
  </si>
  <si>
    <t>1237-14MT</t>
  </si>
  <si>
    <t>XPBDP9X7ED234527</t>
  </si>
  <si>
    <t>71238</t>
  </si>
  <si>
    <t>1XPBDP9X9ED234528</t>
  </si>
  <si>
    <t>1239-</t>
  </si>
  <si>
    <t>1239-14MT-SOLD</t>
  </si>
  <si>
    <t>XPBDP9X0ED234529</t>
  </si>
  <si>
    <t>1240-</t>
  </si>
  <si>
    <t>1240-14MT</t>
  </si>
  <si>
    <t>1XPBDP9X7ED234530</t>
  </si>
  <si>
    <t>71241</t>
  </si>
  <si>
    <t>1XPBDP9X1ED230649</t>
  </si>
  <si>
    <t>1242-</t>
  </si>
  <si>
    <t>1242-14MT-SOLD</t>
  </si>
  <si>
    <t>1FUJGLDR3HLHN4395</t>
  </si>
  <si>
    <t>HN4395</t>
  </si>
  <si>
    <t>7799</t>
  </si>
  <si>
    <t>2HSCNSCR85C037650</t>
  </si>
  <si>
    <t>037650</t>
  </si>
  <si>
    <t>7800</t>
  </si>
  <si>
    <t>1FUJGLD59ELFR9005</t>
  </si>
  <si>
    <t>FR9005</t>
  </si>
  <si>
    <t>7801</t>
  </si>
  <si>
    <t>1XKTDB9X77J992479</t>
  </si>
  <si>
    <t>802-0</t>
  </si>
  <si>
    <t>802-07M</t>
  </si>
  <si>
    <t>1XKTDB9X27J992499</t>
  </si>
  <si>
    <t>803-0</t>
  </si>
  <si>
    <t>803-07M</t>
  </si>
  <si>
    <t>1XKTDB9X37J997484</t>
  </si>
  <si>
    <t>804-0</t>
  </si>
  <si>
    <t>804-07M</t>
  </si>
  <si>
    <t>1FUJGLDR8HLHL8144</t>
  </si>
  <si>
    <t>HL8144</t>
  </si>
  <si>
    <t>7805</t>
  </si>
  <si>
    <t>1FUJGLDRXHLHS2169</t>
  </si>
  <si>
    <t>HS2169</t>
  </si>
  <si>
    <t>7806</t>
  </si>
  <si>
    <t>11VJ817E7GA000611</t>
  </si>
  <si>
    <t>000611</t>
  </si>
  <si>
    <t>1414S</t>
  </si>
  <si>
    <t>1414SH</t>
  </si>
  <si>
    <t>6CK86LU76921</t>
  </si>
  <si>
    <t>79782</t>
  </si>
  <si>
    <t>1FUJA6CK26LU76879</t>
  </si>
  <si>
    <t>79783</t>
  </si>
  <si>
    <t>FUJGLDR7HLHV7669</t>
  </si>
  <si>
    <t>HV7669</t>
  </si>
  <si>
    <t>7807</t>
  </si>
  <si>
    <t>1XKTDB9X07J999161</t>
  </si>
  <si>
    <t>7808-</t>
  </si>
  <si>
    <t>7808-07M</t>
  </si>
  <si>
    <t>1FUJGLDR2BSAY5162</t>
  </si>
  <si>
    <t>AY5162</t>
  </si>
  <si>
    <t>7809</t>
  </si>
  <si>
    <t>FUJGLDR0HLHV7657</t>
  </si>
  <si>
    <t>HV7657</t>
  </si>
  <si>
    <t>7810</t>
  </si>
  <si>
    <t>1XPHDU9X37N659667</t>
  </si>
  <si>
    <t>79784</t>
  </si>
  <si>
    <t>1FUJGLDR9BSBC6107</t>
  </si>
  <si>
    <t>BC6107</t>
  </si>
  <si>
    <t>79785</t>
  </si>
  <si>
    <t>1FUJGLD5XGLHR8194</t>
  </si>
  <si>
    <t>HR8194</t>
  </si>
  <si>
    <t>7811</t>
  </si>
  <si>
    <t>V4NC9EH1EN152867</t>
  </si>
  <si>
    <t>79786</t>
  </si>
  <si>
    <t>FUJA6CK27LY90200</t>
  </si>
  <si>
    <t>Y90200</t>
  </si>
  <si>
    <t>79787</t>
  </si>
  <si>
    <t>1XKTDB9X57J997485</t>
  </si>
  <si>
    <t>79788</t>
  </si>
  <si>
    <t>1FUJGLDRXASAR9650</t>
  </si>
  <si>
    <t>AR9650</t>
  </si>
  <si>
    <t>79789</t>
  </si>
  <si>
    <t>1XKADB9X07J116246</t>
  </si>
  <si>
    <t>79790</t>
  </si>
  <si>
    <t>1XKTDB9X86J981067</t>
  </si>
  <si>
    <t>79791</t>
  </si>
  <si>
    <t>1FUJA6AV57LW21184</t>
  </si>
  <si>
    <t>1243-</t>
  </si>
  <si>
    <t>1243-07MT</t>
  </si>
  <si>
    <t>1FUJBBAV47LX21783</t>
  </si>
  <si>
    <t>812-0</t>
  </si>
  <si>
    <t>812-07M</t>
  </si>
  <si>
    <t>1XKTDB9XX7J997501</t>
  </si>
  <si>
    <t>814-0</t>
  </si>
  <si>
    <t>814-07M</t>
  </si>
  <si>
    <t>4V4NC9EHXDN564767</t>
  </si>
  <si>
    <t>564767</t>
  </si>
  <si>
    <t>7815</t>
  </si>
  <si>
    <t>1FUJGLDRXCSBD4606</t>
  </si>
  <si>
    <t>BD4606</t>
  </si>
  <si>
    <t>79778</t>
  </si>
  <si>
    <t>FUJGLBG1CSBL9831</t>
  </si>
  <si>
    <t>BL9831</t>
  </si>
  <si>
    <t>79792</t>
  </si>
  <si>
    <t>4V4NC9EH4EN169730</t>
  </si>
  <si>
    <t>169730</t>
  </si>
  <si>
    <t>7816</t>
  </si>
  <si>
    <t>4V4NC9EH5CN557465</t>
  </si>
  <si>
    <t>557465</t>
  </si>
  <si>
    <t>7817</t>
  </si>
  <si>
    <t>1FUJGLD55FLGE3563</t>
  </si>
  <si>
    <t>GE3563</t>
  </si>
  <si>
    <t>7818</t>
  </si>
  <si>
    <t>4V4NC9TJ25N388899</t>
  </si>
  <si>
    <t>388899</t>
  </si>
  <si>
    <t>7819</t>
  </si>
  <si>
    <t>3AKJGLDR1HSHM1617</t>
  </si>
  <si>
    <t>HM1617</t>
  </si>
  <si>
    <t>9793-</t>
  </si>
  <si>
    <t>9793-17ATL</t>
  </si>
  <si>
    <t>3AKJGLDR3HSHM1618</t>
  </si>
  <si>
    <t>HM1618</t>
  </si>
  <si>
    <t>9794-</t>
  </si>
  <si>
    <t>9794-17ATL</t>
  </si>
  <si>
    <t>3AKJGLDR5HSHM1619</t>
  </si>
  <si>
    <t>HM1619</t>
  </si>
  <si>
    <t>9795-</t>
  </si>
  <si>
    <t>9795-17ATL</t>
  </si>
  <si>
    <t>3AKJGLDR1HSHM1620</t>
  </si>
  <si>
    <t>HM1620</t>
  </si>
  <si>
    <t>9796-</t>
  </si>
  <si>
    <t>9796-17ATL</t>
  </si>
  <si>
    <t>3AKJGLDR3HSHM1621</t>
  </si>
  <si>
    <t>HM1621</t>
  </si>
  <si>
    <t>9797-</t>
  </si>
  <si>
    <t>9797-17ATL</t>
  </si>
  <si>
    <t>3AKJGLDR5HSHM1622</t>
  </si>
  <si>
    <t>HM1622</t>
  </si>
  <si>
    <t>521-1</t>
  </si>
  <si>
    <t>521-17ATL</t>
  </si>
  <si>
    <t>3AKJGLDR7HSHM1623</t>
  </si>
  <si>
    <t>HM1623</t>
  </si>
  <si>
    <t>522-1</t>
  </si>
  <si>
    <t>522-17ATL</t>
  </si>
  <si>
    <t>3AKJGLDR9HSHM1624</t>
  </si>
  <si>
    <t>HM1624</t>
  </si>
  <si>
    <t>523-1</t>
  </si>
  <si>
    <t>523-17ATL</t>
  </si>
  <si>
    <t>3AKJGLDR0HSHM1625</t>
  </si>
  <si>
    <t>HM1625</t>
  </si>
  <si>
    <t>524-1</t>
  </si>
  <si>
    <t>524-17ATL</t>
  </si>
  <si>
    <t>3AKJGLDR2HSHM1626</t>
  </si>
  <si>
    <t>HM1626</t>
  </si>
  <si>
    <t>525-1</t>
  </si>
  <si>
    <t>525-17ATL</t>
  </si>
  <si>
    <t>3AKJGLDR4HSHM1627</t>
  </si>
  <si>
    <t>HM1627</t>
  </si>
  <si>
    <t>527-1</t>
  </si>
  <si>
    <t>527-17ATL</t>
  </si>
  <si>
    <t>3AKJGLDR6HSHM1628</t>
  </si>
  <si>
    <t>HM1628</t>
  </si>
  <si>
    <t>528-1</t>
  </si>
  <si>
    <t>528-17ATL</t>
  </si>
  <si>
    <t>3AKJGLDR8HSHM1629</t>
  </si>
  <si>
    <t>HM1629</t>
  </si>
  <si>
    <t>529-1</t>
  </si>
  <si>
    <t>529-17ATL</t>
  </si>
  <si>
    <t>3AKJGLDR4HSHM1630</t>
  </si>
  <si>
    <t>HM1630</t>
  </si>
  <si>
    <t>530-1</t>
  </si>
  <si>
    <t>530-17ATL</t>
  </si>
  <si>
    <t>3AKJGLDR6HSHM1631</t>
  </si>
  <si>
    <t>HM1631</t>
  </si>
  <si>
    <t>531-1</t>
  </si>
  <si>
    <t>531-17ATL</t>
  </si>
  <si>
    <t>1FUJGLDR5HLHL808400</t>
  </si>
  <si>
    <t>808400</t>
  </si>
  <si>
    <t>7820</t>
  </si>
  <si>
    <t>1FUJGLDR7HLHL8085</t>
  </si>
  <si>
    <t>HL8085</t>
  </si>
  <si>
    <t>7821</t>
  </si>
  <si>
    <t>1FUJGLDR9HLHL8086</t>
  </si>
  <si>
    <t>HL8086</t>
  </si>
  <si>
    <t>7822</t>
  </si>
  <si>
    <t>1FUJGLBG0DSBY6463</t>
  </si>
  <si>
    <t>BY6463</t>
  </si>
  <si>
    <t>7823</t>
  </si>
  <si>
    <t>1XKYD49X3HJ987234</t>
  </si>
  <si>
    <t>987234</t>
  </si>
  <si>
    <t>7824</t>
  </si>
  <si>
    <t>1FUJA6CK27LX64810</t>
  </si>
  <si>
    <t>X64810</t>
  </si>
  <si>
    <t>79799</t>
  </si>
  <si>
    <t xml:space="preserve">2HSCNSBR77C349723 </t>
  </si>
  <si>
    <t>825-0</t>
  </si>
  <si>
    <t>825-07M</t>
  </si>
  <si>
    <t>HSCWAPR2BN266093</t>
  </si>
  <si>
    <t>266093</t>
  </si>
  <si>
    <t>79798</t>
  </si>
  <si>
    <t>79798-OOS</t>
  </si>
  <si>
    <t>PROSTAR</t>
  </si>
  <si>
    <t>4V4NC9EH6GN949165</t>
  </si>
  <si>
    <t>949165</t>
  </si>
  <si>
    <t>7827</t>
  </si>
  <si>
    <t>3HSCXAPR3HN752238</t>
  </si>
  <si>
    <t>752238</t>
  </si>
  <si>
    <t>K7220</t>
  </si>
  <si>
    <t>K72205</t>
  </si>
  <si>
    <t>4V4NC9GH57N452914</t>
  </si>
  <si>
    <t>452914</t>
  </si>
  <si>
    <t>7826</t>
  </si>
  <si>
    <t>1XKYDP9X0GJ981634</t>
  </si>
  <si>
    <t>981634</t>
  </si>
  <si>
    <t>7831</t>
  </si>
  <si>
    <t>1XKTDB9X07J999158</t>
  </si>
  <si>
    <t>828-0</t>
  </si>
  <si>
    <t>828-07M</t>
  </si>
  <si>
    <t>1XKTDB9X87J999165</t>
  </si>
  <si>
    <t>829-0</t>
  </si>
  <si>
    <t>829-07M</t>
  </si>
  <si>
    <t>1XKTDB9X27J997489</t>
  </si>
  <si>
    <t>830-0</t>
  </si>
  <si>
    <t>830-07M</t>
  </si>
  <si>
    <t>FUJA6DE87LX19265</t>
  </si>
  <si>
    <t>X19265</t>
  </si>
  <si>
    <t>7832</t>
  </si>
  <si>
    <t>1XKTDB9XX7J992475</t>
  </si>
  <si>
    <t>834-0</t>
  </si>
  <si>
    <t>834-07M</t>
  </si>
  <si>
    <t>FUJGLDR7GLGZ8055</t>
  </si>
  <si>
    <t>1245-</t>
  </si>
  <si>
    <t>1245-16ALD-SOLD</t>
  </si>
  <si>
    <t>4V4NC9TG26N411166</t>
  </si>
  <si>
    <t>72206</t>
  </si>
  <si>
    <t>HSCNAPR87C339303</t>
  </si>
  <si>
    <t>339303</t>
  </si>
  <si>
    <t>72207</t>
  </si>
  <si>
    <t>9400I</t>
  </si>
  <si>
    <t>FUJA6CK86LU76921</t>
  </si>
  <si>
    <t>72208</t>
  </si>
  <si>
    <t>1FUJGLDR9GLGZ8056</t>
  </si>
  <si>
    <t>1247-</t>
  </si>
  <si>
    <t>1247-16ALD-SOLD</t>
  </si>
  <si>
    <t>1FUJGLDR0GLGZ8057</t>
  </si>
  <si>
    <t>1248-</t>
  </si>
  <si>
    <t>1248-16ALD-SOLD</t>
  </si>
  <si>
    <t>4V4NC9EH0DN144760</t>
  </si>
  <si>
    <t>144760</t>
  </si>
  <si>
    <t>7835</t>
  </si>
  <si>
    <t>1XKTDB9X27J999159</t>
  </si>
  <si>
    <t>833-0</t>
  </si>
  <si>
    <t>833-07M</t>
  </si>
  <si>
    <t>4V4NC9EJ39N262599</t>
  </si>
  <si>
    <t>262599</t>
  </si>
  <si>
    <t>7836</t>
  </si>
  <si>
    <t>4V4NC9EH1AN286014</t>
  </si>
  <si>
    <t>286014</t>
  </si>
  <si>
    <t>7837</t>
  </si>
  <si>
    <t>4V4NC9GH27N452790</t>
  </si>
  <si>
    <t>452790</t>
  </si>
  <si>
    <t>7838</t>
  </si>
  <si>
    <t>4V4NC9EJ8BN293790</t>
  </si>
  <si>
    <t>7839</t>
  </si>
  <si>
    <t>1XKADB9X64J971268</t>
  </si>
  <si>
    <t>7840</t>
  </si>
  <si>
    <t>1244-</t>
  </si>
  <si>
    <t>1244-16ALD</t>
  </si>
  <si>
    <t>1249-</t>
  </si>
  <si>
    <t>1249-16ALD</t>
  </si>
  <si>
    <t>FUJGLDR7HLJC9605</t>
  </si>
  <si>
    <t>JC9605</t>
  </si>
  <si>
    <t>1250-</t>
  </si>
  <si>
    <t>1250-17A</t>
  </si>
  <si>
    <t>FUJGLDR9HLJC9606</t>
  </si>
  <si>
    <t>JC9606</t>
  </si>
  <si>
    <t>1251-</t>
  </si>
  <si>
    <t>1251-17A</t>
  </si>
  <si>
    <t>1FUJGLDR0HLJC9607</t>
  </si>
  <si>
    <t>JC9607</t>
  </si>
  <si>
    <t>1252-</t>
  </si>
  <si>
    <t>1252-17A-SOLD</t>
  </si>
  <si>
    <t>1FUJGLDR2HLJC9608</t>
  </si>
  <si>
    <t>JC9608</t>
  </si>
  <si>
    <t>1253-</t>
  </si>
  <si>
    <t>1253-17A-SOLD</t>
  </si>
  <si>
    <t>1FUJGLDR4HLJC9609</t>
  </si>
  <si>
    <t>JC9609</t>
  </si>
  <si>
    <t>1254-</t>
  </si>
  <si>
    <t>1254-17A-SOLD</t>
  </si>
  <si>
    <t>1XKTDB9X97J999160</t>
  </si>
  <si>
    <t>842-0</t>
  </si>
  <si>
    <t>842-07M</t>
  </si>
  <si>
    <t>3AKJGLDRXHDHY6091</t>
  </si>
  <si>
    <t>HY6091</t>
  </si>
  <si>
    <t>7841</t>
  </si>
  <si>
    <t>4V4NC9EH5AN291720</t>
  </si>
  <si>
    <t>291720</t>
  </si>
  <si>
    <t>7843</t>
  </si>
  <si>
    <t>1XPBDP9XXGD334348</t>
  </si>
  <si>
    <t>334348</t>
  </si>
  <si>
    <t>D032-</t>
  </si>
  <si>
    <t>D032-1842</t>
  </si>
  <si>
    <t>1FUJGEDR8BSAV3439</t>
  </si>
  <si>
    <t>AV3439</t>
  </si>
  <si>
    <t>R003</t>
  </si>
  <si>
    <t>1FUJGEDR1BSAV3363</t>
  </si>
  <si>
    <t>AV3363</t>
  </si>
  <si>
    <t>R004</t>
  </si>
  <si>
    <t>1FUJGEDR0BSAZ5944</t>
  </si>
  <si>
    <t>AZ5944</t>
  </si>
  <si>
    <t>R005</t>
  </si>
  <si>
    <t>1FUJGEDR9BSAZ1438</t>
  </si>
  <si>
    <t>AZ1438</t>
  </si>
  <si>
    <t>R001</t>
  </si>
  <si>
    <t>4V4NC9EH3DN565663</t>
  </si>
  <si>
    <t>565663</t>
  </si>
  <si>
    <t>7844</t>
  </si>
  <si>
    <t>4V4NC9EH9DN565666</t>
  </si>
  <si>
    <t>565666</t>
  </si>
  <si>
    <t>7845</t>
  </si>
  <si>
    <t>1XKTDB9X77J997486</t>
  </si>
  <si>
    <t>846-0</t>
  </si>
  <si>
    <t>846-07M</t>
  </si>
  <si>
    <t>1XKTDB9X07J997507</t>
  </si>
  <si>
    <t>847-0</t>
  </si>
  <si>
    <t>847-07M</t>
  </si>
  <si>
    <t>FUJGLBGXDLFB4865</t>
  </si>
  <si>
    <t>FB4865</t>
  </si>
  <si>
    <t>72209</t>
  </si>
  <si>
    <t>1XKADB9X76J117425</t>
  </si>
  <si>
    <t>848-0</t>
  </si>
  <si>
    <t>848-06M</t>
  </si>
  <si>
    <t>1XKADB9X37R175051</t>
  </si>
  <si>
    <t>849-0</t>
  </si>
  <si>
    <t>849-07M</t>
  </si>
  <si>
    <t>V4NC9EJ69N276304</t>
  </si>
  <si>
    <t>276304</t>
  </si>
  <si>
    <t>7850</t>
  </si>
  <si>
    <t>1XKADB9X97J116181</t>
  </si>
  <si>
    <t>851-0</t>
  </si>
  <si>
    <t>851-07M</t>
  </si>
  <si>
    <t>1FUJGEDR7HLHX7674</t>
  </si>
  <si>
    <t>HX7674</t>
  </si>
  <si>
    <t>2210-</t>
  </si>
  <si>
    <t>2210-17AC</t>
  </si>
  <si>
    <t>1FUJGEDR9HLHX7675</t>
  </si>
  <si>
    <t>HX7675</t>
  </si>
  <si>
    <t>2211-</t>
  </si>
  <si>
    <t>2211-17AC</t>
  </si>
  <si>
    <t>1FUJGEDR3HLHX7669</t>
  </si>
  <si>
    <t>HX7669</t>
  </si>
  <si>
    <t>852-1</t>
  </si>
  <si>
    <t>852-17AC-SOLD</t>
  </si>
  <si>
    <t>1FUJGEDRXHLHX7670</t>
  </si>
  <si>
    <t>HX7670</t>
  </si>
  <si>
    <t>853-1</t>
  </si>
  <si>
    <t>853-17AC</t>
  </si>
  <si>
    <t>1FUJGEDR1HLHX7671</t>
  </si>
  <si>
    <t>HX7671</t>
  </si>
  <si>
    <t>854-1</t>
  </si>
  <si>
    <t>854-17ACH</t>
  </si>
  <si>
    <t>1FUJGEDR3HLHX7672</t>
  </si>
  <si>
    <t>HX7672</t>
  </si>
  <si>
    <t>855-1</t>
  </si>
  <si>
    <t>855-17AC-SOLD</t>
  </si>
  <si>
    <t>FUJGEDR5HLHX7673</t>
  </si>
  <si>
    <t>HX7673</t>
  </si>
  <si>
    <t>1256-</t>
  </si>
  <si>
    <t>1256-17AC</t>
  </si>
  <si>
    <t>1FUJGLDR7BSAY5142</t>
  </si>
  <si>
    <t>AY5142</t>
  </si>
  <si>
    <t>72212</t>
  </si>
  <si>
    <t>1FUJA6CKX5PU02844</t>
  </si>
  <si>
    <t>72216</t>
  </si>
  <si>
    <t>1FUJA6CK55LN39939</t>
  </si>
  <si>
    <t>72214</t>
  </si>
  <si>
    <t>1FUJGLDR0BSAY5144</t>
  </si>
  <si>
    <t>AY5144</t>
  </si>
  <si>
    <t>72215</t>
  </si>
  <si>
    <t>1FUJGLDR1CSBT3204</t>
  </si>
  <si>
    <t>BT3204</t>
  </si>
  <si>
    <t>7856</t>
  </si>
  <si>
    <t>4V4NC9EH4CN545288</t>
  </si>
  <si>
    <t>545288</t>
  </si>
  <si>
    <t>72217</t>
  </si>
  <si>
    <t>328449(OFF-ROAD)</t>
  </si>
  <si>
    <t>-ROAD)</t>
  </si>
  <si>
    <t>1010S</t>
  </si>
  <si>
    <t>1010SH</t>
  </si>
  <si>
    <t>11VF814EXBA000251</t>
  </si>
  <si>
    <t>000251</t>
  </si>
  <si>
    <t>1111S</t>
  </si>
  <si>
    <t>1111SH</t>
  </si>
  <si>
    <t>3HSDJSJR3CN604362</t>
  </si>
  <si>
    <t>604362</t>
  </si>
  <si>
    <t>7857</t>
  </si>
  <si>
    <t>1FUJGLD51GLGZ8064</t>
  </si>
  <si>
    <t>GZ8064</t>
  </si>
  <si>
    <t>7858</t>
  </si>
  <si>
    <t>CSCADIA</t>
  </si>
  <si>
    <t>V4NC9GH07N480748</t>
  </si>
  <si>
    <t>480748</t>
  </si>
  <si>
    <t>7859</t>
  </si>
  <si>
    <t>1FUJA6CKX6LV45172</t>
  </si>
  <si>
    <t>V45172</t>
  </si>
  <si>
    <t>72243</t>
  </si>
  <si>
    <t>1FUJGLDR7CSBF8345</t>
  </si>
  <si>
    <t>BF8345</t>
  </si>
  <si>
    <t>72219</t>
  </si>
  <si>
    <t>FUJGLDV3CLBR2827</t>
  </si>
  <si>
    <t>BR2827</t>
  </si>
  <si>
    <t>72220</t>
  </si>
  <si>
    <t>1FUJGLDV7CSBT8095</t>
  </si>
  <si>
    <t>BT8095</t>
  </si>
  <si>
    <t>72221</t>
  </si>
  <si>
    <t>FUJGLDR4CSBF3118</t>
  </si>
  <si>
    <t>BF3118</t>
  </si>
  <si>
    <t>72222</t>
  </si>
  <si>
    <t>1FUJGEDR5HLHX7673</t>
  </si>
  <si>
    <t>2223-</t>
  </si>
  <si>
    <t>2223-17AC</t>
  </si>
  <si>
    <t>XPBDP9X4HD442174</t>
  </si>
  <si>
    <t>442174</t>
  </si>
  <si>
    <t>602-1</t>
  </si>
  <si>
    <t>602-17MC</t>
  </si>
  <si>
    <t>XPBDP9X6HD442175</t>
  </si>
  <si>
    <t>442175</t>
  </si>
  <si>
    <t>603-1</t>
  </si>
  <si>
    <t>603-17MC</t>
  </si>
  <si>
    <t>XPBDP9X8HD442176</t>
  </si>
  <si>
    <t>442176</t>
  </si>
  <si>
    <t>604-1</t>
  </si>
  <si>
    <t>604-17MC</t>
  </si>
  <si>
    <t>XPBDP9XXHD442177</t>
  </si>
  <si>
    <t>442177</t>
  </si>
  <si>
    <t>605-1</t>
  </si>
  <si>
    <t>605-17MC</t>
  </si>
  <si>
    <t>XPBDP9X1HD442178</t>
  </si>
  <si>
    <t>442178</t>
  </si>
  <si>
    <t>606-1</t>
  </si>
  <si>
    <t>606-17MC</t>
  </si>
  <si>
    <t>FUJGLDR8HLHX7686</t>
  </si>
  <si>
    <t>HX7686</t>
  </si>
  <si>
    <t>2224-</t>
  </si>
  <si>
    <t>2224-17A</t>
  </si>
  <si>
    <t>FUJGLDRXHLHX7687</t>
  </si>
  <si>
    <t>HX7687</t>
  </si>
  <si>
    <t>2225-</t>
  </si>
  <si>
    <t>2225-17A</t>
  </si>
  <si>
    <t>FUJGLDR1HLHX7688</t>
  </si>
  <si>
    <t>HX7688</t>
  </si>
  <si>
    <t>2226-</t>
  </si>
  <si>
    <t>2226-17A</t>
  </si>
  <si>
    <t>FUJGLDR3HLHX7689</t>
  </si>
  <si>
    <t>HX7689</t>
  </si>
  <si>
    <t>2228-</t>
  </si>
  <si>
    <t>2228-17A</t>
  </si>
  <si>
    <t>1FUJGLDRXHLHX7690</t>
  </si>
  <si>
    <t>HX7690</t>
  </si>
  <si>
    <t>2229-</t>
  </si>
  <si>
    <t>2229-17AL</t>
  </si>
  <si>
    <t>FUJGLDR1HLHX7691</t>
  </si>
  <si>
    <t>HX7691</t>
  </si>
  <si>
    <t>2230-</t>
  </si>
  <si>
    <t>2230-17A</t>
  </si>
  <si>
    <t>4V4NC9GH17N451095</t>
  </si>
  <si>
    <t>7860</t>
  </si>
  <si>
    <t>FUJGLDR3HLHX7692</t>
  </si>
  <si>
    <t>HX7692</t>
  </si>
  <si>
    <t>532-1</t>
  </si>
  <si>
    <t>532-17A</t>
  </si>
  <si>
    <t>FUJGLDR5HLHX7693</t>
  </si>
  <si>
    <t>HX7693</t>
  </si>
  <si>
    <t>533-1</t>
  </si>
  <si>
    <t>533-17A</t>
  </si>
  <si>
    <t>FUJGLDR7HLHX7694</t>
  </si>
  <si>
    <t>HX7694</t>
  </si>
  <si>
    <t>534-1</t>
  </si>
  <si>
    <t>534-17A</t>
  </si>
  <si>
    <t>FUJGLDR9HLHX7695</t>
  </si>
  <si>
    <t>HX7695</t>
  </si>
  <si>
    <t>536-1</t>
  </si>
  <si>
    <t>536-17A</t>
  </si>
  <si>
    <t>4V4NC9EH19N264283</t>
  </si>
  <si>
    <t>264283</t>
  </si>
  <si>
    <t>72227</t>
  </si>
  <si>
    <t>60096</t>
  </si>
  <si>
    <t>600968</t>
  </si>
  <si>
    <t>1FUJGLDR5HLHX7676</t>
  </si>
  <si>
    <t>HX7676</t>
  </si>
  <si>
    <t>2231-</t>
  </si>
  <si>
    <t>2231-17ATL</t>
  </si>
  <si>
    <t>1FUJGLDR7HLHX7677</t>
  </si>
  <si>
    <t>HX7677</t>
  </si>
  <si>
    <t>2232-</t>
  </si>
  <si>
    <t>2232-17ATL</t>
  </si>
  <si>
    <t>1FUJGLDR9HLHX7678</t>
  </si>
  <si>
    <t>HX7678</t>
  </si>
  <si>
    <t>2233-</t>
  </si>
  <si>
    <t>2233-17ATL</t>
  </si>
  <si>
    <t>1FUJGLDR0HLHX7679</t>
  </si>
  <si>
    <t>HX7679</t>
  </si>
  <si>
    <t>2234-</t>
  </si>
  <si>
    <t>2234-17ATL</t>
  </si>
  <si>
    <t>1FUJGLDR7HLHX7680</t>
  </si>
  <si>
    <t>HX7680</t>
  </si>
  <si>
    <t>2235-</t>
  </si>
  <si>
    <t>2235-17AT</t>
  </si>
  <si>
    <t>1FUJGLDR9HLHX7681</t>
  </si>
  <si>
    <t>HX7681</t>
  </si>
  <si>
    <t>2237-</t>
  </si>
  <si>
    <t>2237-17ATL</t>
  </si>
  <si>
    <t>1FUJGLDR0HLHX7696</t>
  </si>
  <si>
    <t>HX7696</t>
  </si>
  <si>
    <t>861-1</t>
  </si>
  <si>
    <t>861-17A-SOLD</t>
  </si>
  <si>
    <t>1FUJGLDR2HLHX7697</t>
  </si>
  <si>
    <t>HX7697</t>
  </si>
  <si>
    <t>862-1</t>
  </si>
  <si>
    <t>862-17A-SOLD</t>
  </si>
  <si>
    <t>1FUJGLDR4HLHX7698</t>
  </si>
  <si>
    <t>HX7698</t>
  </si>
  <si>
    <t>863-1</t>
  </si>
  <si>
    <t>863-17A-SOLD</t>
  </si>
  <si>
    <t>1FUJGLDR6HLHX7699</t>
  </si>
  <si>
    <t>HX7699</t>
  </si>
  <si>
    <t>864-1</t>
  </si>
  <si>
    <t>864-17A-SOLD</t>
  </si>
  <si>
    <t>4V4NC9EH7DN565679</t>
  </si>
  <si>
    <t>565679</t>
  </si>
  <si>
    <t>7865</t>
  </si>
  <si>
    <t>4V4NC9EJ0DN129968</t>
  </si>
  <si>
    <t>129968</t>
  </si>
  <si>
    <t>7866</t>
  </si>
  <si>
    <t>1FUJGLD58GLHA8245</t>
  </si>
  <si>
    <t>HA8245</t>
  </si>
  <si>
    <t>7867</t>
  </si>
  <si>
    <t>4V4NC9EH6CN554994</t>
  </si>
  <si>
    <t>7868</t>
  </si>
  <si>
    <t>1XPHDB9X37N651623</t>
  </si>
  <si>
    <t>651623</t>
  </si>
  <si>
    <t>7869</t>
  </si>
  <si>
    <t>4V4NC9TG87N460826</t>
  </si>
  <si>
    <t>460826</t>
  </si>
  <si>
    <t>7870</t>
  </si>
  <si>
    <t>4V4NC9EJ39N276275</t>
  </si>
  <si>
    <t>276275</t>
  </si>
  <si>
    <t>7871</t>
  </si>
  <si>
    <t>1XKADB9X47J158581</t>
  </si>
  <si>
    <t>158581</t>
  </si>
  <si>
    <t>7872</t>
  </si>
  <si>
    <t>1FUJGLD54ELFY6324</t>
  </si>
  <si>
    <t>FY6324</t>
  </si>
  <si>
    <t>7873</t>
  </si>
  <si>
    <t>1FUJGLDR8HLJC3912</t>
  </si>
  <si>
    <t>JC3912</t>
  </si>
  <si>
    <t>7876</t>
  </si>
  <si>
    <t>3HSDJSJRXBN423452</t>
  </si>
  <si>
    <t>423452</t>
  </si>
  <si>
    <t>7877</t>
  </si>
  <si>
    <t>FUJGLDR0HLHX7682</t>
  </si>
  <si>
    <t>HX7682</t>
  </si>
  <si>
    <t>1257-</t>
  </si>
  <si>
    <t>1257-17AT-SOLD</t>
  </si>
  <si>
    <t>1FUJGLDR2HLHX7683</t>
  </si>
  <si>
    <t>HX7683</t>
  </si>
  <si>
    <t>1258-</t>
  </si>
  <si>
    <t>1258-17AT-SOLD</t>
  </si>
  <si>
    <t>1FUJGLDR4HLHX7684</t>
  </si>
  <si>
    <t>HX7684</t>
  </si>
  <si>
    <t>1259-</t>
  </si>
  <si>
    <t>1259-17AT-SOLD</t>
  </si>
  <si>
    <t>FUJGLDR6HLHX7685</t>
  </si>
  <si>
    <t>HX7685</t>
  </si>
  <si>
    <t>1260-</t>
  </si>
  <si>
    <t>1260-17AT-SOLD</t>
  </si>
  <si>
    <t>1FUJGEDR8HLHX7702</t>
  </si>
  <si>
    <t>HX7702</t>
  </si>
  <si>
    <t>2238-</t>
  </si>
  <si>
    <t>2238-17AC</t>
  </si>
  <si>
    <t>1FUJGEDRXHLHX7703</t>
  </si>
  <si>
    <t>HX7703</t>
  </si>
  <si>
    <t>2239-</t>
  </si>
  <si>
    <t>2239-17AC</t>
  </si>
  <si>
    <t>1FUJGEDR4HLHX7700</t>
  </si>
  <si>
    <t>HX7700</t>
  </si>
  <si>
    <t>874-1</t>
  </si>
  <si>
    <t>874-17AC-SOLD</t>
  </si>
  <si>
    <t>1FUJGEDR6HLHX7701</t>
  </si>
  <si>
    <t>HX7701</t>
  </si>
  <si>
    <t>875-1</t>
  </si>
  <si>
    <t>875-17ACH-SOLD</t>
  </si>
  <si>
    <t>4V4NC9TJ87N448347</t>
  </si>
  <si>
    <t>72236</t>
  </si>
  <si>
    <t>V4NC9EH8FN189528</t>
  </si>
  <si>
    <t>189528</t>
  </si>
  <si>
    <t>71246</t>
  </si>
  <si>
    <t>3HSDJSJR9CN448263</t>
  </si>
  <si>
    <t>72240</t>
  </si>
  <si>
    <t>1FUJBBDRX9DAK6612</t>
  </si>
  <si>
    <t>AK6612</t>
  </si>
  <si>
    <t>72241</t>
  </si>
  <si>
    <t>DUMMY SERVICE UNIT</t>
  </si>
  <si>
    <t>E UNIT</t>
  </si>
  <si>
    <t>009-D</t>
  </si>
  <si>
    <t>009-DUMMY UNIT</t>
  </si>
  <si>
    <t>4V4NC9GH66N420343</t>
  </si>
  <si>
    <t>420343</t>
  </si>
  <si>
    <t>7878</t>
  </si>
  <si>
    <t>4V4NC9GH07N451377</t>
  </si>
  <si>
    <t>451377</t>
  </si>
  <si>
    <t>7879</t>
  </si>
  <si>
    <t>4V4NC9EHXHN951020</t>
  </si>
  <si>
    <t>951020</t>
  </si>
  <si>
    <t>7880</t>
  </si>
  <si>
    <t>1XKADB9X96J117443</t>
  </si>
  <si>
    <t>881-0</t>
  </si>
  <si>
    <t>881-06M</t>
  </si>
  <si>
    <t>1XKADB9X36J118748</t>
  </si>
  <si>
    <t>882-0</t>
  </si>
  <si>
    <t>882-06M</t>
  </si>
  <si>
    <t>4V4NC9EH5HN963947</t>
  </si>
  <si>
    <t>963947</t>
  </si>
  <si>
    <t>7883</t>
  </si>
  <si>
    <t>1FUJGLD52GLHE3668</t>
  </si>
  <si>
    <t>HE3668</t>
  </si>
  <si>
    <t>7884</t>
  </si>
  <si>
    <t>UJA6CK27LY90200</t>
  </si>
  <si>
    <t>72218</t>
  </si>
  <si>
    <t>1FUJBBCK97LV75173</t>
  </si>
  <si>
    <t>V75173</t>
  </si>
  <si>
    <t>72242</t>
  </si>
  <si>
    <t>1XKAD49X29J942210</t>
  </si>
  <si>
    <t>942210</t>
  </si>
  <si>
    <t>7885</t>
  </si>
  <si>
    <t>CONST</t>
  </si>
  <si>
    <t>4V4NC9TG06N391628</t>
  </si>
  <si>
    <t>391628</t>
  </si>
  <si>
    <t>7886</t>
  </si>
  <si>
    <t>1FUJGLDR6HLHX7704</t>
  </si>
  <si>
    <t>HX7704</t>
  </si>
  <si>
    <t>1261-</t>
  </si>
  <si>
    <t>1261-17A-SOLD</t>
  </si>
  <si>
    <t>1FUJGLDR8HLHX7705</t>
  </si>
  <si>
    <t>HX7705</t>
  </si>
  <si>
    <t>1262-</t>
  </si>
  <si>
    <t>1262-17A-SOLD</t>
  </si>
  <si>
    <t>1FUJGLDRXHLHX7706</t>
  </si>
  <si>
    <t>HX7706</t>
  </si>
  <si>
    <t>1263-</t>
  </si>
  <si>
    <t>1263-17A-SOLD</t>
  </si>
  <si>
    <t>1FUJGLDR1HLHX7707</t>
  </si>
  <si>
    <t>HX7707</t>
  </si>
  <si>
    <t>1265-</t>
  </si>
  <si>
    <t>1265-17A-SOLD</t>
  </si>
  <si>
    <t>(ON) WINDSOR LOCAL</t>
  </si>
  <si>
    <t>1FUJGLDR3HLHX7708</t>
  </si>
  <si>
    <t>HX7708</t>
  </si>
  <si>
    <t>M004-</t>
  </si>
  <si>
    <t>M004-SOLD</t>
  </si>
  <si>
    <t>1FUJGLDR5HLHX7709</t>
  </si>
  <si>
    <t>HX7709</t>
  </si>
  <si>
    <t>M006-</t>
  </si>
  <si>
    <t>M006-SOLD</t>
  </si>
  <si>
    <t>2HSCUAPR88C538033</t>
  </si>
  <si>
    <t>538033</t>
  </si>
  <si>
    <t>7888</t>
  </si>
  <si>
    <t>4V4NC9EH9DN133191</t>
  </si>
  <si>
    <t>133191</t>
  </si>
  <si>
    <t>7887</t>
  </si>
  <si>
    <t>1FUJGLDR1HLHX771</t>
  </si>
  <si>
    <t>LHX771</t>
  </si>
  <si>
    <t>890-1</t>
  </si>
  <si>
    <t>890-17A-SOLD</t>
  </si>
  <si>
    <t>1FUJGLDR3HLHX7711</t>
  </si>
  <si>
    <t>HX7711</t>
  </si>
  <si>
    <t>891-1</t>
  </si>
  <si>
    <t>891-17A-SOLD</t>
  </si>
  <si>
    <t>1FUJGLDR5HLHX7712</t>
  </si>
  <si>
    <t>HX7712</t>
  </si>
  <si>
    <t>892-1</t>
  </si>
  <si>
    <t>892-17A-SOLD</t>
  </si>
  <si>
    <t>WEST HIGHWAY</t>
  </si>
  <si>
    <t>1FUJGLDR7HLHX7713</t>
  </si>
  <si>
    <t>HX7713</t>
  </si>
  <si>
    <t>893-1</t>
  </si>
  <si>
    <t>893-17A-SOLD</t>
  </si>
  <si>
    <t>1FUJGLDR9HLHX7714</t>
  </si>
  <si>
    <t>HX7714</t>
  </si>
  <si>
    <t>894-1</t>
  </si>
  <si>
    <t>894-17A-SOLD</t>
  </si>
  <si>
    <t>2HSCNAPR86C226854</t>
  </si>
  <si>
    <t>226854</t>
  </si>
  <si>
    <t>7889</t>
  </si>
  <si>
    <t>1FVXA7CG9CDBF9385</t>
  </si>
  <si>
    <t>BF9385</t>
  </si>
  <si>
    <t>72244</t>
  </si>
  <si>
    <t>4V4NC9EJ4EN152767</t>
  </si>
  <si>
    <t>152767</t>
  </si>
  <si>
    <t>6607</t>
  </si>
  <si>
    <t>1XKAD49X8BJ948163</t>
  </si>
  <si>
    <t>948163</t>
  </si>
  <si>
    <t>6608</t>
  </si>
  <si>
    <t>4V4NC9EH8AN277116</t>
  </si>
  <si>
    <t>277116</t>
  </si>
  <si>
    <t>6609</t>
  </si>
  <si>
    <t>1FUJGEDR6HLHX7715</t>
  </si>
  <si>
    <t>HX7715</t>
  </si>
  <si>
    <t>2246-</t>
  </si>
  <si>
    <t>2246-17AC</t>
  </si>
  <si>
    <t>1FUJGEDR8HLHX7716</t>
  </si>
  <si>
    <t>HX7716</t>
  </si>
  <si>
    <t>2247-</t>
  </si>
  <si>
    <t>2247-17AC</t>
  </si>
  <si>
    <t>1FUJGEDRXHLHX7717</t>
  </si>
  <si>
    <t>HX7717</t>
  </si>
  <si>
    <t>2248-</t>
  </si>
  <si>
    <t>2248-17AC</t>
  </si>
  <si>
    <t>1FUJGEDR1HLHX7718</t>
  </si>
  <si>
    <t>HX7718</t>
  </si>
  <si>
    <t>2249-</t>
  </si>
  <si>
    <t>2249-17AC</t>
  </si>
  <si>
    <t>1FUJA6CK76PV50709</t>
  </si>
  <si>
    <t>V50709</t>
  </si>
  <si>
    <t>72245</t>
  </si>
  <si>
    <t>FK699</t>
  </si>
  <si>
    <t>JOHN DERE 444K</t>
  </si>
  <si>
    <t>LOADER</t>
  </si>
  <si>
    <t>8910</t>
  </si>
  <si>
    <t>TOYOTA</t>
  </si>
  <si>
    <t>PRIUS</t>
  </si>
  <si>
    <t>5TFSX5ENXHX048193</t>
  </si>
  <si>
    <t>048193</t>
  </si>
  <si>
    <t>8911</t>
  </si>
  <si>
    <t>TOYOTA BLACK</t>
  </si>
  <si>
    <t>TACOMA</t>
  </si>
  <si>
    <t>8912</t>
  </si>
  <si>
    <t>HONDA</t>
  </si>
  <si>
    <t>CIVIC</t>
  </si>
  <si>
    <t>EMA 04104</t>
  </si>
  <si>
    <t xml:space="preserve"> 04104</t>
  </si>
  <si>
    <t>FK702</t>
  </si>
  <si>
    <t>1FUJGEDR5HLJC9789</t>
  </si>
  <si>
    <t>JC9789</t>
  </si>
  <si>
    <t>R011-</t>
  </si>
  <si>
    <t>R011-17AC</t>
  </si>
  <si>
    <t>RAV CARTAGE</t>
  </si>
  <si>
    <t>Cambridge170Werlich</t>
  </si>
  <si>
    <t>1FUJGEDR1HLJC9790</t>
  </si>
  <si>
    <t>JC9790</t>
  </si>
  <si>
    <t>R012-</t>
  </si>
  <si>
    <t>R012-17AC</t>
  </si>
  <si>
    <t>(QC) LOCAL</t>
  </si>
  <si>
    <t>Ottawa4120Belgree</t>
  </si>
  <si>
    <t>1FUJGEDR3HLJC9791</t>
  </si>
  <si>
    <t>JC9791</t>
  </si>
  <si>
    <t>R014-</t>
  </si>
  <si>
    <t>R014-17AC-SOLD</t>
  </si>
  <si>
    <t>1FUJGEDR9HLJC9794</t>
  </si>
  <si>
    <t>JC9794</t>
  </si>
  <si>
    <t>R017-</t>
  </si>
  <si>
    <t>R017-17AC-SOLD</t>
  </si>
  <si>
    <t>1FUJGEDR1HLJC9787</t>
  </si>
  <si>
    <t>JC9787</t>
  </si>
  <si>
    <t>2250-</t>
  </si>
  <si>
    <t>2250-17AC</t>
  </si>
  <si>
    <t>1FUJGEDR3HLJC9788</t>
  </si>
  <si>
    <t>JC9788</t>
  </si>
  <si>
    <t>2251-</t>
  </si>
  <si>
    <t>2251-17AC</t>
  </si>
  <si>
    <t>FK700</t>
  </si>
  <si>
    <t>FORKLIFT</t>
  </si>
  <si>
    <t>FK701</t>
  </si>
  <si>
    <t>NISSAN</t>
  </si>
  <si>
    <t>1FT72B62EEB20867</t>
  </si>
  <si>
    <t>B20867</t>
  </si>
  <si>
    <t>8901</t>
  </si>
  <si>
    <t>SRW</t>
  </si>
  <si>
    <t>Add Capital Corp</t>
  </si>
  <si>
    <t>5TFCZ5AN4HX057041</t>
  </si>
  <si>
    <t>057041</t>
  </si>
  <si>
    <t>8914</t>
  </si>
  <si>
    <t>TOYOTA BLUE</t>
  </si>
  <si>
    <t>2FMDK3JC5EBA66390</t>
  </si>
  <si>
    <t>A66390</t>
  </si>
  <si>
    <t xml:space="preserve">FORD </t>
  </si>
  <si>
    <t>FORD EDGE</t>
  </si>
  <si>
    <t>EDGE</t>
  </si>
  <si>
    <t>1FUJA6CK67LX63918</t>
  </si>
  <si>
    <t>7895</t>
  </si>
  <si>
    <t>4V4NC9EH5DN565664</t>
  </si>
  <si>
    <t>565664</t>
  </si>
  <si>
    <t>6611</t>
  </si>
  <si>
    <t>1XPHD49X3CD145057</t>
  </si>
  <si>
    <t>145057</t>
  </si>
  <si>
    <t>72252</t>
  </si>
  <si>
    <t>1FUJGEDR5HLJC9792</t>
  </si>
  <si>
    <t>JC9792</t>
  </si>
  <si>
    <t>R015-</t>
  </si>
  <si>
    <t>R015-17AC-SOLD</t>
  </si>
  <si>
    <t>1FUJGEDR7HLJC9793</t>
  </si>
  <si>
    <t>JC9793</t>
  </si>
  <si>
    <t>R016-</t>
  </si>
  <si>
    <t>R016-17AC</t>
  </si>
  <si>
    <t>1FUJGLD66ELFT8199</t>
  </si>
  <si>
    <t>FT8199</t>
  </si>
  <si>
    <t>6612</t>
  </si>
  <si>
    <t>4V4NC9GH98N481382</t>
  </si>
  <si>
    <t>481382</t>
  </si>
  <si>
    <t>6614</t>
  </si>
  <si>
    <t>3HSDJAPR2EN765936</t>
  </si>
  <si>
    <t>765936</t>
  </si>
  <si>
    <t>R7018</t>
  </si>
  <si>
    <t>V4NC9EG4CN560686</t>
  </si>
  <si>
    <t>560686</t>
  </si>
  <si>
    <t>72253</t>
  </si>
  <si>
    <t>1XKADB9X8BJ948166</t>
  </si>
  <si>
    <t>948166</t>
  </si>
  <si>
    <t>6615</t>
  </si>
  <si>
    <t>4V4NC9EHXDN565658</t>
  </si>
  <si>
    <t>565658</t>
  </si>
  <si>
    <t>6616</t>
  </si>
  <si>
    <t>1FUJGLDR8DLBT9738</t>
  </si>
  <si>
    <t>BT9738</t>
  </si>
  <si>
    <t>6617</t>
  </si>
  <si>
    <t>4V4NC9EH4EN159179</t>
  </si>
  <si>
    <t>159179</t>
  </si>
  <si>
    <t>6618</t>
  </si>
  <si>
    <t>FUJGLDR8JLJC9800</t>
  </si>
  <si>
    <t>JC9800</t>
  </si>
  <si>
    <t>537-1</t>
  </si>
  <si>
    <t>537-18A</t>
  </si>
  <si>
    <t>1FUJGLDRXJLJC9796</t>
  </si>
  <si>
    <t>JC9796</t>
  </si>
  <si>
    <t>2257-</t>
  </si>
  <si>
    <t>2257-18AL</t>
  </si>
  <si>
    <t>1FUJGLDV3CLBR2827</t>
  </si>
  <si>
    <t>72254</t>
  </si>
  <si>
    <t>1FUJGLDR7JLJC9805</t>
  </si>
  <si>
    <t>JC9805</t>
  </si>
  <si>
    <t>1269-</t>
  </si>
  <si>
    <t>1269-18A-SOLD</t>
  </si>
  <si>
    <t>FUJGLDRXJLJC9801</t>
  </si>
  <si>
    <t>JC9801</t>
  </si>
  <si>
    <t>538-1</t>
  </si>
  <si>
    <t>538-18A</t>
  </si>
  <si>
    <t>1FUJGLDR1JLJC9797</t>
  </si>
  <si>
    <t>JC9797</t>
  </si>
  <si>
    <t>2258-</t>
  </si>
  <si>
    <t>2258-18AL</t>
  </si>
  <si>
    <t>1FUJGLDR8JLJC9795</t>
  </si>
  <si>
    <t>JC9795</t>
  </si>
  <si>
    <t>2256-</t>
  </si>
  <si>
    <t>2256-18AL</t>
  </si>
  <si>
    <t>1FUJGLDR3JLJC9798</t>
  </si>
  <si>
    <t>JC9798</t>
  </si>
  <si>
    <t>2259-</t>
  </si>
  <si>
    <t>2259-18AL</t>
  </si>
  <si>
    <t>1FUJGLDR5JLJC9799</t>
  </si>
  <si>
    <t>JC9799</t>
  </si>
  <si>
    <t>2260-</t>
  </si>
  <si>
    <t>2260-18AL</t>
  </si>
  <si>
    <t>FUJGLDR1JLJC9802</t>
  </si>
  <si>
    <t>JC9802</t>
  </si>
  <si>
    <t>1266-</t>
  </si>
  <si>
    <t>1266-18A-SOLD</t>
  </si>
  <si>
    <t>1FUJGLDR3JLJC9803</t>
  </si>
  <si>
    <t>JC9803</t>
  </si>
  <si>
    <t>1267-</t>
  </si>
  <si>
    <t>1267-18A-SOLD</t>
  </si>
  <si>
    <t>1FUJGLDR5JLJC9804</t>
  </si>
  <si>
    <t>JC9804</t>
  </si>
  <si>
    <t>1268-</t>
  </si>
  <si>
    <t>1268-18A-SOLD</t>
  </si>
  <si>
    <t>1FUJGLDR9JLJC9806</t>
  </si>
  <si>
    <t>JC9806</t>
  </si>
  <si>
    <t>1270-</t>
  </si>
  <si>
    <t>1270-18A-SOLD</t>
  </si>
  <si>
    <t>1FUJGLDR0JLJC9807</t>
  </si>
  <si>
    <t>JC9807</t>
  </si>
  <si>
    <t>1271-</t>
  </si>
  <si>
    <t>1271-18A-SOLD</t>
  </si>
  <si>
    <t>1FUJGLD52GLGE4865</t>
  </si>
  <si>
    <t>R024-</t>
  </si>
  <si>
    <t>R024-16A-SOLD</t>
  </si>
  <si>
    <t xml:space="preserve">CASCADIA </t>
  </si>
  <si>
    <t>1FUJGLD56GLGE4867</t>
  </si>
  <si>
    <t>R029-</t>
  </si>
  <si>
    <t>R029-16A-SOLD</t>
  </si>
  <si>
    <t>4V4NC9GH67N453313</t>
  </si>
  <si>
    <t>453313</t>
  </si>
  <si>
    <t>6619</t>
  </si>
  <si>
    <t>1FUJGLD58ELFV1219</t>
  </si>
  <si>
    <t>FV1219</t>
  </si>
  <si>
    <t>6620</t>
  </si>
  <si>
    <t>1FUJGLBG1CSBL9831</t>
  </si>
  <si>
    <t>72255</t>
  </si>
  <si>
    <t>4V4NC9EHXDN565689</t>
  </si>
  <si>
    <t>565689</t>
  </si>
  <si>
    <t>6621</t>
  </si>
  <si>
    <t>4V4NC9EH7EN162609</t>
  </si>
  <si>
    <t>162609</t>
  </si>
  <si>
    <t>6622</t>
  </si>
  <si>
    <t>LC528</t>
  </si>
  <si>
    <t>LC528727-RYDER</t>
  </si>
  <si>
    <t>1XPBDPOX6FD265511</t>
  </si>
  <si>
    <t>265511</t>
  </si>
  <si>
    <t>3177</t>
  </si>
  <si>
    <t>1XPBDP0X5FD265516</t>
  </si>
  <si>
    <t>265516</t>
  </si>
  <si>
    <t>3182</t>
  </si>
  <si>
    <t>1XPBDP9X5GD327226</t>
  </si>
  <si>
    <t>327226</t>
  </si>
  <si>
    <t>3357</t>
  </si>
  <si>
    <t>1XPBDP0FD265522</t>
  </si>
  <si>
    <t>265522</t>
  </si>
  <si>
    <t>3188</t>
  </si>
  <si>
    <t>PTERBILT</t>
  </si>
  <si>
    <t>4V4NC9EH9HN986311</t>
  </si>
  <si>
    <t>986311</t>
  </si>
  <si>
    <t>6623</t>
  </si>
  <si>
    <t>4V4NC9EJ69N276304</t>
  </si>
  <si>
    <t>6624</t>
  </si>
  <si>
    <t>1FUJA6CK27LY90200</t>
  </si>
  <si>
    <t>72261</t>
  </si>
  <si>
    <t>1FVXA7CG9CDBT2188</t>
  </si>
  <si>
    <t>BT2188</t>
  </si>
  <si>
    <t>6625</t>
  </si>
  <si>
    <t>GKT</t>
  </si>
  <si>
    <t>4V4NC9EJ4CN555984</t>
  </si>
  <si>
    <t>555984</t>
  </si>
  <si>
    <t>6626</t>
  </si>
  <si>
    <t>1FUJA6CV17LY56453</t>
  </si>
  <si>
    <t>Y56453</t>
  </si>
  <si>
    <t>6627</t>
  </si>
  <si>
    <t>4V4NC9GH66N435604</t>
  </si>
  <si>
    <t>435604</t>
  </si>
  <si>
    <t>1001</t>
  </si>
  <si>
    <t>VOLV</t>
  </si>
  <si>
    <t>4V4NC9EJ3FN188239</t>
  </si>
  <si>
    <t>188239</t>
  </si>
  <si>
    <t>6628</t>
  </si>
  <si>
    <t>1FUJGLD5XGLGY9623</t>
  </si>
  <si>
    <t>GY9623</t>
  </si>
  <si>
    <t>6629</t>
  </si>
  <si>
    <t>1FUJGLD54GLHR8188</t>
  </si>
  <si>
    <t>HR8188</t>
  </si>
  <si>
    <t>6630</t>
  </si>
  <si>
    <t>1FUJGLDR7DLBC4482</t>
  </si>
  <si>
    <t>BC4482</t>
  </si>
  <si>
    <t>6631</t>
  </si>
  <si>
    <t>4V4NC9EH1EN152867</t>
  </si>
  <si>
    <t>72263</t>
  </si>
  <si>
    <t>4NC9TJX7N448348</t>
  </si>
  <si>
    <t>72264</t>
  </si>
  <si>
    <t>1XKYDP9X4JJ990442</t>
  </si>
  <si>
    <t>990442</t>
  </si>
  <si>
    <t>3481</t>
  </si>
  <si>
    <t>1XKYDP9X7JJ990449</t>
  </si>
  <si>
    <t>990449</t>
  </si>
  <si>
    <t>3488</t>
  </si>
  <si>
    <t>1XKYDP9X7JJ990452</t>
  </si>
  <si>
    <t>990452</t>
  </si>
  <si>
    <t>3491</t>
  </si>
  <si>
    <t>1XP5DB9X55D861064</t>
  </si>
  <si>
    <t>861064</t>
  </si>
  <si>
    <t>R7019</t>
  </si>
  <si>
    <t>230301L2488</t>
  </si>
  <si>
    <t>1L2488</t>
  </si>
  <si>
    <t>FK703</t>
  </si>
  <si>
    <t>CPYD30C-M</t>
  </si>
  <si>
    <t>3AKJHHDR3JSJJ38940</t>
  </si>
  <si>
    <t>J38940</t>
  </si>
  <si>
    <t>1280-</t>
  </si>
  <si>
    <t>1280-18A-SOLD</t>
  </si>
  <si>
    <t>CASCADIA (P4)</t>
  </si>
  <si>
    <t>3AKJHHDR6JSJJ3887</t>
  </si>
  <si>
    <t>JJ3887</t>
  </si>
  <si>
    <t>1277-</t>
  </si>
  <si>
    <t>1277-18A-SOLD</t>
  </si>
  <si>
    <t>AKJHHDR6JSJC9826</t>
  </si>
  <si>
    <t>JC9826</t>
  </si>
  <si>
    <t>899-1</t>
  </si>
  <si>
    <t>899-18A-SOLD</t>
  </si>
  <si>
    <t>3AKJHHDR1JSJC9829</t>
  </si>
  <si>
    <t>JC9829</t>
  </si>
  <si>
    <t>1272-</t>
  </si>
  <si>
    <t>1272-18A-SOLD</t>
  </si>
  <si>
    <t>AKJHHDR6JSJC9812</t>
  </si>
  <si>
    <t>JC9812</t>
  </si>
  <si>
    <t>896-1</t>
  </si>
  <si>
    <t>896-18A-SOLD</t>
  </si>
  <si>
    <t>3AKJHHDR8JSJC9813</t>
  </si>
  <si>
    <t>JC9813</t>
  </si>
  <si>
    <t>897-1</t>
  </si>
  <si>
    <t>897-18A-SOLD</t>
  </si>
  <si>
    <t>3AKJHHDR1JSJC9815</t>
  </si>
  <si>
    <t>JC9815</t>
  </si>
  <si>
    <t>898-1</t>
  </si>
  <si>
    <t>898-18A-SOLD</t>
  </si>
  <si>
    <t>3AKJHHDR8JSJC9827</t>
  </si>
  <si>
    <t>JC9827</t>
  </si>
  <si>
    <t>19001</t>
  </si>
  <si>
    <t>19001-18A-SOLD</t>
  </si>
  <si>
    <t>3AKJHHDR7JSJJ3879</t>
  </si>
  <si>
    <t>JJ3879</t>
  </si>
  <si>
    <t>1274-</t>
  </si>
  <si>
    <t>1274-18A-SOLD</t>
  </si>
  <si>
    <t>3AKJHHDR9JSJJ3883</t>
  </si>
  <si>
    <t>JJ3883</t>
  </si>
  <si>
    <t>1275-</t>
  </si>
  <si>
    <t>1275-18A-SOLD</t>
  </si>
  <si>
    <t>AKJHHDR2JSJJ3885</t>
  </si>
  <si>
    <t>JJ3885</t>
  </si>
  <si>
    <t>1276-</t>
  </si>
  <si>
    <t>1276-18A-SOLD</t>
  </si>
  <si>
    <t>3AKJHHDR6JSJJ38900</t>
  </si>
  <si>
    <t>J38900</t>
  </si>
  <si>
    <t>1278-</t>
  </si>
  <si>
    <t>1278-18A-SOLD</t>
  </si>
  <si>
    <t>3AKJHHDR1JSJJ3893</t>
  </si>
  <si>
    <t>JJ3893</t>
  </si>
  <si>
    <t>1279-</t>
  </si>
  <si>
    <t>1279-18A-SOLD</t>
  </si>
  <si>
    <t>3AKJHHDR9JSJJ38970</t>
  </si>
  <si>
    <t>J38970</t>
  </si>
  <si>
    <t>1281-</t>
  </si>
  <si>
    <t>1281-18A-SOLD</t>
  </si>
  <si>
    <t>AKJHHDR0JSJJ3898</t>
  </si>
  <si>
    <t>JJ3898</t>
  </si>
  <si>
    <t>1283-</t>
  </si>
  <si>
    <t>1283-18A-SOLD</t>
  </si>
  <si>
    <t>4V4NC9GHX8N460136</t>
  </si>
  <si>
    <t>460136</t>
  </si>
  <si>
    <t>6632</t>
  </si>
  <si>
    <t>1XPVDP9X7DD186670</t>
  </si>
  <si>
    <t>186670</t>
  </si>
  <si>
    <t>3014</t>
  </si>
  <si>
    <t>3HSDJSJR5CN610518</t>
  </si>
  <si>
    <t>6633</t>
  </si>
  <si>
    <t>PRO</t>
  </si>
  <si>
    <t>5311113</t>
  </si>
  <si>
    <t>4V4NC9EHXEN155590</t>
  </si>
  <si>
    <t>155590</t>
  </si>
  <si>
    <t>6634</t>
  </si>
  <si>
    <t>4V4NC9GH07N480748</t>
  </si>
  <si>
    <t>6638</t>
  </si>
  <si>
    <t>903-T</t>
  </si>
  <si>
    <t>903-TEMP</t>
  </si>
  <si>
    <t>3ALXGF003HDHS9956</t>
  </si>
  <si>
    <t>HS9956</t>
  </si>
  <si>
    <t>72265</t>
  </si>
  <si>
    <t>3AKJHHDRXJSJJ3892</t>
  </si>
  <si>
    <t>JJ3892</t>
  </si>
  <si>
    <t>2266-</t>
  </si>
  <si>
    <t>2266-18A-SOLD</t>
  </si>
  <si>
    <t>3AKJHHDR4JSJC9811</t>
  </si>
  <si>
    <t>JC9811</t>
  </si>
  <si>
    <t>2267-</t>
  </si>
  <si>
    <t>2267-18A-SOLD</t>
  </si>
  <si>
    <t>AKJHHDR7JSJC9818</t>
  </si>
  <si>
    <t>JC9818</t>
  </si>
  <si>
    <t>2268-</t>
  </si>
  <si>
    <t>2268-18A-SOLD</t>
  </si>
  <si>
    <t>3AKJHHDR9JSJC9819</t>
  </si>
  <si>
    <t>JC9819</t>
  </si>
  <si>
    <t>2269-</t>
  </si>
  <si>
    <t>2269-18AL</t>
  </si>
  <si>
    <t>3AKJHHDR7JSJC9835</t>
  </si>
  <si>
    <t>JC9835</t>
  </si>
  <si>
    <t>2270-</t>
  </si>
  <si>
    <t>2270-18A</t>
  </si>
  <si>
    <t>LV532</t>
  </si>
  <si>
    <t>LV532166</t>
  </si>
  <si>
    <t>1XKAD49X2DJ960098</t>
  </si>
  <si>
    <t>960098</t>
  </si>
  <si>
    <t>6635</t>
  </si>
  <si>
    <t>1FUJGLDV1DLBT9514</t>
  </si>
  <si>
    <t>BT9514</t>
  </si>
  <si>
    <t>6636</t>
  </si>
  <si>
    <t>1XPHD49X9DD171020</t>
  </si>
  <si>
    <t>171020</t>
  </si>
  <si>
    <t>6637</t>
  </si>
  <si>
    <t>AKJHHDR4JSJC9825</t>
  </si>
  <si>
    <t>JC9825</t>
  </si>
  <si>
    <t>19002</t>
  </si>
  <si>
    <t>19002-18A</t>
  </si>
  <si>
    <t>3AKJHHDR8JSJC9830</t>
  </si>
  <si>
    <t>JC9830</t>
  </si>
  <si>
    <t>19004</t>
  </si>
  <si>
    <t>19004-18A-SOLD</t>
  </si>
  <si>
    <t>AKJHHDR1JSJC9832</t>
  </si>
  <si>
    <t>JC9832</t>
  </si>
  <si>
    <t>19005</t>
  </si>
  <si>
    <t>19005-18A</t>
  </si>
  <si>
    <t>3AKJHHDR3JSJC9816</t>
  </si>
  <si>
    <t>JC9816</t>
  </si>
  <si>
    <t>19006</t>
  </si>
  <si>
    <t>19006-18A-SOLD</t>
  </si>
  <si>
    <t>AKJHHDR5JSJC9817</t>
  </si>
  <si>
    <t>JC9817</t>
  </si>
  <si>
    <t>19007</t>
  </si>
  <si>
    <t>19007-18A-SOLD</t>
  </si>
  <si>
    <t>3AKJHHDR5JSJC98200</t>
  </si>
  <si>
    <t>C98200</t>
  </si>
  <si>
    <t>19008</t>
  </si>
  <si>
    <t>19008-18A-SOLD</t>
  </si>
  <si>
    <t>3AKJHHDR7JSJC9821</t>
  </si>
  <si>
    <t>JC9821</t>
  </si>
  <si>
    <t>19009</t>
  </si>
  <si>
    <t>19009-18A-SOLD</t>
  </si>
  <si>
    <t>(QC) USA</t>
  </si>
  <si>
    <t>3AKJHHDR9JSJC9822</t>
  </si>
  <si>
    <t>JC9822</t>
  </si>
  <si>
    <t>19010</t>
  </si>
  <si>
    <t>19010-18A-SOLD</t>
  </si>
  <si>
    <t>3AKJHHDR0JSJC98230</t>
  </si>
  <si>
    <t>C98230</t>
  </si>
  <si>
    <t>19011</t>
  </si>
  <si>
    <t>19011-18A-SOLD</t>
  </si>
  <si>
    <t>3AKJHHDR2JSJC9824</t>
  </si>
  <si>
    <t>JC9824</t>
  </si>
  <si>
    <t>19014</t>
  </si>
  <si>
    <t xml:space="preserve">19014-18A-SOLD </t>
  </si>
  <si>
    <t>AKJHHDRXJSJC9828</t>
  </si>
  <si>
    <t>JC9828</t>
  </si>
  <si>
    <t>19015</t>
  </si>
  <si>
    <t>19015-18A</t>
  </si>
  <si>
    <t>3AKJHHDRXJSJC98310</t>
  </si>
  <si>
    <t>C98310</t>
  </si>
  <si>
    <t>19016</t>
  </si>
  <si>
    <t>19016-18ASOLD</t>
  </si>
  <si>
    <t>3AKJHHDR3JSJC98330</t>
  </si>
  <si>
    <t>C98330</t>
  </si>
  <si>
    <t>19017</t>
  </si>
  <si>
    <t>19017-18A-SOLD</t>
  </si>
  <si>
    <t>3AKJHHDR5JSJC9834</t>
  </si>
  <si>
    <t>JC9834</t>
  </si>
  <si>
    <t>19018</t>
  </si>
  <si>
    <t>19018-18A-SOLD</t>
  </si>
  <si>
    <t>3AKJHHDR9JSJC98360</t>
  </si>
  <si>
    <t>C98360</t>
  </si>
  <si>
    <t>19019</t>
  </si>
  <si>
    <t>19019-18A-SOLD</t>
  </si>
  <si>
    <t>1FUJGLDR4CLBB5334</t>
  </si>
  <si>
    <t>BB5334</t>
  </si>
  <si>
    <t>6639</t>
  </si>
  <si>
    <t>AKJHHDRXJSJJ3889</t>
  </si>
  <si>
    <t>JJ3889</t>
  </si>
  <si>
    <t>1290-</t>
  </si>
  <si>
    <t>1290-18A</t>
  </si>
  <si>
    <t>AKJHHDR8JSJJ3891</t>
  </si>
  <si>
    <t>JJ3891</t>
  </si>
  <si>
    <t>1292-</t>
  </si>
  <si>
    <t>1292-18A-SOLD</t>
  </si>
  <si>
    <t>AKJHHDR2JSJJ3899</t>
  </si>
  <si>
    <t>JJ3899</t>
  </si>
  <si>
    <t>1295-</t>
  </si>
  <si>
    <t>1295-18A</t>
  </si>
  <si>
    <t>AKJHHDR0JSJJ3884</t>
  </si>
  <si>
    <t>JJ3884</t>
  </si>
  <si>
    <t>1287-</t>
  </si>
  <si>
    <t>1287-18A</t>
  </si>
  <si>
    <t>AKJHHDR5JSJJ3895</t>
  </si>
  <si>
    <t>JJ3895</t>
  </si>
  <si>
    <t>1293-</t>
  </si>
  <si>
    <t>1293-18A</t>
  </si>
  <si>
    <t>4V4NC9TJ27N450286</t>
  </si>
  <si>
    <t>450286</t>
  </si>
  <si>
    <t>79020</t>
  </si>
  <si>
    <t>4V4NC9EH3EN169721</t>
  </si>
  <si>
    <t>169721</t>
  </si>
  <si>
    <t>79021</t>
  </si>
  <si>
    <t>FUJGEDRXBSAZ5997</t>
  </si>
  <si>
    <t>AZ5997</t>
  </si>
  <si>
    <t>R7020</t>
  </si>
  <si>
    <t>1FUJA6CVX6LV16717</t>
  </si>
  <si>
    <t>V16717</t>
  </si>
  <si>
    <t>R7021</t>
  </si>
  <si>
    <t>2HSCNAPRX6C187913</t>
  </si>
  <si>
    <t>187913</t>
  </si>
  <si>
    <t>R7022</t>
  </si>
  <si>
    <t>3AKJHHDR5JSJJ3900</t>
  </si>
  <si>
    <t>JJ3900</t>
  </si>
  <si>
    <t>2273-</t>
  </si>
  <si>
    <t>2273-18A-SOLD</t>
  </si>
  <si>
    <t>3AKJHHDR7JSJJ3901</t>
  </si>
  <si>
    <t>JJ3901</t>
  </si>
  <si>
    <t>2274-</t>
  </si>
  <si>
    <t>2274-18A-SOLD</t>
  </si>
  <si>
    <t>3AKJHHDR2JSJC9810</t>
  </si>
  <si>
    <t>JC9810</t>
  </si>
  <si>
    <t>2275-</t>
  </si>
  <si>
    <t>2275-18AL</t>
  </si>
  <si>
    <t>3AKJHHDRXJSJC9814</t>
  </si>
  <si>
    <t>JC9814</t>
  </si>
  <si>
    <t>539-1</t>
  </si>
  <si>
    <t>539-18A</t>
  </si>
  <si>
    <t>3AKJHHDR1JSJP6203</t>
  </si>
  <si>
    <t>JP6203</t>
  </si>
  <si>
    <t>79022</t>
  </si>
  <si>
    <t>4V4NC9GH43N342690</t>
  </si>
  <si>
    <t>342690</t>
  </si>
  <si>
    <t>R7023</t>
  </si>
  <si>
    <t>AKJHHDR3JSJJ3880</t>
  </si>
  <si>
    <t>JJ3880</t>
  </si>
  <si>
    <t>1284-</t>
  </si>
  <si>
    <t>1284-18A</t>
  </si>
  <si>
    <t>AKJHHDR5JSJJ3881</t>
  </si>
  <si>
    <t>JJ3881</t>
  </si>
  <si>
    <t>1285-</t>
  </si>
  <si>
    <t>1285-18A</t>
  </si>
  <si>
    <t>3AKJHHDR7JSJJ3882</t>
  </si>
  <si>
    <t>JJ3882</t>
  </si>
  <si>
    <t>1286-</t>
  </si>
  <si>
    <t>1286-18A</t>
  </si>
  <si>
    <t>AKJHHDR4JSJJ3886</t>
  </si>
  <si>
    <t>JJ3886</t>
  </si>
  <si>
    <t>1288-</t>
  </si>
  <si>
    <t>1288-18A</t>
  </si>
  <si>
    <t>3AKJHHDR8JSJJ38880</t>
  </si>
  <si>
    <t>J38880</t>
  </si>
  <si>
    <t>1289-</t>
  </si>
  <si>
    <t>1289-18A</t>
  </si>
  <si>
    <t>3AKJHHDR7JSJJ3896</t>
  </si>
  <si>
    <t>JJ3896</t>
  </si>
  <si>
    <t>1294-</t>
  </si>
  <si>
    <t>1294-18A SOLD</t>
  </si>
  <si>
    <t>4V4NC9EH8JN998438</t>
  </si>
  <si>
    <t>998438</t>
  </si>
  <si>
    <t>6640</t>
  </si>
  <si>
    <t>1FUJGEDV3CLBB5303</t>
  </si>
  <si>
    <t>BB5303</t>
  </si>
  <si>
    <t>R7025</t>
  </si>
  <si>
    <t>2HSCEAPR46C184134</t>
  </si>
  <si>
    <t>184134</t>
  </si>
  <si>
    <t>R7026</t>
  </si>
  <si>
    <t>9200</t>
  </si>
  <si>
    <t>1FUJGLDRXCSBP6150</t>
  </si>
  <si>
    <t>BP6150</t>
  </si>
  <si>
    <t>R7027</t>
  </si>
  <si>
    <t>3AKJGLBG5DSBZ7506</t>
  </si>
  <si>
    <t>BZ7506</t>
  </si>
  <si>
    <t>72271</t>
  </si>
  <si>
    <t>4V4NC9EH4CN555979</t>
  </si>
  <si>
    <t>555979</t>
  </si>
  <si>
    <t>6641</t>
  </si>
  <si>
    <t>1FUJGLDV6DLBT9525</t>
  </si>
  <si>
    <t>BT9525</t>
  </si>
  <si>
    <t>6642</t>
  </si>
  <si>
    <t>4V4NC9GH67N455403</t>
  </si>
  <si>
    <t>455403</t>
  </si>
  <si>
    <t>6643</t>
  </si>
  <si>
    <t>1JJV532D6CL726495</t>
  </si>
  <si>
    <t>726495</t>
  </si>
  <si>
    <t>U9467</t>
  </si>
  <si>
    <t>U94679-XL-MI</t>
  </si>
  <si>
    <t>WABASH</t>
  </si>
  <si>
    <t>3AKJHLDR8JSJJ3912</t>
  </si>
  <si>
    <t>JJ3912</t>
  </si>
  <si>
    <t>R046-</t>
  </si>
  <si>
    <t>R046-18AC-SOLD</t>
  </si>
  <si>
    <t>POINTE_CLAIRE7800SOUTHSERVICE</t>
  </si>
  <si>
    <t>3AKJHLDR6JSJJ3911</t>
  </si>
  <si>
    <t>JJ3911</t>
  </si>
  <si>
    <t>R045-</t>
  </si>
  <si>
    <t>R045-18ACH</t>
  </si>
  <si>
    <t>NorthYork25Clayson</t>
  </si>
  <si>
    <t>3AKJHLDR4JSJJ3910</t>
  </si>
  <si>
    <t>JJ3910</t>
  </si>
  <si>
    <t>R044-</t>
  </si>
  <si>
    <t>R044-18ACH</t>
  </si>
  <si>
    <t>3AKJHLDR0JSJJ3905</t>
  </si>
  <si>
    <t>JJ3905</t>
  </si>
  <si>
    <t>R039-</t>
  </si>
  <si>
    <t>R039-18ACH</t>
  </si>
  <si>
    <t>3AKJHLDR9JSJJ3904</t>
  </si>
  <si>
    <t>JJ3904</t>
  </si>
  <si>
    <t>R038-</t>
  </si>
  <si>
    <t>R038-18AC</t>
  </si>
  <si>
    <t>3AKJHLDR5JSJJ3902</t>
  </si>
  <si>
    <t>JJ3902</t>
  </si>
  <si>
    <t>R036-</t>
  </si>
  <si>
    <t>R036-18AC</t>
  </si>
  <si>
    <t>3AKJHLDR4JSJJ3907</t>
  </si>
  <si>
    <t>JJ3907</t>
  </si>
  <si>
    <t>R041-</t>
  </si>
  <si>
    <t>R041-18ACH</t>
  </si>
  <si>
    <t>3AKJHLDR2JSJJ3906</t>
  </si>
  <si>
    <t>JJ3906</t>
  </si>
  <si>
    <t>R040-</t>
  </si>
  <si>
    <t>R040-18AC</t>
  </si>
  <si>
    <t>1FUJGLD58GLGE4868</t>
  </si>
  <si>
    <t>R030-</t>
  </si>
  <si>
    <t>R030-16A-SOLD</t>
  </si>
  <si>
    <t>3AKJHLDR7JSJJ3903</t>
  </si>
  <si>
    <t>JJ3903</t>
  </si>
  <si>
    <t>R037-</t>
  </si>
  <si>
    <t>R037-18AC</t>
  </si>
  <si>
    <t>3AKJHLDR6JSJJ3908</t>
  </si>
  <si>
    <t>JJ3908</t>
  </si>
  <si>
    <t>R042-</t>
  </si>
  <si>
    <t>R042-18AC</t>
  </si>
  <si>
    <t>3AKJHLDR8JSJJ3909</t>
  </si>
  <si>
    <t>JJ3909</t>
  </si>
  <si>
    <t>R043-</t>
  </si>
  <si>
    <t>R043-18AC</t>
  </si>
  <si>
    <t>3AKJHLDRXJSJJ3913</t>
  </si>
  <si>
    <t>JJ3913</t>
  </si>
  <si>
    <t>R047-</t>
  </si>
  <si>
    <t>R047-18AC</t>
  </si>
  <si>
    <t>3AKJHLDR1JSJJ3914</t>
  </si>
  <si>
    <t>JJ3914</t>
  </si>
  <si>
    <t>R048-</t>
  </si>
  <si>
    <t>R048-18AC</t>
  </si>
  <si>
    <t>3AKJHLDR7JSJJ3917</t>
  </si>
  <si>
    <t>JJ3917</t>
  </si>
  <si>
    <t>R050-</t>
  </si>
  <si>
    <t>R050-18AC</t>
  </si>
  <si>
    <t>3AKJHLDR9JSJJ3918</t>
  </si>
  <si>
    <t>JJ3918</t>
  </si>
  <si>
    <t>R051-</t>
  </si>
  <si>
    <t>R051-18AC</t>
  </si>
  <si>
    <t>3AKJHHDR7JSJJ3929</t>
  </si>
  <si>
    <t>JJ3929</t>
  </si>
  <si>
    <t>2278-</t>
  </si>
  <si>
    <t>2278-18AT</t>
  </si>
  <si>
    <t>3AKJHHDR3JSJJ3930</t>
  </si>
  <si>
    <t>JJ3930</t>
  </si>
  <si>
    <t>2279-</t>
  </si>
  <si>
    <t>2279-18AT</t>
  </si>
  <si>
    <t>3AKJHHDR7JSJJ3932</t>
  </si>
  <si>
    <t>JJ3932</t>
  </si>
  <si>
    <t>540-1</t>
  </si>
  <si>
    <t>540-18AT</t>
  </si>
  <si>
    <t>3AKJHHDR0JSJJ3934</t>
  </si>
  <si>
    <t>JJ3934</t>
  </si>
  <si>
    <t>541-1</t>
  </si>
  <si>
    <t>541-18AT</t>
  </si>
  <si>
    <t>3AKJHHDR2JSJJ3935</t>
  </si>
  <si>
    <t>JJ3935</t>
  </si>
  <si>
    <t>2285-</t>
  </si>
  <si>
    <t>2285-18ATL</t>
  </si>
  <si>
    <t>3AKJHHDR2JSJC4414</t>
  </si>
  <si>
    <t>JC4414</t>
  </si>
  <si>
    <t>6645</t>
  </si>
  <si>
    <t>3AKJHHDRXJSJJ3925</t>
  </si>
  <si>
    <t>JJ3925</t>
  </si>
  <si>
    <t>2276-</t>
  </si>
  <si>
    <t>2276-18AT</t>
  </si>
  <si>
    <t>3AKJHHDR1JSJJ3926</t>
  </si>
  <si>
    <t>JJ3926</t>
  </si>
  <si>
    <t>2277-</t>
  </si>
  <si>
    <t>2277-18AT</t>
  </si>
  <si>
    <t>3AKJHHDR5JSJJ3931</t>
  </si>
  <si>
    <t>JJ3931</t>
  </si>
  <si>
    <t>2280-</t>
  </si>
  <si>
    <t>2280-18AT</t>
  </si>
  <si>
    <t>3AKJHHDR6JSJJ3923</t>
  </si>
  <si>
    <t>JJ3923</t>
  </si>
  <si>
    <t>2282-</t>
  </si>
  <si>
    <t>2282-18AT</t>
  </si>
  <si>
    <t>3AKJHHDR8JSJJ3924</t>
  </si>
  <si>
    <t>JJ3924</t>
  </si>
  <si>
    <t>2283-</t>
  </si>
  <si>
    <t>2283-18AT</t>
  </si>
  <si>
    <t>3AKJHHDR9JSJJ3933</t>
  </si>
  <si>
    <t>JJ3933</t>
  </si>
  <si>
    <t>2284-</t>
  </si>
  <si>
    <t>2284-18AT</t>
  </si>
  <si>
    <t>3AKJHHDR4JSJJ3936</t>
  </si>
  <si>
    <t>JJ3936</t>
  </si>
  <si>
    <t>2286-</t>
  </si>
  <si>
    <t>2286-18AT</t>
  </si>
  <si>
    <t>3AKJHLDR5JSJJ3916</t>
  </si>
  <si>
    <t>JJ3916</t>
  </si>
  <si>
    <t>2287-</t>
  </si>
  <si>
    <t>2287-18AC</t>
  </si>
  <si>
    <t>3AKJHHDR3JSJJ3927</t>
  </si>
  <si>
    <t>JJ3927</t>
  </si>
  <si>
    <t>542-1</t>
  </si>
  <si>
    <t>542-18AT</t>
  </si>
  <si>
    <t>3AKJGLDR5DSBW6660</t>
  </si>
  <si>
    <t>BW6660</t>
  </si>
  <si>
    <t>6644</t>
  </si>
  <si>
    <t>1FUJA6CK86DW24740</t>
  </si>
  <si>
    <t>W24740</t>
  </si>
  <si>
    <t>R7049</t>
  </si>
  <si>
    <t>1FUJGLD54GLGE4866</t>
  </si>
  <si>
    <t>R028-</t>
  </si>
  <si>
    <t>R028-16A-SOLD</t>
  </si>
  <si>
    <t>FUJGLD57GLGZ8053</t>
  </si>
  <si>
    <t>GZ8053</t>
  </si>
  <si>
    <t>R035-</t>
  </si>
  <si>
    <t>R035-16AD</t>
  </si>
  <si>
    <t>FFUJGLD55GLGZ8049</t>
  </si>
  <si>
    <t>R031-</t>
  </si>
  <si>
    <t>R031-16AD</t>
  </si>
  <si>
    <t>1FUJGLD53GLGZ8051</t>
  </si>
  <si>
    <t>R033-</t>
  </si>
  <si>
    <t>R033-16AD-SOLD</t>
  </si>
  <si>
    <t>3AKJHHDR5JSJJ3928</t>
  </si>
  <si>
    <t>JJ3928</t>
  </si>
  <si>
    <t>543-1</t>
  </si>
  <si>
    <t>543-18AT</t>
  </si>
  <si>
    <t>4V4NC9EH7HN951346</t>
  </si>
  <si>
    <t>951346</t>
  </si>
  <si>
    <t>6646</t>
  </si>
  <si>
    <t>2HSCESBR57C290929</t>
  </si>
  <si>
    <t>290929</t>
  </si>
  <si>
    <t>6647</t>
  </si>
  <si>
    <t>1FUJA6CK07LY65179</t>
  </si>
  <si>
    <t>Y65179</t>
  </si>
  <si>
    <t>6649</t>
  </si>
  <si>
    <t>1FUJGLBG9DSBZ8319</t>
  </si>
  <si>
    <t>BZ8319</t>
  </si>
  <si>
    <t>72272</t>
  </si>
  <si>
    <t>1FUJGLBGXDLFB4865</t>
  </si>
  <si>
    <t>72281</t>
  </si>
  <si>
    <t>1FUJGLD51GLGZ8050</t>
  </si>
  <si>
    <t>R032-</t>
  </si>
  <si>
    <t>R032-16AD-SOLD</t>
  </si>
  <si>
    <t>1FUJGLD55GLGZ8052</t>
  </si>
  <si>
    <t>R034-</t>
  </si>
  <si>
    <t>R034-16AD-SOLD</t>
  </si>
  <si>
    <t>3AKJHLDR7JSJJ3920</t>
  </si>
  <si>
    <t>JJ3920</t>
  </si>
  <si>
    <t>R052-</t>
  </si>
  <si>
    <t>R052-18AC</t>
  </si>
  <si>
    <t>4V4NC9GH86N428038</t>
  </si>
  <si>
    <t>428038</t>
  </si>
  <si>
    <t>R7053</t>
  </si>
  <si>
    <t>1FUJGLDR3CLBC4428</t>
  </si>
  <si>
    <t>BC4428</t>
  </si>
  <si>
    <t>6648</t>
  </si>
  <si>
    <t>1DW1A5321DS361222</t>
  </si>
  <si>
    <t>361222</t>
  </si>
  <si>
    <t>53363</t>
  </si>
  <si>
    <t>533633-DD-MI</t>
  </si>
  <si>
    <t>STOUGHTON</t>
  </si>
  <si>
    <t>3AKJHLDR3JSJJ3915</t>
  </si>
  <si>
    <t>JJ3915</t>
  </si>
  <si>
    <t>2288-</t>
  </si>
  <si>
    <t>2288-18AC</t>
  </si>
  <si>
    <t>3AKJHLDR9JSJJ3921</t>
  </si>
  <si>
    <t>JJ3921</t>
  </si>
  <si>
    <t>2289-</t>
  </si>
  <si>
    <t>2289-18AC</t>
  </si>
  <si>
    <t>AKJHHDRXJSJM0543</t>
  </si>
  <si>
    <t>JM0543</t>
  </si>
  <si>
    <t>19023</t>
  </si>
  <si>
    <t>19023-18AT</t>
  </si>
  <si>
    <t>AKJHHDR1JSJM0544</t>
  </si>
  <si>
    <t>JM0544</t>
  </si>
  <si>
    <t>19024</t>
  </si>
  <si>
    <t>19024-18AT</t>
  </si>
  <si>
    <t>AKJHHDR3JSJM0545</t>
  </si>
  <si>
    <t>JM0545</t>
  </si>
  <si>
    <t>19025</t>
  </si>
  <si>
    <t>19025-18AT</t>
  </si>
  <si>
    <t>AKJHHDR5JSJM0546</t>
  </si>
  <si>
    <t>JM0546</t>
  </si>
  <si>
    <t>19026</t>
  </si>
  <si>
    <t>19026-18AT</t>
  </si>
  <si>
    <t>AKJHHDR7JSJM0547</t>
  </si>
  <si>
    <t>JM0547</t>
  </si>
  <si>
    <t>19027</t>
  </si>
  <si>
    <t>19027-18AT</t>
  </si>
  <si>
    <t>3AKJHHDR4JSJJ3922</t>
  </si>
  <si>
    <t>JJ3922</t>
  </si>
  <si>
    <t>545-1</t>
  </si>
  <si>
    <t>545-18ATL</t>
  </si>
  <si>
    <t>3AKJHHDR9JSJM0548</t>
  </si>
  <si>
    <t>JM0548</t>
  </si>
  <si>
    <t>546-1</t>
  </si>
  <si>
    <t>546-18AT</t>
  </si>
  <si>
    <t>3AKJHHDR1JSJM0561</t>
  </si>
  <si>
    <t>JM0561</t>
  </si>
  <si>
    <t>1296-</t>
  </si>
  <si>
    <t>1296-18A SOLD</t>
  </si>
  <si>
    <t>3AKJHHDR5JSJM0563</t>
  </si>
  <si>
    <t>JM0563</t>
  </si>
  <si>
    <t>1297-</t>
  </si>
  <si>
    <t>1297-18A-SOLD</t>
  </si>
  <si>
    <t>1FUJGLD65ELFG9553</t>
  </si>
  <si>
    <t>FG9553</t>
  </si>
  <si>
    <t>6650</t>
  </si>
  <si>
    <t>4V4NC9EJ5FN188209</t>
  </si>
  <si>
    <t>188209</t>
  </si>
  <si>
    <t>6651</t>
  </si>
  <si>
    <t>2XPGDT9X33M595064</t>
  </si>
  <si>
    <t>595064</t>
  </si>
  <si>
    <t>R7055</t>
  </si>
  <si>
    <t>4V4MC9GF16N417232</t>
  </si>
  <si>
    <t>417232</t>
  </si>
  <si>
    <t>R7054</t>
  </si>
  <si>
    <t>1FUJGLDR3CLAY5196</t>
  </si>
  <si>
    <t>AY5196</t>
  </si>
  <si>
    <t>R7056</t>
  </si>
  <si>
    <t>3AKJHLDR6JSJM0574</t>
  </si>
  <si>
    <t>JM0574</t>
  </si>
  <si>
    <t>2293-</t>
  </si>
  <si>
    <t>2293-18AC</t>
  </si>
  <si>
    <t>3AKJHLDR0JSJM0571</t>
  </si>
  <si>
    <t>JM0571</t>
  </si>
  <si>
    <t>2294-</t>
  </si>
  <si>
    <t>2294-18AC</t>
  </si>
  <si>
    <t>3AKJHHDR7JSJM0550</t>
  </si>
  <si>
    <t>JM0550</t>
  </si>
  <si>
    <t>2295-</t>
  </si>
  <si>
    <t>2295-18AT</t>
  </si>
  <si>
    <t>1FUJA6CG13LL10621</t>
  </si>
  <si>
    <t>L10621</t>
  </si>
  <si>
    <t>R7057</t>
  </si>
  <si>
    <t>1FUJAHBD21LH69949</t>
  </si>
  <si>
    <t>R7059</t>
  </si>
  <si>
    <t>3AKJHHDR4JSJM0554</t>
  </si>
  <si>
    <t>JM0554</t>
  </si>
  <si>
    <t>19029</t>
  </si>
  <si>
    <t>19029-18AT-SOLD</t>
  </si>
  <si>
    <t>53692</t>
  </si>
  <si>
    <t>536929-DD</t>
  </si>
  <si>
    <t>3HSCWAPR2BN266093</t>
  </si>
  <si>
    <t>72290</t>
  </si>
  <si>
    <t>4V4NC9TJ97N452553</t>
  </si>
  <si>
    <t>452553</t>
  </si>
  <si>
    <t>72291</t>
  </si>
  <si>
    <t>1FUJGLD52ELFP4964</t>
  </si>
  <si>
    <t>FP4964</t>
  </si>
  <si>
    <t>6652</t>
  </si>
  <si>
    <t>3AKJHHDR6JSJM0555</t>
  </si>
  <si>
    <t>JM0555</t>
  </si>
  <si>
    <t>2296-</t>
  </si>
  <si>
    <t>2296-18AT</t>
  </si>
  <si>
    <t>3AKJHLDR0JSJJ3919</t>
  </si>
  <si>
    <t>JJ3919</t>
  </si>
  <si>
    <t>2297-</t>
  </si>
  <si>
    <t>2297-18AC</t>
  </si>
  <si>
    <t>3AKJHLDR0JSJM0568</t>
  </si>
  <si>
    <t>JM0568</t>
  </si>
  <si>
    <t>2298-</t>
  </si>
  <si>
    <t>2298-18AC</t>
  </si>
  <si>
    <t>3AKJHLDR8JSJM0575</t>
  </si>
  <si>
    <t>JM0575</t>
  </si>
  <si>
    <t>2299-</t>
  </si>
  <si>
    <t>2299-18AC</t>
  </si>
  <si>
    <t>1FUJBBCG06LU70886</t>
  </si>
  <si>
    <t>U70886</t>
  </si>
  <si>
    <t>R7060</t>
  </si>
  <si>
    <t>AKJHHDR2JSJM0553</t>
  </si>
  <si>
    <t>JM0553</t>
  </si>
  <si>
    <t>1299-</t>
  </si>
  <si>
    <t>1299-18AT</t>
  </si>
  <si>
    <t>123456</t>
  </si>
  <si>
    <t>CUSTO</t>
  </si>
  <si>
    <t>CUSTOMER TRUCK</t>
  </si>
  <si>
    <t>NEWTRUCKINDUCTION</t>
  </si>
  <si>
    <t>UCTION</t>
  </si>
  <si>
    <t>NEWTR</t>
  </si>
  <si>
    <t>NEWTRUCK</t>
  </si>
  <si>
    <t>AKJHHDR7JSJM0564</t>
  </si>
  <si>
    <t>JM0564</t>
  </si>
  <si>
    <t>1298-</t>
  </si>
  <si>
    <t>1298-18A-SOLD</t>
  </si>
  <si>
    <t>3AKJHHDRXJSJM0557</t>
  </si>
  <si>
    <t>JM0557</t>
  </si>
  <si>
    <t>1403-</t>
  </si>
  <si>
    <t>1403-18AT</t>
  </si>
  <si>
    <t>3AKJHHDR0JSJM0552</t>
  </si>
  <si>
    <t>JM0552</t>
  </si>
  <si>
    <t>1401-</t>
  </si>
  <si>
    <t>1401-18AT</t>
  </si>
  <si>
    <t>3AKJHHDR0JSJM0549</t>
  </si>
  <si>
    <t>JM0549</t>
  </si>
  <si>
    <t>19028</t>
  </si>
  <si>
    <t>19028-18AT</t>
  </si>
  <si>
    <t>FUJGLD56GLHC1155</t>
  </si>
  <si>
    <t>HC1155</t>
  </si>
  <si>
    <t>71402</t>
  </si>
  <si>
    <t>4V4NC9EJ3EN161007</t>
  </si>
  <si>
    <t>161007</t>
  </si>
  <si>
    <t>6653</t>
  </si>
  <si>
    <t>FUJGLDR4HLJC9786</t>
  </si>
  <si>
    <t>JC9786</t>
  </si>
  <si>
    <t>6654</t>
  </si>
  <si>
    <t>3AKJGLD56FSFP6836</t>
  </si>
  <si>
    <t>FP6836</t>
  </si>
  <si>
    <t>72292</t>
  </si>
  <si>
    <t>4V4NC9TJX7N448348</t>
  </si>
  <si>
    <t>72300</t>
  </si>
  <si>
    <t>1</t>
  </si>
  <si>
    <t>3AKJHHDR0JSJM0566</t>
  </si>
  <si>
    <t>JM0566</t>
  </si>
  <si>
    <t>1400-</t>
  </si>
  <si>
    <t>1400-18A-SOLD</t>
  </si>
  <si>
    <t>3AKJHHDR2JSJM0567</t>
  </si>
  <si>
    <t>JM0567</t>
  </si>
  <si>
    <t>1404-</t>
  </si>
  <si>
    <t>1404-18A-SOLD</t>
  </si>
  <si>
    <t>3AKJHLDR9JSJM0570</t>
  </si>
  <si>
    <t>JM0570</t>
  </si>
  <si>
    <t>R064-</t>
  </si>
  <si>
    <t>R064-18AC</t>
  </si>
  <si>
    <t>3AKJHLDR2JSJM0572</t>
  </si>
  <si>
    <t>JM0572</t>
  </si>
  <si>
    <t>R063-</t>
  </si>
  <si>
    <t>R063-18AC</t>
  </si>
  <si>
    <t>3AKJHLDR4JSJM0573</t>
  </si>
  <si>
    <t>JM0573</t>
  </si>
  <si>
    <t>R062-</t>
  </si>
  <si>
    <t>R062-18AC</t>
  </si>
  <si>
    <t>3AKJHLDR1JSJM0577</t>
  </si>
  <si>
    <t>JM0577</t>
  </si>
  <si>
    <t>R061-</t>
  </si>
  <si>
    <t>R061-18AC</t>
  </si>
  <si>
    <t>3AKJHHDR9JSJM0551</t>
  </si>
  <si>
    <t>JM0551</t>
  </si>
  <si>
    <t>19031</t>
  </si>
  <si>
    <t>19031-18AT</t>
  </si>
  <si>
    <t>3AKJHLDRXJSJM0576</t>
  </si>
  <si>
    <t>JM0576</t>
  </si>
  <si>
    <t>R068-</t>
  </si>
  <si>
    <t>R068-18AC</t>
  </si>
  <si>
    <t>AKJHHDR8JSJM0556</t>
  </si>
  <si>
    <t>JM0556</t>
  </si>
  <si>
    <t>19032</t>
  </si>
  <si>
    <t>19032-18AT</t>
  </si>
  <si>
    <t>3AKJHHDR9JSJM0565</t>
  </si>
  <si>
    <t>JM0565</t>
  </si>
  <si>
    <t>2302-</t>
  </si>
  <si>
    <t>2302-18AL</t>
  </si>
  <si>
    <t>3AKJHHDR3JSJM0559</t>
  </si>
  <si>
    <t>JM0559</t>
  </si>
  <si>
    <t>2303-</t>
  </si>
  <si>
    <t>2303-18A-SOLD</t>
  </si>
  <si>
    <t>3AKJHHDRXJSJM0560</t>
  </si>
  <si>
    <t>JM0560</t>
  </si>
  <si>
    <t>2304-</t>
  </si>
  <si>
    <t>2304-18A-SOLD</t>
  </si>
  <si>
    <t>3AKJHHDR3JSJM0562</t>
  </si>
  <si>
    <t>JM0562</t>
  </si>
  <si>
    <t>2305-</t>
  </si>
  <si>
    <t>2305-18A-SOLD</t>
  </si>
  <si>
    <t>4V4NC9EH3FN933911</t>
  </si>
  <si>
    <t>933911</t>
  </si>
  <si>
    <t>6655</t>
  </si>
  <si>
    <t>4V4NC9GF56N401457</t>
  </si>
  <si>
    <t>401457</t>
  </si>
  <si>
    <t>R7066</t>
  </si>
  <si>
    <t>3HSCUAPR7BN375929</t>
  </si>
  <si>
    <t>375929</t>
  </si>
  <si>
    <t>72301</t>
  </si>
  <si>
    <t>4V4NC9GH06N417955</t>
  </si>
  <si>
    <t>417955</t>
  </si>
  <si>
    <t>R7065</t>
  </si>
  <si>
    <t>1FUJGEDVXCSBL3405</t>
  </si>
  <si>
    <t>BL3405</t>
  </si>
  <si>
    <t>R7067</t>
  </si>
  <si>
    <t>CASCA</t>
  </si>
  <si>
    <t>3AKJHHDR0JSJC9742</t>
  </si>
  <si>
    <t>JC9742</t>
  </si>
  <si>
    <t>6657</t>
  </si>
  <si>
    <t>FM2</t>
  </si>
  <si>
    <t>4V4NC9EHXFN928379</t>
  </si>
  <si>
    <t>928379</t>
  </si>
  <si>
    <t>6658</t>
  </si>
  <si>
    <t>KJJAEDE77PW80102</t>
  </si>
  <si>
    <t>W80102</t>
  </si>
  <si>
    <t>71291</t>
  </si>
  <si>
    <t>1XKYD49X5GL977934</t>
  </si>
  <si>
    <t>977934</t>
  </si>
  <si>
    <t>6656</t>
  </si>
  <si>
    <t>FUJBBCG03LJ5288</t>
  </si>
  <si>
    <t>LJ5288</t>
  </si>
  <si>
    <t>72306</t>
  </si>
  <si>
    <t>4V4NC9TH37N457633</t>
  </si>
  <si>
    <t>457633</t>
  </si>
  <si>
    <t>72307</t>
  </si>
  <si>
    <t>3AKJHHDR7JSJS2646</t>
  </si>
  <si>
    <t>JS2646</t>
  </si>
  <si>
    <t>2309-</t>
  </si>
  <si>
    <t>2309-18A</t>
  </si>
  <si>
    <t>3AKJHHDR2JSJS2652</t>
  </si>
  <si>
    <t>JS2652</t>
  </si>
  <si>
    <t>2310-</t>
  </si>
  <si>
    <t>2310-18A</t>
  </si>
  <si>
    <t>3AKJHHDR3JSJS2644</t>
  </si>
  <si>
    <t>JS2644</t>
  </si>
  <si>
    <t>2311-</t>
  </si>
  <si>
    <t>2311-18A</t>
  </si>
  <si>
    <t>3AKJHHDR9JSJS2647</t>
  </si>
  <si>
    <t>JS2647</t>
  </si>
  <si>
    <t>2312-</t>
  </si>
  <si>
    <t>2312-18A</t>
  </si>
  <si>
    <t>3AKJHHDR0JSJS2648</t>
  </si>
  <si>
    <t>JS2648</t>
  </si>
  <si>
    <t>2314-</t>
  </si>
  <si>
    <t>2314-18A</t>
  </si>
  <si>
    <t>3AKJHHDR4JSJS2653</t>
  </si>
  <si>
    <t>JS2653</t>
  </si>
  <si>
    <t>2315-</t>
  </si>
  <si>
    <t>2315-18A</t>
  </si>
  <si>
    <t>3AKJHHDR6JSJS2640</t>
  </si>
  <si>
    <t>JS2640</t>
  </si>
  <si>
    <t>547-1</t>
  </si>
  <si>
    <t>547-18A</t>
  </si>
  <si>
    <t>3AKJHHDR8JSJS2641</t>
  </si>
  <si>
    <t>JS2641</t>
  </si>
  <si>
    <t>548-1</t>
  </si>
  <si>
    <t>548-18AL</t>
  </si>
  <si>
    <t>3AKJHHDR4JSJM0585</t>
  </si>
  <si>
    <t>JM0585</t>
  </si>
  <si>
    <t>549-1</t>
  </si>
  <si>
    <t>549-18A</t>
  </si>
  <si>
    <t>1FUJBBCK57PU33637</t>
  </si>
  <si>
    <t>72308</t>
  </si>
  <si>
    <t>4V4NC9GH78N460224</t>
  </si>
  <si>
    <t>460224</t>
  </si>
  <si>
    <t>R7069</t>
  </si>
  <si>
    <t>3AKJHLDR2JSJM0569</t>
  </si>
  <si>
    <t>JM0569</t>
  </si>
  <si>
    <t>2318-</t>
  </si>
  <si>
    <t>2318-18AC</t>
  </si>
  <si>
    <t>1XKYDP9XXJJ992504</t>
  </si>
  <si>
    <t>992504</t>
  </si>
  <si>
    <t>3530</t>
  </si>
  <si>
    <t>3AKJHHDR1JSJS2643</t>
  </si>
  <si>
    <t>JS2643</t>
  </si>
  <si>
    <t>550-1</t>
  </si>
  <si>
    <t>550-18AL</t>
  </si>
  <si>
    <t>3AKJHHDR1JSJS2657</t>
  </si>
  <si>
    <t>JS2657</t>
  </si>
  <si>
    <t>551-1</t>
  </si>
  <si>
    <t>551-18AL</t>
  </si>
  <si>
    <t>4V4NC9TG85N385560</t>
  </si>
  <si>
    <t>385560</t>
  </si>
  <si>
    <t>R7070</t>
  </si>
  <si>
    <t>1XKADP9X5DJ304687</t>
  </si>
  <si>
    <t>304687</t>
  </si>
  <si>
    <t>K72206</t>
  </si>
  <si>
    <t>3AKJHHDRXJSJS2639</t>
  </si>
  <si>
    <t>JS2639</t>
  </si>
  <si>
    <t>2319-</t>
  </si>
  <si>
    <t>2319-18AL</t>
  </si>
  <si>
    <t>3AKJHHDR2JSJS2649</t>
  </si>
  <si>
    <t>JS2649</t>
  </si>
  <si>
    <t>2320-</t>
  </si>
  <si>
    <t>2320-18A</t>
  </si>
  <si>
    <t>3AKJHHDR8JSJS2655</t>
  </si>
  <si>
    <t>JS2655</t>
  </si>
  <si>
    <t>2321-</t>
  </si>
  <si>
    <t>2321-18A</t>
  </si>
  <si>
    <t>3AKJHHDRXJSJM0588</t>
  </si>
  <si>
    <t>JM0588</t>
  </si>
  <si>
    <t>2322-</t>
  </si>
  <si>
    <t>2322-18A</t>
  </si>
  <si>
    <t>3AKJHHDRXJSJS2656</t>
  </si>
  <si>
    <t>JS2656</t>
  </si>
  <si>
    <t>2323-</t>
  </si>
  <si>
    <t>2323-18A</t>
  </si>
  <si>
    <t>3AKJHHDR8JSJM0587</t>
  </si>
  <si>
    <t>JM0587</t>
  </si>
  <si>
    <t>2324-</t>
  </si>
  <si>
    <t>2324-18A</t>
  </si>
  <si>
    <t>1FUJGLD55GLGZ1487</t>
  </si>
  <si>
    <t>19037</t>
  </si>
  <si>
    <t>19037-16A-SOLD</t>
  </si>
  <si>
    <t>11FUJGLD58GLGZ1452</t>
  </si>
  <si>
    <t>19036</t>
  </si>
  <si>
    <t>19036-16AT</t>
  </si>
  <si>
    <t>1FUJGLD57GLGZ1491</t>
  </si>
  <si>
    <t>19035</t>
  </si>
  <si>
    <t>19035-16A-SOLD</t>
  </si>
  <si>
    <t>1FUJGLD54GLGZ1450</t>
  </si>
  <si>
    <t>19034</t>
  </si>
  <si>
    <t>19034-16AT-SOLD</t>
  </si>
  <si>
    <t>1FUJGLD50GLGZ1445</t>
  </si>
  <si>
    <t>19033</t>
  </si>
  <si>
    <t>19033-16AT-SOLD</t>
  </si>
  <si>
    <t>3AKJHHDR9JSJS2650</t>
  </si>
  <si>
    <t>JS2650</t>
  </si>
  <si>
    <t>2325-</t>
  </si>
  <si>
    <t>2325-18A</t>
  </si>
  <si>
    <t>3AKJHHDR6JSJS2654</t>
  </si>
  <si>
    <t>JS2654</t>
  </si>
  <si>
    <t>2326-</t>
  </si>
  <si>
    <t>2326-18A</t>
  </si>
  <si>
    <t>3AKJHLDR7JSJS2679</t>
  </si>
  <si>
    <t>JS2679</t>
  </si>
  <si>
    <t>2331-</t>
  </si>
  <si>
    <t>2331-18AC</t>
  </si>
  <si>
    <t>3AKJHLDR0JSJS2684</t>
  </si>
  <si>
    <t>JS2684</t>
  </si>
  <si>
    <t>2332-</t>
  </si>
  <si>
    <t>2332-18AC</t>
  </si>
  <si>
    <t>3AKJHHDR6JSJM0622</t>
  </si>
  <si>
    <t>JM0622</t>
  </si>
  <si>
    <t>6659</t>
  </si>
  <si>
    <t>3AKJHHDR7JSJT4554</t>
  </si>
  <si>
    <t>JT4554</t>
  </si>
  <si>
    <t>6660</t>
  </si>
  <si>
    <t>1FUJGLBG1DLBZ8454</t>
  </si>
  <si>
    <t>BZ8454</t>
  </si>
  <si>
    <t>6661</t>
  </si>
  <si>
    <t>3AKJHHDR1JSJU0835</t>
  </si>
  <si>
    <t>JU0835</t>
  </si>
  <si>
    <t>6662</t>
  </si>
  <si>
    <t>3AKJHHDR3JSJS2658</t>
  </si>
  <si>
    <t>JS2658</t>
  </si>
  <si>
    <t>2327-</t>
  </si>
  <si>
    <t>2327-18A</t>
  </si>
  <si>
    <t>3AKJHHDRXJSJM0591</t>
  </si>
  <si>
    <t>JM0591</t>
  </si>
  <si>
    <t>2330-</t>
  </si>
  <si>
    <t>2330-18A</t>
  </si>
  <si>
    <t>3AKJHHDR6JSJM0586</t>
  </si>
  <si>
    <t>JM0586</t>
  </si>
  <si>
    <t>2328-</t>
  </si>
  <si>
    <t>2328-18A</t>
  </si>
  <si>
    <t>3AKJHHDR1JSJM0589</t>
  </si>
  <si>
    <t>JM0589</t>
  </si>
  <si>
    <t>2329-</t>
  </si>
  <si>
    <t>2329-18A</t>
  </si>
  <si>
    <t>4V4NC9EHXJN889186</t>
  </si>
  <si>
    <t>889186</t>
  </si>
  <si>
    <t>6663</t>
  </si>
  <si>
    <t>V4NC9EH7EN162190</t>
  </si>
  <si>
    <t>M502</t>
  </si>
  <si>
    <t>3AKJHHDR0JSJM0583</t>
  </si>
  <si>
    <t>JM0583</t>
  </si>
  <si>
    <t>2333-</t>
  </si>
  <si>
    <t>2333-18A</t>
  </si>
  <si>
    <t>3AKJHHDR1JSJM0592</t>
  </si>
  <si>
    <t>JM0592</t>
  </si>
  <si>
    <t>2334-</t>
  </si>
  <si>
    <t>2334-18AL</t>
  </si>
  <si>
    <t>1XKADB9X27J997337</t>
  </si>
  <si>
    <t>72317</t>
  </si>
  <si>
    <t>1FUJGLD53GLGZ1486</t>
  </si>
  <si>
    <t>R072-</t>
  </si>
  <si>
    <t>R072-16A-SOLD</t>
  </si>
  <si>
    <t>1FUJGLDR3HLHX7692</t>
  </si>
  <si>
    <t>R073-</t>
  </si>
  <si>
    <t>R073-17A-SOLD</t>
  </si>
  <si>
    <t>4V4NC9EH4EN155133</t>
  </si>
  <si>
    <t>155133</t>
  </si>
  <si>
    <t>R7074</t>
  </si>
  <si>
    <t>1FUJGLD54GLGZ1447</t>
  </si>
  <si>
    <t>19038</t>
  </si>
  <si>
    <t>19038-16A</t>
  </si>
  <si>
    <t>1FUJGLD58GLGZ1449</t>
  </si>
  <si>
    <t>M008-</t>
  </si>
  <si>
    <t>M008-16AT-SOLD</t>
  </si>
  <si>
    <t>4V4NC9EH3FN908801</t>
  </si>
  <si>
    <t>M010-</t>
  </si>
  <si>
    <t>M010-15AT</t>
  </si>
  <si>
    <t>3AKJHLDR4JSJS2686</t>
  </si>
  <si>
    <t>JS2686</t>
  </si>
  <si>
    <t>2336-</t>
  </si>
  <si>
    <t>2336-18AC</t>
  </si>
  <si>
    <t>3AKJHLDR9JSJS2683</t>
  </si>
  <si>
    <t>JS2683</t>
  </si>
  <si>
    <t>2337-</t>
  </si>
  <si>
    <t>2337-18AC</t>
  </si>
  <si>
    <t>3AKJHLDR7JSJS2682</t>
  </si>
  <si>
    <t>JS2682</t>
  </si>
  <si>
    <t>2338-</t>
  </si>
  <si>
    <t>2338-18AC</t>
  </si>
  <si>
    <t>4V4NC9GH38N484813</t>
  </si>
  <si>
    <t>484813</t>
  </si>
  <si>
    <t>6664</t>
  </si>
  <si>
    <t>FFUJGLDR5GLGZ8054</t>
  </si>
  <si>
    <t>1405-</t>
  </si>
  <si>
    <t>1405-16ALD</t>
  </si>
  <si>
    <t>3AKJHHDR5JSJS2645</t>
  </si>
  <si>
    <t>JS2645</t>
  </si>
  <si>
    <t>552-1</t>
  </si>
  <si>
    <t>552-18A</t>
  </si>
  <si>
    <t>3AKJHHDR2JSJS2666</t>
  </si>
  <si>
    <t>JS2666</t>
  </si>
  <si>
    <t>554-1</t>
  </si>
  <si>
    <t>554-18A</t>
  </si>
  <si>
    <t>3AKJHHDR8JSJM0590</t>
  </si>
  <si>
    <t>JM0590</t>
  </si>
  <si>
    <t>555-1</t>
  </si>
  <si>
    <t>555-18AL</t>
  </si>
  <si>
    <t>3AKJHHDR8JSJS2669</t>
  </si>
  <si>
    <t>JS2669</t>
  </si>
  <si>
    <t>556-1</t>
  </si>
  <si>
    <t>556-18A</t>
  </si>
  <si>
    <t>3AKJHHDR7JSJS2663</t>
  </si>
  <si>
    <t>JS2663</t>
  </si>
  <si>
    <t>557-1</t>
  </si>
  <si>
    <t>557-18A</t>
  </si>
  <si>
    <t>3AKJHHDR9JSJS2664</t>
  </si>
  <si>
    <t>JS2664</t>
  </si>
  <si>
    <t>558-1</t>
  </si>
  <si>
    <t>558-18A</t>
  </si>
  <si>
    <t>(WIN)</t>
  </si>
  <si>
    <t>1FUJGLD55GLGZ1490</t>
  </si>
  <si>
    <t>19039</t>
  </si>
  <si>
    <t>19039-16A-SOLD</t>
  </si>
  <si>
    <t>1FUJGLD52GLGZ1446</t>
  </si>
  <si>
    <t>19040</t>
  </si>
  <si>
    <t>19040-16A-SOLD</t>
  </si>
  <si>
    <t>1FUJGLDR5HLHX7693</t>
  </si>
  <si>
    <t>19041</t>
  </si>
  <si>
    <t>19041-17A-SOLD</t>
  </si>
  <si>
    <t>1FUJGLDR7HLHX7694</t>
  </si>
  <si>
    <t>19042</t>
  </si>
  <si>
    <t>19042-17A-SOLD</t>
  </si>
  <si>
    <t>1FUJGLDR9HLHX7695</t>
  </si>
  <si>
    <t>19043</t>
  </si>
  <si>
    <t>19043-17A-SOLD</t>
  </si>
  <si>
    <t>3AKJHLDR5JSJS2681</t>
  </si>
  <si>
    <t>JS2681</t>
  </si>
  <si>
    <t>2345-</t>
  </si>
  <si>
    <t>2345-18AC</t>
  </si>
  <si>
    <t>3AKJHLDR6JSJS2687</t>
  </si>
  <si>
    <t>JS2687</t>
  </si>
  <si>
    <t>2346-</t>
  </si>
  <si>
    <t>2346-18AC</t>
  </si>
  <si>
    <t>4V4NC9EH5GN928467</t>
  </si>
  <si>
    <t>928467</t>
  </si>
  <si>
    <t>6665</t>
  </si>
  <si>
    <t>3AKJHHDR3JSJS2661</t>
  </si>
  <si>
    <t>JS2661</t>
  </si>
  <si>
    <t>2339-</t>
  </si>
  <si>
    <t>2339-18A</t>
  </si>
  <si>
    <t>3AKJHHDR0JSJS2665</t>
  </si>
  <si>
    <t>JS2665</t>
  </si>
  <si>
    <t>2340-</t>
  </si>
  <si>
    <t>2340-18A</t>
  </si>
  <si>
    <t>3AKJHHDR4JSJS2667</t>
  </si>
  <si>
    <t>JS2667</t>
  </si>
  <si>
    <t>2341-</t>
  </si>
  <si>
    <t>2341-18A</t>
  </si>
  <si>
    <t>3AKJHLDR8JSJS2688</t>
  </si>
  <si>
    <t>JS2688</t>
  </si>
  <si>
    <t>2347-</t>
  </si>
  <si>
    <t>2347-18AC</t>
  </si>
  <si>
    <t>3AKJHHDR6JSJS2668</t>
  </si>
  <si>
    <t>JS2668</t>
  </si>
  <si>
    <t>2342-</t>
  </si>
  <si>
    <t>2342-18A</t>
  </si>
  <si>
    <t>3AKJHHDR2JSJM0584</t>
  </si>
  <si>
    <t>JM0584</t>
  </si>
  <si>
    <t>2343-</t>
  </si>
  <si>
    <t>2343-18A</t>
  </si>
  <si>
    <t>3AKJHHDR5JSJS2659</t>
  </si>
  <si>
    <t>JS2659</t>
  </si>
  <si>
    <t>2348-</t>
  </si>
  <si>
    <t>2348-18A</t>
  </si>
  <si>
    <t>3AKJHHDR1JSJS2660</t>
  </si>
  <si>
    <t>JS2660</t>
  </si>
  <si>
    <t>2349-</t>
  </si>
  <si>
    <t>2349-18A</t>
  </si>
  <si>
    <t>1FUJBBCK87PY43168</t>
  </si>
  <si>
    <t>Y43168</t>
  </si>
  <si>
    <t>R7075</t>
  </si>
  <si>
    <t>1FUJGLD53GLGZ1455</t>
  </si>
  <si>
    <t>R077-</t>
  </si>
  <si>
    <t>R077-16A-SOLD</t>
  </si>
  <si>
    <t>1FUJGLD5XGLGZ8046</t>
  </si>
  <si>
    <t>R078-</t>
  </si>
  <si>
    <t>R078-16AD-SOLD</t>
  </si>
  <si>
    <t>1FUJGLD50GLGZ1459</t>
  </si>
  <si>
    <t>R079-</t>
  </si>
  <si>
    <t>R079-16A-SOLD</t>
  </si>
  <si>
    <t>3AKJHHDR4JSJS2670</t>
  </si>
  <si>
    <t>JS2670</t>
  </si>
  <si>
    <t>559-1</t>
  </si>
  <si>
    <t>559-18A</t>
  </si>
  <si>
    <t>1FUJGLDR1HLHX7688</t>
  </si>
  <si>
    <t>R080-</t>
  </si>
  <si>
    <t>R080-17A-SOLD</t>
  </si>
  <si>
    <t>3AKJHHDR1JSJS2710</t>
  </si>
  <si>
    <t>JS2710</t>
  </si>
  <si>
    <t>560-1</t>
  </si>
  <si>
    <t>560-18A</t>
  </si>
  <si>
    <t>WINCHESTER TERMINAL</t>
  </si>
  <si>
    <t>3AKJHHDR5JSJS2712</t>
  </si>
  <si>
    <t>JS2712</t>
  </si>
  <si>
    <t>561-1</t>
  </si>
  <si>
    <t>561-18A</t>
  </si>
  <si>
    <t>3AKJHHDR8JSJS2705</t>
  </si>
  <si>
    <t>JS2705</t>
  </si>
  <si>
    <t>563-1</t>
  </si>
  <si>
    <t>563-18A</t>
  </si>
  <si>
    <t>3AKJHHDR3JSJS2708</t>
  </si>
  <si>
    <t>JS2708</t>
  </si>
  <si>
    <t>564-1</t>
  </si>
  <si>
    <t>564-18A</t>
  </si>
  <si>
    <t>1FUJGLDRXHLHX7687</t>
  </si>
  <si>
    <t>R081-</t>
  </si>
  <si>
    <t>R081-17A-SOLD</t>
  </si>
  <si>
    <t>3AKJHHDR7JSJS2713</t>
  </si>
  <si>
    <t>JS2713</t>
  </si>
  <si>
    <t>565-1</t>
  </si>
  <si>
    <t>565-18A</t>
  </si>
  <si>
    <t>3AKJHHDR9JSJS2714</t>
  </si>
  <si>
    <t>JS2714</t>
  </si>
  <si>
    <t>566-1</t>
  </si>
  <si>
    <t>566-18AL</t>
  </si>
  <si>
    <t>3AKJHHDR3JSJS2675</t>
  </si>
  <si>
    <t>JS2675</t>
  </si>
  <si>
    <t>567-1</t>
  </si>
  <si>
    <t>567-18A</t>
  </si>
  <si>
    <t>3AKJHHDR1JSJS2674</t>
  </si>
  <si>
    <t>JS2674</t>
  </si>
  <si>
    <t>568-1</t>
  </si>
  <si>
    <t>568-18A</t>
  </si>
  <si>
    <t>1FUJGLDR1HLHX7691</t>
  </si>
  <si>
    <t>R082-</t>
  </si>
  <si>
    <t>R082-17A-SOLD</t>
  </si>
  <si>
    <t>1FUJGLDR8HLHX7686</t>
  </si>
  <si>
    <t>19044</t>
  </si>
  <si>
    <t>19044-17A-SOLD</t>
  </si>
  <si>
    <t>1FUJA6CK96LV30808</t>
  </si>
  <si>
    <t>V30808</t>
  </si>
  <si>
    <t>6666</t>
  </si>
  <si>
    <t>CL1</t>
  </si>
  <si>
    <t>1FUJGLD54GLHM1604</t>
  </si>
  <si>
    <t>19045</t>
  </si>
  <si>
    <t>19045-16AT-SOLD</t>
  </si>
  <si>
    <t>1FUJGLD56GLHM1605</t>
  </si>
  <si>
    <t>19046</t>
  </si>
  <si>
    <t>19046-16AT-SOLD</t>
  </si>
  <si>
    <t>3AKJHHDR9JSJM0579</t>
  </si>
  <si>
    <t>JM0579</t>
  </si>
  <si>
    <t>S10</t>
  </si>
  <si>
    <t>3AKJHHDR6JSJS2704</t>
  </si>
  <si>
    <t>JS2704</t>
  </si>
  <si>
    <t>569-1</t>
  </si>
  <si>
    <t>569-18A</t>
  </si>
  <si>
    <t>3AKJHHDR1JSJS2707</t>
  </si>
  <si>
    <t>JS2707</t>
  </si>
  <si>
    <t>570-1</t>
  </si>
  <si>
    <t>570-18A</t>
  </si>
  <si>
    <t>3AKJHHDR6JSJS2718</t>
  </si>
  <si>
    <t>JS2718</t>
  </si>
  <si>
    <t>572-1</t>
  </si>
  <si>
    <t>572-18A</t>
  </si>
  <si>
    <t>3AKJHHDR8JSJS2719</t>
  </si>
  <si>
    <t>JS2719</t>
  </si>
  <si>
    <t>573-1</t>
  </si>
  <si>
    <t>573-18A</t>
  </si>
  <si>
    <t>3AKJHLDR3JSJS2680</t>
  </si>
  <si>
    <t>JS2680</t>
  </si>
  <si>
    <t>R083-</t>
  </si>
  <si>
    <t>R083-18AC</t>
  </si>
  <si>
    <t>3AKJHLDR2JSJS2685</t>
  </si>
  <si>
    <t>JS2685</t>
  </si>
  <si>
    <t>R084-</t>
  </si>
  <si>
    <t>R084-18AC</t>
  </si>
  <si>
    <t>3AKJHLDRXJSJS2689</t>
  </si>
  <si>
    <t>JS2689</t>
  </si>
  <si>
    <t>R086-</t>
  </si>
  <si>
    <t>R086-18AC</t>
  </si>
  <si>
    <t>3AKJHLDR6JSJS2690</t>
  </si>
  <si>
    <t>JS2690</t>
  </si>
  <si>
    <t>R087-</t>
  </si>
  <si>
    <t>R087-18AC</t>
  </si>
  <si>
    <t>3AKJHLDR8JSJS2691</t>
  </si>
  <si>
    <t>JS2691</t>
  </si>
  <si>
    <t>R088-</t>
  </si>
  <si>
    <t>R088-18AC</t>
  </si>
  <si>
    <t>3AKJHLDRXJSJS2692</t>
  </si>
  <si>
    <t>JS2692</t>
  </si>
  <si>
    <t>R089-</t>
  </si>
  <si>
    <t>R089-18AC</t>
  </si>
  <si>
    <t>3AKJHLDR1JSJS2693</t>
  </si>
  <si>
    <t>JS2693</t>
  </si>
  <si>
    <t>R090-</t>
  </si>
  <si>
    <t>R090-18AC</t>
  </si>
  <si>
    <t>1FUJGLDR3CSBE9254</t>
  </si>
  <si>
    <t>BE9254</t>
  </si>
  <si>
    <t>72335</t>
  </si>
  <si>
    <t>4V4NC9GHX5N373798</t>
  </si>
  <si>
    <t>373798</t>
  </si>
  <si>
    <t>R7092</t>
  </si>
  <si>
    <t>1FUJGLDR0BSAY5256</t>
  </si>
  <si>
    <t>AY5256</t>
  </si>
  <si>
    <t>R7091</t>
  </si>
  <si>
    <t>3AKJHLDR6JSJS2671</t>
  </si>
  <si>
    <t>JS2671</t>
  </si>
  <si>
    <t>574-1</t>
  </si>
  <si>
    <t>574-18A</t>
  </si>
  <si>
    <t>3AKJHLDRXJSJS2673</t>
  </si>
  <si>
    <t>JS2673</t>
  </si>
  <si>
    <t>575-1</t>
  </si>
  <si>
    <t>575-18A</t>
  </si>
  <si>
    <t>3AKJHLDR5JSJS2676</t>
  </si>
  <si>
    <t>JS2676</t>
  </si>
  <si>
    <t>576-1</t>
  </si>
  <si>
    <t>576-18A</t>
  </si>
  <si>
    <t>3AKJHHDR7JSJS2677</t>
  </si>
  <si>
    <t>JS2677</t>
  </si>
  <si>
    <t>577-1</t>
  </si>
  <si>
    <t>577-18A</t>
  </si>
  <si>
    <t>3AKJHHDR6JSJS2699</t>
  </si>
  <si>
    <t>JS2699</t>
  </si>
  <si>
    <t>578-1</t>
  </si>
  <si>
    <t>578-18A</t>
  </si>
  <si>
    <t>3AKJHHDR2JSJS2702</t>
  </si>
  <si>
    <t>JS2702</t>
  </si>
  <si>
    <t>579-1</t>
  </si>
  <si>
    <t>579-18A</t>
  </si>
  <si>
    <t>3AKJHHDR4JSJS2703</t>
  </si>
  <si>
    <t>JS2703</t>
  </si>
  <si>
    <t>581-1</t>
  </si>
  <si>
    <t>581-18A</t>
  </si>
  <si>
    <t>RNG16</t>
  </si>
  <si>
    <t>1HSDJSJR8CH614184</t>
  </si>
  <si>
    <t>614184</t>
  </si>
  <si>
    <t>RNG29</t>
  </si>
  <si>
    <t>RNG28</t>
  </si>
  <si>
    <t>RNG14</t>
  </si>
  <si>
    <t>RNG21</t>
  </si>
  <si>
    <t>AKJHHDR7JSJM0578</t>
  </si>
  <si>
    <t>JM0578</t>
  </si>
  <si>
    <t>19047</t>
  </si>
  <si>
    <t>19047-18A</t>
  </si>
  <si>
    <t>AKJHHDR5JSJM0580</t>
  </si>
  <si>
    <t>JM0580</t>
  </si>
  <si>
    <t>19048</t>
  </si>
  <si>
    <t>19048-18A-SOLD</t>
  </si>
  <si>
    <t>AKJHHDR7JSJM0581</t>
  </si>
  <si>
    <t>JM0581</t>
  </si>
  <si>
    <t>19049</t>
  </si>
  <si>
    <t>19049-18A</t>
  </si>
  <si>
    <t>AKJHHDR9JSJM0582</t>
  </si>
  <si>
    <t>JM0582</t>
  </si>
  <si>
    <t>19050</t>
  </si>
  <si>
    <t>19050-18A</t>
  </si>
  <si>
    <t>3AKJHHDRXJSJS2642</t>
  </si>
  <si>
    <t>JS2642</t>
  </si>
  <si>
    <t>582-1</t>
  </si>
  <si>
    <t>582-18A</t>
  </si>
  <si>
    <t>3AKJHHDR0JSJS2651</t>
  </si>
  <si>
    <t>JS2651</t>
  </si>
  <si>
    <t>583-1</t>
  </si>
  <si>
    <t>583-18A</t>
  </si>
  <si>
    <t>3AKJHHDR1JSJM0558</t>
  </si>
  <si>
    <t>JM0558</t>
  </si>
  <si>
    <t>584-1</t>
  </si>
  <si>
    <t>584-18A</t>
  </si>
  <si>
    <t>3AKJHHDR9JSJS2678</t>
  </si>
  <si>
    <t>JS2678</t>
  </si>
  <si>
    <t>585-1</t>
  </si>
  <si>
    <t>585-18A</t>
  </si>
  <si>
    <t>1FUJGLDV2CLBR2835</t>
  </si>
  <si>
    <t>BR2835</t>
  </si>
  <si>
    <t>6667</t>
  </si>
  <si>
    <t>1FUJGLDV5CLBR2795</t>
  </si>
  <si>
    <t>BR2795</t>
  </si>
  <si>
    <t>6668</t>
  </si>
  <si>
    <t>BNT</t>
  </si>
  <si>
    <t>1FUJA6CK35LV49370</t>
  </si>
  <si>
    <t>V49370</t>
  </si>
  <si>
    <t>R7093</t>
  </si>
  <si>
    <t>CONVE</t>
  </si>
  <si>
    <t>4V4NC9GF56N409686</t>
  </si>
  <si>
    <t>409686</t>
  </si>
  <si>
    <t>R7094</t>
  </si>
  <si>
    <t>1FUJGLD50GLHM1602</t>
  </si>
  <si>
    <t>R095-</t>
  </si>
  <si>
    <t>R095-16AT-SOLD</t>
  </si>
  <si>
    <t>1FUJGLDR8JLJC9800</t>
  </si>
  <si>
    <t>R096-</t>
  </si>
  <si>
    <t>R096-18A-SOLD</t>
  </si>
  <si>
    <t>FUJGLD58GLHM1606</t>
  </si>
  <si>
    <t>HM1606</t>
  </si>
  <si>
    <t>R097-</t>
  </si>
  <si>
    <t>R097-16AT-SOLD</t>
  </si>
  <si>
    <t>1FUJGLDRXJLJC9801</t>
  </si>
  <si>
    <t>R098-</t>
  </si>
  <si>
    <t>R098-18A-SOLD</t>
  </si>
  <si>
    <t>AKSSG</t>
  </si>
  <si>
    <t>1GD3G3BG0A1145132</t>
  </si>
  <si>
    <t>145132</t>
  </si>
  <si>
    <t>8916</t>
  </si>
  <si>
    <t>8915</t>
  </si>
  <si>
    <t>AKJHHDR8JSJS2672</t>
  </si>
  <si>
    <t>JS2672</t>
  </si>
  <si>
    <t>19052</t>
  </si>
  <si>
    <t>19052-18A</t>
  </si>
  <si>
    <t>AKJHHDRXJSJS2706</t>
  </si>
  <si>
    <t>JS2706</t>
  </si>
  <si>
    <t>19053</t>
  </si>
  <si>
    <t>19053-18A</t>
  </si>
  <si>
    <t>AKJHHDR5JSJS2709</t>
  </si>
  <si>
    <t>JS2709</t>
  </si>
  <si>
    <t>19054</t>
  </si>
  <si>
    <t>19054-18A</t>
  </si>
  <si>
    <t>3AKJHHDR3JSJS2711</t>
  </si>
  <si>
    <t>JS2711</t>
  </si>
  <si>
    <t>19055</t>
  </si>
  <si>
    <t>19055-18A</t>
  </si>
  <si>
    <t>3AKJHHDR4JSJS2717</t>
  </si>
  <si>
    <t>JS2717</t>
  </si>
  <si>
    <t>19056</t>
  </si>
  <si>
    <t>19056-18A</t>
  </si>
  <si>
    <t>3AKJHHDR4JSJS2720</t>
  </si>
  <si>
    <t>JS2720</t>
  </si>
  <si>
    <t>19057</t>
  </si>
  <si>
    <t>19057-18A</t>
  </si>
  <si>
    <t>3AKJHHDRXJSJS2723</t>
  </si>
  <si>
    <t>JS2723</t>
  </si>
  <si>
    <t>19059</t>
  </si>
  <si>
    <t>19059-18A</t>
  </si>
  <si>
    <t>AKJHHDR1JSJS2724</t>
  </si>
  <si>
    <t>JS2724</t>
  </si>
  <si>
    <t>19060</t>
  </si>
  <si>
    <t>19060-18A</t>
  </si>
  <si>
    <t>3AKJHHDR5JSJS2726</t>
  </si>
  <si>
    <t>JS2726</t>
  </si>
  <si>
    <t>19061</t>
  </si>
  <si>
    <t>19061-18A</t>
  </si>
  <si>
    <t>AKJHHDR7JSJS2727</t>
  </si>
  <si>
    <t>JS2727</t>
  </si>
  <si>
    <t>19062</t>
  </si>
  <si>
    <t>19062-18A</t>
  </si>
  <si>
    <t>(ON)WINDSOR LONGHAUL</t>
  </si>
  <si>
    <t>4V4NC9GH98N485089</t>
  </si>
  <si>
    <t>485089</t>
  </si>
  <si>
    <t>R7099</t>
  </si>
  <si>
    <t>1HSHXAHR57J487182</t>
  </si>
  <si>
    <t>487182</t>
  </si>
  <si>
    <t>R7100</t>
  </si>
  <si>
    <t>INTER</t>
  </si>
  <si>
    <t>8000</t>
  </si>
  <si>
    <t>1FUJA6CV87LZ32167</t>
  </si>
  <si>
    <t>Z32167</t>
  </si>
  <si>
    <t>79051</t>
  </si>
  <si>
    <t>3AKJHHDR5JSJS2662</t>
  </si>
  <si>
    <t>JS2662</t>
  </si>
  <si>
    <t>19063</t>
  </si>
  <si>
    <t>19063-18A</t>
  </si>
  <si>
    <t>3AKJHHDR9JSJS2700</t>
  </si>
  <si>
    <t>JS2700</t>
  </si>
  <si>
    <t>19064</t>
  </si>
  <si>
    <t>19064-18A</t>
  </si>
  <si>
    <t>AKJHHDR0JSJS2701</t>
  </si>
  <si>
    <t>JS2701</t>
  </si>
  <si>
    <t>19065</t>
  </si>
  <si>
    <t>19065-18A</t>
  </si>
  <si>
    <t>3AKJHHDR0JSJS2715</t>
  </si>
  <si>
    <t>JS2715</t>
  </si>
  <si>
    <t>19066</t>
  </si>
  <si>
    <t>19066-18A</t>
  </si>
  <si>
    <t>AKJHHDR2JSJS2716</t>
  </si>
  <si>
    <t>JS2716</t>
  </si>
  <si>
    <t>19068</t>
  </si>
  <si>
    <t>19068-18A</t>
  </si>
  <si>
    <t>3AKJHHDR6JSJS2721</t>
  </si>
  <si>
    <t>JS2721</t>
  </si>
  <si>
    <t>19069</t>
  </si>
  <si>
    <t>19069-18A</t>
  </si>
  <si>
    <t>3AKJHHDR8JSJS2722</t>
  </si>
  <si>
    <t>JS2722</t>
  </si>
  <si>
    <t>19070</t>
  </si>
  <si>
    <t>19070-18A</t>
  </si>
  <si>
    <t>3AKJHHDR3JSJS2725</t>
  </si>
  <si>
    <t>JS2725</t>
  </si>
  <si>
    <t>19071</t>
  </si>
  <si>
    <t>19071-18A</t>
  </si>
  <si>
    <t>AKJHHDR9JSJS2728</t>
  </si>
  <si>
    <t>JS2728</t>
  </si>
  <si>
    <t>19072</t>
  </si>
  <si>
    <t>19072-18A</t>
  </si>
  <si>
    <t>UJGLDR3HLHX7689</t>
  </si>
  <si>
    <t>19073</t>
  </si>
  <si>
    <t>19073-17A</t>
  </si>
  <si>
    <t>3AKJHLDR7JSKA2303</t>
  </si>
  <si>
    <t>KA2303</t>
  </si>
  <si>
    <t>R101-</t>
  </si>
  <si>
    <t>R101-18AC</t>
  </si>
  <si>
    <t>3AKJHLDR9JSKA2304</t>
  </si>
  <si>
    <t>KA2304</t>
  </si>
  <si>
    <t>R102-</t>
  </si>
  <si>
    <t>R102-18ACH</t>
  </si>
  <si>
    <t>3AKJHLDR0JSKA2305</t>
  </si>
  <si>
    <t>KA2305</t>
  </si>
  <si>
    <t>R103-</t>
  </si>
  <si>
    <t>R103-18ACH</t>
  </si>
  <si>
    <t>3AKJHLDR2JSKA2306</t>
  </si>
  <si>
    <t>KA2306</t>
  </si>
  <si>
    <t>R104-</t>
  </si>
  <si>
    <t>R104-18AC</t>
  </si>
  <si>
    <t>3AKJHLDR4JSKA2307</t>
  </si>
  <si>
    <t>KA2307</t>
  </si>
  <si>
    <t>R105-</t>
  </si>
  <si>
    <t>R105-18AC</t>
  </si>
  <si>
    <t>3AKJHLDR6JSKA2308</t>
  </si>
  <si>
    <t>KA2308</t>
  </si>
  <si>
    <t>R106-</t>
  </si>
  <si>
    <t>R106-18AC</t>
  </si>
  <si>
    <t>3AKJHLDR8JSKA2309</t>
  </si>
  <si>
    <t>KA2309</t>
  </si>
  <si>
    <t>R107-</t>
  </si>
  <si>
    <t>R107-18AC</t>
  </si>
  <si>
    <t>3AKJHLDR4JSKA2310</t>
  </si>
  <si>
    <t>KA2310</t>
  </si>
  <si>
    <t>R108-</t>
  </si>
  <si>
    <t>R108-18AC</t>
  </si>
  <si>
    <t>3AKJHLDR6JSKA2311</t>
  </si>
  <si>
    <t>KA2311</t>
  </si>
  <si>
    <t>R109-</t>
  </si>
  <si>
    <t>R109-18AC</t>
  </si>
  <si>
    <t>3AKJHLDR8JSKA2312</t>
  </si>
  <si>
    <t>KA2312</t>
  </si>
  <si>
    <t>R110-</t>
  </si>
  <si>
    <t>R110-18ACH</t>
  </si>
  <si>
    <t>3AKJHLDRXJSKA2313</t>
  </si>
  <si>
    <t>KA2313</t>
  </si>
  <si>
    <t>R111-</t>
  </si>
  <si>
    <t>R111-18AC</t>
  </si>
  <si>
    <t>3AKJHLDR1JSKA2314</t>
  </si>
  <si>
    <t>KA2314</t>
  </si>
  <si>
    <t>R112-</t>
  </si>
  <si>
    <t>R112-18AC</t>
  </si>
  <si>
    <t>3AKJHLDR3JSKA2315</t>
  </si>
  <si>
    <t>KA2315</t>
  </si>
  <si>
    <t>R114-</t>
  </si>
  <si>
    <t>R114-18AC</t>
  </si>
  <si>
    <t>3AKJHLDR5JSKA2316</t>
  </si>
  <si>
    <t>KA2316</t>
  </si>
  <si>
    <t>R115-</t>
  </si>
  <si>
    <t>R115-18AC</t>
  </si>
  <si>
    <t>3AKJHLDR7JSKA2317</t>
  </si>
  <si>
    <t>KA2317</t>
  </si>
  <si>
    <t>R116-</t>
  </si>
  <si>
    <t>R116-18AC</t>
  </si>
  <si>
    <t>3AKJHLDR9JSKA2318</t>
  </si>
  <si>
    <t>KA2318</t>
  </si>
  <si>
    <t>R117-</t>
  </si>
  <si>
    <t>R117-18AC</t>
  </si>
  <si>
    <t>3AKJHLDR0JSKA2319</t>
  </si>
  <si>
    <t>KA2319</t>
  </si>
  <si>
    <t>R118-</t>
  </si>
  <si>
    <t>R118-18AC</t>
  </si>
  <si>
    <t>3AKJHLDR7JSKA2320</t>
  </si>
  <si>
    <t>KA2320</t>
  </si>
  <si>
    <t>R119-</t>
  </si>
  <si>
    <t>R119-18AC</t>
  </si>
  <si>
    <t>3AKJHLDR9JSKA2321</t>
  </si>
  <si>
    <t>KA2321</t>
  </si>
  <si>
    <t>R120-</t>
  </si>
  <si>
    <t>R120-18ACH</t>
  </si>
  <si>
    <t>3AKJHLDR0JSKA2322</t>
  </si>
  <si>
    <t>KA2322</t>
  </si>
  <si>
    <t>R121-</t>
  </si>
  <si>
    <t>R121-18ACH</t>
  </si>
  <si>
    <t>1XKYDP9X1JJ990463</t>
  </si>
  <si>
    <t>990463</t>
  </si>
  <si>
    <t>3502</t>
  </si>
  <si>
    <t>T680</t>
  </si>
  <si>
    <t>1XKADP9X1DJ963625</t>
  </si>
  <si>
    <t>963625</t>
  </si>
  <si>
    <t>79074</t>
  </si>
  <si>
    <t>1FUJGLDR6CSBF2388</t>
  </si>
  <si>
    <t>BF2388</t>
  </si>
  <si>
    <t>6670</t>
  </si>
  <si>
    <t>3WKAD49X6AF261895</t>
  </si>
  <si>
    <t>261895</t>
  </si>
  <si>
    <t>79075</t>
  </si>
  <si>
    <t>1FUJA6CG23LL74621</t>
  </si>
  <si>
    <t>L74621</t>
  </si>
  <si>
    <t>R7122</t>
  </si>
  <si>
    <t>1FUJBBCK76LU58058</t>
  </si>
  <si>
    <t>U58058</t>
  </si>
  <si>
    <t>72350</t>
  </si>
  <si>
    <t>1FUJBBAV26LU24705</t>
  </si>
  <si>
    <t>U24705</t>
  </si>
  <si>
    <t>72351</t>
  </si>
  <si>
    <t>4V4NC9EJ3CN539016</t>
  </si>
  <si>
    <t>539016</t>
  </si>
  <si>
    <t>72352</t>
  </si>
  <si>
    <t>1FUJGLD56GLGE487</t>
  </si>
  <si>
    <t>LGE487</t>
  </si>
  <si>
    <t>71406</t>
  </si>
  <si>
    <t>4V4NC9GG27N468365</t>
  </si>
  <si>
    <t>468365</t>
  </si>
  <si>
    <t>R7123</t>
  </si>
  <si>
    <t>1FUJGLD53GLHM1609</t>
  </si>
  <si>
    <t>2361-</t>
  </si>
  <si>
    <t>2361-16AT-SOLD</t>
  </si>
  <si>
    <t>1XPBDP9X4ED230810</t>
  </si>
  <si>
    <t>2362-</t>
  </si>
  <si>
    <t>2362-14ML</t>
  </si>
  <si>
    <t>1XPBDP9XXED230651</t>
  </si>
  <si>
    <t>2363-</t>
  </si>
  <si>
    <t>2363-14MT-SOLD</t>
  </si>
  <si>
    <t>1XPBDP9X6ED234535</t>
  </si>
  <si>
    <t>2364-</t>
  </si>
  <si>
    <t>2364-14M-SOLD</t>
  </si>
  <si>
    <t>1XPBDP9X0ED234529</t>
  </si>
  <si>
    <t>2365-</t>
  </si>
  <si>
    <t>2365-14MT-SOLD</t>
  </si>
  <si>
    <t>1XPBDP9X4ED221198</t>
  </si>
  <si>
    <t>2366-</t>
  </si>
  <si>
    <t>2366-14M-SOLD</t>
  </si>
  <si>
    <t>1XPBDP9X8ED230650</t>
  </si>
  <si>
    <t>2368-</t>
  </si>
  <si>
    <t>2368-14MT-SOLD</t>
  </si>
  <si>
    <t>1FUJBBAV07LV92375</t>
  </si>
  <si>
    <t>V92375</t>
  </si>
  <si>
    <t>72353</t>
  </si>
  <si>
    <t>PETERBELT</t>
  </si>
  <si>
    <t>1XPBDP9X0FD282808</t>
  </si>
  <si>
    <t>282808</t>
  </si>
  <si>
    <t>3197</t>
  </si>
  <si>
    <t>1XPBDP9X3JD490867</t>
  </si>
  <si>
    <t>490867</t>
  </si>
  <si>
    <t>3567</t>
  </si>
  <si>
    <t>1XPBDP9XXFD256944</t>
  </si>
  <si>
    <t>256944</t>
  </si>
  <si>
    <t>3137</t>
  </si>
  <si>
    <t>1XPBDP9XXFD264865</t>
  </si>
  <si>
    <t>264865</t>
  </si>
  <si>
    <t>3172</t>
  </si>
  <si>
    <t>1FUJGLDR6DLBZ9856</t>
  </si>
  <si>
    <t>BZ9856</t>
  </si>
  <si>
    <t>79076</t>
  </si>
  <si>
    <t>1FUJA6CK47LX78708</t>
  </si>
  <si>
    <t>X78708</t>
  </si>
  <si>
    <t>79077</t>
  </si>
  <si>
    <t>1FUJGLDR2CSBM3983</t>
  </si>
  <si>
    <t>BM3983</t>
  </si>
  <si>
    <t>R7124</t>
  </si>
  <si>
    <t>AKJHHDR7JSJS2694</t>
  </si>
  <si>
    <t>JS2694</t>
  </si>
  <si>
    <t>19077</t>
  </si>
  <si>
    <t>19077-18A</t>
  </si>
  <si>
    <t>AKJHHDR4JSJS2698</t>
  </si>
  <si>
    <t>JS2698</t>
  </si>
  <si>
    <t>19078</t>
  </si>
  <si>
    <t>19078-18A</t>
  </si>
  <si>
    <t>1FUJA6DE17LY84624</t>
  </si>
  <si>
    <t>Y84624</t>
  </si>
  <si>
    <t>72354</t>
  </si>
  <si>
    <t>1FUJGLD5XFLGA8484</t>
  </si>
  <si>
    <t>GA8484</t>
  </si>
  <si>
    <t>79079</t>
  </si>
  <si>
    <t>FUJGLDR29LAB1756</t>
  </si>
  <si>
    <t>AB1756</t>
  </si>
  <si>
    <t>79080</t>
  </si>
  <si>
    <t>1FUJGLD66ELFD6142</t>
  </si>
  <si>
    <t>FD6142</t>
  </si>
  <si>
    <t>79081</t>
  </si>
  <si>
    <t>1XKAD49X47R932504</t>
  </si>
  <si>
    <t>932504</t>
  </si>
  <si>
    <t>79082</t>
  </si>
  <si>
    <t>AKJGLD54FSFP6804</t>
  </si>
  <si>
    <t>FP6804</t>
  </si>
  <si>
    <t>79083</t>
  </si>
  <si>
    <t>4V4NC9TJ2BN533144</t>
  </si>
  <si>
    <t>533144</t>
  </si>
  <si>
    <t>R7125</t>
  </si>
  <si>
    <t>1FUJBBCK96PU33803</t>
  </si>
  <si>
    <t>U33803</t>
  </si>
  <si>
    <t>R7126</t>
  </si>
  <si>
    <t>PLASM</t>
  </si>
  <si>
    <t>PLASMA1</t>
  </si>
  <si>
    <t>PLASMA2</t>
  </si>
  <si>
    <t>HARGU</t>
  </si>
  <si>
    <t>HARGUN1</t>
  </si>
  <si>
    <t>KJHHDR0JSKC6164</t>
  </si>
  <si>
    <t>KC6164</t>
  </si>
  <si>
    <t>586-1</t>
  </si>
  <si>
    <t>586-18AR</t>
  </si>
  <si>
    <t>3AKJHHDR8JSKC6168</t>
  </si>
  <si>
    <t>KC6168</t>
  </si>
  <si>
    <t>587-1</t>
  </si>
  <si>
    <t>587-18AR-SOLD</t>
  </si>
  <si>
    <t>3AKJHHDRXJSKC6169</t>
  </si>
  <si>
    <t>KC6169</t>
  </si>
  <si>
    <t>588-1</t>
  </si>
  <si>
    <t>588-18AR-SOLD</t>
  </si>
  <si>
    <t>3AKJHHDRXJSKC6172</t>
  </si>
  <si>
    <t>KC6172</t>
  </si>
  <si>
    <t>589-1</t>
  </si>
  <si>
    <t>589-18AR-SOLD</t>
  </si>
  <si>
    <t>3AKJHHDR5JSKC6175</t>
  </si>
  <si>
    <t>KC6175</t>
  </si>
  <si>
    <t>590-1</t>
  </si>
  <si>
    <t>590-18AR-SOLD</t>
  </si>
  <si>
    <t>AKJHHDR7JSKC6176</t>
  </si>
  <si>
    <t>KC6176</t>
  </si>
  <si>
    <t>591-1</t>
  </si>
  <si>
    <t>591-18AR-SOLD</t>
  </si>
  <si>
    <t>3AKJHHDR2JSKC6179</t>
  </si>
  <si>
    <t>KC6179</t>
  </si>
  <si>
    <t>592-1</t>
  </si>
  <si>
    <t>592-18AR-SOLD</t>
  </si>
  <si>
    <t>KJHHDR7JSKC6159</t>
  </si>
  <si>
    <t>KC6159</t>
  </si>
  <si>
    <t>593-1</t>
  </si>
  <si>
    <t>593-18AR</t>
  </si>
  <si>
    <t>3AKJHHDR3JSKC6160</t>
  </si>
  <si>
    <t>KC6160</t>
  </si>
  <si>
    <t>595-1</t>
  </si>
  <si>
    <t>595-18AR-SOLD</t>
  </si>
  <si>
    <t>AKJHHDR5JSKC6161</t>
  </si>
  <si>
    <t>KC6161</t>
  </si>
  <si>
    <t>596-1</t>
  </si>
  <si>
    <t>596-18AR</t>
  </si>
  <si>
    <t>3AKJHHDR7JSKC6162</t>
  </si>
  <si>
    <t>KC6162</t>
  </si>
  <si>
    <t>597-1</t>
  </si>
  <si>
    <t>597-18AR-SOLD</t>
  </si>
  <si>
    <t>AKJHHDR9JSKC6163</t>
  </si>
  <si>
    <t>KC6163</t>
  </si>
  <si>
    <t>598-1</t>
  </si>
  <si>
    <t>598-18AR-SOLD</t>
  </si>
  <si>
    <t>3AKJHHDR2JSKC6165</t>
  </si>
  <si>
    <t>KC6165</t>
  </si>
  <si>
    <t>599-1</t>
  </si>
  <si>
    <t>599-18AR-SOLD</t>
  </si>
  <si>
    <t>3AKJHHDR4JSKC6166</t>
  </si>
  <si>
    <t>KC6166</t>
  </si>
  <si>
    <t>5001-</t>
  </si>
  <si>
    <t>5001-18AR-SOLD</t>
  </si>
  <si>
    <t>KJHHDR6JSKC6170</t>
  </si>
  <si>
    <t>KC6170</t>
  </si>
  <si>
    <t>5002-</t>
  </si>
  <si>
    <t>5002-18AR</t>
  </si>
  <si>
    <t>3AKJHHDR8JSKC6171</t>
  </si>
  <si>
    <t>KC6171</t>
  </si>
  <si>
    <t>5003-</t>
  </si>
  <si>
    <t>5003-18AR-SOLD</t>
  </si>
  <si>
    <t>KJHHDR1JSKC6173</t>
  </si>
  <si>
    <t>KC6173</t>
  </si>
  <si>
    <t>5004-</t>
  </si>
  <si>
    <t>5004-18AR</t>
  </si>
  <si>
    <t>3AKJHHDR3JSKC6174</t>
  </si>
  <si>
    <t>KC6174</t>
  </si>
  <si>
    <t>5005-</t>
  </si>
  <si>
    <t>5005-18AR-SOLD</t>
  </si>
  <si>
    <t>3AKJHHDR9JSKC6177</t>
  </si>
  <si>
    <t>KC6177</t>
  </si>
  <si>
    <t>5006-</t>
  </si>
  <si>
    <t>5006-18AR-SOLD</t>
  </si>
  <si>
    <t>3AKJHHDR0JSKC6178</t>
  </si>
  <si>
    <t>KC6178</t>
  </si>
  <si>
    <t>5007-</t>
  </si>
  <si>
    <t>5007-18AR-SOLD</t>
  </si>
  <si>
    <t>21551</t>
  </si>
  <si>
    <t>2155182</t>
  </si>
  <si>
    <t>3AKJHHDR3JSJJ4060</t>
  </si>
  <si>
    <t>JJ4060</t>
  </si>
  <si>
    <t>5009-</t>
  </si>
  <si>
    <t>5009-18AR-SOLD</t>
  </si>
  <si>
    <t>KJHHDRXJSJJ4069</t>
  </si>
  <si>
    <t>JJ4069</t>
  </si>
  <si>
    <t>5010-</t>
  </si>
  <si>
    <t>5010-18AR</t>
  </si>
  <si>
    <t>3AKJHHDR9JSJJ4094</t>
  </si>
  <si>
    <t>JJ4094</t>
  </si>
  <si>
    <t>5011-</t>
  </si>
  <si>
    <t>5011-18AR-SOLD</t>
  </si>
  <si>
    <t>3AKJHHDR0JSJJ4095</t>
  </si>
  <si>
    <t>JJ4095</t>
  </si>
  <si>
    <t>5012-</t>
  </si>
  <si>
    <t>5012-18AR-SOLD</t>
  </si>
  <si>
    <t>KJHHDR2JSJJ4096</t>
  </si>
  <si>
    <t>JJ4096</t>
  </si>
  <si>
    <t>5014-</t>
  </si>
  <si>
    <t>5014-18AR</t>
  </si>
  <si>
    <t>4V4NC9EH9CN535260</t>
  </si>
  <si>
    <t>535260</t>
  </si>
  <si>
    <t>6671</t>
  </si>
  <si>
    <t>3AKJHHDR0JSJS2696</t>
  </si>
  <si>
    <t>JS2696</t>
  </si>
  <si>
    <t>6672</t>
  </si>
  <si>
    <t>4V4MC9GF07N463099</t>
  </si>
  <si>
    <t>463099</t>
  </si>
  <si>
    <t>R7127</t>
  </si>
  <si>
    <t>4V4NC9GH63N347289</t>
  </si>
  <si>
    <t>347289</t>
  </si>
  <si>
    <t>R7128</t>
  </si>
  <si>
    <t>V4NC9EH4DN565798</t>
  </si>
  <si>
    <t>565798</t>
  </si>
  <si>
    <t>R7129</t>
  </si>
  <si>
    <t>1FUJA6CV37LW87715</t>
  </si>
  <si>
    <t>W87715</t>
  </si>
  <si>
    <t>R7130</t>
  </si>
  <si>
    <t>CONVEN</t>
  </si>
  <si>
    <t>3AKJHHDR2JSJS2697</t>
  </si>
  <si>
    <t>JS2697</t>
  </si>
  <si>
    <t>6673</t>
  </si>
  <si>
    <t>4V4NC9EJ6AN286710</t>
  </si>
  <si>
    <t>286710</t>
  </si>
  <si>
    <t>R7131</t>
  </si>
  <si>
    <t>1FUJBBAV47PW76837</t>
  </si>
  <si>
    <t>W76837</t>
  </si>
  <si>
    <t>R7132</t>
  </si>
  <si>
    <t>2HSCEAHR26C236150</t>
  </si>
  <si>
    <t>236150</t>
  </si>
  <si>
    <t>R7133</t>
  </si>
  <si>
    <t>1FUJGEDR6ALAM4439</t>
  </si>
  <si>
    <t>AM4439</t>
  </si>
  <si>
    <t>R7134</t>
  </si>
  <si>
    <t>4V4NC9EH7DN134498</t>
  </si>
  <si>
    <t>134498</t>
  </si>
  <si>
    <t>79084</t>
  </si>
  <si>
    <t>3AKJHHDR9JSJS2695</t>
  </si>
  <si>
    <t>JS2695</t>
  </si>
  <si>
    <t>6674</t>
  </si>
  <si>
    <t>PT1</t>
  </si>
  <si>
    <t>3AKJHLDR9KSKA2336</t>
  </si>
  <si>
    <t>KA2336</t>
  </si>
  <si>
    <t>R136-</t>
  </si>
  <si>
    <t>R136-19AC</t>
  </si>
  <si>
    <t>3AKJHLDR0KSKA2337</t>
  </si>
  <si>
    <t>KA2337</t>
  </si>
  <si>
    <t>R137-</t>
  </si>
  <si>
    <t>R137-19AC</t>
  </si>
  <si>
    <t>3AKJHLDR2KSKA2338</t>
  </si>
  <si>
    <t>KA2338</t>
  </si>
  <si>
    <t>R138-</t>
  </si>
  <si>
    <t>R138-19AC</t>
  </si>
  <si>
    <t>3AKJHLDR4KSKA2339</t>
  </si>
  <si>
    <t>KA2339</t>
  </si>
  <si>
    <t>R139-</t>
  </si>
  <si>
    <t>R139-19AC</t>
  </si>
  <si>
    <t>Cornwall6253Boundary</t>
  </si>
  <si>
    <t>3AKJHLDR0KSKA2340</t>
  </si>
  <si>
    <t>KA2340</t>
  </si>
  <si>
    <t>R140-</t>
  </si>
  <si>
    <t>R140-19AC</t>
  </si>
  <si>
    <t>3AKJHLDR2KSKA2341</t>
  </si>
  <si>
    <t>KA2341</t>
  </si>
  <si>
    <t>R141-</t>
  </si>
  <si>
    <t>R141-19AC</t>
  </si>
  <si>
    <t>3AKJHLDR4KSKA2342</t>
  </si>
  <si>
    <t>KA2342</t>
  </si>
  <si>
    <t>R142-</t>
  </si>
  <si>
    <t>R142-19AC</t>
  </si>
  <si>
    <t>3AKJHLDRXKSKA2331</t>
  </si>
  <si>
    <t>KA2331</t>
  </si>
  <si>
    <t>1408-</t>
  </si>
  <si>
    <t>1408-19ACH</t>
  </si>
  <si>
    <t>3AKJHLDR1KSKA2332</t>
  </si>
  <si>
    <t>KA2332</t>
  </si>
  <si>
    <t>1409-</t>
  </si>
  <si>
    <t>1409-19ACH</t>
  </si>
  <si>
    <t>3AKJHLDR3KSKA2333</t>
  </si>
  <si>
    <t>KA2333</t>
  </si>
  <si>
    <t>1410-</t>
  </si>
  <si>
    <t>1410-19ACH</t>
  </si>
  <si>
    <t>3AKJHLDR5KSKA2334</t>
  </si>
  <si>
    <t>KA2334</t>
  </si>
  <si>
    <t>1411-</t>
  </si>
  <si>
    <t>1411-19ACH</t>
  </si>
  <si>
    <t>3AKJHLDR7KSKA2335</t>
  </si>
  <si>
    <t>KA2335</t>
  </si>
  <si>
    <t>1412-</t>
  </si>
  <si>
    <t>1412-19ACH</t>
  </si>
  <si>
    <t>3AKJHLDR0KSKA2323</t>
  </si>
  <si>
    <t>KA2323</t>
  </si>
  <si>
    <t>2369-</t>
  </si>
  <si>
    <t>2369-19AC</t>
  </si>
  <si>
    <t>3AKJHLDR2KSKA2324</t>
  </si>
  <si>
    <t>KA2324</t>
  </si>
  <si>
    <t>2370-</t>
  </si>
  <si>
    <t>2370-19AC</t>
  </si>
  <si>
    <t>3AKJHLDR4KSKA2325</t>
  </si>
  <si>
    <t>KA2325</t>
  </si>
  <si>
    <t>2371-</t>
  </si>
  <si>
    <t>2371-19AC</t>
  </si>
  <si>
    <t>3AKJHLDR6KSKA2326</t>
  </si>
  <si>
    <t>KA2326</t>
  </si>
  <si>
    <t>2372-</t>
  </si>
  <si>
    <t>2372-19AC</t>
  </si>
  <si>
    <t>3AKJHLDR8KSKA2327</t>
  </si>
  <si>
    <t>KA2327</t>
  </si>
  <si>
    <t>2373-</t>
  </si>
  <si>
    <t>2373-19AC</t>
  </si>
  <si>
    <t>3AKJHLDRXKSKA2328</t>
  </si>
  <si>
    <t>KA2328</t>
  </si>
  <si>
    <t>2374-</t>
  </si>
  <si>
    <t>2374-19AC</t>
  </si>
  <si>
    <t>3AKJHLDR1KSKA2329</t>
  </si>
  <si>
    <t>KA2329</t>
  </si>
  <si>
    <t>2375-</t>
  </si>
  <si>
    <t>2375-19AC</t>
  </si>
  <si>
    <t>3AKJHLDR8KSKA2330</t>
  </si>
  <si>
    <t>KA2330</t>
  </si>
  <si>
    <t>2377-</t>
  </si>
  <si>
    <t>2377-19AC-W/OFF</t>
  </si>
  <si>
    <t>1FUJA6CK27LY27226</t>
  </si>
  <si>
    <t>Y27226</t>
  </si>
  <si>
    <t>R7135</t>
  </si>
  <si>
    <t>1FUJGLD50GLGY9629</t>
  </si>
  <si>
    <t>GY9629</t>
  </si>
  <si>
    <t>71407</t>
  </si>
  <si>
    <t>3AKJHHDR4JSJY0018</t>
  </si>
  <si>
    <t>JY0018</t>
  </si>
  <si>
    <t>6675</t>
  </si>
  <si>
    <t>1FUJGLCK5ASAP5762</t>
  </si>
  <si>
    <t>AP5762</t>
  </si>
  <si>
    <t>6676</t>
  </si>
  <si>
    <t>1XKYD49X5FJ973963</t>
  </si>
  <si>
    <t>973963</t>
  </si>
  <si>
    <t>6677</t>
  </si>
  <si>
    <t>1FUJBBCK96LW06310</t>
  </si>
  <si>
    <t>W06310</t>
  </si>
  <si>
    <t>6678</t>
  </si>
  <si>
    <t>4V4NC9EJ3KN905202</t>
  </si>
  <si>
    <t>905202</t>
  </si>
  <si>
    <t>6679</t>
  </si>
  <si>
    <t>V4NC9EJ7KN905199</t>
  </si>
  <si>
    <t>905199</t>
  </si>
  <si>
    <t>71414</t>
  </si>
  <si>
    <t>(OFF-ROAD)</t>
  </si>
  <si>
    <t>1717S</t>
  </si>
  <si>
    <t>1717SH</t>
  </si>
  <si>
    <t>11VJ813A3HA000822</t>
  </si>
  <si>
    <t>000822</t>
  </si>
  <si>
    <t>1818S</t>
  </si>
  <si>
    <t>1818SH</t>
  </si>
  <si>
    <t>ON-HIGHWAY</t>
  </si>
  <si>
    <t>11VJ813A5HA000823</t>
  </si>
  <si>
    <t>000823</t>
  </si>
  <si>
    <t>1919S</t>
  </si>
  <si>
    <t>1919SH</t>
  </si>
  <si>
    <t>1FUJF6AV97DX60780</t>
  </si>
  <si>
    <t>X60780</t>
  </si>
  <si>
    <t>6680</t>
  </si>
  <si>
    <t>4V4NC9EHXDN565093</t>
  </si>
  <si>
    <t>565093</t>
  </si>
  <si>
    <t>79086</t>
  </si>
  <si>
    <t>4V4NC9EH1FN910207</t>
  </si>
  <si>
    <t>910207</t>
  </si>
  <si>
    <t>79087</t>
  </si>
  <si>
    <t>4V4NC9TG07N438304</t>
  </si>
  <si>
    <t>438304</t>
  </si>
  <si>
    <t>6681</t>
  </si>
  <si>
    <t>4V4NC9EG6DN564045</t>
  </si>
  <si>
    <t>564045</t>
  </si>
  <si>
    <t>R7145</t>
  </si>
  <si>
    <t>5KJJAEDE84PN08625</t>
  </si>
  <si>
    <t>966T</t>
  </si>
  <si>
    <t>WES</t>
  </si>
  <si>
    <t>3AKJHHDR2KSKA2403</t>
  </si>
  <si>
    <t>KA2403</t>
  </si>
  <si>
    <t>2379-</t>
  </si>
  <si>
    <t>2379-19SP</t>
  </si>
  <si>
    <t>3AKJGLD50FSGB5884</t>
  </si>
  <si>
    <t>GB5884</t>
  </si>
  <si>
    <t>72355</t>
  </si>
  <si>
    <t>3AKJHHDR4KSKA2404</t>
  </si>
  <si>
    <t>KA2404</t>
  </si>
  <si>
    <t>19130</t>
  </si>
  <si>
    <t>19130-19SP-SOLD</t>
  </si>
  <si>
    <t>3AKJHHDR6KSKA2405</t>
  </si>
  <si>
    <t>KA2405</t>
  </si>
  <si>
    <t>19131</t>
  </si>
  <si>
    <t>19131-19SP</t>
  </si>
  <si>
    <t>3AKJHHDR8KSKA2406</t>
  </si>
  <si>
    <t>KA2406</t>
  </si>
  <si>
    <t>2383-</t>
  </si>
  <si>
    <t>2383-19SP</t>
  </si>
  <si>
    <t>3AKJHHDRXKSKA2407</t>
  </si>
  <si>
    <t>KA2407</t>
  </si>
  <si>
    <t>19132</t>
  </si>
  <si>
    <t>19132-19SP</t>
  </si>
  <si>
    <t>3AKJHHDR8KSKA2423</t>
  </si>
  <si>
    <t>KA2423</t>
  </si>
  <si>
    <t>19088</t>
  </si>
  <si>
    <t>19088-19SP-SOLD</t>
  </si>
  <si>
    <t>3AKJHHDR1KSKA2408</t>
  </si>
  <si>
    <t>KA2408</t>
  </si>
  <si>
    <t>2385-</t>
  </si>
  <si>
    <t>2385-19SP</t>
  </si>
  <si>
    <t>3AKJHHDR3KSKA2409</t>
  </si>
  <si>
    <t>KA2409</t>
  </si>
  <si>
    <t>2386-</t>
  </si>
  <si>
    <t>2386-19SP</t>
  </si>
  <si>
    <t>3AKJHHDRXKSKA2410</t>
  </si>
  <si>
    <t>KA2410</t>
  </si>
  <si>
    <t>19133</t>
  </si>
  <si>
    <t>19133-19SP</t>
  </si>
  <si>
    <t>3AKJHHDR1KSKA2411</t>
  </si>
  <si>
    <t>KA2411</t>
  </si>
  <si>
    <t>19134</t>
  </si>
  <si>
    <t>19134-19SP-SOLD</t>
  </si>
  <si>
    <t>3AKJHHDR3KSKA2412</t>
  </si>
  <si>
    <t>KA2412</t>
  </si>
  <si>
    <t>19135</t>
  </si>
  <si>
    <t>19135-19SP</t>
  </si>
  <si>
    <t>3AKJHHDRXKSKA2343</t>
  </si>
  <si>
    <t>KA2343</t>
  </si>
  <si>
    <t>19136</t>
  </si>
  <si>
    <t>19136-19T</t>
  </si>
  <si>
    <t>3AKJHHDR1KSKA2344</t>
  </si>
  <si>
    <t>KA2344</t>
  </si>
  <si>
    <t>2391-</t>
  </si>
  <si>
    <t>2391-19T</t>
  </si>
  <si>
    <t>3AKJHHDR3KSKA2345</t>
  </si>
  <si>
    <t>KA2345</t>
  </si>
  <si>
    <t>2392-</t>
  </si>
  <si>
    <t>2392-19T</t>
  </si>
  <si>
    <t>3AKJHHDRXKSKA2424</t>
  </si>
  <si>
    <t>KA2424</t>
  </si>
  <si>
    <t>19089</t>
  </si>
  <si>
    <t>19089-19SP</t>
  </si>
  <si>
    <t>3AKJHHDR5KSKA2346</t>
  </si>
  <si>
    <t>KA2346</t>
  </si>
  <si>
    <t>2393-</t>
  </si>
  <si>
    <t>2393-19T</t>
  </si>
  <si>
    <t>3AKJHHDR7KSKA2347</t>
  </si>
  <si>
    <t>KA2347</t>
  </si>
  <si>
    <t>2394-</t>
  </si>
  <si>
    <t>2394-19T</t>
  </si>
  <si>
    <t>3AKJHHDR9KSKA2348</t>
  </si>
  <si>
    <t>KA2348</t>
  </si>
  <si>
    <t>2395-</t>
  </si>
  <si>
    <t>2395-19T</t>
  </si>
  <si>
    <t>3AKJHHDR0KSKA2349</t>
  </si>
  <si>
    <t>KA2349</t>
  </si>
  <si>
    <t>2396-</t>
  </si>
  <si>
    <t>2396-19T</t>
  </si>
  <si>
    <t>3AKJHHDR7KSKA2350</t>
  </si>
  <si>
    <t>KA2350</t>
  </si>
  <si>
    <t>2397-</t>
  </si>
  <si>
    <t>2397-19T</t>
  </si>
  <si>
    <t>3AKJHHDR8KSKA2425</t>
  </si>
  <si>
    <t>KA2425</t>
  </si>
  <si>
    <t>19090</t>
  </si>
  <si>
    <t>19090-19SP</t>
  </si>
  <si>
    <t>3AKJHHDR9KSKA2351</t>
  </si>
  <si>
    <t>KA2351</t>
  </si>
  <si>
    <t>2398-</t>
  </si>
  <si>
    <t>2398-19T</t>
  </si>
  <si>
    <t>3AKJHHDR0KSKA2352</t>
  </si>
  <si>
    <t>KA2352</t>
  </si>
  <si>
    <t>2399-</t>
  </si>
  <si>
    <t>2399-19T</t>
  </si>
  <si>
    <t>3AKJHHDR8KSKA2373</t>
  </si>
  <si>
    <t>KA2373</t>
  </si>
  <si>
    <t>2400-</t>
  </si>
  <si>
    <t>2400-19R-SOLD</t>
  </si>
  <si>
    <t>3AKJHHDRXKSKA2374</t>
  </si>
  <si>
    <t>KA2374</t>
  </si>
  <si>
    <t>2401-</t>
  </si>
  <si>
    <t>2401-19R SOLD</t>
  </si>
  <si>
    <t>3AKJHHDR1KSKA2375</t>
  </si>
  <si>
    <t>KA2375</t>
  </si>
  <si>
    <t>2402-</t>
  </si>
  <si>
    <t>2402-19R</t>
  </si>
  <si>
    <t>3AKJHHDR3KSKA2376</t>
  </si>
  <si>
    <t>KA2376</t>
  </si>
  <si>
    <t>2403-</t>
  </si>
  <si>
    <t>2403-19R</t>
  </si>
  <si>
    <t>3AKJHHDR5KSKA2377</t>
  </si>
  <si>
    <t>KA2377</t>
  </si>
  <si>
    <t>2404-</t>
  </si>
  <si>
    <t>2404-19R</t>
  </si>
  <si>
    <t>3AKJHHDR7KSKA2378</t>
  </si>
  <si>
    <t>KA2378</t>
  </si>
  <si>
    <t>2405-</t>
  </si>
  <si>
    <t>2405-19R-SOLD</t>
  </si>
  <si>
    <t>3AKJHHDR9KSKA2379</t>
  </si>
  <si>
    <t>KA2379</t>
  </si>
  <si>
    <t>19137</t>
  </si>
  <si>
    <t>19137-19R-SOLD</t>
  </si>
  <si>
    <t>3AKJHHDR5KSKA2380</t>
  </si>
  <si>
    <t>KA2380</t>
  </si>
  <si>
    <t>19138</t>
  </si>
  <si>
    <t>19138-19R-SOLD</t>
  </si>
  <si>
    <t>3AKJHHDR7KSKA2381</t>
  </si>
  <si>
    <t>KA2381</t>
  </si>
  <si>
    <t>2408-</t>
  </si>
  <si>
    <t>2408-19R</t>
  </si>
  <si>
    <t>3AKJHHDR3KSKA2426</t>
  </si>
  <si>
    <t>KA2426</t>
  </si>
  <si>
    <t>19091</t>
  </si>
  <si>
    <t>19091-19SP</t>
  </si>
  <si>
    <t>3AKJHHDR9KSKA2382</t>
  </si>
  <si>
    <t>KA2382</t>
  </si>
  <si>
    <t>19139</t>
  </si>
  <si>
    <t>19139-19R</t>
  </si>
  <si>
    <t>3AKJHHDR5KSKA2413</t>
  </si>
  <si>
    <t>KA2413</t>
  </si>
  <si>
    <t>1415-</t>
  </si>
  <si>
    <t>1415-19SP-SOLD</t>
  </si>
  <si>
    <t>3AKJHHDR7KSKA2414</t>
  </si>
  <si>
    <t>KA2414</t>
  </si>
  <si>
    <t>1416-</t>
  </si>
  <si>
    <t>1416-19SP-SOLD</t>
  </si>
  <si>
    <t>3AKJHHDR9KSKA2415</t>
  </si>
  <si>
    <t>KA2415</t>
  </si>
  <si>
    <t>1417-</t>
  </si>
  <si>
    <t>1417-19SP-SOLD</t>
  </si>
  <si>
    <t>AKJHHDR0KSKA2416</t>
  </si>
  <si>
    <t>KA2416</t>
  </si>
  <si>
    <t>1418-</t>
  </si>
  <si>
    <t>1418-19SP-SOLD</t>
  </si>
  <si>
    <t>3AKJHHDR2KSKA2417</t>
  </si>
  <si>
    <t>KA2417</t>
  </si>
  <si>
    <t>1419-</t>
  </si>
  <si>
    <t>1419-19SP-SOLD</t>
  </si>
  <si>
    <t>3AKJHHDR4KSKA2418</t>
  </si>
  <si>
    <t>KA2418</t>
  </si>
  <si>
    <t>1420-</t>
  </si>
  <si>
    <t>1420-19SP</t>
  </si>
  <si>
    <t>AKJHHDR5KSKA2427</t>
  </si>
  <si>
    <t>KA2427</t>
  </si>
  <si>
    <t>19092</t>
  </si>
  <si>
    <t>19092-19SP-SOLD</t>
  </si>
  <si>
    <t>3AKJHHDR7KSKA2428</t>
  </si>
  <si>
    <t>KA2428</t>
  </si>
  <si>
    <t>19093</t>
  </si>
  <si>
    <t>19093-19SP-SOLD</t>
  </si>
  <si>
    <t>3AKJHHDR9KSKA2429</t>
  </si>
  <si>
    <t>KA2429</t>
  </si>
  <si>
    <t>19095</t>
  </si>
  <si>
    <t>19095-19SP-SOLD</t>
  </si>
  <si>
    <t>3AKJHHDR5KSKA2430</t>
  </si>
  <si>
    <t>KA2430</t>
  </si>
  <si>
    <t>19096</t>
  </si>
  <si>
    <t>19096-19SP-SOLD</t>
  </si>
  <si>
    <t>3AKJHHDR7KSKA2431</t>
  </si>
  <si>
    <t>KA2431</t>
  </si>
  <si>
    <t>19097</t>
  </si>
  <si>
    <t>19097-19SP-SOLD</t>
  </si>
  <si>
    <t>3AKJHHDR9KSKA2432</t>
  </si>
  <si>
    <t>KA2432</t>
  </si>
  <si>
    <t>19098</t>
  </si>
  <si>
    <t>19098-19SP-SOLD</t>
  </si>
  <si>
    <t>3AKJHHDR2KSKA2353</t>
  </si>
  <si>
    <t>KA2353</t>
  </si>
  <si>
    <t>19099</t>
  </si>
  <si>
    <t>19099-19T</t>
  </si>
  <si>
    <t>3AKJHHDR4KSKA2354</t>
  </si>
  <si>
    <t>KA2354</t>
  </si>
  <si>
    <t>19100</t>
  </si>
  <si>
    <t>19100-19T</t>
  </si>
  <si>
    <t>3AKJHHDR6KSKA2355</t>
  </si>
  <si>
    <t>KA2355</t>
  </si>
  <si>
    <t>19101</t>
  </si>
  <si>
    <t>19101-19T</t>
  </si>
  <si>
    <t>3AKJHHDR8KSKA2356</t>
  </si>
  <si>
    <t>KA2356</t>
  </si>
  <si>
    <t>19102</t>
  </si>
  <si>
    <t>19102-19T</t>
  </si>
  <si>
    <t>3AKJHHDRXKSKA2357</t>
  </si>
  <si>
    <t>KA2357</t>
  </si>
  <si>
    <t>19103</t>
  </si>
  <si>
    <t>19103-19T</t>
  </si>
  <si>
    <t>3AKJHHDR1KSKA2358</t>
  </si>
  <si>
    <t>KA2358</t>
  </si>
  <si>
    <t>19104</t>
  </si>
  <si>
    <t>19104-19T-SOLD</t>
  </si>
  <si>
    <t>3AKJHHDR3KSKA2359</t>
  </si>
  <si>
    <t>KA2359</t>
  </si>
  <si>
    <t>19105</t>
  </si>
  <si>
    <t>19105-19T</t>
  </si>
  <si>
    <t>3AKJHHDRXKSKA2360</t>
  </si>
  <si>
    <t>KA2360</t>
  </si>
  <si>
    <t>19106</t>
  </si>
  <si>
    <t xml:space="preserve">19106-19T-SOLD </t>
  </si>
  <si>
    <t>3AKJHHDR1KSKA2361</t>
  </si>
  <si>
    <t>KA2361</t>
  </si>
  <si>
    <t>19107</t>
  </si>
  <si>
    <t>19107-19T</t>
  </si>
  <si>
    <t>3AKJHHDR3KSKA2362</t>
  </si>
  <si>
    <t>KA2362</t>
  </si>
  <si>
    <t>19108</t>
  </si>
  <si>
    <t>19108-19T-SOLD</t>
  </si>
  <si>
    <t>3AKJHHDR0KSKA2383</t>
  </si>
  <si>
    <t>KA2383</t>
  </si>
  <si>
    <t>19109</t>
  </si>
  <si>
    <t>19109-19R-SOLD</t>
  </si>
  <si>
    <t>3AKJHHDR2KSKA2384</t>
  </si>
  <si>
    <t>KA2384</t>
  </si>
  <si>
    <t>19110</t>
  </si>
  <si>
    <t>19110-19R-SOLD</t>
  </si>
  <si>
    <t>3AKJHHDR4KSKA2385</t>
  </si>
  <si>
    <t>KA2385</t>
  </si>
  <si>
    <t>19111</t>
  </si>
  <si>
    <t>19111-19R-SOLD</t>
  </si>
  <si>
    <t>3AKJHHDR6KSKA2386</t>
  </si>
  <si>
    <t>KA2386</t>
  </si>
  <si>
    <t>19112</t>
  </si>
  <si>
    <t>19112-19R-SOLD</t>
  </si>
  <si>
    <t>3AKJHHDR8KSKA2387</t>
  </si>
  <si>
    <t>KA2387</t>
  </si>
  <si>
    <t>19114</t>
  </si>
  <si>
    <t>19114-19R-SOLD</t>
  </si>
  <si>
    <t>3AKJHHDRXKSKA2388</t>
  </si>
  <si>
    <t>KA2388</t>
  </si>
  <si>
    <t>19115</t>
  </si>
  <si>
    <t>19115-19R-SOLD</t>
  </si>
  <si>
    <t>3AKJHHDR1KSKA2389</t>
  </si>
  <si>
    <t>KA2389</t>
  </si>
  <si>
    <t>19116</t>
  </si>
  <si>
    <t>19116-19R-SOLD</t>
  </si>
  <si>
    <t>3AKJHHDR8KSKA2390</t>
  </si>
  <si>
    <t>KA2390</t>
  </si>
  <si>
    <t>19117</t>
  </si>
  <si>
    <t>19117-19R-SOLD</t>
  </si>
  <si>
    <t>3AKJHHDRXKSKA2391</t>
  </si>
  <si>
    <t>KA2391</t>
  </si>
  <si>
    <t>19118</t>
  </si>
  <si>
    <t>19118-19R-SOLD</t>
  </si>
  <si>
    <t>3AKJHHDR1KSKA2392</t>
  </si>
  <si>
    <t>KA2392</t>
  </si>
  <si>
    <t>19119</t>
  </si>
  <si>
    <t>19119-19R-SOLD</t>
  </si>
  <si>
    <t>3AKJHHDR3KSKA2393</t>
  </si>
  <si>
    <t>KA2393</t>
  </si>
  <si>
    <t>19120</t>
  </si>
  <si>
    <t>19120-19R-SOLD</t>
  </si>
  <si>
    <t>3AKJHHDR5KSKA2394</t>
  </si>
  <si>
    <t>KA2394</t>
  </si>
  <si>
    <t>19121</t>
  </si>
  <si>
    <t>19121-19R-SOLD</t>
  </si>
  <si>
    <t>3AKJHHDR7KSKA2395</t>
  </si>
  <si>
    <t>KA2395</t>
  </si>
  <si>
    <t>19122</t>
  </si>
  <si>
    <t>19122-19R-SOLD</t>
  </si>
  <si>
    <t>3AKJHHDR9KSKA2396</t>
  </si>
  <si>
    <t>KA2396</t>
  </si>
  <si>
    <t>19123</t>
  </si>
  <si>
    <t>19123-19R-SOLD</t>
  </si>
  <si>
    <t>3AKJHHDR0KSKA2397</t>
  </si>
  <si>
    <t>KA2397</t>
  </si>
  <si>
    <t>19124</t>
  </si>
  <si>
    <t>19124-19R-SOLD</t>
  </si>
  <si>
    <t>3AKJHHDR2KSKA2398</t>
  </si>
  <si>
    <t>KA2398</t>
  </si>
  <si>
    <t>19125</t>
  </si>
  <si>
    <t>19125-19R-SOLD</t>
  </si>
  <si>
    <t>3AKJHHDR4KSKA2399+</t>
  </si>
  <si>
    <t>A2399+</t>
  </si>
  <si>
    <t>19126</t>
  </si>
  <si>
    <t>19126-19R-SOLD</t>
  </si>
  <si>
    <t>1FUJGLDV3DLBY7158</t>
  </si>
  <si>
    <t>BY7158</t>
  </si>
  <si>
    <t>R7143</t>
  </si>
  <si>
    <t>4V4NC9EG9DN136244</t>
  </si>
  <si>
    <t>136244</t>
  </si>
  <si>
    <t>R7144</t>
  </si>
  <si>
    <t>3AKJHHDR7KSKA2400</t>
  </si>
  <si>
    <t>KA2400</t>
  </si>
  <si>
    <t>19127</t>
  </si>
  <si>
    <t>19127-19R-SOLD</t>
  </si>
  <si>
    <t>3AKJHHDR9KSKA2401</t>
  </si>
  <si>
    <t>KA2401</t>
  </si>
  <si>
    <t>19128</t>
  </si>
  <si>
    <t>19128-19R-SOLD</t>
  </si>
  <si>
    <t>3AKJHHDR0KSKA2402</t>
  </si>
  <si>
    <t>KA2402</t>
  </si>
  <si>
    <t>19129</t>
  </si>
  <si>
    <t>19129-19R-SOLD</t>
  </si>
  <si>
    <t>3AKJHHDR6KSKA2419</t>
  </si>
  <si>
    <t>KA2419</t>
  </si>
  <si>
    <t>1421-</t>
  </si>
  <si>
    <t>1421-19SP-SOLD</t>
  </si>
  <si>
    <t>3AKJHHDR2KSKA2420</t>
  </si>
  <si>
    <t>KA2420</t>
  </si>
  <si>
    <t>1422-</t>
  </si>
  <si>
    <t>1422-19SP</t>
  </si>
  <si>
    <t>3AKJHHDR4KSKA2421</t>
  </si>
  <si>
    <t>KA2421</t>
  </si>
  <si>
    <t>1423-</t>
  </si>
  <si>
    <t>1423-19SP-W/OFF</t>
  </si>
  <si>
    <t>3AKJHHDR6KSKA2422</t>
  </si>
  <si>
    <t>KA2422</t>
  </si>
  <si>
    <t>1424-</t>
  </si>
  <si>
    <t>1424-19SP-SOLD</t>
  </si>
  <si>
    <t>AKJHHDR4KSKA2368</t>
  </si>
  <si>
    <t>KA2368</t>
  </si>
  <si>
    <t>19190</t>
  </si>
  <si>
    <t>19190-19T</t>
  </si>
  <si>
    <t>3AKJHHDR6KSKA2369</t>
  </si>
  <si>
    <t>KA2369</t>
  </si>
  <si>
    <t>19191</t>
  </si>
  <si>
    <t>19191-19T-SOLD</t>
  </si>
  <si>
    <t>3AKJHHDR2KSKA2370</t>
  </si>
  <si>
    <t>KA2370</t>
  </si>
  <si>
    <t>M016-</t>
  </si>
  <si>
    <t>M016-19T-SOLD</t>
  </si>
  <si>
    <t>3AKJHHDR4KSKA2371</t>
  </si>
  <si>
    <t>KA2371</t>
  </si>
  <si>
    <t>19192</t>
  </si>
  <si>
    <t>19192-19T</t>
  </si>
  <si>
    <t>3AKJHHDR6KSKA2372</t>
  </si>
  <si>
    <t>KA2372</t>
  </si>
  <si>
    <t>19193</t>
  </si>
  <si>
    <t>19193-19T</t>
  </si>
  <si>
    <t>3AKJHHDR5KSKA2363</t>
  </si>
  <si>
    <t>KA2363</t>
  </si>
  <si>
    <t>R146-</t>
  </si>
  <si>
    <t>R146-19T</t>
  </si>
  <si>
    <t>3AKJHHDR7KSKA2364</t>
  </si>
  <si>
    <t>KA2364</t>
  </si>
  <si>
    <t>R147-</t>
  </si>
  <si>
    <t>R147-19T</t>
  </si>
  <si>
    <t>3AKJHHDR9KSKA2365</t>
  </si>
  <si>
    <t>KA2365</t>
  </si>
  <si>
    <t>R148-</t>
  </si>
  <si>
    <t>R148-19T-SOLD</t>
  </si>
  <si>
    <t>3AKJHHDR0KSKA2366</t>
  </si>
  <si>
    <t>KA2366</t>
  </si>
  <si>
    <t>R149-</t>
  </si>
  <si>
    <t>R149-19T</t>
  </si>
  <si>
    <t>3AKJHHDR2KSKA2367</t>
  </si>
  <si>
    <t>KA2367</t>
  </si>
  <si>
    <t>R150-</t>
  </si>
  <si>
    <t>R150-19T</t>
  </si>
  <si>
    <t>1XKYDP9X6EJ391869</t>
  </si>
  <si>
    <t>391869</t>
  </si>
  <si>
    <t>72378</t>
  </si>
  <si>
    <t>680</t>
  </si>
  <si>
    <t>3AKJHHDR3JSJV5191</t>
  </si>
  <si>
    <t>JV5191</t>
  </si>
  <si>
    <t>6682</t>
  </si>
  <si>
    <t>1HSDJSJR0CH614194</t>
  </si>
  <si>
    <t>614194</t>
  </si>
  <si>
    <t>R7146</t>
  </si>
  <si>
    <t>4V4NC9EJ3DN133478</t>
  </si>
  <si>
    <t>133478</t>
  </si>
  <si>
    <t>6683</t>
  </si>
  <si>
    <t>3HSDJAPR6GN283134</t>
  </si>
  <si>
    <t>283134</t>
  </si>
  <si>
    <t>79088</t>
  </si>
  <si>
    <t>3AKJHHDR1JSJT4551</t>
  </si>
  <si>
    <t>JT4551</t>
  </si>
  <si>
    <t>79089</t>
  </si>
  <si>
    <t>4V4NC9EH9GN938483</t>
  </si>
  <si>
    <t>938483</t>
  </si>
  <si>
    <t>6684</t>
  </si>
  <si>
    <t>4V4NC9EH3DN565095</t>
  </si>
  <si>
    <t>565095</t>
  </si>
  <si>
    <t>79090</t>
  </si>
  <si>
    <t>3AKJHHDR1KSKC4893</t>
  </si>
  <si>
    <t>KC4893</t>
  </si>
  <si>
    <t>79091</t>
  </si>
  <si>
    <t>BNT2</t>
  </si>
  <si>
    <t>1XKADU9X27J998340</t>
  </si>
  <si>
    <t>998340</t>
  </si>
  <si>
    <t>6685</t>
  </si>
  <si>
    <t>1FUJGLD68ELFY4648</t>
  </si>
  <si>
    <t>FY4648</t>
  </si>
  <si>
    <t>72410</t>
  </si>
  <si>
    <t>FUJGLD6XELFY4652</t>
  </si>
  <si>
    <t>FY4652</t>
  </si>
  <si>
    <t>72411</t>
  </si>
  <si>
    <t>1FUJBBCG03LJ52889</t>
  </si>
  <si>
    <t>72412</t>
  </si>
  <si>
    <t>1FUJA6CV84LM46082</t>
  </si>
  <si>
    <t>6686</t>
  </si>
  <si>
    <t>4V4NC9EJ9AN272803</t>
  </si>
  <si>
    <t>272803</t>
  </si>
  <si>
    <t>R7147</t>
  </si>
  <si>
    <t>4V4NC9EJXGN935644</t>
  </si>
  <si>
    <t>935644</t>
  </si>
  <si>
    <t>6687</t>
  </si>
  <si>
    <t>1FUJGLDR7CSBJ3054</t>
  </si>
  <si>
    <t>BJ3054</t>
  </si>
  <si>
    <t>6688</t>
  </si>
  <si>
    <t>1FUJBBCK57PX37020</t>
  </si>
  <si>
    <t>X37020</t>
  </si>
  <si>
    <t>6689</t>
  </si>
  <si>
    <t>3AKJHHDR6KSKA222600</t>
  </si>
  <si>
    <t>222600</t>
  </si>
  <si>
    <t>71425</t>
  </si>
  <si>
    <t>4V4NC9EH3CN542558</t>
  </si>
  <si>
    <t>542558</t>
  </si>
  <si>
    <t>6690</t>
  </si>
  <si>
    <t>BNT3</t>
  </si>
  <si>
    <t>1XKADB9X07J109152</t>
  </si>
  <si>
    <t>109152</t>
  </si>
  <si>
    <t>6692</t>
  </si>
  <si>
    <t>4V4NC9EH4JN888535</t>
  </si>
  <si>
    <t>888535</t>
  </si>
  <si>
    <t>79092</t>
  </si>
  <si>
    <t>4V4NC9EH7DN565097</t>
  </si>
  <si>
    <t>565097</t>
  </si>
  <si>
    <t>79093</t>
  </si>
  <si>
    <t>4V4NC9EH1KN905762</t>
  </si>
  <si>
    <t>905762</t>
  </si>
  <si>
    <t>79094</t>
  </si>
  <si>
    <t>1FUJGEDV2CLBC2453</t>
  </si>
  <si>
    <t>BC2453</t>
  </si>
  <si>
    <t>6691</t>
  </si>
  <si>
    <t>4V4NC9EJ2DN569979</t>
  </si>
  <si>
    <t>569979</t>
  </si>
  <si>
    <t>6693</t>
  </si>
  <si>
    <t>4V4NC9GH66N431326</t>
  </si>
  <si>
    <t>431326</t>
  </si>
  <si>
    <t>6694</t>
  </si>
  <si>
    <t>3AKJHHDR6KSKA2453</t>
  </si>
  <si>
    <t>KA2453</t>
  </si>
  <si>
    <t>19155</t>
  </si>
  <si>
    <t>19155-19AR-SOLD</t>
  </si>
  <si>
    <t>3AKJHHDR8KSKA2454</t>
  </si>
  <si>
    <t>KA2454</t>
  </si>
  <si>
    <t>19156</t>
  </si>
  <si>
    <t>19156-19AR-SOLD</t>
  </si>
  <si>
    <t>3AKJHHDRXKSKA2455</t>
  </si>
  <si>
    <t>KA2455</t>
  </si>
  <si>
    <t>19157</t>
  </si>
  <si>
    <t>19157-19AR-SOLD</t>
  </si>
  <si>
    <t>3AKJHHDR1KSKA2456</t>
  </si>
  <si>
    <t>KA2456</t>
  </si>
  <si>
    <t>19158</t>
  </si>
  <si>
    <t>19158-19AR-SOLD</t>
  </si>
  <si>
    <t>3AKJHHDR3KSKA2457</t>
  </si>
  <si>
    <t>KA2457</t>
  </si>
  <si>
    <t>19159</t>
  </si>
  <si>
    <t>19159-19AR-SOLD</t>
  </si>
  <si>
    <t>3AKJHHDR5KSKA2458</t>
  </si>
  <si>
    <t>KA2458</t>
  </si>
  <si>
    <t>19160</t>
  </si>
  <si>
    <t>19160-19AR-SOLD</t>
  </si>
  <si>
    <t>3AKJHHDR7KSKA2459</t>
  </si>
  <si>
    <t>KA2459</t>
  </si>
  <si>
    <t>19161</t>
  </si>
  <si>
    <t>19161-19AR-SOLD</t>
  </si>
  <si>
    <t>3AKJHHDR3KSKA2460</t>
  </si>
  <si>
    <t>KA2460</t>
  </si>
  <si>
    <t>19162</t>
  </si>
  <si>
    <t>19162-19AR-SOLD</t>
  </si>
  <si>
    <t>3AKJHHDR5KSKA2461</t>
  </si>
  <si>
    <t>KA2461</t>
  </si>
  <si>
    <t>19163</t>
  </si>
  <si>
    <t>19163-19AR-SOLD</t>
  </si>
  <si>
    <t>3AKJHHDR7KSKA2462</t>
  </si>
  <si>
    <t>KA2462</t>
  </si>
  <si>
    <t>19164</t>
  </si>
  <si>
    <t>19164-19AR-SOLD</t>
  </si>
  <si>
    <t>3AKJHHDR9KSKA2463</t>
  </si>
  <si>
    <t>KA2463</t>
  </si>
  <si>
    <t>19165</t>
  </si>
  <si>
    <t>19165-19AR-SOLD</t>
  </si>
  <si>
    <t>3AKJHHDR0KSKA2464</t>
  </si>
  <si>
    <t>KA2464</t>
  </si>
  <si>
    <t>19166</t>
  </si>
  <si>
    <t>19166-19AR-SOLD</t>
  </si>
  <si>
    <t>3AKJHHDR2KSKA2465</t>
  </si>
  <si>
    <t>KA2465</t>
  </si>
  <si>
    <t>19167</t>
  </si>
  <si>
    <t>19167-19AR-SOLD</t>
  </si>
  <si>
    <t>3AKJHHDR4KSKA2466+</t>
  </si>
  <si>
    <t>A2466+</t>
  </si>
  <si>
    <t>19168</t>
  </si>
  <si>
    <t>19168-19AR</t>
  </si>
  <si>
    <t>3AKJHHDR6KSKA2467</t>
  </si>
  <si>
    <t>KA2467</t>
  </si>
  <si>
    <t>19169</t>
  </si>
  <si>
    <t>19169-19AR-SOLD</t>
  </si>
  <si>
    <t>3AKJHHDR8KSKA2468</t>
  </si>
  <si>
    <t>KA2468</t>
  </si>
  <si>
    <t>1426-</t>
  </si>
  <si>
    <t>1426-19AR-SOLD</t>
  </si>
  <si>
    <t>3AKJHHDRXKSKA2469</t>
  </si>
  <si>
    <t>KA2469</t>
  </si>
  <si>
    <t>1427-</t>
  </si>
  <si>
    <t>1427-19AR-SOLD</t>
  </si>
  <si>
    <t>3AKJHHDR6KSKA2470</t>
  </si>
  <si>
    <t>KA2470</t>
  </si>
  <si>
    <t>1428-</t>
  </si>
  <si>
    <t>1428-19AR-SOLD</t>
  </si>
  <si>
    <t>3AKJHHDR8KSKA2471</t>
  </si>
  <si>
    <t>KA2471</t>
  </si>
  <si>
    <t>1429-</t>
  </si>
  <si>
    <t>1429-19AR-SOLD</t>
  </si>
  <si>
    <t>3AKJHHDRXKSKA2472</t>
  </si>
  <si>
    <t>KA2472</t>
  </si>
  <si>
    <t>1430-</t>
  </si>
  <si>
    <t>1430-19AR-SOLD</t>
  </si>
  <si>
    <t>3AKJHHDR1KSKA2473</t>
  </si>
  <si>
    <t>KA2473</t>
  </si>
  <si>
    <t>1431-</t>
  </si>
  <si>
    <t>1431-19AR-SOLD</t>
  </si>
  <si>
    <t>3AKJHHDR3KSKA2474</t>
  </si>
  <si>
    <t>KA2474</t>
  </si>
  <si>
    <t>1432-</t>
  </si>
  <si>
    <t>1432-19AR-SOLD</t>
  </si>
  <si>
    <t>3AKJHHDR5KSKA2475</t>
  </si>
  <si>
    <t>KA2475</t>
  </si>
  <si>
    <t>1433-</t>
  </si>
  <si>
    <t>1433-19AR-SOLD</t>
  </si>
  <si>
    <t>3AKJHHDR7KSKA2476</t>
  </si>
  <si>
    <t>KA2476</t>
  </si>
  <si>
    <t>1434-</t>
  </si>
  <si>
    <t>1434-19AR-SOLD</t>
  </si>
  <si>
    <t>3AKJHHDR9KSKA2477</t>
  </si>
  <si>
    <t>KA2477</t>
  </si>
  <si>
    <t>1435-</t>
  </si>
  <si>
    <t>1435-19AR-SOLD</t>
  </si>
  <si>
    <t>3AKJHLDR2KSKA2436</t>
  </si>
  <si>
    <t>KA2436</t>
  </si>
  <si>
    <t>R151-</t>
  </si>
  <si>
    <t>R151-19AC</t>
  </si>
  <si>
    <t>3AKJHLDR4KSKA2437</t>
  </si>
  <si>
    <t>KA2437</t>
  </si>
  <si>
    <t>R152-</t>
  </si>
  <si>
    <t>R152-19AC</t>
  </si>
  <si>
    <t>3AKJHLDR8KSKA2439</t>
  </si>
  <si>
    <t>KA2439</t>
  </si>
  <si>
    <t>R153-</t>
  </si>
  <si>
    <t>R153-19AC</t>
  </si>
  <si>
    <t>3AKJHLDR4KSKA2440</t>
  </si>
  <si>
    <t>KA2440</t>
  </si>
  <si>
    <t>R154-</t>
  </si>
  <si>
    <t>R154-19AC</t>
  </si>
  <si>
    <t>3AKJHLDR8KSKA2442</t>
  </si>
  <si>
    <t>KA2442</t>
  </si>
  <si>
    <t>R155-</t>
  </si>
  <si>
    <t>R155-19AC</t>
  </si>
  <si>
    <t>3AKJHLDR1KSKA2444</t>
  </si>
  <si>
    <t>KA2444</t>
  </si>
  <si>
    <t>R156-</t>
  </si>
  <si>
    <t>R156-19AC</t>
  </si>
  <si>
    <t>3AKJHLDR7KSKA2447</t>
  </si>
  <si>
    <t>KA2447</t>
  </si>
  <si>
    <t>R157-</t>
  </si>
  <si>
    <t>R157-19AC</t>
  </si>
  <si>
    <t>3AKJHLDR6KSKA2438</t>
  </si>
  <si>
    <t>KA2438</t>
  </si>
  <si>
    <t>2414-</t>
  </si>
  <si>
    <t>2414-19AC</t>
  </si>
  <si>
    <t>3AKJHLDR6KSKA2441</t>
  </si>
  <si>
    <t>KA2441</t>
  </si>
  <si>
    <t>2415-</t>
  </si>
  <si>
    <t>2415-19AC</t>
  </si>
  <si>
    <t>3AKJHLDR3KSKA2445</t>
  </si>
  <si>
    <t>KA2445</t>
  </si>
  <si>
    <t>2416-</t>
  </si>
  <si>
    <t>2416-19AC</t>
  </si>
  <si>
    <t>3AKJHLDR5KSKA2446</t>
  </si>
  <si>
    <t>KA2446</t>
  </si>
  <si>
    <t>2417-</t>
  </si>
  <si>
    <t>2417-19AC</t>
  </si>
  <si>
    <t>3AKJHLDR0KSKA2452</t>
  </si>
  <si>
    <t>KA2452</t>
  </si>
  <si>
    <t>2418-</t>
  </si>
  <si>
    <t>2418-19AC</t>
  </si>
  <si>
    <t>3HSDJSJR8EN413216</t>
  </si>
  <si>
    <t>413216</t>
  </si>
  <si>
    <t>6695</t>
  </si>
  <si>
    <t>346594(OFF-ROAD)</t>
  </si>
  <si>
    <t>2020S</t>
  </si>
  <si>
    <t>2020SH</t>
  </si>
  <si>
    <t>1FUJGLD51GLGZ6721</t>
  </si>
  <si>
    <t>GZ6721</t>
  </si>
  <si>
    <t>6696</t>
  </si>
  <si>
    <t>NM0GS9E72J1361029</t>
  </si>
  <si>
    <t>361029</t>
  </si>
  <si>
    <t>8917</t>
  </si>
  <si>
    <t>TRN</t>
  </si>
  <si>
    <t>BIG BLUE TRUCK CENTRE</t>
  </si>
  <si>
    <t>4V4NC9EH7KN900887</t>
  </si>
  <si>
    <t>900887</t>
  </si>
  <si>
    <t>79170</t>
  </si>
  <si>
    <t>1FUY3MDBXYLF38921</t>
  </si>
  <si>
    <t>R7148</t>
  </si>
  <si>
    <t>4V4NC9EJ9FN188021</t>
  </si>
  <si>
    <t>188021</t>
  </si>
  <si>
    <t>6697</t>
  </si>
  <si>
    <t>4V4NC9EH7CN299689</t>
  </si>
  <si>
    <t>299689</t>
  </si>
  <si>
    <t>6698</t>
  </si>
  <si>
    <t>4V4NC9EJ2JN903665</t>
  </si>
  <si>
    <t>903665</t>
  </si>
  <si>
    <t>72419</t>
  </si>
  <si>
    <t>1FUJGLDR4CSBF3118</t>
  </si>
  <si>
    <t>72420</t>
  </si>
  <si>
    <t>3AKJHLDR7KSKA2433</t>
  </si>
  <si>
    <t>KA2433</t>
  </si>
  <si>
    <t>2421-</t>
  </si>
  <si>
    <t>2421-19AC</t>
  </si>
  <si>
    <t>3AKJHLDR0KSKA2435</t>
  </si>
  <si>
    <t>KA2435</t>
  </si>
  <si>
    <t>2422-</t>
  </si>
  <si>
    <t>2422-19AC</t>
  </si>
  <si>
    <t>3AKJHLDRXKSKA2443</t>
  </si>
  <si>
    <t>KA2443</t>
  </si>
  <si>
    <t>2423-</t>
  </si>
  <si>
    <t>2423-19AC</t>
  </si>
  <si>
    <t>3AKJHLDR9KSKA2448</t>
  </si>
  <si>
    <t>KA2448</t>
  </si>
  <si>
    <t>2424-</t>
  </si>
  <si>
    <t>2424-19AC</t>
  </si>
  <si>
    <t>3AKJHLDR9KSKA2434</t>
  </si>
  <si>
    <t>KA2434</t>
  </si>
  <si>
    <t>2425-</t>
  </si>
  <si>
    <t>2425-19AC</t>
  </si>
  <si>
    <t>4V4NC9EH6DN142320</t>
  </si>
  <si>
    <t>142320</t>
  </si>
  <si>
    <t>79171</t>
  </si>
  <si>
    <t>1FUJA6CV75DN76463</t>
  </si>
  <si>
    <t>N76463</t>
  </si>
  <si>
    <t>79172</t>
  </si>
  <si>
    <t>1XKADP9X6EJ963668</t>
  </si>
  <si>
    <t>963668</t>
  </si>
  <si>
    <t>79173</t>
  </si>
  <si>
    <t>4V4NC9GH46N415142</t>
  </si>
  <si>
    <t>415142</t>
  </si>
  <si>
    <t>R7149</t>
  </si>
  <si>
    <t>3AKJHLDR0KSKA2449</t>
  </si>
  <si>
    <t>KA2449</t>
  </si>
  <si>
    <t>R158-</t>
  </si>
  <si>
    <t>R158-19AC</t>
  </si>
  <si>
    <t>3AKJHLDR7KSKA2450</t>
  </si>
  <si>
    <t>KA2450</t>
  </si>
  <si>
    <t>R159-</t>
  </si>
  <si>
    <t>R159-19AC</t>
  </si>
  <si>
    <t>3AKJHLDR9KSKA2451</t>
  </si>
  <si>
    <t>KA2451</t>
  </si>
  <si>
    <t>R160-</t>
  </si>
  <si>
    <t>R160-19AC</t>
  </si>
  <si>
    <t>XP4AP8X1CD165060</t>
  </si>
  <si>
    <t>165060</t>
  </si>
  <si>
    <t>R7150</t>
  </si>
  <si>
    <t>587</t>
  </si>
  <si>
    <t>4V4NC9EH6DN141295</t>
  </si>
  <si>
    <t>141295</t>
  </si>
  <si>
    <t>6699</t>
  </si>
  <si>
    <t>1FUJGLDR9HLHM0730</t>
  </si>
  <si>
    <t>HM0730</t>
  </si>
  <si>
    <t>6700</t>
  </si>
  <si>
    <t>4V4NC9EH5CN541282</t>
  </si>
  <si>
    <t>541282</t>
  </si>
  <si>
    <t>6701</t>
  </si>
  <si>
    <t>4V4NC9EH7CN555006</t>
  </si>
  <si>
    <t>555006</t>
  </si>
  <si>
    <t>6702</t>
  </si>
  <si>
    <t>4V4NC9EJ2EN152766</t>
  </si>
  <si>
    <t>152766</t>
  </si>
  <si>
    <t>79174</t>
  </si>
  <si>
    <t>3AKJHHDR0KSKA2478</t>
  </si>
  <si>
    <t>KA2478</t>
  </si>
  <si>
    <t>19175</t>
  </si>
  <si>
    <t>19175-19R-SOLD</t>
  </si>
  <si>
    <t>3AKJHHDR2KSKA2479</t>
  </si>
  <si>
    <t>KA2479</t>
  </si>
  <si>
    <t>19176</t>
  </si>
  <si>
    <t>19176-19R-SOLD</t>
  </si>
  <si>
    <t>3AKJHHDR9KSKA2480</t>
  </si>
  <si>
    <t>KA2480</t>
  </si>
  <si>
    <t>19177</t>
  </si>
  <si>
    <t>19177-19R-SOLD</t>
  </si>
  <si>
    <t>3AKJHHDR0KSKA2481</t>
  </si>
  <si>
    <t>KA2481</t>
  </si>
  <si>
    <t>19178</t>
  </si>
  <si>
    <t>19178-19R-SOLD</t>
  </si>
  <si>
    <t>3AKJHHDR2KSKA2482</t>
  </si>
  <si>
    <t>KA2482</t>
  </si>
  <si>
    <t>19179</t>
  </si>
  <si>
    <t>19179-19R-SOLD</t>
  </si>
  <si>
    <t>FUJHHDRXKLKA2483</t>
  </si>
  <si>
    <t>KA2483</t>
  </si>
  <si>
    <t>19180</t>
  </si>
  <si>
    <t>19180-19R-SOLD</t>
  </si>
  <si>
    <t>FUJHHDR1KLKA2484</t>
  </si>
  <si>
    <t>KA2484</t>
  </si>
  <si>
    <t>19181</t>
  </si>
  <si>
    <t>19181-19R-SOLD</t>
  </si>
  <si>
    <t>1FUJHHDR3KLKA2485</t>
  </si>
  <si>
    <t>KA2485</t>
  </si>
  <si>
    <t>19182</t>
  </si>
  <si>
    <t>19182-19R-SOLD</t>
  </si>
  <si>
    <t>1FUJHHDR5KLKA2486</t>
  </si>
  <si>
    <t>KA2486</t>
  </si>
  <si>
    <t>19183</t>
  </si>
  <si>
    <t>19183-19R-SOLD</t>
  </si>
  <si>
    <t>1FUJHHDR7KLKA2487</t>
  </si>
  <si>
    <t>KA2487</t>
  </si>
  <si>
    <t>19184</t>
  </si>
  <si>
    <t>19184-19R-SOLD</t>
  </si>
  <si>
    <t>1FUJHHDR9KLKA2488</t>
  </si>
  <si>
    <t>KA2488</t>
  </si>
  <si>
    <t>19185</t>
  </si>
  <si>
    <t>19185-19R-SOLD</t>
  </si>
  <si>
    <t>1FUJHHDR0KLKA2489</t>
  </si>
  <si>
    <t>KA2489</t>
  </si>
  <si>
    <t>19186</t>
  </si>
  <si>
    <t>19186-19R-SOLD</t>
  </si>
  <si>
    <t>1FUJHHDR7KLKA2490</t>
  </si>
  <si>
    <t>KA2490</t>
  </si>
  <si>
    <t>19187</t>
  </si>
  <si>
    <t>19187-19R-SOLD</t>
  </si>
  <si>
    <t>1FUJHHDR9KLKA2491</t>
  </si>
  <si>
    <t>KA2491</t>
  </si>
  <si>
    <t>19188</t>
  </si>
  <si>
    <t>19188-19R- SOLD</t>
  </si>
  <si>
    <t>1FUJHHDR0KLKA2492</t>
  </si>
  <si>
    <t>KA2492</t>
  </si>
  <si>
    <t>19189</t>
  </si>
  <si>
    <t>19189-19R-SOLD</t>
  </si>
  <si>
    <t>1XPHD49X38D758349</t>
  </si>
  <si>
    <t>758349</t>
  </si>
  <si>
    <t>R7161</t>
  </si>
  <si>
    <t>FK704</t>
  </si>
  <si>
    <t>AKJHHDR6JSKC6170</t>
  </si>
  <si>
    <t>19194</t>
  </si>
  <si>
    <t>19194-18R</t>
  </si>
  <si>
    <t>AKJHHDR1JSKC6173</t>
  </si>
  <si>
    <t>19195</t>
  </si>
  <si>
    <t>19195-18R</t>
  </si>
  <si>
    <t>AKJHHDRXJSJJ4069</t>
  </si>
  <si>
    <t>19196</t>
  </si>
  <si>
    <t>19196-18R</t>
  </si>
  <si>
    <t>AKJHHDR2JSJJ4096</t>
  </si>
  <si>
    <t>19197</t>
  </si>
  <si>
    <t>19197-18R</t>
  </si>
  <si>
    <t>AKJHHDR0JSKC6164</t>
  </si>
  <si>
    <t>19198</t>
  </si>
  <si>
    <t>19198-18R</t>
  </si>
  <si>
    <t>KJHHDR5JSKC6161</t>
  </si>
  <si>
    <t>19199</t>
  </si>
  <si>
    <t>19199-18R</t>
  </si>
  <si>
    <t>AKJHHDR7JSKC6159</t>
  </si>
  <si>
    <t>19200</t>
  </si>
  <si>
    <t>19200-18R</t>
  </si>
  <si>
    <t>4V4NC9EJ5BN292614</t>
  </si>
  <si>
    <t>292614</t>
  </si>
  <si>
    <t>R7162</t>
  </si>
  <si>
    <t>V4NC9EH2CN553552</t>
  </si>
  <si>
    <t>553552</t>
  </si>
  <si>
    <t>6706</t>
  </si>
  <si>
    <t>1FUJGLDR3CLBF4383</t>
  </si>
  <si>
    <t>BF4383</t>
  </si>
  <si>
    <t>6703</t>
  </si>
  <si>
    <t>1FUJGLDRXCLBF4378</t>
  </si>
  <si>
    <t>BF4378</t>
  </si>
  <si>
    <t>6704</t>
  </si>
  <si>
    <t>1FUJGLDR3HLHX7689</t>
  </si>
  <si>
    <t>6705</t>
  </si>
  <si>
    <t>4V4NC9EJ1FN911151</t>
  </si>
  <si>
    <t>911151</t>
  </si>
  <si>
    <t>72426</t>
  </si>
  <si>
    <t>1FUJGLDR29LAB1756</t>
  </si>
  <si>
    <t>6708</t>
  </si>
  <si>
    <t>1XPBDP9X6JD490863</t>
  </si>
  <si>
    <t>490863</t>
  </si>
  <si>
    <t>3563</t>
  </si>
  <si>
    <t>4V4NC9TG9BN299377</t>
  </si>
  <si>
    <t>299377</t>
  </si>
  <si>
    <t>6707</t>
  </si>
  <si>
    <t>1XKYDP9X6JJ990443</t>
  </si>
  <si>
    <t>990443</t>
  </si>
  <si>
    <t>3482</t>
  </si>
  <si>
    <t>BNT4</t>
  </si>
  <si>
    <t>5KJJAEDE77PW80102</t>
  </si>
  <si>
    <t>72427</t>
  </si>
  <si>
    <t>1FUJBBCG94LM40511</t>
  </si>
  <si>
    <t>M40511</t>
  </si>
  <si>
    <t>6712</t>
  </si>
  <si>
    <t>1FUJGLD66ELFP4944</t>
  </si>
  <si>
    <t>FP4944</t>
  </si>
  <si>
    <t>6709</t>
  </si>
  <si>
    <t>4V4NC9EHXHN963894</t>
  </si>
  <si>
    <t>963894</t>
  </si>
  <si>
    <t>6710</t>
  </si>
  <si>
    <t>3AKJHHDR2JSJJ3692</t>
  </si>
  <si>
    <t>JJ3692</t>
  </si>
  <si>
    <t>6711</t>
  </si>
  <si>
    <t>1FUJGLD58GLHM1606</t>
  </si>
  <si>
    <t>R7163</t>
  </si>
  <si>
    <t>4V4NC9EH1DN569940</t>
  </si>
  <si>
    <t>569940</t>
  </si>
  <si>
    <t>R7164</t>
  </si>
  <si>
    <t>4V4NC9EH9KN900518</t>
  </si>
  <si>
    <t>900518</t>
  </si>
  <si>
    <t>79201</t>
  </si>
  <si>
    <t>1FUYNWEB7YLF23054</t>
  </si>
  <si>
    <t>6714</t>
  </si>
  <si>
    <t>1XKDDP9X5DJ960167</t>
  </si>
  <si>
    <t>960167</t>
  </si>
  <si>
    <t>2894</t>
  </si>
  <si>
    <t>4V4MC9GFX8N488836</t>
  </si>
  <si>
    <t>488836</t>
  </si>
  <si>
    <t>R7166</t>
  </si>
  <si>
    <t>4V4NC9GH67N452808</t>
  </si>
  <si>
    <t>452808</t>
  </si>
  <si>
    <t>R7165</t>
  </si>
  <si>
    <t>UJGLDRXCSBB9961</t>
  </si>
  <si>
    <t>BB9961</t>
  </si>
  <si>
    <t>72428</t>
  </si>
  <si>
    <t>1FVXA700XDLFE0581</t>
  </si>
  <si>
    <t>FE0581</t>
  </si>
  <si>
    <t>72429</t>
  </si>
  <si>
    <t>3AKJGLD58FSGB3655</t>
  </si>
  <si>
    <t>GB3655</t>
  </si>
  <si>
    <t>R7167</t>
  </si>
  <si>
    <t>3AKJGLD52ESFU0964</t>
  </si>
  <si>
    <t>FU0964</t>
  </si>
  <si>
    <t>R7168</t>
  </si>
  <si>
    <t>1FUJGLD53GLHM1593</t>
  </si>
  <si>
    <t>6715</t>
  </si>
  <si>
    <t>3AKJHLDRXJSJG7692</t>
  </si>
  <si>
    <t>JG7692</t>
  </si>
  <si>
    <t>MF200</t>
  </si>
  <si>
    <t>MF2002</t>
  </si>
  <si>
    <t>1FUJGLDR0HLHX7682</t>
  </si>
  <si>
    <t>6716</t>
  </si>
  <si>
    <t>1FUJGLD57GLHM1600</t>
  </si>
  <si>
    <t>6717</t>
  </si>
  <si>
    <t>4V4NC9EH8CN299684</t>
  </si>
  <si>
    <t>299684</t>
  </si>
  <si>
    <t>R7169</t>
  </si>
  <si>
    <t>4V4NC9GHX4N366462</t>
  </si>
  <si>
    <t>366462</t>
  </si>
  <si>
    <t>R7171</t>
  </si>
  <si>
    <t>1XP4AP8X1CD165060</t>
  </si>
  <si>
    <t>79212</t>
  </si>
  <si>
    <t>3AKJHHDR1KSKA2523</t>
  </si>
  <si>
    <t>KA2523</t>
  </si>
  <si>
    <t>19202</t>
  </si>
  <si>
    <t>19202-19ST</t>
  </si>
  <si>
    <t>3AKJHHDR3KSKA2524</t>
  </si>
  <si>
    <t>KA2524</t>
  </si>
  <si>
    <t>19203</t>
  </si>
  <si>
    <t>19203-19ST</t>
  </si>
  <si>
    <t>3AKJHHDR5KSKA2525</t>
  </si>
  <si>
    <t>KA2525</t>
  </si>
  <si>
    <t>19204</t>
  </si>
  <si>
    <t>19204-19ST</t>
  </si>
  <si>
    <t>3AKJHHDR7KSKA2526</t>
  </si>
  <si>
    <t>KA2526</t>
  </si>
  <si>
    <t>19205</t>
  </si>
  <si>
    <t>19205-19ST</t>
  </si>
  <si>
    <t>3AKJHHDR9KSKA2527</t>
  </si>
  <si>
    <t>KA2527</t>
  </si>
  <si>
    <t>19206</t>
  </si>
  <si>
    <t>19206-19ST</t>
  </si>
  <si>
    <t>3AKJHHDR0KSKA2528</t>
  </si>
  <si>
    <t>KA2528</t>
  </si>
  <si>
    <t>19207</t>
  </si>
  <si>
    <t>19207-19ST</t>
  </si>
  <si>
    <t>3AKJHHDR2KSKA2529</t>
  </si>
  <si>
    <t>KA2529</t>
  </si>
  <si>
    <t>19208</t>
  </si>
  <si>
    <t>19208-19ST</t>
  </si>
  <si>
    <t>3AKJHHDR9KSKA2530</t>
  </si>
  <si>
    <t>KA2530</t>
  </si>
  <si>
    <t>19209</t>
  </si>
  <si>
    <t>19209-19ST</t>
  </si>
  <si>
    <t>3AKJHHDR0KSKA2531</t>
  </si>
  <si>
    <t>KA2531</t>
  </si>
  <si>
    <t>19210</t>
  </si>
  <si>
    <t>19210-19ST</t>
  </si>
  <si>
    <t>AKJHHDR2KSKA2532</t>
  </si>
  <si>
    <t>KA2532</t>
  </si>
  <si>
    <t>19211</t>
  </si>
  <si>
    <t>19211-19ST-SOLD</t>
  </si>
  <si>
    <t>1FUYDXYB3YLB89822</t>
  </si>
  <si>
    <t>B89822</t>
  </si>
  <si>
    <t>R7170</t>
  </si>
  <si>
    <t>FLD12</t>
  </si>
  <si>
    <t>1FUYDSEB6YLF49706</t>
  </si>
  <si>
    <t>F49706</t>
  </si>
  <si>
    <t>R7172</t>
  </si>
  <si>
    <t>1FUJGEDR7CLBH0646</t>
  </si>
  <si>
    <t>BH0646</t>
  </si>
  <si>
    <t>R7174</t>
  </si>
  <si>
    <t>1XKAD49X2CJ951027</t>
  </si>
  <si>
    <t>951027</t>
  </si>
  <si>
    <t>R7173</t>
  </si>
  <si>
    <t>1FUJACAS81LH87553</t>
  </si>
  <si>
    <t>H87553</t>
  </si>
  <si>
    <t>R7175</t>
  </si>
  <si>
    <t>FLD11</t>
  </si>
  <si>
    <t>1XP4DP9X4CD135928</t>
  </si>
  <si>
    <t>135928</t>
  </si>
  <si>
    <t>R7176</t>
  </si>
  <si>
    <t>1FUJGLDR9CSBN5502</t>
  </si>
  <si>
    <t>BN5502</t>
  </si>
  <si>
    <t>R7177</t>
  </si>
  <si>
    <t>3AKJHHDR0KSKA2514</t>
  </si>
  <si>
    <t>KA2514</t>
  </si>
  <si>
    <t>2433-</t>
  </si>
  <si>
    <t>2433-19SH</t>
  </si>
  <si>
    <t>3AKJHHDR5KSKA2508</t>
  </si>
  <si>
    <t>KA2508</t>
  </si>
  <si>
    <t>2430-</t>
  </si>
  <si>
    <t>2430-19SH</t>
  </si>
  <si>
    <t>3AKJHHDR7KSKA2509</t>
  </si>
  <si>
    <t>KA2509</t>
  </si>
  <si>
    <t>2431-</t>
  </si>
  <si>
    <t>2431-19SH</t>
  </si>
  <si>
    <t>3AKJHHDR3KSKA2510</t>
  </si>
  <si>
    <t>KA2510</t>
  </si>
  <si>
    <t>2432-</t>
  </si>
  <si>
    <t>2432-19SH</t>
  </si>
  <si>
    <t>3AKJHHDR2KSKA2515</t>
  </si>
  <si>
    <t>KA2515</t>
  </si>
  <si>
    <t>2435-</t>
  </si>
  <si>
    <t>2435-19SH</t>
  </si>
  <si>
    <t>1FUJGLDV7DLBT9405</t>
  </si>
  <si>
    <t>BT9405</t>
  </si>
  <si>
    <t>6718</t>
  </si>
  <si>
    <t>1FUJGLBG2ELFL9748</t>
  </si>
  <si>
    <t>FL9748</t>
  </si>
  <si>
    <t>6719</t>
  </si>
  <si>
    <t>4V4NC9EHXFN183634</t>
  </si>
  <si>
    <t>183634</t>
  </si>
  <si>
    <t>6721</t>
  </si>
  <si>
    <t>4V4NC9EJ7HN963595</t>
  </si>
  <si>
    <t>963595</t>
  </si>
  <si>
    <t>6722</t>
  </si>
  <si>
    <t>5TFSZ5ANXJX127093</t>
  </si>
  <si>
    <t>127093</t>
  </si>
  <si>
    <t>8918</t>
  </si>
  <si>
    <t>1FTYR2CM9JKA59850</t>
  </si>
  <si>
    <t>A59850</t>
  </si>
  <si>
    <t>8919</t>
  </si>
  <si>
    <t>FORD VAN</t>
  </si>
  <si>
    <t>TRANSIT</t>
  </si>
  <si>
    <t>3AKJHHDR9KSKA2494</t>
  </si>
  <si>
    <t>KA2494</t>
  </si>
  <si>
    <t>R179-</t>
  </si>
  <si>
    <t>R179-19-SOLD</t>
  </si>
  <si>
    <t>3AKJHHDR0KSKA2495</t>
  </si>
  <si>
    <t>KA2495</t>
  </si>
  <si>
    <t>R180-</t>
  </si>
  <si>
    <t>R180-19-SOLD</t>
  </si>
  <si>
    <t>4V4NC9EH3EN162218</t>
  </si>
  <si>
    <t>162218</t>
  </si>
  <si>
    <t>R7178</t>
  </si>
  <si>
    <t>3AKJHHDR6KSKA2498</t>
  </si>
  <si>
    <t>KA2498</t>
  </si>
  <si>
    <t>19214</t>
  </si>
  <si>
    <t>19214-19-SOLD</t>
  </si>
  <si>
    <t>3AKJHHDR0KSKA2500</t>
  </si>
  <si>
    <t>KA2500</t>
  </si>
  <si>
    <t>19216</t>
  </si>
  <si>
    <t>19216-19-SOLD</t>
  </si>
  <si>
    <t>AKJHHDR8KSKA2504</t>
  </si>
  <si>
    <t>KA2504</t>
  </si>
  <si>
    <t>19220</t>
  </si>
  <si>
    <t>19220-19-SOLD</t>
  </si>
  <si>
    <t>3AKJHHDR1KSKA2506</t>
  </si>
  <si>
    <t>KA2506</t>
  </si>
  <si>
    <t>19222</t>
  </si>
  <si>
    <t>19222-19-SOLD</t>
  </si>
  <si>
    <t>3AKJHHDR3KSKA2507</t>
  </si>
  <si>
    <t>KA2507</t>
  </si>
  <si>
    <t>19223</t>
  </si>
  <si>
    <t>19223-19-SOLD</t>
  </si>
  <si>
    <t>AKJHHDR8KSKA2499</t>
  </si>
  <si>
    <t>KA2499</t>
  </si>
  <si>
    <t>19215</t>
  </si>
  <si>
    <t>19215-19-SOLD</t>
  </si>
  <si>
    <t>3AKJHHDR2KSKA2501</t>
  </si>
  <si>
    <t>KA2501</t>
  </si>
  <si>
    <t>19217</t>
  </si>
  <si>
    <t>19217-19-SOLD</t>
  </si>
  <si>
    <t>3AKJHHDR4KSKA2502</t>
  </si>
  <si>
    <t>KA2502</t>
  </si>
  <si>
    <t>19218</t>
  </si>
  <si>
    <t>19218-19-SOLD</t>
  </si>
  <si>
    <t>3AKJHHDR6KSKA2503</t>
  </si>
  <si>
    <t>KA2503</t>
  </si>
  <si>
    <t>19219</t>
  </si>
  <si>
    <t>19219-19-SOLD</t>
  </si>
  <si>
    <t>3AKJHHDRXKSKA2505</t>
  </si>
  <si>
    <t>KA2505</t>
  </si>
  <si>
    <t>19221</t>
  </si>
  <si>
    <t>19221-19-SOLD</t>
  </si>
  <si>
    <t>1XKYD49X0EJ361247</t>
  </si>
  <si>
    <t>361247</t>
  </si>
  <si>
    <t>72434</t>
  </si>
  <si>
    <t>3AKJHHDR7KSKA2493</t>
  </si>
  <si>
    <t>KA2493</t>
  </si>
  <si>
    <t>R178-</t>
  </si>
  <si>
    <t>R178-19-SOLD</t>
  </si>
  <si>
    <t>3AKJHHDR2KSKA2496</t>
  </si>
  <si>
    <t>KA2496</t>
  </si>
  <si>
    <t>R181-</t>
  </si>
  <si>
    <t>R181-19-SOLD</t>
  </si>
  <si>
    <t>AKJHHDR4KSKA2497</t>
  </si>
  <si>
    <t>KA2497</t>
  </si>
  <si>
    <t>R182-</t>
  </si>
  <si>
    <t>R182-19-SOLD</t>
  </si>
  <si>
    <t>3AKJHHDR5KSKA2511</t>
  </si>
  <si>
    <t>KA2511</t>
  </si>
  <si>
    <t>1436-</t>
  </si>
  <si>
    <t>1436-19SH</t>
  </si>
  <si>
    <t>3AKJHHDR7KSKA2512</t>
  </si>
  <si>
    <t>KA2512</t>
  </si>
  <si>
    <t>1437-</t>
  </si>
  <si>
    <t>1437-19SH</t>
  </si>
  <si>
    <t>3AKJHHDR9KSKA2513</t>
  </si>
  <si>
    <t>KA2513</t>
  </si>
  <si>
    <t>1438-</t>
  </si>
  <si>
    <t>1438-19SH</t>
  </si>
  <si>
    <t>3AKJHHDR4KSKA2516</t>
  </si>
  <si>
    <t>KA2516</t>
  </si>
  <si>
    <t>1439-</t>
  </si>
  <si>
    <t>1439-19SH</t>
  </si>
  <si>
    <t>3AKJHHDR6KSKA2517</t>
  </si>
  <si>
    <t>KA2517</t>
  </si>
  <si>
    <t>1440-</t>
  </si>
  <si>
    <t>1440-19SH</t>
  </si>
  <si>
    <t>3AKJHHDR8KSKA2518</t>
  </si>
  <si>
    <t>KA2518</t>
  </si>
  <si>
    <t>1441-</t>
  </si>
  <si>
    <t>1441-19SH</t>
  </si>
  <si>
    <t>3AKJHHDRXKSKA2519</t>
  </si>
  <si>
    <t>KA2519</t>
  </si>
  <si>
    <t>1442-</t>
  </si>
  <si>
    <t>1442-19SH</t>
  </si>
  <si>
    <t>3AKJHHDR6KSKA2520</t>
  </si>
  <si>
    <t>KA2520</t>
  </si>
  <si>
    <t>1443-</t>
  </si>
  <si>
    <t>1443-19SH</t>
  </si>
  <si>
    <t>3AKJHHDR8KSKA2521</t>
  </si>
  <si>
    <t>KA2521</t>
  </si>
  <si>
    <t>1445-</t>
  </si>
  <si>
    <t>1445-19SH</t>
  </si>
  <si>
    <t>3AKJHHDRXKSKA2522</t>
  </si>
  <si>
    <t>KA2522</t>
  </si>
  <si>
    <t>1446-</t>
  </si>
  <si>
    <t>1446-19SH</t>
  </si>
  <si>
    <t>LOTUS</t>
  </si>
  <si>
    <t>LOTUS-121</t>
  </si>
  <si>
    <t>LOTUS-1100</t>
  </si>
  <si>
    <t>LOTUS-1101</t>
  </si>
  <si>
    <t>LOTUS-116</t>
  </si>
  <si>
    <t>1XKADP9X6DJ960722</t>
  </si>
  <si>
    <t>960722</t>
  </si>
  <si>
    <t>6720</t>
  </si>
  <si>
    <t>1FUJA6AV74LM30975</t>
  </si>
  <si>
    <t>M30975</t>
  </si>
  <si>
    <t>R7183</t>
  </si>
  <si>
    <t>1FUJGEDRXBSAZ5997</t>
  </si>
  <si>
    <t>R7184</t>
  </si>
  <si>
    <t>4V4NC9GH26N409727</t>
  </si>
  <si>
    <t>409727</t>
  </si>
  <si>
    <t>R7185</t>
  </si>
  <si>
    <t>BNT-3</t>
  </si>
  <si>
    <t>LOTUS-1102</t>
  </si>
  <si>
    <t>LOTUS-1103</t>
  </si>
  <si>
    <t>3AKJGLD55FSGN2899</t>
  </si>
  <si>
    <t>GN2899</t>
  </si>
  <si>
    <t>72436</t>
  </si>
  <si>
    <t>1FVXA7CG7CLBR9104</t>
  </si>
  <si>
    <t>BR9104</t>
  </si>
  <si>
    <t>72437</t>
  </si>
  <si>
    <t>4V4NC9EH7FN179542</t>
  </si>
  <si>
    <t>71447</t>
  </si>
  <si>
    <t>71448</t>
  </si>
  <si>
    <t>1FUJHHDR4KLKA2544</t>
  </si>
  <si>
    <t>KA2544</t>
  </si>
  <si>
    <t>R200-</t>
  </si>
  <si>
    <t>R200-19H</t>
  </si>
  <si>
    <t>1FUJHHDR6KLKA2545</t>
  </si>
  <si>
    <t>KA2545</t>
  </si>
  <si>
    <t>R201-</t>
  </si>
  <si>
    <t>R201-19H</t>
  </si>
  <si>
    <t>1FUJHHDR8KLKA2546</t>
  </si>
  <si>
    <t>KA2546</t>
  </si>
  <si>
    <t>R202-</t>
  </si>
  <si>
    <t>R202-19H</t>
  </si>
  <si>
    <t>1FUJHHDRXKLKA2547</t>
  </si>
  <si>
    <t>KA2547</t>
  </si>
  <si>
    <t>R203-</t>
  </si>
  <si>
    <t>R203-19H</t>
  </si>
  <si>
    <t>1FUJHHDR1KLKA2548</t>
  </si>
  <si>
    <t>KA2548</t>
  </si>
  <si>
    <t>R204-</t>
  </si>
  <si>
    <t>R204-19H</t>
  </si>
  <si>
    <t>1FUJHHDR3KLKA2549</t>
  </si>
  <si>
    <t>KA2549</t>
  </si>
  <si>
    <t>R205-</t>
  </si>
  <si>
    <t>R205-19H</t>
  </si>
  <si>
    <t>1FUJHHDRXKLKA2550</t>
  </si>
  <si>
    <t>KA2550</t>
  </si>
  <si>
    <t>R206-</t>
  </si>
  <si>
    <t>R206-19H</t>
  </si>
  <si>
    <t>1FUJHHDR1KLKA2551</t>
  </si>
  <si>
    <t>KA2551</t>
  </si>
  <si>
    <t>R207-</t>
  </si>
  <si>
    <t>R207-19H</t>
  </si>
  <si>
    <t>1FUJHHDR3KLKA2552</t>
  </si>
  <si>
    <t>KA2552</t>
  </si>
  <si>
    <t>R208-</t>
  </si>
  <si>
    <t>R208-19H</t>
  </si>
  <si>
    <t>1FUJHHDR5KLKA2553</t>
  </si>
  <si>
    <t>KA2553</t>
  </si>
  <si>
    <t>R209-</t>
  </si>
  <si>
    <t>R209-19H</t>
  </si>
  <si>
    <t>1FUJHHDR7KLKA2554</t>
  </si>
  <si>
    <t>KA2554</t>
  </si>
  <si>
    <t>R210-</t>
  </si>
  <si>
    <t>R210-19H</t>
  </si>
  <si>
    <t>1FUJHHDR9KLKA2555</t>
  </si>
  <si>
    <t>KA2555</t>
  </si>
  <si>
    <t>R211-</t>
  </si>
  <si>
    <t>R211-19H</t>
  </si>
  <si>
    <t>1FUJHHDR0KLKA2556</t>
  </si>
  <si>
    <t>KA2556</t>
  </si>
  <si>
    <t>19225</t>
  </si>
  <si>
    <t>19225-19H</t>
  </si>
  <si>
    <t>1FUJHHDR2KLKA2557</t>
  </si>
  <si>
    <t>KA2557</t>
  </si>
  <si>
    <t>R214-</t>
  </si>
  <si>
    <t>R214-19H</t>
  </si>
  <si>
    <t>1FUJHHDR4KLKA2558</t>
  </si>
  <si>
    <t>KA2558</t>
  </si>
  <si>
    <t>R215-</t>
  </si>
  <si>
    <t>R215-19H</t>
  </si>
  <si>
    <t>1FUJHHDR6KLKA2559</t>
  </si>
  <si>
    <t>KA2559</t>
  </si>
  <si>
    <t>19226</t>
  </si>
  <si>
    <t>19226-19H</t>
  </si>
  <si>
    <t>1FUJHHDR2KLKA2560</t>
  </si>
  <si>
    <t>KA2560</t>
  </si>
  <si>
    <t>R217-</t>
  </si>
  <si>
    <t>R217-19H</t>
  </si>
  <si>
    <t>1FUJHHDR4KLKA2561</t>
  </si>
  <si>
    <t>KA2561</t>
  </si>
  <si>
    <t>19227</t>
  </si>
  <si>
    <t>19227-19H</t>
  </si>
  <si>
    <t>1FUJHHDR6KLKA2562</t>
  </si>
  <si>
    <t>KA2562</t>
  </si>
  <si>
    <t>R219-</t>
  </si>
  <si>
    <t>R219-19H</t>
  </si>
  <si>
    <t>1FUJHHDR8KLKA2563</t>
  </si>
  <si>
    <t>KA2563</t>
  </si>
  <si>
    <t>R220-</t>
  </si>
  <si>
    <t>R220-19H</t>
  </si>
  <si>
    <t>1FUJHHDRXKLKA2564</t>
  </si>
  <si>
    <t>KA2564</t>
  </si>
  <si>
    <t>R221-</t>
  </si>
  <si>
    <t>R221-19H</t>
  </si>
  <si>
    <t>1FUJHHDR1KLKA2565</t>
  </si>
  <si>
    <t>KA2565</t>
  </si>
  <si>
    <t>R222-</t>
  </si>
  <si>
    <t>R222-19H</t>
  </si>
  <si>
    <t>1FUJHHDR3KLKA2566</t>
  </si>
  <si>
    <t>KA2566</t>
  </si>
  <si>
    <t>R223-</t>
  </si>
  <si>
    <t>R223-19H</t>
  </si>
  <si>
    <t>1FUJHHDR5KLKA2567</t>
  </si>
  <si>
    <t>KA2567</t>
  </si>
  <si>
    <t>R224-</t>
  </si>
  <si>
    <t>R224-19H</t>
  </si>
  <si>
    <t>1FUJHHDR7KLKA2568</t>
  </si>
  <si>
    <t>KA2568</t>
  </si>
  <si>
    <t>R225-</t>
  </si>
  <si>
    <t>R225-19H</t>
  </si>
  <si>
    <t>1FUJHHDR9KLKA2569</t>
  </si>
  <si>
    <t>KA2569</t>
  </si>
  <si>
    <t>R226-</t>
  </si>
  <si>
    <t>R226-19H</t>
  </si>
  <si>
    <t>1FUJHHDR5KLKA2570</t>
  </si>
  <si>
    <t>KA2570</t>
  </si>
  <si>
    <t>R227-</t>
  </si>
  <si>
    <t>R227-19H</t>
  </si>
  <si>
    <t>1FUJHHDR7KLKA2571</t>
  </si>
  <si>
    <t>KA2571</t>
  </si>
  <si>
    <t>R228-</t>
  </si>
  <si>
    <t>R228-19H</t>
  </si>
  <si>
    <t>1FUJHHDR9KLKA2572</t>
  </si>
  <si>
    <t>KA2572</t>
  </si>
  <si>
    <t>R229-</t>
  </si>
  <si>
    <t>R229-19H</t>
  </si>
  <si>
    <t>1FUJHHDR0KLKA2573</t>
  </si>
  <si>
    <t>KA2573</t>
  </si>
  <si>
    <t>R230-</t>
  </si>
  <si>
    <t>R230-19H</t>
  </si>
  <si>
    <t>1FUJHHDR2KLKA2574</t>
  </si>
  <si>
    <t>KA2574</t>
  </si>
  <si>
    <t>R231-</t>
  </si>
  <si>
    <t>R231-19H</t>
  </si>
  <si>
    <t>1FUJHHDR4KLKA2575</t>
  </si>
  <si>
    <t>KA2575</t>
  </si>
  <si>
    <t>R232-</t>
  </si>
  <si>
    <t>R232-19H</t>
  </si>
  <si>
    <t>1FUJHHDR6KLKA2576</t>
  </si>
  <si>
    <t>KA2576</t>
  </si>
  <si>
    <t>R233-</t>
  </si>
  <si>
    <t>R233-19H</t>
  </si>
  <si>
    <t>1FUJHHDR8KLKA2577</t>
  </si>
  <si>
    <t>KA2577</t>
  </si>
  <si>
    <t>R234-</t>
  </si>
  <si>
    <t>R234-19H-W/OFF</t>
  </si>
  <si>
    <t>1FUJHHDRXKLKA2578</t>
  </si>
  <si>
    <t>KA2578</t>
  </si>
  <si>
    <t>R235-</t>
  </si>
  <si>
    <t>R235-19H</t>
  </si>
  <si>
    <t>1FUJHHDR1KLKA2579</t>
  </si>
  <si>
    <t>KA2579</t>
  </si>
  <si>
    <t>R236-</t>
  </si>
  <si>
    <t>R236-19H</t>
  </si>
  <si>
    <t>1FUJHHDR8KLKA2580</t>
  </si>
  <si>
    <t>KA2580</t>
  </si>
  <si>
    <t>R237-</t>
  </si>
  <si>
    <t>R237-19H</t>
  </si>
  <si>
    <t>1FUJHHDRXKLKA2581</t>
  </si>
  <si>
    <t>KA2581</t>
  </si>
  <si>
    <t>R238-</t>
  </si>
  <si>
    <t>R238-19H</t>
  </si>
  <si>
    <t>1FUJHHDR1KLKA2582</t>
  </si>
  <si>
    <t>KA2582</t>
  </si>
  <si>
    <t>R239-</t>
  </si>
  <si>
    <t>R239-19H</t>
  </si>
  <si>
    <t>1FUJHHDR3KLKA2583</t>
  </si>
  <si>
    <t>KA2583</t>
  </si>
  <si>
    <t>R240-</t>
  </si>
  <si>
    <t>R240-19H</t>
  </si>
  <si>
    <t>1FUJHHDR5KLKA2584</t>
  </si>
  <si>
    <t>KA2584</t>
  </si>
  <si>
    <t>R241-</t>
  </si>
  <si>
    <t>R241-19H</t>
  </si>
  <si>
    <t>1FUJHHDR7KLKA2585</t>
  </si>
  <si>
    <t>KA2585</t>
  </si>
  <si>
    <t>R242-</t>
  </si>
  <si>
    <t>R242-19H</t>
  </si>
  <si>
    <t>1FUJHHDR9KLKA2586</t>
  </si>
  <si>
    <t>KA2586</t>
  </si>
  <si>
    <t>R243-</t>
  </si>
  <si>
    <t>R243-19H</t>
  </si>
  <si>
    <t>1FUJHHDR0KLKA2587</t>
  </si>
  <si>
    <t>KA2587</t>
  </si>
  <si>
    <t>R244-</t>
  </si>
  <si>
    <t>R244-19H</t>
  </si>
  <si>
    <t>1FUJHHDR2KLKA2588</t>
  </si>
  <si>
    <t>KA2588</t>
  </si>
  <si>
    <t>R245-</t>
  </si>
  <si>
    <t>R245-19H</t>
  </si>
  <si>
    <t>1FUJHHDR4KLKA2589</t>
  </si>
  <si>
    <t>KA2589</t>
  </si>
  <si>
    <t>R246-</t>
  </si>
  <si>
    <t>R246-19H</t>
  </si>
  <si>
    <t>1FUJHHDR0KLKA2590</t>
  </si>
  <si>
    <t>KA2590</t>
  </si>
  <si>
    <t>R247-</t>
  </si>
  <si>
    <t>R247-19H</t>
  </si>
  <si>
    <t>1FUJHHDR2KLKA2591</t>
  </si>
  <si>
    <t>KA2591</t>
  </si>
  <si>
    <t>R248-</t>
  </si>
  <si>
    <t>R248-19H</t>
  </si>
  <si>
    <t>1FUJHHDR4KLKA2592</t>
  </si>
  <si>
    <t>KA2592</t>
  </si>
  <si>
    <t>R249-</t>
  </si>
  <si>
    <t>R249-19H</t>
  </si>
  <si>
    <t>1FUJHHDR6KLKA2593</t>
  </si>
  <si>
    <t>KA2593</t>
  </si>
  <si>
    <t>R250-</t>
  </si>
  <si>
    <t>R250-19H</t>
  </si>
  <si>
    <t>1FUJHHDR8KLKA2594</t>
  </si>
  <si>
    <t>KA2594</t>
  </si>
  <si>
    <t>R251-</t>
  </si>
  <si>
    <t>R251-19H</t>
  </si>
  <si>
    <t>1FUJHHDRXKLKA2595</t>
  </si>
  <si>
    <t>KA2595</t>
  </si>
  <si>
    <t>R252-</t>
  </si>
  <si>
    <t>R252-19H</t>
  </si>
  <si>
    <t>1FUJHHDR1KLKA2596</t>
  </si>
  <si>
    <t>KA2596</t>
  </si>
  <si>
    <t>R253-</t>
  </si>
  <si>
    <t>R253-19H</t>
  </si>
  <si>
    <t>1FUJHHDR3KLKA2597</t>
  </si>
  <si>
    <t>KA2597</t>
  </si>
  <si>
    <t>R254-</t>
  </si>
  <si>
    <t>R254-19H</t>
  </si>
  <si>
    <t>1FUJHHDR5KLKA2598</t>
  </si>
  <si>
    <t>KA2598</t>
  </si>
  <si>
    <t>R255-</t>
  </si>
  <si>
    <t>R255-19H</t>
  </si>
  <si>
    <t>1FUJHHDR7KLKA2599</t>
  </si>
  <si>
    <t>KA2599</t>
  </si>
  <si>
    <t>R256-</t>
  </si>
  <si>
    <t>R256-19H</t>
  </si>
  <si>
    <t>1FUJHHDRXKLKA2600</t>
  </si>
  <si>
    <t>KA2600</t>
  </si>
  <si>
    <t>R257-</t>
  </si>
  <si>
    <t>R257-19H</t>
  </si>
  <si>
    <t>1FUJHHDR1KLKA2601</t>
  </si>
  <si>
    <t>KA2601</t>
  </si>
  <si>
    <t>R258-</t>
  </si>
  <si>
    <t>R258-19H</t>
  </si>
  <si>
    <t>1FUJHHDR3KLKA2602</t>
  </si>
  <si>
    <t>KA2602</t>
  </si>
  <si>
    <t>R259-</t>
  </si>
  <si>
    <t>R259-19H</t>
  </si>
  <si>
    <t>KUBOT</t>
  </si>
  <si>
    <t>KUBOTA</t>
  </si>
  <si>
    <t>1FUJA6CK57LY29052</t>
  </si>
  <si>
    <t>Y29052</t>
  </si>
  <si>
    <t>R7186</t>
  </si>
  <si>
    <t>RNG 2</t>
  </si>
  <si>
    <t>RNG2</t>
  </si>
  <si>
    <t>RNG 29</t>
  </si>
  <si>
    <t>4V4MC9GFX5N375559</t>
  </si>
  <si>
    <t>375559</t>
  </si>
  <si>
    <t>R7187</t>
  </si>
  <si>
    <t>1M1AK07Y07N023107</t>
  </si>
  <si>
    <t>023107</t>
  </si>
  <si>
    <t>R7188</t>
  </si>
  <si>
    <t>4V4NC9EG7CN558852</t>
  </si>
  <si>
    <t>558852</t>
  </si>
  <si>
    <t>R7189</t>
  </si>
  <si>
    <t>1FUJGEDR0DLBU0054</t>
  </si>
  <si>
    <t>BU0054</t>
  </si>
  <si>
    <t>R7190</t>
  </si>
  <si>
    <t>1FUJA6AV65DN90616</t>
  </si>
  <si>
    <t>N90616</t>
  </si>
  <si>
    <t>R7191</t>
  </si>
  <si>
    <t>1FUJGLCK19LAD0075</t>
  </si>
  <si>
    <t>AD0075</t>
  </si>
  <si>
    <t>6723</t>
  </si>
  <si>
    <t>3AKJHHDR4KSKA2533</t>
  </si>
  <si>
    <t>KA2533</t>
  </si>
  <si>
    <t>607-1</t>
  </si>
  <si>
    <t>607-19ST</t>
  </si>
  <si>
    <t>3AKJHHDR6KSKA2534</t>
  </si>
  <si>
    <t>KA2534</t>
  </si>
  <si>
    <t>608-1</t>
  </si>
  <si>
    <t>608-19ST</t>
  </si>
  <si>
    <t>3AKJHHDR8KSKA2535</t>
  </si>
  <si>
    <t>KA2535</t>
  </si>
  <si>
    <t>609-1</t>
  </si>
  <si>
    <t>609-19ST</t>
  </si>
  <si>
    <t>3AKJHHDRXKSKA2536</t>
  </si>
  <si>
    <t>KA2536</t>
  </si>
  <si>
    <t>610-1</t>
  </si>
  <si>
    <t>610-19ST</t>
  </si>
  <si>
    <t>3AKJHHDR1KSKA2537</t>
  </si>
  <si>
    <t>KA2537</t>
  </si>
  <si>
    <t>611-1</t>
  </si>
  <si>
    <t>611-19ST</t>
  </si>
  <si>
    <t>3AKJHHDR3KSKA2538</t>
  </si>
  <si>
    <t>KA2538</t>
  </si>
  <si>
    <t>612-1</t>
  </si>
  <si>
    <t>612-19ST</t>
  </si>
  <si>
    <t>3AKJHHDR5KSKA2539</t>
  </si>
  <si>
    <t>KA2539</t>
  </si>
  <si>
    <t>614-1</t>
  </si>
  <si>
    <t>614-19ST</t>
  </si>
  <si>
    <t>3AKJHHDR1KSKA2540</t>
  </si>
  <si>
    <t>KA2540</t>
  </si>
  <si>
    <t>615-1</t>
  </si>
  <si>
    <t>615-19ST</t>
  </si>
  <si>
    <t>3AKJHHDR3KSKA2541</t>
  </si>
  <si>
    <t>KA2541</t>
  </si>
  <si>
    <t>616-1</t>
  </si>
  <si>
    <t>616-19ST</t>
  </si>
  <si>
    <t>3AKJHHDR5KSKA2542</t>
  </si>
  <si>
    <t>KA2542</t>
  </si>
  <si>
    <t>617-1</t>
  </si>
  <si>
    <t>617-19ST</t>
  </si>
  <si>
    <t>1FUJGLD59GLGZ1492</t>
  </si>
  <si>
    <t>5016-</t>
  </si>
  <si>
    <t>5016-16L</t>
  </si>
  <si>
    <t>1FUJGLD57GLGZ8053</t>
  </si>
  <si>
    <t>5017-</t>
  </si>
  <si>
    <t>5017-16DL</t>
  </si>
  <si>
    <t>1FUJGLDR7GLGZ8055</t>
  </si>
  <si>
    <t>5018-</t>
  </si>
  <si>
    <t>5018-16LDL</t>
  </si>
  <si>
    <t>1XPHDP9X2CD164281</t>
  </si>
  <si>
    <t>164281</t>
  </si>
  <si>
    <t>6724</t>
  </si>
  <si>
    <t>3AKJGLD54FSFP6804</t>
  </si>
  <si>
    <t>6725</t>
  </si>
  <si>
    <t>1FUJGEDR0BLBC5627</t>
  </si>
  <si>
    <t>BC5627</t>
  </si>
  <si>
    <t>R7192</t>
  </si>
  <si>
    <t>1FUJGLD51ELFT8196</t>
  </si>
  <si>
    <t>FT8196</t>
  </si>
  <si>
    <t>79224</t>
  </si>
  <si>
    <t>1M1AW07Y2DM035474</t>
  </si>
  <si>
    <t>035474</t>
  </si>
  <si>
    <t>6726</t>
  </si>
  <si>
    <t>V4NC9EH4KN904721</t>
  </si>
  <si>
    <t>904721</t>
  </si>
  <si>
    <t>71449</t>
  </si>
  <si>
    <t>PLASMA-11751</t>
  </si>
  <si>
    <t>PLASMA-11753</t>
  </si>
  <si>
    <t>TOP-1</t>
  </si>
  <si>
    <t>TOP-104</t>
  </si>
  <si>
    <t>TOP-107</t>
  </si>
  <si>
    <t>1HSDJSJR6CH614183</t>
  </si>
  <si>
    <t>614183</t>
  </si>
  <si>
    <t>6727</t>
  </si>
  <si>
    <t>1FUJGLD58GLGZ1452</t>
  </si>
  <si>
    <t>5015-</t>
  </si>
  <si>
    <t>5015-16TL</t>
  </si>
  <si>
    <t>1FUJGLDR5GLGZ8054</t>
  </si>
  <si>
    <t>5019-</t>
  </si>
  <si>
    <t>5019-16LDL</t>
  </si>
  <si>
    <t>1FUJGLD55GLGZ8049</t>
  </si>
  <si>
    <t>5020-</t>
  </si>
  <si>
    <t>5020-16DL</t>
  </si>
  <si>
    <t>1FUJGEDR0BSBB5492</t>
  </si>
  <si>
    <t>BB5492</t>
  </si>
  <si>
    <t>R7193</t>
  </si>
  <si>
    <t>1XKADB9X07J109183</t>
  </si>
  <si>
    <t>109183</t>
  </si>
  <si>
    <t>R7194</t>
  </si>
  <si>
    <t xml:space="preserve">KENWORTH </t>
  </si>
  <si>
    <t>1FVXA7CG98LZ84180</t>
  </si>
  <si>
    <t>Z84180</t>
  </si>
  <si>
    <t>72438</t>
  </si>
  <si>
    <t>GILL-</t>
  </si>
  <si>
    <t>GILL-2005</t>
  </si>
  <si>
    <t>3AKJHLDRXKSKS2101</t>
  </si>
  <si>
    <t>KS2101</t>
  </si>
  <si>
    <t>R260-</t>
  </si>
  <si>
    <t>R260-19HC</t>
  </si>
  <si>
    <t>3AKJHLDR1KSKS2102</t>
  </si>
  <si>
    <t>KS2102</t>
  </si>
  <si>
    <t>R261-</t>
  </si>
  <si>
    <t>R261-19HC</t>
  </si>
  <si>
    <t>3AKJHLDR3KSKS2103</t>
  </si>
  <si>
    <t>KS2103</t>
  </si>
  <si>
    <t>R262-</t>
  </si>
  <si>
    <t>R262-19HC</t>
  </si>
  <si>
    <t>3AKJHLDR5KSKS2104</t>
  </si>
  <si>
    <t>KS2104</t>
  </si>
  <si>
    <t>R263-</t>
  </si>
  <si>
    <t>R263-19HC</t>
  </si>
  <si>
    <t>3AKJHLDR7KSKS2105</t>
  </si>
  <si>
    <t>KS2105</t>
  </si>
  <si>
    <t>R264-</t>
  </si>
  <si>
    <t>R264-19HC</t>
  </si>
  <si>
    <t>3AKJHLDR9KSKS2106</t>
  </si>
  <si>
    <t>KS2106</t>
  </si>
  <si>
    <t>R265-</t>
  </si>
  <si>
    <t>R265-19HC</t>
  </si>
  <si>
    <t>3AKJHLDR0KSKS2107</t>
  </si>
  <si>
    <t>KS2107</t>
  </si>
  <si>
    <t>R266-</t>
  </si>
  <si>
    <t>R266-19HC</t>
  </si>
  <si>
    <t>3AKJHLDR2KSKS2108</t>
  </si>
  <si>
    <t>KS2108</t>
  </si>
  <si>
    <t>R267-</t>
  </si>
  <si>
    <t>R267-19HC</t>
  </si>
  <si>
    <t>3AKJHLDR4KSKS2109</t>
  </si>
  <si>
    <t>KS2109</t>
  </si>
  <si>
    <t>R268-</t>
  </si>
  <si>
    <t>R268-19HC</t>
  </si>
  <si>
    <t>3AKJHLDR0KSKS2110</t>
  </si>
  <si>
    <t>KS2110</t>
  </si>
  <si>
    <t>R269-</t>
  </si>
  <si>
    <t>R269-19HC</t>
  </si>
  <si>
    <t>3AKJHLDR2KSKS2111</t>
  </si>
  <si>
    <t>KS2111</t>
  </si>
  <si>
    <t>R270-</t>
  </si>
  <si>
    <t>R270-19HC</t>
  </si>
  <si>
    <t>3AKJHLDR4KSKS2112</t>
  </si>
  <si>
    <t>KS2112</t>
  </si>
  <si>
    <t>R271-</t>
  </si>
  <si>
    <t>R271-19HC</t>
  </si>
  <si>
    <t>3AKJHLDR6KSKS2113</t>
  </si>
  <si>
    <t>KS2113</t>
  </si>
  <si>
    <t>R272-</t>
  </si>
  <si>
    <t>R272-19HC</t>
  </si>
  <si>
    <t>3AKJHLDR8KSKS2114</t>
  </si>
  <si>
    <t>KS2114</t>
  </si>
  <si>
    <t>R273-</t>
  </si>
  <si>
    <t>R273-19HC</t>
  </si>
  <si>
    <t>3AKJHLDRXKSKS2115</t>
  </si>
  <si>
    <t>KS2115</t>
  </si>
  <si>
    <t>R274-</t>
  </si>
  <si>
    <t>R274-19HC</t>
  </si>
  <si>
    <t>3AKJHLDR1KSKS2116</t>
  </si>
  <si>
    <t>KS2116</t>
  </si>
  <si>
    <t>R275-</t>
  </si>
  <si>
    <t>R275-19HC</t>
  </si>
  <si>
    <t>3AKJHLDR3KSKS2117</t>
  </si>
  <si>
    <t>KS2117</t>
  </si>
  <si>
    <t>R276-</t>
  </si>
  <si>
    <t>R276-19HC</t>
  </si>
  <si>
    <t>3AKJHLDR5KSKS2118</t>
  </si>
  <si>
    <t>KS2118</t>
  </si>
  <si>
    <t>R277-</t>
  </si>
  <si>
    <t>R277-19HC</t>
  </si>
  <si>
    <t>3AKJHLDR7KSKS2119</t>
  </si>
  <si>
    <t>KS2119</t>
  </si>
  <si>
    <t>R278-</t>
  </si>
  <si>
    <t>R278-19HC</t>
  </si>
  <si>
    <t>3AKJHLDR3KSKS2120</t>
  </si>
  <si>
    <t>KS2120</t>
  </si>
  <si>
    <t>R279-</t>
  </si>
  <si>
    <t>R279-19HC</t>
  </si>
  <si>
    <t>3AKJHLDR5KSKS2121</t>
  </si>
  <si>
    <t>KS2121</t>
  </si>
  <si>
    <t>R280-</t>
  </si>
  <si>
    <t>R280-19HC</t>
  </si>
  <si>
    <t>3AKJHLDR7KSKS2122</t>
  </si>
  <si>
    <t>KS2122</t>
  </si>
  <si>
    <t>R281-</t>
  </si>
  <si>
    <t>R281-19HC</t>
  </si>
  <si>
    <t>3AKJHLDR9KSKS2123</t>
  </si>
  <si>
    <t>KS2123</t>
  </si>
  <si>
    <t>R282-</t>
  </si>
  <si>
    <t>R282-19HC</t>
  </si>
  <si>
    <t>3AKJHLDR0KSKS2124</t>
  </si>
  <si>
    <t>KS2124</t>
  </si>
  <si>
    <t>R283-</t>
  </si>
  <si>
    <t>R283-19HC</t>
  </si>
  <si>
    <t>3AKJHLDR2KSKS2125</t>
  </si>
  <si>
    <t>KS2125</t>
  </si>
  <si>
    <t>R284-</t>
  </si>
  <si>
    <t>R284-19HC</t>
  </si>
  <si>
    <t>3AKJHLDR4KSKS2126</t>
  </si>
  <si>
    <t>KS2126</t>
  </si>
  <si>
    <t>R285-</t>
  </si>
  <si>
    <t>R285-19HC</t>
  </si>
  <si>
    <t>3AKJHLDR6KSKS2127</t>
  </si>
  <si>
    <t>KS2127</t>
  </si>
  <si>
    <t>R286-</t>
  </si>
  <si>
    <t>R286-19HC</t>
  </si>
  <si>
    <t>3AKJHLDR8KSKS2128</t>
  </si>
  <si>
    <t>KS2128</t>
  </si>
  <si>
    <t>R287-</t>
  </si>
  <si>
    <t>R287-19HC</t>
  </si>
  <si>
    <t>3AKJHLDRXKSKS2129</t>
  </si>
  <si>
    <t>KS2129</t>
  </si>
  <si>
    <t>R288-</t>
  </si>
  <si>
    <t>R288-19HC</t>
  </si>
  <si>
    <t>3AKJHLDR6KSKS2130</t>
  </si>
  <si>
    <t>KS2130</t>
  </si>
  <si>
    <t>R289-</t>
  </si>
  <si>
    <t>R289-19HC-W/OFF</t>
  </si>
  <si>
    <t>1FUJGLD6XELFY4652</t>
  </si>
  <si>
    <t>72441</t>
  </si>
  <si>
    <t>1FUJGLCKX8LZ66020</t>
  </si>
  <si>
    <t>72443</t>
  </si>
  <si>
    <t>1FUJGLDR7HLJC9605</t>
  </si>
  <si>
    <t>2446-</t>
  </si>
  <si>
    <t>2446-17AL</t>
  </si>
  <si>
    <t>1FUJGLDR9HLJC9606</t>
  </si>
  <si>
    <t>2447-</t>
  </si>
  <si>
    <t>2447-17AL</t>
  </si>
  <si>
    <t>LOTUS-110</t>
  </si>
  <si>
    <t>1FUJGLD50ELFM3535</t>
  </si>
  <si>
    <t>72439</t>
  </si>
  <si>
    <t>DUMMY UNIT FOR TEST</t>
  </si>
  <si>
    <t>R TEST</t>
  </si>
  <si>
    <t>008-D</t>
  </si>
  <si>
    <t>008-DUMMY-UNIT</t>
  </si>
  <si>
    <t>1FUJA6CK86LU76921</t>
  </si>
  <si>
    <t>72440</t>
  </si>
  <si>
    <t>1FUJGLDR6HLHX7685</t>
  </si>
  <si>
    <t>2448-</t>
  </si>
  <si>
    <t>2448-17ATL</t>
  </si>
  <si>
    <t>LOTUS-113</t>
  </si>
  <si>
    <t>1FUJA6CK76LV92630</t>
  </si>
  <si>
    <t>V92630</t>
  </si>
  <si>
    <t>R7196</t>
  </si>
  <si>
    <t>3AKJHHDR3KSJY2909</t>
  </si>
  <si>
    <t>JY2909</t>
  </si>
  <si>
    <t>6728</t>
  </si>
  <si>
    <t>RNG-0</t>
  </si>
  <si>
    <t>RNG-08</t>
  </si>
  <si>
    <t>RNG-09</t>
  </si>
  <si>
    <t>3AKJHHDRXKSJY2907</t>
  </si>
  <si>
    <t>JY2907</t>
  </si>
  <si>
    <t>6729</t>
  </si>
  <si>
    <t>4V4NC9EH6KN904722</t>
  </si>
  <si>
    <t>904722</t>
  </si>
  <si>
    <t>6733</t>
  </si>
  <si>
    <t>1FUJGLDR6CLBC4438</t>
  </si>
  <si>
    <t>BC4438</t>
  </si>
  <si>
    <t>6730</t>
  </si>
  <si>
    <t>1FUJGLD59GLGZ1489</t>
  </si>
  <si>
    <t>6731</t>
  </si>
  <si>
    <t>4V4NC9EH8KN904723</t>
  </si>
  <si>
    <t>904723</t>
  </si>
  <si>
    <t>6732</t>
  </si>
  <si>
    <t>4V4NC9EH0KN904733</t>
  </si>
  <si>
    <t>904733</t>
  </si>
  <si>
    <t>6734</t>
  </si>
  <si>
    <t>1FUJHHDR0KLJZ8920</t>
  </si>
  <si>
    <t>JZ8920</t>
  </si>
  <si>
    <t>R7197</t>
  </si>
  <si>
    <t>1FUJGLDR6CSBU1296</t>
  </si>
  <si>
    <t>BU1296</t>
  </si>
  <si>
    <t>R7198</t>
  </si>
  <si>
    <t>1FUJGLDR8DSBR4745</t>
  </si>
  <si>
    <t>BR4745</t>
  </si>
  <si>
    <t>72442</t>
  </si>
  <si>
    <t>1FUJGLDR8BLBA9082</t>
  </si>
  <si>
    <t>BA9082</t>
  </si>
  <si>
    <t>79229</t>
  </si>
  <si>
    <t>1XPBDP9X7ED234527</t>
  </si>
  <si>
    <t>R7199</t>
  </si>
  <si>
    <t>1FUJGLD58GLGZ8045</t>
  </si>
  <si>
    <t>2459-</t>
  </si>
  <si>
    <t>2459-16ADL</t>
  </si>
  <si>
    <t>4V4NC9EH9KN904732</t>
  </si>
  <si>
    <t>904732</t>
  </si>
  <si>
    <t>6735</t>
  </si>
  <si>
    <t>1FUJBBCK05LN51115</t>
  </si>
  <si>
    <t>N51115</t>
  </si>
  <si>
    <t>R7200</t>
  </si>
  <si>
    <t>4V4NC9EJ4CN539008</t>
  </si>
  <si>
    <t>539008</t>
  </si>
  <si>
    <t>72445</t>
  </si>
  <si>
    <t>4V4NC9GH07N480068</t>
  </si>
  <si>
    <t>480068</t>
  </si>
  <si>
    <t>6736</t>
  </si>
  <si>
    <t>4V4NC9GH57N433408</t>
  </si>
  <si>
    <t>6737-</t>
  </si>
  <si>
    <t>6737-W/OFF</t>
  </si>
  <si>
    <t>3AKJHHDR0KSKL0351</t>
  </si>
  <si>
    <t>KL0351</t>
  </si>
  <si>
    <t>6738</t>
  </si>
  <si>
    <t>1XP7D49X77D676716</t>
  </si>
  <si>
    <t>676716</t>
  </si>
  <si>
    <t>6739</t>
  </si>
  <si>
    <t>FLIGH</t>
  </si>
  <si>
    <t>FLIGHTEX-1</t>
  </si>
  <si>
    <t>4V4NC9EHXKN904724</t>
  </si>
  <si>
    <t>904724</t>
  </si>
  <si>
    <t>72460</t>
  </si>
  <si>
    <t>72460L</t>
  </si>
  <si>
    <t>4V4NC9EH2KN904734</t>
  </si>
  <si>
    <t>904734</t>
  </si>
  <si>
    <t>72461</t>
  </si>
  <si>
    <t>72461L</t>
  </si>
  <si>
    <t>4V4NC9EH4KN904735</t>
  </si>
  <si>
    <t>904735</t>
  </si>
  <si>
    <t>72462</t>
  </si>
  <si>
    <t>72462L</t>
  </si>
  <si>
    <t>4V4NC9EH6KN904736</t>
  </si>
  <si>
    <t>904736</t>
  </si>
  <si>
    <t>72463</t>
  </si>
  <si>
    <t>72463L</t>
  </si>
  <si>
    <t>4V4NC9EH8KN904737</t>
  </si>
  <si>
    <t>904737</t>
  </si>
  <si>
    <t>72464</t>
  </si>
  <si>
    <t>72464L</t>
  </si>
  <si>
    <t>4V4NC9EH2KN904751</t>
  </si>
  <si>
    <t>904751</t>
  </si>
  <si>
    <t>2465-</t>
  </si>
  <si>
    <t>2465-19L</t>
  </si>
  <si>
    <t>4V4NC9EH4KN904752</t>
  </si>
  <si>
    <t>904752</t>
  </si>
  <si>
    <t>2466-</t>
  </si>
  <si>
    <t>2466-19L</t>
  </si>
  <si>
    <t>4V4NC9EH6KN904753</t>
  </si>
  <si>
    <t>904753</t>
  </si>
  <si>
    <t>2467-</t>
  </si>
  <si>
    <t>2467-19L</t>
  </si>
  <si>
    <t>4V4NC9EH8KN904754</t>
  </si>
  <si>
    <t>904754</t>
  </si>
  <si>
    <t>2468-</t>
  </si>
  <si>
    <t>2468-19L</t>
  </si>
  <si>
    <t>4V4NC9EHXKN904755</t>
  </si>
  <si>
    <t>904755</t>
  </si>
  <si>
    <t>2469-</t>
  </si>
  <si>
    <t>2469-19L</t>
  </si>
  <si>
    <t>4V4NC9EH1KN904756</t>
  </si>
  <si>
    <t>904756</t>
  </si>
  <si>
    <t>2470-</t>
  </si>
  <si>
    <t>2470-19L</t>
  </si>
  <si>
    <t>4V4NC9EH3KN904757</t>
  </si>
  <si>
    <t>904757</t>
  </si>
  <si>
    <t>2471-</t>
  </si>
  <si>
    <t>2471-19L</t>
  </si>
  <si>
    <t>4V4NC9EH5KN904758</t>
  </si>
  <si>
    <t>904758</t>
  </si>
  <si>
    <t>2472-</t>
  </si>
  <si>
    <t>2472-19L</t>
  </si>
  <si>
    <t>4V4NC9EH7KN904759</t>
  </si>
  <si>
    <t>904759</t>
  </si>
  <si>
    <t>2473-</t>
  </si>
  <si>
    <t>2473-19L</t>
  </si>
  <si>
    <t>4V4NC9EH3KN904760</t>
  </si>
  <si>
    <t>904760</t>
  </si>
  <si>
    <t>2474-</t>
  </si>
  <si>
    <t>2474-19L</t>
  </si>
  <si>
    <t>4V4NC9EH5KN904761</t>
  </si>
  <si>
    <t>904761</t>
  </si>
  <si>
    <t>1450-</t>
  </si>
  <si>
    <t>1450-19</t>
  </si>
  <si>
    <t>V4NC9EH7KN904762</t>
  </si>
  <si>
    <t>904762</t>
  </si>
  <si>
    <t>1451-</t>
  </si>
  <si>
    <t>1451-19</t>
  </si>
  <si>
    <t>V4NC9EH9KN904763</t>
  </si>
  <si>
    <t>904763</t>
  </si>
  <si>
    <t>1452-</t>
  </si>
  <si>
    <t>1452-19</t>
  </si>
  <si>
    <t>V4NC9EH0KN904764</t>
  </si>
  <si>
    <t>904764</t>
  </si>
  <si>
    <t>1453-</t>
  </si>
  <si>
    <t>1453-19</t>
  </si>
  <si>
    <t>4V4NC9EH2KN904765</t>
  </si>
  <si>
    <t>904765</t>
  </si>
  <si>
    <t>1454-</t>
  </si>
  <si>
    <t>1454-19</t>
  </si>
  <si>
    <t>4V4NC9EH6KN905823</t>
  </si>
  <si>
    <t>905823</t>
  </si>
  <si>
    <t>1455-</t>
  </si>
  <si>
    <t>1455-19</t>
  </si>
  <si>
    <t>4V4NC9EH8KN905824</t>
  </si>
  <si>
    <t>905824</t>
  </si>
  <si>
    <t>1456-</t>
  </si>
  <si>
    <t>1456-19</t>
  </si>
  <si>
    <t>4V4NC9EHXKN905825</t>
  </si>
  <si>
    <t>905825</t>
  </si>
  <si>
    <t>1457-</t>
  </si>
  <si>
    <t>1457-19</t>
  </si>
  <si>
    <t>4V4NC9EH1KN905826</t>
  </si>
  <si>
    <t>905826</t>
  </si>
  <si>
    <t>1458-</t>
  </si>
  <si>
    <t>1458-19</t>
  </si>
  <si>
    <t>4V4NC9EH3KN905827</t>
  </si>
  <si>
    <t>905827</t>
  </si>
  <si>
    <t>1459-</t>
  </si>
  <si>
    <t>1459-19</t>
  </si>
  <si>
    <t>V4NC9EH5KN905828</t>
  </si>
  <si>
    <t>905828</t>
  </si>
  <si>
    <t>1460-</t>
  </si>
  <si>
    <t>1460-19</t>
  </si>
  <si>
    <t>4V4NC9EH7KN905829</t>
  </si>
  <si>
    <t>905829</t>
  </si>
  <si>
    <t>1461-</t>
  </si>
  <si>
    <t>1461-19</t>
  </si>
  <si>
    <t>V4NC9EH3KN905830</t>
  </si>
  <si>
    <t>905830</t>
  </si>
  <si>
    <t>1462-</t>
  </si>
  <si>
    <t>1462-19</t>
  </si>
  <si>
    <t>V4NC9EH5KN905831</t>
  </si>
  <si>
    <t>905831</t>
  </si>
  <si>
    <t>1463-</t>
  </si>
  <si>
    <t>1463-19</t>
  </si>
  <si>
    <t>4V4NC9EH7KN905832</t>
  </si>
  <si>
    <t>905832</t>
  </si>
  <si>
    <t>1464-</t>
  </si>
  <si>
    <t>1464-19</t>
  </si>
  <si>
    <t>1FUJGLDR1HLHX7710</t>
  </si>
  <si>
    <t>HX7710</t>
  </si>
  <si>
    <t>6740</t>
  </si>
  <si>
    <t>1FUJGLD56GLGE4870</t>
  </si>
  <si>
    <t>6741</t>
  </si>
  <si>
    <t>3AKJHHDRXKSKN0722</t>
  </si>
  <si>
    <t>KN0722</t>
  </si>
  <si>
    <t>79228</t>
  </si>
  <si>
    <t>4V4NC9EH1DN140703</t>
  </si>
  <si>
    <t>140703</t>
  </si>
  <si>
    <t>R7202</t>
  </si>
  <si>
    <t>1FUJGEDR6BLBC6989</t>
  </si>
  <si>
    <t>BC6989</t>
  </si>
  <si>
    <t>R7201</t>
  </si>
  <si>
    <t>3AKJGLDR5HSGY9361</t>
  </si>
  <si>
    <t>GY9361</t>
  </si>
  <si>
    <t>72451</t>
  </si>
  <si>
    <t>1FUJA6CK16LV29118</t>
  </si>
  <si>
    <t>V29118</t>
  </si>
  <si>
    <t>72450</t>
  </si>
  <si>
    <t>1FUJHHDR8KLKN0052</t>
  </si>
  <si>
    <t>KN0052</t>
  </si>
  <si>
    <t>6742</t>
  </si>
  <si>
    <t>1FUJHHDR5KLKN0073</t>
  </si>
  <si>
    <t>KN0073</t>
  </si>
  <si>
    <t>6743</t>
  </si>
  <si>
    <t>LOTUS-119</t>
  </si>
  <si>
    <t>4V4NC9EH6CN549357</t>
  </si>
  <si>
    <t>549357</t>
  </si>
  <si>
    <t>R7203</t>
  </si>
  <si>
    <t>1FUJGEBGXDLBS6101</t>
  </si>
  <si>
    <t>BS6101</t>
  </si>
  <si>
    <t>R7204</t>
  </si>
  <si>
    <t>4V4NC9EJ99N276300</t>
  </si>
  <si>
    <t>276300</t>
  </si>
  <si>
    <t>79230</t>
  </si>
  <si>
    <t>1FUJGLDR9DLBU9937</t>
  </si>
  <si>
    <t>BU9937</t>
  </si>
  <si>
    <t>72449</t>
  </si>
  <si>
    <t>1FVXA700XCLBP3863</t>
  </si>
  <si>
    <t>BP3863</t>
  </si>
  <si>
    <t>72444</t>
  </si>
  <si>
    <t>3AKJHHDR8KSKS2076</t>
  </si>
  <si>
    <t>KS2076</t>
  </si>
  <si>
    <t>19228</t>
  </si>
  <si>
    <t>19228-19-SOLD</t>
  </si>
  <si>
    <t>3AKJHHDRXKSKS2077</t>
  </si>
  <si>
    <t>KS2077</t>
  </si>
  <si>
    <t>19229</t>
  </si>
  <si>
    <t>19229-19</t>
  </si>
  <si>
    <t>3AKJHHDR3KSKS2079</t>
  </si>
  <si>
    <t>KS2079</t>
  </si>
  <si>
    <t>19231</t>
  </si>
  <si>
    <t>19231-19-SOLD</t>
  </si>
  <si>
    <t>3AKJHHDR5KSKS2083</t>
  </si>
  <si>
    <t>KS2083</t>
  </si>
  <si>
    <t>19235</t>
  </si>
  <si>
    <t>19235-19</t>
  </si>
  <si>
    <t>3AKJHHDR2KSKS2087</t>
  </si>
  <si>
    <t>KS2087</t>
  </si>
  <si>
    <t>19239</t>
  </si>
  <si>
    <t>19239-19</t>
  </si>
  <si>
    <t>3AKJHHDR6KSKS2089</t>
  </si>
  <si>
    <t>KS2089</t>
  </si>
  <si>
    <t>19241</t>
  </si>
  <si>
    <t>19241-19-SOLD</t>
  </si>
  <si>
    <t>3AKJHHDR2KSKS2090</t>
  </si>
  <si>
    <t>KS2090</t>
  </si>
  <si>
    <t>19242</t>
  </si>
  <si>
    <t>19242-19-SOLD</t>
  </si>
  <si>
    <t>CASCADIA  (P4)</t>
  </si>
  <si>
    <t>3AKJHHDR1KSKS2078</t>
  </si>
  <si>
    <t>KS2078</t>
  </si>
  <si>
    <t>19230</t>
  </si>
  <si>
    <t>19230-19</t>
  </si>
  <si>
    <t>AKJHHDRXKSKS2080</t>
  </si>
  <si>
    <t>KS2080</t>
  </si>
  <si>
    <t>19232</t>
  </si>
  <si>
    <t>19232-19-SOLD</t>
  </si>
  <si>
    <t>3AKJHHDR1KSKS2081</t>
  </si>
  <si>
    <t>KS2081</t>
  </si>
  <si>
    <t>19233</t>
  </si>
  <si>
    <t>19233-19-SOLD</t>
  </si>
  <si>
    <t>3AKJHHDR3KSKS2082</t>
  </si>
  <si>
    <t>KS2082</t>
  </si>
  <si>
    <t>19234</t>
  </si>
  <si>
    <t>19234-19</t>
  </si>
  <si>
    <t>3AKJHHDR7KSKS2084</t>
  </si>
  <si>
    <t>KS2084</t>
  </si>
  <si>
    <t>19236</t>
  </si>
  <si>
    <t>19236-19-SOLD</t>
  </si>
  <si>
    <t>3AKJHHDR9KSKS2085</t>
  </si>
  <si>
    <t>KS2085</t>
  </si>
  <si>
    <t>19237</t>
  </si>
  <si>
    <t>19237-19</t>
  </si>
  <si>
    <t>3AKJHHDR0KSKS2086</t>
  </si>
  <si>
    <t>KS2086</t>
  </si>
  <si>
    <t>19238</t>
  </si>
  <si>
    <t>19238-19-SOLD</t>
  </si>
  <si>
    <t>3AKJHHDR4KSKS2088</t>
  </si>
  <si>
    <t>KS2088</t>
  </si>
  <si>
    <t>19240</t>
  </si>
  <si>
    <t>19240-19</t>
  </si>
  <si>
    <t>3AKJHHDR4KSKS2091</t>
  </si>
  <si>
    <t>KS2091</t>
  </si>
  <si>
    <t>2475-</t>
  </si>
  <si>
    <t>2475-19-SOLD</t>
  </si>
  <si>
    <t>3AKJHHDR6KSKS2092</t>
  </si>
  <si>
    <t>KS2092</t>
  </si>
  <si>
    <t>2476-</t>
  </si>
  <si>
    <t>2476-19-SOLD</t>
  </si>
  <si>
    <t>3AKJHHDR8KSKS2093</t>
  </si>
  <si>
    <t>KS2093</t>
  </si>
  <si>
    <t>2477-</t>
  </si>
  <si>
    <t>2477-19-SOLD</t>
  </si>
  <si>
    <t>3AKJHHDRXKSKS2094</t>
  </si>
  <si>
    <t>KS2094</t>
  </si>
  <si>
    <t>2478-</t>
  </si>
  <si>
    <t>2478-19-SOLD</t>
  </si>
  <si>
    <t>3AKJHHDR1KSKS2095</t>
  </si>
  <si>
    <t>KS2095</t>
  </si>
  <si>
    <t>2479-</t>
  </si>
  <si>
    <t>2479-19-SOLD</t>
  </si>
  <si>
    <t>3AKJHHDR3KSKS2096</t>
  </si>
  <si>
    <t>KS2096</t>
  </si>
  <si>
    <t>2480-</t>
  </si>
  <si>
    <t>2480-19L</t>
  </si>
  <si>
    <t>3AKJHHDR5KSKS2097</t>
  </si>
  <si>
    <t>KS2097</t>
  </si>
  <si>
    <t>2481-</t>
  </si>
  <si>
    <t>2481-19-SOLD</t>
  </si>
  <si>
    <t>3AKJHHDR7KSKS2098</t>
  </si>
  <si>
    <t>KS2098</t>
  </si>
  <si>
    <t>2482-</t>
  </si>
  <si>
    <t>2482-19</t>
  </si>
  <si>
    <t>3AKJHHDR9KSKS2099</t>
  </si>
  <si>
    <t>KS2099</t>
  </si>
  <si>
    <t>2483-</t>
  </si>
  <si>
    <t>2483-19</t>
  </si>
  <si>
    <t>3AKJHHDR1KSKS2100</t>
  </si>
  <si>
    <t>KS2100</t>
  </si>
  <si>
    <t>2484-</t>
  </si>
  <si>
    <t>2484-19-SOLD</t>
  </si>
  <si>
    <t>1FUJGLDR7CLBC4447</t>
  </si>
  <si>
    <t>BC4447</t>
  </si>
  <si>
    <t>6744</t>
  </si>
  <si>
    <t>1FUJGLBG0CSBN7074</t>
  </si>
  <si>
    <t>BN7074</t>
  </si>
  <si>
    <t>6745</t>
  </si>
  <si>
    <t>1FUJGLDR5HLHL8084</t>
  </si>
  <si>
    <t>HL8084</t>
  </si>
  <si>
    <t>6746</t>
  </si>
  <si>
    <t>3AKJHHDR6KSKA2226</t>
  </si>
  <si>
    <t>KA2226</t>
  </si>
  <si>
    <t>6747</t>
  </si>
  <si>
    <t>1FUJHLDR9KLKH8005</t>
  </si>
  <si>
    <t>KH8005</t>
  </si>
  <si>
    <t>2485-</t>
  </si>
  <si>
    <t>2485-19C</t>
  </si>
  <si>
    <t>1FUJHLDR0KLKH8006</t>
  </si>
  <si>
    <t>KH8006</t>
  </si>
  <si>
    <t>2486-</t>
  </si>
  <si>
    <t>2486-19C</t>
  </si>
  <si>
    <t>1FUJHLDR2KLKH8007</t>
  </si>
  <si>
    <t>KH8007</t>
  </si>
  <si>
    <t>2487-</t>
  </si>
  <si>
    <t>2487-19C</t>
  </si>
  <si>
    <t>1FUJHLDR4KLKH8008</t>
  </si>
  <si>
    <t>KH8008</t>
  </si>
  <si>
    <t>2488-</t>
  </si>
  <si>
    <t>2488-19C</t>
  </si>
  <si>
    <t>1FUJHLDR6KLKH8009</t>
  </si>
  <si>
    <t>KH8009</t>
  </si>
  <si>
    <t>2489-</t>
  </si>
  <si>
    <t>2489-19C</t>
  </si>
  <si>
    <t>1FUJHLDR2KLKH8010</t>
  </si>
  <si>
    <t>KH8010</t>
  </si>
  <si>
    <t>R290-</t>
  </si>
  <si>
    <t>R290-19C</t>
  </si>
  <si>
    <t>1FUJHLDR4KLKH8011</t>
  </si>
  <si>
    <t>KH8011</t>
  </si>
  <si>
    <t>R291-</t>
  </si>
  <si>
    <t>R291-19C</t>
  </si>
  <si>
    <t>1FUJHLDR6KLKH8012</t>
  </si>
  <si>
    <t>KH8012</t>
  </si>
  <si>
    <t>R292-</t>
  </si>
  <si>
    <t>R292-19C</t>
  </si>
  <si>
    <t>1FUJHLDR8KLKH8013</t>
  </si>
  <si>
    <t>KH8013</t>
  </si>
  <si>
    <t>R293-</t>
  </si>
  <si>
    <t>R293-19C</t>
  </si>
  <si>
    <t>1FUJHLDRXKLKH8014</t>
  </si>
  <si>
    <t>KH8014</t>
  </si>
  <si>
    <t>R294-</t>
  </si>
  <si>
    <t>R294-19C</t>
  </si>
  <si>
    <t>1FUJHLDR1KLKH8015</t>
  </si>
  <si>
    <t>KH8015</t>
  </si>
  <si>
    <t>R295-</t>
  </si>
  <si>
    <t>R295-19C</t>
  </si>
  <si>
    <t>1FUJHLDR3KLKH8016</t>
  </si>
  <si>
    <t>KH8016</t>
  </si>
  <si>
    <t>R296-</t>
  </si>
  <si>
    <t>R296-19C</t>
  </si>
  <si>
    <t>1FUJHLDR5KLKH8017</t>
  </si>
  <si>
    <t>KH8017</t>
  </si>
  <si>
    <t>R297-</t>
  </si>
  <si>
    <t>R297-19C</t>
  </si>
  <si>
    <t>1FUJHLDR7KLKH8018</t>
  </si>
  <si>
    <t>KH8018</t>
  </si>
  <si>
    <t>R298-</t>
  </si>
  <si>
    <t>R298-19C</t>
  </si>
  <si>
    <t>1FUJHLDR9KLKH8019</t>
  </si>
  <si>
    <t>KH8019</t>
  </si>
  <si>
    <t>R299-</t>
  </si>
  <si>
    <t>R299-19C</t>
  </si>
  <si>
    <t>FUJHLDR5KLKH8020</t>
  </si>
  <si>
    <t>KH8020</t>
  </si>
  <si>
    <t>R300-</t>
  </si>
  <si>
    <t>R300-19C</t>
  </si>
  <si>
    <t>1FUJHLDR7KLKH8021</t>
  </si>
  <si>
    <t>KH8021</t>
  </si>
  <si>
    <t>R301-</t>
  </si>
  <si>
    <t>R301-19C</t>
  </si>
  <si>
    <t>FUJHLDR9KLKH8022</t>
  </si>
  <si>
    <t>KH8022</t>
  </si>
  <si>
    <t>R302-</t>
  </si>
  <si>
    <t>R302-19C</t>
  </si>
  <si>
    <t>FUJHLDR0KLKH8023</t>
  </si>
  <si>
    <t>KH8023</t>
  </si>
  <si>
    <t>R303-</t>
  </si>
  <si>
    <t>R303-19C</t>
  </si>
  <si>
    <t>1FUJHLDR2KLKH8024</t>
  </si>
  <si>
    <t>KH8024</t>
  </si>
  <si>
    <t>R304-</t>
  </si>
  <si>
    <t>R304-19C</t>
  </si>
  <si>
    <t>FUJHLDR4KLKH8025</t>
  </si>
  <si>
    <t>KH8025</t>
  </si>
  <si>
    <t>R305-</t>
  </si>
  <si>
    <t>R305-19C</t>
  </si>
  <si>
    <t>1FUJHLDR6KLKH8026</t>
  </si>
  <si>
    <t>KH8026</t>
  </si>
  <si>
    <t>R306-</t>
  </si>
  <si>
    <t>R306-19C</t>
  </si>
  <si>
    <t>1FUJHLDR8KLKH8027</t>
  </si>
  <si>
    <t>KH8027</t>
  </si>
  <si>
    <t>R307-</t>
  </si>
  <si>
    <t>R307-19C</t>
  </si>
  <si>
    <t>1FUJHLDRXKLKH8028</t>
  </si>
  <si>
    <t>KH8028</t>
  </si>
  <si>
    <t>R308-</t>
  </si>
  <si>
    <t>R308-19C</t>
  </si>
  <si>
    <t>FUJHLDR1KLKH8029</t>
  </si>
  <si>
    <t>KH8029</t>
  </si>
  <si>
    <t>R309-</t>
  </si>
  <si>
    <t>R309-19C</t>
  </si>
  <si>
    <t>1FUJHLDR8KLKH8030</t>
  </si>
  <si>
    <t>KH8030</t>
  </si>
  <si>
    <t>R310-</t>
  </si>
  <si>
    <t>R310-19C</t>
  </si>
  <si>
    <t>1FUJHLDRXKLKH8031</t>
  </si>
  <si>
    <t>KH8031</t>
  </si>
  <si>
    <t>R311-</t>
  </si>
  <si>
    <t>R311-19C</t>
  </si>
  <si>
    <t>1FUJHLDR1KLKH8032</t>
  </si>
  <si>
    <t>KH8032</t>
  </si>
  <si>
    <t>R312-</t>
  </si>
  <si>
    <t>R312-19C</t>
  </si>
  <si>
    <t>1FUJHLDR3KLKH8033</t>
  </si>
  <si>
    <t>KH8033</t>
  </si>
  <si>
    <t>R314-</t>
  </si>
  <si>
    <t>R314-19C</t>
  </si>
  <si>
    <t>1FUJHLDR5KLKH8034</t>
  </si>
  <si>
    <t>KH8034</t>
  </si>
  <si>
    <t>R315-</t>
  </si>
  <si>
    <t>R315-19C</t>
  </si>
  <si>
    <t>1FUJHLDR7KLKH8035</t>
  </si>
  <si>
    <t>KH8035</t>
  </si>
  <si>
    <t>1465-</t>
  </si>
  <si>
    <t>1465-19C</t>
  </si>
  <si>
    <t>1FUJHLDR9KLKH8036</t>
  </si>
  <si>
    <t>KH8036</t>
  </si>
  <si>
    <t>1466-</t>
  </si>
  <si>
    <t>1466-19C</t>
  </si>
  <si>
    <t>1FUJHLDR0KLKH8037</t>
  </si>
  <si>
    <t>KH8037</t>
  </si>
  <si>
    <t>1467-</t>
  </si>
  <si>
    <t>1467-19C</t>
  </si>
  <si>
    <t>1FUJHLDR2KLKH8038</t>
  </si>
  <si>
    <t>KH8038</t>
  </si>
  <si>
    <t>1468-</t>
  </si>
  <si>
    <t>1468-19C</t>
  </si>
  <si>
    <t>1FUJHLDR4KLKH8039</t>
  </si>
  <si>
    <t>KH8039</t>
  </si>
  <si>
    <t>1469-</t>
  </si>
  <si>
    <t>1469-19C</t>
  </si>
  <si>
    <t>1FUJHLDR0KLKH8040</t>
  </si>
  <si>
    <t>KH8040</t>
  </si>
  <si>
    <t>1470-</t>
  </si>
  <si>
    <t>1470-19C</t>
  </si>
  <si>
    <t>1FUJHLDR2KLKH8041</t>
  </si>
  <si>
    <t>KH8041</t>
  </si>
  <si>
    <t>1471-</t>
  </si>
  <si>
    <t>1471-19C</t>
  </si>
  <si>
    <t>1FUJHLDR4KLKH8042</t>
  </si>
  <si>
    <t>KH8042</t>
  </si>
  <si>
    <t>1472-</t>
  </si>
  <si>
    <t>1472-19C</t>
  </si>
  <si>
    <t>1FUJHLDR6KLKH8043</t>
  </si>
  <si>
    <t>KH8043</t>
  </si>
  <si>
    <t>1473-</t>
  </si>
  <si>
    <t>1473-19C</t>
  </si>
  <si>
    <t>1FUJHLDR8KLKH8044</t>
  </si>
  <si>
    <t>KH8044</t>
  </si>
  <si>
    <t>1474-</t>
  </si>
  <si>
    <t>1474-19C</t>
  </si>
  <si>
    <t>1FUJHLDRXKLKH8045</t>
  </si>
  <si>
    <t>KH8045</t>
  </si>
  <si>
    <t>1475-</t>
  </si>
  <si>
    <t>1475-19C</t>
  </si>
  <si>
    <t>1FUJHLDR1KLKH8046</t>
  </si>
  <si>
    <t>KH8046</t>
  </si>
  <si>
    <t>1476-</t>
  </si>
  <si>
    <t>1476-19C</t>
  </si>
  <si>
    <t>1FUJHLDR3KLKH8047</t>
  </si>
  <si>
    <t>KH8047</t>
  </si>
  <si>
    <t>1477-</t>
  </si>
  <si>
    <t>1477-19C</t>
  </si>
  <si>
    <t>1FUJHLDR5KLKH8048</t>
  </si>
  <si>
    <t>KH8048</t>
  </si>
  <si>
    <t>1478-</t>
  </si>
  <si>
    <t>1478-19C</t>
  </si>
  <si>
    <t>1FUJHLDR7KLKH8049</t>
  </si>
  <si>
    <t>KH8049</t>
  </si>
  <si>
    <t>1479-</t>
  </si>
  <si>
    <t>1479-19C</t>
  </si>
  <si>
    <t>1FUJHLDR3KLKH8050</t>
  </si>
  <si>
    <t>KH8050</t>
  </si>
  <si>
    <t>1480-</t>
  </si>
  <si>
    <t>1480-19C</t>
  </si>
  <si>
    <t>1FUJHLDR5KLKH8051</t>
  </si>
  <si>
    <t>KH8051</t>
  </si>
  <si>
    <t>1481-</t>
  </si>
  <si>
    <t>1481-19C</t>
  </si>
  <si>
    <t>1FUJHLDR7KLKH8052</t>
  </si>
  <si>
    <t>KH8052</t>
  </si>
  <si>
    <t>1482-</t>
  </si>
  <si>
    <t>1482-19C</t>
  </si>
  <si>
    <t>1FUJHLDR9KLKH8053</t>
  </si>
  <si>
    <t>KH8053</t>
  </si>
  <si>
    <t>1483-</t>
  </si>
  <si>
    <t>1483-19C</t>
  </si>
  <si>
    <t>1FUJHLDR0KLKH8054</t>
  </si>
  <si>
    <t>KH8054</t>
  </si>
  <si>
    <t>1484-</t>
  </si>
  <si>
    <t>1484-19C</t>
  </si>
  <si>
    <t>3AKJHLDR7KSKH8055</t>
  </si>
  <si>
    <t>KH8055</t>
  </si>
  <si>
    <t>1485-</t>
  </si>
  <si>
    <t>1485-19C</t>
  </si>
  <si>
    <t>3AKJHLDR9KSKH8056</t>
  </si>
  <si>
    <t>KH8056</t>
  </si>
  <si>
    <t>1486-</t>
  </si>
  <si>
    <t>1486-19C</t>
  </si>
  <si>
    <t>3AKJHLDR0KSKH8057</t>
  </si>
  <si>
    <t>KH8057</t>
  </si>
  <si>
    <t>1487-</t>
  </si>
  <si>
    <t>1487-19C</t>
  </si>
  <si>
    <t>3AKJHLDR2KSKH8058</t>
  </si>
  <si>
    <t>KH8058</t>
  </si>
  <si>
    <t>1488-</t>
  </si>
  <si>
    <t>1488-19C</t>
  </si>
  <si>
    <t>3AKJHLDR4KSKH8059</t>
  </si>
  <si>
    <t>KH8059</t>
  </si>
  <si>
    <t>1489-</t>
  </si>
  <si>
    <t>1489-19C</t>
  </si>
  <si>
    <t>4V4NC9GH56N409933</t>
  </si>
  <si>
    <t>409933</t>
  </si>
  <si>
    <t>R7205</t>
  </si>
  <si>
    <t>1FUJA6CK34LN60755</t>
  </si>
  <si>
    <t>N60755</t>
  </si>
  <si>
    <t>R7206</t>
  </si>
  <si>
    <t>WM53D</t>
  </si>
  <si>
    <t>WM53DR1035</t>
  </si>
  <si>
    <t>3AKJGLD56ESFZ2842</t>
  </si>
  <si>
    <t>FZ2842</t>
  </si>
  <si>
    <t>72453</t>
  </si>
  <si>
    <t>4V4NC9EH6EN162794</t>
  </si>
  <si>
    <t>162794</t>
  </si>
  <si>
    <t>6748</t>
  </si>
  <si>
    <t>4V4NC9GH46N426058</t>
  </si>
  <si>
    <t>426058</t>
  </si>
  <si>
    <t>R7207</t>
  </si>
  <si>
    <t>4V4MC9GH94N364570</t>
  </si>
  <si>
    <t>364570</t>
  </si>
  <si>
    <t>R7208</t>
  </si>
  <si>
    <t>1FUJGLD58FLGJ4627</t>
  </si>
  <si>
    <t>GJ4627</t>
  </si>
  <si>
    <t>R7209</t>
  </si>
  <si>
    <t>1FUJHHDR0KLKN4516</t>
  </si>
  <si>
    <t>KN4516</t>
  </si>
  <si>
    <t>6749</t>
  </si>
  <si>
    <t>1FTYR2CM3JKB26605</t>
  </si>
  <si>
    <t>B26605</t>
  </si>
  <si>
    <t>8920</t>
  </si>
  <si>
    <t>1FTFW1E53JFE27013</t>
  </si>
  <si>
    <t>E27013</t>
  </si>
  <si>
    <t>8921</t>
  </si>
  <si>
    <t>F150</t>
  </si>
  <si>
    <t>1FTYR2CMXHKB36512</t>
  </si>
  <si>
    <t>B36512</t>
  </si>
  <si>
    <t>8922</t>
  </si>
  <si>
    <t>1FTFW1E57JFE27015</t>
  </si>
  <si>
    <t>E27015</t>
  </si>
  <si>
    <t>8923</t>
  </si>
  <si>
    <t>1FUJBBAV67PW76693</t>
  </si>
  <si>
    <t>W76693</t>
  </si>
  <si>
    <t>R7210</t>
  </si>
  <si>
    <t>1FUJA6CK96LW87092</t>
  </si>
  <si>
    <t>W87092</t>
  </si>
  <si>
    <t>R7211</t>
  </si>
  <si>
    <t>FUJGLDRXCSBB9961</t>
  </si>
  <si>
    <t>72458</t>
  </si>
  <si>
    <t>1FUJA6AV54LN03440</t>
  </si>
  <si>
    <t>N03440</t>
  </si>
  <si>
    <t>72455</t>
  </si>
  <si>
    <t>3ALXFB005HDHK1739</t>
  </si>
  <si>
    <t>HK1739</t>
  </si>
  <si>
    <t>72457</t>
  </si>
  <si>
    <t>1FUJA6AVX9DAB4001</t>
  </si>
  <si>
    <t>AB4001</t>
  </si>
  <si>
    <t>72456</t>
  </si>
  <si>
    <t>1FUJHHDR2KLKA2543</t>
  </si>
  <si>
    <t>KA2543</t>
  </si>
  <si>
    <t>100</t>
  </si>
  <si>
    <t>CASCADIA (TOW)</t>
  </si>
  <si>
    <t>1FUJGLD58FLGP2558</t>
  </si>
  <si>
    <t>GP2558</t>
  </si>
  <si>
    <t>R7212</t>
  </si>
  <si>
    <t>3AKJHLDR3KSKH8070</t>
  </si>
  <si>
    <t>KH8070</t>
  </si>
  <si>
    <t>2490-</t>
  </si>
  <si>
    <t>2490-19C</t>
  </si>
  <si>
    <t>3AKJHLDR5KSKH8071</t>
  </si>
  <si>
    <t>KH8071</t>
  </si>
  <si>
    <t>2491-</t>
  </si>
  <si>
    <t>2491-19C</t>
  </si>
  <si>
    <t>3AKJHLDR7KSKH8072</t>
  </si>
  <si>
    <t>KH8072</t>
  </si>
  <si>
    <t>2492-</t>
  </si>
  <si>
    <t>2492-19C</t>
  </si>
  <si>
    <t>3AKJHLDR9KSKH8073</t>
  </si>
  <si>
    <t>KH8073</t>
  </si>
  <si>
    <t>2493-</t>
  </si>
  <si>
    <t>2493-19C</t>
  </si>
  <si>
    <t>3AKJHLDR0KSKH8074</t>
  </si>
  <si>
    <t>KH8074</t>
  </si>
  <si>
    <t>2494-</t>
  </si>
  <si>
    <t>2494-19C</t>
  </si>
  <si>
    <t>3AKJHLDR0KSKH8060</t>
  </si>
  <si>
    <t>KH8060</t>
  </si>
  <si>
    <t>400-1</t>
  </si>
  <si>
    <t>400-19C</t>
  </si>
  <si>
    <t>CHARGER DEDICATED SOLUTIONS</t>
  </si>
  <si>
    <t>3AKJHLDR2KSKH8061</t>
  </si>
  <si>
    <t>KH8061</t>
  </si>
  <si>
    <t>401-1</t>
  </si>
  <si>
    <t>401-19C</t>
  </si>
  <si>
    <t>3AKJHLDR4KSKH8062</t>
  </si>
  <si>
    <t>KH8062</t>
  </si>
  <si>
    <t>402-1</t>
  </si>
  <si>
    <t>402-19C</t>
  </si>
  <si>
    <t>3AKJHLDR6KSKH8063</t>
  </si>
  <si>
    <t>KH8063</t>
  </si>
  <si>
    <t>403-1</t>
  </si>
  <si>
    <t>403-19C</t>
  </si>
  <si>
    <t>3AKJHLDR8KSKH8064</t>
  </si>
  <si>
    <t>KH8064</t>
  </si>
  <si>
    <t>404-1</t>
  </si>
  <si>
    <t>404-19C</t>
  </si>
  <si>
    <t>3AKJHLDRXKSKH8065</t>
  </si>
  <si>
    <t>KH8065</t>
  </si>
  <si>
    <t>1490-</t>
  </si>
  <si>
    <t>1490-19C</t>
  </si>
  <si>
    <t>3AKJHLDR1KSKH8066</t>
  </si>
  <si>
    <t>KH8066</t>
  </si>
  <si>
    <t>1491-</t>
  </si>
  <si>
    <t>1491-19C</t>
  </si>
  <si>
    <t>3AKJHLDR3KSKH8067</t>
  </si>
  <si>
    <t>KH8067</t>
  </si>
  <si>
    <t>1492-</t>
  </si>
  <si>
    <t>1492-19C</t>
  </si>
  <si>
    <t>3AKJHLDR5KSKH8068</t>
  </si>
  <si>
    <t>KH8068</t>
  </si>
  <si>
    <t>1493-</t>
  </si>
  <si>
    <t>1493-19C</t>
  </si>
  <si>
    <t>3AKJHLDR7KSKH8069</t>
  </si>
  <si>
    <t>KH8069</t>
  </si>
  <si>
    <t>1494-</t>
  </si>
  <si>
    <t>1494-19C</t>
  </si>
  <si>
    <t>1FUJHHDR5KLKN0798</t>
  </si>
  <si>
    <t>KN0798</t>
  </si>
  <si>
    <t>6750</t>
  </si>
  <si>
    <t xml:space="preserve">FM2 </t>
  </si>
  <si>
    <t>3AKJHHDRXJSJC9831</t>
  </si>
  <si>
    <t>JC9831</t>
  </si>
  <si>
    <t>5021-</t>
  </si>
  <si>
    <t>5021-18L</t>
  </si>
  <si>
    <t>3AKJHHDR9JSJC9836</t>
  </si>
  <si>
    <t>JC9836</t>
  </si>
  <si>
    <t>5022-</t>
  </si>
  <si>
    <t>5022-18L</t>
  </si>
  <si>
    <t>3AKJHHDR5JSJC9820</t>
  </si>
  <si>
    <t>JC9820</t>
  </si>
  <si>
    <t>5023-</t>
  </si>
  <si>
    <t>5023-18L</t>
  </si>
  <si>
    <t>3AKJHHDR9JSJJ3897</t>
  </si>
  <si>
    <t>JJ3897</t>
  </si>
  <si>
    <t>5024-</t>
  </si>
  <si>
    <t>5024-18L</t>
  </si>
  <si>
    <t>3AKJHHDR8JSJJ3888</t>
  </si>
  <si>
    <t>JJ3888</t>
  </si>
  <si>
    <t>5025-</t>
  </si>
  <si>
    <t>5025-18A</t>
  </si>
  <si>
    <t>3AKJHHDR6JSJJ3890</t>
  </si>
  <si>
    <t>JJ3890</t>
  </si>
  <si>
    <t>5028-</t>
  </si>
  <si>
    <t>5028-18L</t>
  </si>
  <si>
    <t>3AKJHHDR0JSJC9823</t>
  </si>
  <si>
    <t>JC9823</t>
  </si>
  <si>
    <t>5029-</t>
  </si>
  <si>
    <t>5029-18</t>
  </si>
  <si>
    <t>3AKJHHDR3JSJJ3894</t>
  </si>
  <si>
    <t>JJ3894</t>
  </si>
  <si>
    <t>5030-</t>
  </si>
  <si>
    <t>5030-18L</t>
  </si>
  <si>
    <t>1XKADB9X8BJ284273</t>
  </si>
  <si>
    <t>284273</t>
  </si>
  <si>
    <t>72495</t>
  </si>
  <si>
    <t>T660</t>
  </si>
  <si>
    <t>4V4NC9EH5FN910257</t>
  </si>
  <si>
    <t>910257</t>
  </si>
  <si>
    <t>R7214</t>
  </si>
  <si>
    <t>4V4NC9KJX7N450845</t>
  </si>
  <si>
    <t>450845</t>
  </si>
  <si>
    <t>R7215</t>
  </si>
  <si>
    <t>1FUJHHDR2KLKN0726</t>
  </si>
  <si>
    <t>KN0726</t>
  </si>
  <si>
    <t>6751</t>
  </si>
  <si>
    <t>4V4NC9EH8EN158620</t>
  </si>
  <si>
    <t>158620</t>
  </si>
  <si>
    <t>6752</t>
  </si>
  <si>
    <t>1FUJGLDR1JLJC9802</t>
  </si>
  <si>
    <t>6753</t>
  </si>
  <si>
    <t>1XKTDB9X37J997503</t>
  </si>
  <si>
    <t>72497</t>
  </si>
  <si>
    <t>3AKJHHDR5JSJC9817</t>
  </si>
  <si>
    <t>6754-</t>
  </si>
  <si>
    <t>6754-L</t>
  </si>
  <si>
    <t>3AKJHHDR3JSJC9833</t>
  </si>
  <si>
    <t>JC9833</t>
  </si>
  <si>
    <t>5031-</t>
  </si>
  <si>
    <t>5031-18L</t>
  </si>
  <si>
    <t>3AKJHHDR6JSJC9826</t>
  </si>
  <si>
    <t>5027-</t>
  </si>
  <si>
    <t>5027-18L</t>
  </si>
  <si>
    <t>3AKJHHDR1JSKC6173</t>
  </si>
  <si>
    <t>2502-</t>
  </si>
  <si>
    <t>2502-18RL</t>
  </si>
  <si>
    <t>3AKJHHDR2JSJJ4096</t>
  </si>
  <si>
    <t>2503-</t>
  </si>
  <si>
    <t>2503-18RL</t>
  </si>
  <si>
    <t>3AKJHHDR7JSJM0578</t>
  </si>
  <si>
    <t>2504-</t>
  </si>
  <si>
    <t>2504-18L</t>
  </si>
  <si>
    <t>3AKJHHDR0JSKC6164</t>
  </si>
  <si>
    <t>2505-</t>
  </si>
  <si>
    <t>2505-18RL</t>
  </si>
  <si>
    <t>3AKJHHDR2JSJJ3885</t>
  </si>
  <si>
    <t>2507-</t>
  </si>
  <si>
    <t>2507-18</t>
  </si>
  <si>
    <t>3AKJHHDR7JSJS2694</t>
  </si>
  <si>
    <t>2500-</t>
  </si>
  <si>
    <t>2500-18AL</t>
  </si>
  <si>
    <t>3AKJHHDR9JSJS2728</t>
  </si>
  <si>
    <t>2501-</t>
  </si>
  <si>
    <t>2501-18A</t>
  </si>
  <si>
    <t>3AKJHHDR1JSJM0544</t>
  </si>
  <si>
    <t>2509-</t>
  </si>
  <si>
    <t>2509-18TL</t>
  </si>
  <si>
    <t>3AKJHHDRXJSJJ4069</t>
  </si>
  <si>
    <t>2510-</t>
  </si>
  <si>
    <t>2510-18RL</t>
  </si>
  <si>
    <t>3AKJHHDR5JSJM0580</t>
  </si>
  <si>
    <t>2511-</t>
  </si>
  <si>
    <t>2511-18L</t>
  </si>
  <si>
    <t>3AKJHHDR7JSKC6159</t>
  </si>
  <si>
    <t>2517-</t>
  </si>
  <si>
    <t>2517-18RL</t>
  </si>
  <si>
    <t>1FUJHLDR5KLKH8020</t>
  </si>
  <si>
    <t>2518-</t>
  </si>
  <si>
    <t>2518-19C</t>
  </si>
  <si>
    <t>1FUJHLDR9KLKH8022</t>
  </si>
  <si>
    <t>2519-</t>
  </si>
  <si>
    <t>2519-19C</t>
  </si>
  <si>
    <t>1FUJHLDR0KLKH8023</t>
  </si>
  <si>
    <t>2520-</t>
  </si>
  <si>
    <t>2520-19C</t>
  </si>
  <si>
    <t>1FUJHLDR1KLKH8029</t>
  </si>
  <si>
    <t>2521-</t>
  </si>
  <si>
    <t>2521-19C</t>
  </si>
  <si>
    <t>1FUJHLDR4KLKH8025</t>
  </si>
  <si>
    <t>2522-</t>
  </si>
  <si>
    <t>2522-19C</t>
  </si>
  <si>
    <t>3AKJHHDR7JSJM0564</t>
  </si>
  <si>
    <t>6755</t>
  </si>
  <si>
    <t>8899001122334455</t>
  </si>
  <si>
    <t>334455</t>
  </si>
  <si>
    <t>66666</t>
  </si>
  <si>
    <t>6666666A</t>
  </si>
  <si>
    <t>CASCADIA-TE</t>
  </si>
  <si>
    <t>3AKJHHDR4JSJS2698</t>
  </si>
  <si>
    <t>2508-</t>
  </si>
  <si>
    <t>2508-18L</t>
  </si>
  <si>
    <t>3AKJHHDR9JSJM0582</t>
  </si>
  <si>
    <t>2512-</t>
  </si>
  <si>
    <t>2512-18L</t>
  </si>
  <si>
    <t>3AKJHHDR5JSKC6161</t>
  </si>
  <si>
    <t>2514-</t>
  </si>
  <si>
    <t>2514-18RL</t>
  </si>
  <si>
    <t>3AKJHHDR5JSJM0546</t>
  </si>
  <si>
    <t>2515-</t>
  </si>
  <si>
    <t>2515-18TL</t>
  </si>
  <si>
    <t>3AKJHHDR7JSJM0581</t>
  </si>
  <si>
    <t>2516-</t>
  </si>
  <si>
    <t>2516-18L</t>
  </si>
  <si>
    <t>4V4NC9EH5KN905828</t>
  </si>
  <si>
    <t>2523-</t>
  </si>
  <si>
    <t>2523-19L</t>
  </si>
  <si>
    <t>11VJ813A1JA001344</t>
  </si>
  <si>
    <t>001344</t>
  </si>
  <si>
    <t>2021S</t>
  </si>
  <si>
    <t>2021SH</t>
  </si>
  <si>
    <t>11VJ813A3JA001345</t>
  </si>
  <si>
    <t>001345</t>
  </si>
  <si>
    <t>2022S</t>
  </si>
  <si>
    <t>2022SH</t>
  </si>
  <si>
    <t>1FUJGLDRXCLBH0077</t>
  </si>
  <si>
    <t>72496</t>
  </si>
  <si>
    <t>3AKJGLD53ESFW9406</t>
  </si>
  <si>
    <t>FW9406</t>
  </si>
  <si>
    <t>72498</t>
  </si>
  <si>
    <t>4V4NC9EH7KN904762</t>
  </si>
  <si>
    <t>2507-19L</t>
  </si>
  <si>
    <t>4V4NC9EH9KN904763</t>
  </si>
  <si>
    <t>2524-</t>
  </si>
  <si>
    <t>2524-19L</t>
  </si>
  <si>
    <t>4V4NC9EH0KN904764</t>
  </si>
  <si>
    <t>2525-</t>
  </si>
  <si>
    <t>2525-19L</t>
  </si>
  <si>
    <t>4V4NC9EH3KN905830</t>
  </si>
  <si>
    <t>2526-</t>
  </si>
  <si>
    <t>2526-19L</t>
  </si>
  <si>
    <t>3AKJHHDR8JSJS2672</t>
  </si>
  <si>
    <t>2528-</t>
  </si>
  <si>
    <t>2528-18</t>
  </si>
  <si>
    <t>3AKJHHDRXJSJS2706</t>
  </si>
  <si>
    <t>2529-</t>
  </si>
  <si>
    <t>2529-18L</t>
  </si>
  <si>
    <t>3AKJHHDR2JSJS2716</t>
  </si>
  <si>
    <t>2530-</t>
  </si>
  <si>
    <t>2530-18L</t>
  </si>
  <si>
    <t>3AKJHHDR6JSKC6170</t>
  </si>
  <si>
    <t>2531-</t>
  </si>
  <si>
    <t>2531-18RL</t>
  </si>
  <si>
    <t>3AKJHHDR1JSJS2724</t>
  </si>
  <si>
    <t>2532-</t>
  </si>
  <si>
    <t>2532-18L</t>
  </si>
  <si>
    <t>4V4NC9EH5KN905831</t>
  </si>
  <si>
    <t>2527-</t>
  </si>
  <si>
    <t>2527-19L</t>
  </si>
  <si>
    <t>4V4NC9EH7GN949143</t>
  </si>
  <si>
    <t>949143</t>
  </si>
  <si>
    <t>6756</t>
  </si>
  <si>
    <t>3ALXA7001JDJM1242</t>
  </si>
  <si>
    <t>JM1242</t>
  </si>
  <si>
    <t>72499</t>
  </si>
  <si>
    <t>COLOMBIA</t>
  </si>
  <si>
    <t>4V4NC9EJ3FN915329</t>
  </si>
  <si>
    <t>915329</t>
  </si>
  <si>
    <t>6757</t>
  </si>
  <si>
    <t>1FUJGLDR7ASAM4489</t>
  </si>
  <si>
    <t>AM4489</t>
  </si>
  <si>
    <t>6758</t>
  </si>
  <si>
    <t>4V4NC9EJ7KN905199</t>
  </si>
  <si>
    <t>6760</t>
  </si>
  <si>
    <t>4V4NC9EH7EN162190</t>
  </si>
  <si>
    <t>6759L</t>
  </si>
  <si>
    <t>3AKJHHDR2KSKS2266</t>
  </si>
  <si>
    <t>KS2266</t>
  </si>
  <si>
    <t>6761</t>
  </si>
  <si>
    <t>3AKJHHDRXKSKS2161</t>
  </si>
  <si>
    <t>KS2161</t>
  </si>
  <si>
    <t>6762L</t>
  </si>
  <si>
    <t>1FUJGLDR2JLJC9808</t>
  </si>
  <si>
    <t>JC9808</t>
  </si>
  <si>
    <t>F901</t>
  </si>
  <si>
    <t>4V4NC9EG4CN545914</t>
  </si>
  <si>
    <t>545914</t>
  </si>
  <si>
    <t>72534</t>
  </si>
  <si>
    <t>G3117</t>
  </si>
  <si>
    <t>G31171-WM</t>
  </si>
  <si>
    <t>4V4NC9EJ8EN151993</t>
  </si>
  <si>
    <t>151993</t>
  </si>
  <si>
    <t>72535</t>
  </si>
  <si>
    <t>23643</t>
  </si>
  <si>
    <t>236432-PENSKE</t>
  </si>
  <si>
    <t>1FUJGLD59GLGZ8068</t>
  </si>
  <si>
    <t>GZ8068</t>
  </si>
  <si>
    <t>R7218</t>
  </si>
  <si>
    <t>1FUJGLD56GLHC1155</t>
  </si>
  <si>
    <t>R7217</t>
  </si>
  <si>
    <t>1FUJGLDR4CSBU1328</t>
  </si>
  <si>
    <t>BU1328</t>
  </si>
  <si>
    <t>6763</t>
  </si>
  <si>
    <t>F3326</t>
  </si>
  <si>
    <t>F33266-PENSKE</t>
  </si>
  <si>
    <t>G3326</t>
  </si>
  <si>
    <t>G33266</t>
  </si>
  <si>
    <t>G3349</t>
  </si>
  <si>
    <t>G33491</t>
  </si>
  <si>
    <t>4V4NC9EH7FN908798</t>
  </si>
  <si>
    <t>71450</t>
  </si>
  <si>
    <t>3AKJHHDR3KSKS2132</t>
  </si>
  <si>
    <t>KS2132</t>
  </si>
  <si>
    <t>R316-</t>
  </si>
  <si>
    <t>R316-19H</t>
  </si>
  <si>
    <t>3AKJHHDR7KSKS2134</t>
  </si>
  <si>
    <t>KS2134</t>
  </si>
  <si>
    <t>R317-</t>
  </si>
  <si>
    <t>R317-19H</t>
  </si>
  <si>
    <t>3AKJHHDR9KSKS2135</t>
  </si>
  <si>
    <t>KS2135</t>
  </si>
  <si>
    <t>R318-</t>
  </si>
  <si>
    <t>R318-19H</t>
  </si>
  <si>
    <t>3AKJHHDR6KSKS2142</t>
  </si>
  <si>
    <t>KS2142</t>
  </si>
  <si>
    <t>R319-</t>
  </si>
  <si>
    <t>R319-19H</t>
  </si>
  <si>
    <t>3AKJHHDR3KSKS2146</t>
  </si>
  <si>
    <t>KS2146</t>
  </si>
  <si>
    <t>R320-</t>
  </si>
  <si>
    <t>R320-19H</t>
  </si>
  <si>
    <t>3AKJHHDR7KSKS2151</t>
  </si>
  <si>
    <t>KS2151</t>
  </si>
  <si>
    <t>R321-</t>
  </si>
  <si>
    <t>R321-19H</t>
  </si>
  <si>
    <t>3AKJHHDR0KSKS2153</t>
  </si>
  <si>
    <t>KS2153</t>
  </si>
  <si>
    <t>R322-</t>
  </si>
  <si>
    <t>R322-19H</t>
  </si>
  <si>
    <t>3AKJHHDR4KSKS2155</t>
  </si>
  <si>
    <t>KS2155</t>
  </si>
  <si>
    <t>R323-</t>
  </si>
  <si>
    <t>R323-19H</t>
  </si>
  <si>
    <t>3AKJHHDRXKSKS2158</t>
  </si>
  <si>
    <t>KS2158</t>
  </si>
  <si>
    <t>R324-</t>
  </si>
  <si>
    <t>R324-19H</t>
  </si>
  <si>
    <t>3AKJHHDR8KSKS2160</t>
  </si>
  <si>
    <t>KS2160</t>
  </si>
  <si>
    <t>R325-</t>
  </si>
  <si>
    <t>R325-19H</t>
  </si>
  <si>
    <t>3AKJHHDR4KSKS2169</t>
  </si>
  <si>
    <t>KS2169</t>
  </si>
  <si>
    <t>19243</t>
  </si>
  <si>
    <t>19243-19</t>
  </si>
  <si>
    <t>3AKJHHDR4KSKS2172</t>
  </si>
  <si>
    <t>KS2172</t>
  </si>
  <si>
    <t>19244</t>
  </si>
  <si>
    <t>19244-19</t>
  </si>
  <si>
    <t>3AKJHHDR9KSKS2183</t>
  </si>
  <si>
    <t>KS2183</t>
  </si>
  <si>
    <t>19245</t>
  </si>
  <si>
    <t>19245-19</t>
  </si>
  <si>
    <t>3AKJHHDR8KSKS2188</t>
  </si>
  <si>
    <t>KS2188</t>
  </si>
  <si>
    <t>19246</t>
  </si>
  <si>
    <t>19246-19</t>
  </si>
  <si>
    <t>3AKJHHDRXKSKS2189</t>
  </si>
  <si>
    <t>KS2189</t>
  </si>
  <si>
    <t>19247</t>
  </si>
  <si>
    <t>19247-19</t>
  </si>
  <si>
    <t>3AKJHHDR8KSKS2191</t>
  </si>
  <si>
    <t>KS2191</t>
  </si>
  <si>
    <t>19248</t>
  </si>
  <si>
    <t>19248-19</t>
  </si>
  <si>
    <t>3AKJHHDR5KSKS2200</t>
  </si>
  <si>
    <t>KS2200</t>
  </si>
  <si>
    <t>19249</t>
  </si>
  <si>
    <t>19249-19</t>
  </si>
  <si>
    <t>3AKJHHDR9KSKS2202</t>
  </si>
  <si>
    <t>KS2202</t>
  </si>
  <si>
    <t>19250</t>
  </si>
  <si>
    <t>19250-19</t>
  </si>
  <si>
    <t>1FUJGLD57GLGW1441</t>
  </si>
  <si>
    <t>GW1441</t>
  </si>
  <si>
    <t>72536</t>
  </si>
  <si>
    <t>3AKJGLD53GSGT5701</t>
  </si>
  <si>
    <t>GT5701</t>
  </si>
  <si>
    <t>72537</t>
  </si>
  <si>
    <t>1XKADB9X47J997887</t>
  </si>
  <si>
    <t>997887</t>
  </si>
  <si>
    <t>6764</t>
  </si>
  <si>
    <t>YARDF</t>
  </si>
  <si>
    <t>YARDFUEL</t>
  </si>
  <si>
    <t>3AKJGLDR7HSHT9810</t>
  </si>
  <si>
    <t>HT9810</t>
  </si>
  <si>
    <t>72538</t>
  </si>
  <si>
    <t>3AKJGLD52GSGR9776</t>
  </si>
  <si>
    <t>GR9776</t>
  </si>
  <si>
    <t>72539</t>
  </si>
  <si>
    <t>3AKJHHDR4KSKA2368</t>
  </si>
  <si>
    <t>2544-</t>
  </si>
  <si>
    <t>2544-19TL</t>
  </si>
  <si>
    <t>4V4NC9EG3DN148728</t>
  </si>
  <si>
    <t>148728</t>
  </si>
  <si>
    <t>R7219</t>
  </si>
  <si>
    <t>3AKJHHDR3JSJM0545</t>
  </si>
  <si>
    <t>2545-</t>
  </si>
  <si>
    <t>2545-18TL</t>
  </si>
  <si>
    <t>3AKJHHDR3KSKS2163</t>
  </si>
  <si>
    <t>KS2163</t>
  </si>
  <si>
    <t>1495-</t>
  </si>
  <si>
    <t>1495-19</t>
  </si>
  <si>
    <t>3AKJHHDR7KSKS2165</t>
  </si>
  <si>
    <t>KS2165</t>
  </si>
  <si>
    <t>1496-</t>
  </si>
  <si>
    <t>1496-19</t>
  </si>
  <si>
    <t>3AKJHHDR0KSKS2167</t>
  </si>
  <si>
    <t>KS2167</t>
  </si>
  <si>
    <t>1497-</t>
  </si>
  <si>
    <t>1497-19</t>
  </si>
  <si>
    <t>3AKJHHDR8KSKS2174</t>
  </si>
  <si>
    <t>KS2174</t>
  </si>
  <si>
    <t>1498-</t>
  </si>
  <si>
    <t>1498-19</t>
  </si>
  <si>
    <t>3AKJHHDR0KSKS2170</t>
  </si>
  <si>
    <t>KS2170</t>
  </si>
  <si>
    <t>1499-</t>
  </si>
  <si>
    <t>1499-19</t>
  </si>
  <si>
    <t>3AKJHHDR2KSKS2171</t>
  </si>
  <si>
    <t>KS2171</t>
  </si>
  <si>
    <t>1500-</t>
  </si>
  <si>
    <t>1500-19</t>
  </si>
  <si>
    <t>3AKJHHDRXKSKS2175</t>
  </si>
  <si>
    <t>KS2175</t>
  </si>
  <si>
    <t>1501-</t>
  </si>
  <si>
    <t>1501-19</t>
  </si>
  <si>
    <t>3AKJHHDR1KSKS2176</t>
  </si>
  <si>
    <t>KS2176</t>
  </si>
  <si>
    <t>1502-</t>
  </si>
  <si>
    <t>1502-19</t>
  </si>
  <si>
    <t>3AKJHHDR5KSKS2178</t>
  </si>
  <si>
    <t>KS2178</t>
  </si>
  <si>
    <t>1503-</t>
  </si>
  <si>
    <t>1503-19</t>
  </si>
  <si>
    <t>3AKJHHDR3KSKS2180</t>
  </si>
  <si>
    <t>KS2180</t>
  </si>
  <si>
    <t>1504-</t>
  </si>
  <si>
    <t>1504-19</t>
  </si>
  <si>
    <t>3AKJHHDR7KSKS2182</t>
  </si>
  <si>
    <t>KS2182</t>
  </si>
  <si>
    <t>1505-</t>
  </si>
  <si>
    <t>1505-19</t>
  </si>
  <si>
    <t>3AKJHHDR4KSKS2186</t>
  </si>
  <si>
    <t>KS2186</t>
  </si>
  <si>
    <t>1506-</t>
  </si>
  <si>
    <t>1506-19</t>
  </si>
  <si>
    <t>3AKJHHDR6KSKS2187</t>
  </si>
  <si>
    <t>KS2187</t>
  </si>
  <si>
    <t>1507-</t>
  </si>
  <si>
    <t>1507-19</t>
  </si>
  <si>
    <t>3AKJHHDR7KSKS2201</t>
  </si>
  <si>
    <t>KS2201</t>
  </si>
  <si>
    <t>1508-</t>
  </si>
  <si>
    <t>1508-19</t>
  </si>
  <si>
    <t>3AKJHHDR5KSKS2181</t>
  </si>
  <si>
    <t>KS2181</t>
  </si>
  <si>
    <t>2548-</t>
  </si>
  <si>
    <t>2548-19</t>
  </si>
  <si>
    <t>3AKJHHDR0KSKS2184</t>
  </si>
  <si>
    <t>KS2184</t>
  </si>
  <si>
    <t>2549-</t>
  </si>
  <si>
    <t>2549-19</t>
  </si>
  <si>
    <t>3AKJHHDR6KSKS2190</t>
  </si>
  <si>
    <t>KS2190</t>
  </si>
  <si>
    <t>2550-</t>
  </si>
  <si>
    <t>2550-19</t>
  </si>
  <si>
    <t>3AKJHHDRXKSKS2192</t>
  </si>
  <si>
    <t>KS2192</t>
  </si>
  <si>
    <t>2551-</t>
  </si>
  <si>
    <t>2551-19</t>
  </si>
  <si>
    <t>3AKJHHDR1KSKS2193</t>
  </si>
  <si>
    <t>KS2193</t>
  </si>
  <si>
    <t>2552-</t>
  </si>
  <si>
    <t>2552-19</t>
  </si>
  <si>
    <t>3AKJHHDR3KSKS2194</t>
  </si>
  <si>
    <t>KS2194</t>
  </si>
  <si>
    <t>2553-</t>
  </si>
  <si>
    <t>2553-19</t>
  </si>
  <si>
    <t>3AKJHHDR5KSKS2195</t>
  </si>
  <si>
    <t>KS2195</t>
  </si>
  <si>
    <t>2554-</t>
  </si>
  <si>
    <t>2554-19</t>
  </si>
  <si>
    <t>3AKJHHDR7KSKS2196</t>
  </si>
  <si>
    <t>KS2196</t>
  </si>
  <si>
    <t>2555-</t>
  </si>
  <si>
    <t>2555-19</t>
  </si>
  <si>
    <t>3AKJHHDR0KSKS2203</t>
  </si>
  <si>
    <t>KS2203</t>
  </si>
  <si>
    <t>2556-</t>
  </si>
  <si>
    <t>2556-19</t>
  </si>
  <si>
    <t>3AKJHHDR2KSKS2204</t>
  </si>
  <si>
    <t>KS2204</t>
  </si>
  <si>
    <t>2557-</t>
  </si>
  <si>
    <t>2557-19</t>
  </si>
  <si>
    <t>3AKJHHDR2KSKA2532</t>
  </si>
  <si>
    <t>2547-</t>
  </si>
  <si>
    <t>2547-19STL</t>
  </si>
  <si>
    <t>3AKJHHDR9KSKS2166</t>
  </si>
  <si>
    <t>KS2166</t>
  </si>
  <si>
    <t>6765L</t>
  </si>
  <si>
    <t>3AKJHHDRXKSKS2080</t>
  </si>
  <si>
    <t>6766</t>
  </si>
  <si>
    <t>1FUJHHDRXKLKA2483</t>
  </si>
  <si>
    <t>6767</t>
  </si>
  <si>
    <t>3AKJHHDR2JSJM0553</t>
  </si>
  <si>
    <t>2543-</t>
  </si>
  <si>
    <t>2543-18TL</t>
  </si>
  <si>
    <t>3AKJHHDR1KSKS2162</t>
  </si>
  <si>
    <t>KS2162</t>
  </si>
  <si>
    <t>19251</t>
  </si>
  <si>
    <t>19251-19</t>
  </si>
  <si>
    <t>3AKJHHDR5KSKS2164</t>
  </si>
  <si>
    <t>KS2164</t>
  </si>
  <si>
    <t>19252</t>
  </si>
  <si>
    <t>19252-19</t>
  </si>
  <si>
    <t>3AKJHHDR2KSKS2168</t>
  </si>
  <si>
    <t>KS2168</t>
  </si>
  <si>
    <t>19253</t>
  </si>
  <si>
    <t>19253-19</t>
  </si>
  <si>
    <t>3AKJHHDR6KSKS2173</t>
  </si>
  <si>
    <t>KS2173</t>
  </si>
  <si>
    <t>19254</t>
  </si>
  <si>
    <t>19254-19-SOLD</t>
  </si>
  <si>
    <t>3AKJHHDR3KSKS2177</t>
  </si>
  <si>
    <t>KS2177</t>
  </si>
  <si>
    <t>19255</t>
  </si>
  <si>
    <t>19255-19</t>
  </si>
  <si>
    <t>3AKJHHDR7KSKS2179</t>
  </si>
  <si>
    <t>KS2179</t>
  </si>
  <si>
    <t>19256</t>
  </si>
  <si>
    <t>19256-19</t>
  </si>
  <si>
    <t>3AKJHHDR9KSKS2197</t>
  </si>
  <si>
    <t>KS2197</t>
  </si>
  <si>
    <t>19257</t>
  </si>
  <si>
    <t>19257-19</t>
  </si>
  <si>
    <t>3AKJHHDR0KSKS2198</t>
  </si>
  <si>
    <t>KS2198</t>
  </si>
  <si>
    <t>19258</t>
  </si>
  <si>
    <t>19258-19</t>
  </si>
  <si>
    <t>3AKJHHDR2KSKS2199</t>
  </si>
  <si>
    <t>KS2199</t>
  </si>
  <si>
    <t>19259</t>
  </si>
  <si>
    <t>19259-19</t>
  </si>
  <si>
    <t>3AKJHHDR2KSKS2185</t>
  </si>
  <si>
    <t>KS2185</t>
  </si>
  <si>
    <t>19260</t>
  </si>
  <si>
    <t>19260-19</t>
  </si>
  <si>
    <t>1FUJHHDR1KLKA2484</t>
  </si>
  <si>
    <t>6768</t>
  </si>
  <si>
    <t>1FUJGLDR3DLBS0806</t>
  </si>
  <si>
    <t>72540</t>
  </si>
  <si>
    <t>3AKJHHDR1KSKS2131</t>
  </si>
  <si>
    <t>KS2131</t>
  </si>
  <si>
    <t>19261</t>
  </si>
  <si>
    <t>19261-19H</t>
  </si>
  <si>
    <t>3AKJHHDR5KSKS2133</t>
  </si>
  <si>
    <t>KS2133</t>
  </si>
  <si>
    <t>19262</t>
  </si>
  <si>
    <t>19262-19H</t>
  </si>
  <si>
    <t>3AKJHHDR2KSKS2140</t>
  </si>
  <si>
    <t>KS2140</t>
  </si>
  <si>
    <t>19263</t>
  </si>
  <si>
    <t>19263-19H</t>
  </si>
  <si>
    <t>3AKJHHDR8KSKS2143</t>
  </si>
  <si>
    <t>KS2143</t>
  </si>
  <si>
    <t>19264</t>
  </si>
  <si>
    <t>19264-19H</t>
  </si>
  <si>
    <t>3AKJHHDRXKSKS2144</t>
  </si>
  <si>
    <t>KS2144</t>
  </si>
  <si>
    <t>19265</t>
  </si>
  <si>
    <t>19265-19H</t>
  </si>
  <si>
    <t>3AKJHHDR7KSKS2148</t>
  </si>
  <si>
    <t>KS2148</t>
  </si>
  <si>
    <t>19266</t>
  </si>
  <si>
    <t>19266-19H</t>
  </si>
  <si>
    <t>3AKJHHDR9KSKS2149</t>
  </si>
  <si>
    <t>KS2149</t>
  </si>
  <si>
    <t>19267</t>
  </si>
  <si>
    <t>19267-19H</t>
  </si>
  <si>
    <t>3AKJHHDR9KSKS2152</t>
  </si>
  <si>
    <t>KS2152</t>
  </si>
  <si>
    <t>19268</t>
  </si>
  <si>
    <t>19268-19H</t>
  </si>
  <si>
    <t>3AKJHHDR6KSKS2156</t>
  </si>
  <si>
    <t>KS2156</t>
  </si>
  <si>
    <t>19269</t>
  </si>
  <si>
    <t>19269-19H</t>
  </si>
  <si>
    <t>3AKJHHDR1KSKS2159</t>
  </si>
  <si>
    <t>KS2159</t>
  </si>
  <si>
    <t>19270</t>
  </si>
  <si>
    <t>19270-19H</t>
  </si>
  <si>
    <t>3AKJHHDR6LSKS3549</t>
  </si>
  <si>
    <t>KS3549</t>
  </si>
  <si>
    <t>618-2</t>
  </si>
  <si>
    <t>618-20</t>
  </si>
  <si>
    <t>3AKJHHDR2LSKS3564</t>
  </si>
  <si>
    <t>KS3564</t>
  </si>
  <si>
    <t>619-2</t>
  </si>
  <si>
    <t>619-20</t>
  </si>
  <si>
    <t>3AKJHHDR8LSKS3567</t>
  </si>
  <si>
    <t>KS3567</t>
  </si>
  <si>
    <t>620-2</t>
  </si>
  <si>
    <t>620-20</t>
  </si>
  <si>
    <t>3AKJHHDR8LSKS3570</t>
  </si>
  <si>
    <t>KS3570</t>
  </si>
  <si>
    <t>621-2</t>
  </si>
  <si>
    <t>621-20</t>
  </si>
  <si>
    <t>3AKJHHDRXLSKS3585</t>
  </si>
  <si>
    <t>KS3585</t>
  </si>
  <si>
    <t>622-2</t>
  </si>
  <si>
    <t>622-20</t>
  </si>
  <si>
    <t>3AKJHHDR1LSKS3586</t>
  </si>
  <si>
    <t>KS3586</t>
  </si>
  <si>
    <t>623-2</t>
  </si>
  <si>
    <t>623-20</t>
  </si>
  <si>
    <t>3AKJHHDR3LSKS3587</t>
  </si>
  <si>
    <t>KS3587</t>
  </si>
  <si>
    <t>624-2</t>
  </si>
  <si>
    <t>624-20</t>
  </si>
  <si>
    <t>1FUJHHDR2LLKS7058</t>
  </si>
  <si>
    <t>KS7058</t>
  </si>
  <si>
    <t>626-2</t>
  </si>
  <si>
    <t>626-20</t>
  </si>
  <si>
    <t>1FUJHHDR7LLKS7072</t>
  </si>
  <si>
    <t>KS7072</t>
  </si>
  <si>
    <t>627-2</t>
  </si>
  <si>
    <t>627-20</t>
  </si>
  <si>
    <t>1FUJHHDR6LLKS7080</t>
  </si>
  <si>
    <t>KS7080</t>
  </si>
  <si>
    <t>628-2</t>
  </si>
  <si>
    <t>628-20</t>
  </si>
  <si>
    <t>3AKJHHDR1LSKS3555</t>
  </si>
  <si>
    <t>KS3555</t>
  </si>
  <si>
    <t>19271</t>
  </si>
  <si>
    <t>19271-20</t>
  </si>
  <si>
    <t>3AKJHHDR9LSKS3559</t>
  </si>
  <si>
    <t>KS3559</t>
  </si>
  <si>
    <t>19272</t>
  </si>
  <si>
    <t>19272-20</t>
  </si>
  <si>
    <t>3AKJHHDR6LSKS3566</t>
  </si>
  <si>
    <t>KS3566</t>
  </si>
  <si>
    <t>19273</t>
  </si>
  <si>
    <t>19273-20</t>
  </si>
  <si>
    <t>3AKJHHDR1LSKS3569</t>
  </si>
  <si>
    <t>KS3569</t>
  </si>
  <si>
    <t>19274</t>
  </si>
  <si>
    <t>19274-20</t>
  </si>
  <si>
    <t>3AKJHHDR8LSKS3584</t>
  </si>
  <si>
    <t>KS3584</t>
  </si>
  <si>
    <t>19275</t>
  </si>
  <si>
    <t>19275-20</t>
  </si>
  <si>
    <t>1FUJHHDR0LLKS7057</t>
  </si>
  <si>
    <t>KS7057</t>
  </si>
  <si>
    <t>19276</t>
  </si>
  <si>
    <t>19276-20</t>
  </si>
  <si>
    <t>1FUJHHDR7LLKS7069</t>
  </si>
  <si>
    <t>KS7069</t>
  </si>
  <si>
    <t>19277</t>
  </si>
  <si>
    <t>19277-20</t>
  </si>
  <si>
    <t>1FUJHHDR9LLKS7073</t>
  </si>
  <si>
    <t>KS7073</t>
  </si>
  <si>
    <t>19278</t>
  </si>
  <si>
    <t>19278-20</t>
  </si>
  <si>
    <t>1FUJHHDR2LLKS7075</t>
  </si>
  <si>
    <t>KS7075</t>
  </si>
  <si>
    <t>19279</t>
  </si>
  <si>
    <t>19279-20</t>
  </si>
  <si>
    <t>1FUJHHDR8LLKS7081</t>
  </si>
  <si>
    <t>KS7081</t>
  </si>
  <si>
    <t>19280</t>
  </si>
  <si>
    <t>19280-20</t>
  </si>
  <si>
    <t>1FUJHHDR0LLKS7060</t>
  </si>
  <si>
    <t>KS7060</t>
  </si>
  <si>
    <t>19281</t>
  </si>
  <si>
    <t>19281-20</t>
  </si>
  <si>
    <t>1FUJHHDR2LLKS7061</t>
  </si>
  <si>
    <t>KS7061</t>
  </si>
  <si>
    <t>19282</t>
  </si>
  <si>
    <t>19282-20</t>
  </si>
  <si>
    <t>1FUJHHDR4LLKS7076</t>
  </si>
  <si>
    <t>KS7076</t>
  </si>
  <si>
    <t>19283</t>
  </si>
  <si>
    <t>19283-20</t>
  </si>
  <si>
    <t>1FUJHHDRXLLKS7079</t>
  </si>
  <si>
    <t>KS7079</t>
  </si>
  <si>
    <t>19284</t>
  </si>
  <si>
    <t>19284-20</t>
  </si>
  <si>
    <t>1FUJHHDRXLLKS7082</t>
  </si>
  <si>
    <t>KS7082</t>
  </si>
  <si>
    <t>19285</t>
  </si>
  <si>
    <t>19285-20</t>
  </si>
  <si>
    <t>3AKJHHDR7LSKS3561</t>
  </si>
  <si>
    <t>KS3561</t>
  </si>
  <si>
    <t>19286</t>
  </si>
  <si>
    <t>19286-20</t>
  </si>
  <si>
    <t>3AKJHHDR5LSKS3574</t>
  </si>
  <si>
    <t>KS3574</t>
  </si>
  <si>
    <t>19287</t>
  </si>
  <si>
    <t>19287-20</t>
  </si>
  <si>
    <t>3AKJHHDR0LSKS3577</t>
  </si>
  <si>
    <t>KS3577</t>
  </si>
  <si>
    <t>19288</t>
  </si>
  <si>
    <t>19288-20</t>
  </si>
  <si>
    <t>3AKJHHDR2LSKS3581</t>
  </si>
  <si>
    <t>KS3581</t>
  </si>
  <si>
    <t>19289</t>
  </si>
  <si>
    <t>19289-20</t>
  </si>
  <si>
    <t>3AKJHHDR5LSKS3591</t>
  </si>
  <si>
    <t>KS3591</t>
  </si>
  <si>
    <t>19290</t>
  </si>
  <si>
    <t>19290-20</t>
  </si>
  <si>
    <t>3AKJHHDR0LSKS3580</t>
  </si>
  <si>
    <t>KS3580</t>
  </si>
  <si>
    <t>405-2</t>
  </si>
  <si>
    <t>405-20</t>
  </si>
  <si>
    <t>3AKJHHDR6LSKS3583</t>
  </si>
  <si>
    <t>KS3583</t>
  </si>
  <si>
    <t>406-2</t>
  </si>
  <si>
    <t>406-20</t>
  </si>
  <si>
    <t>3AKJHHDR7LSKS3589</t>
  </si>
  <si>
    <t>KS3589</t>
  </si>
  <si>
    <t>407-2</t>
  </si>
  <si>
    <t>407-20</t>
  </si>
  <si>
    <t>1FUJHHDR5LLKS7071</t>
  </si>
  <si>
    <t>KS7071</t>
  </si>
  <si>
    <t>408-2</t>
  </si>
  <si>
    <t>408-20</t>
  </si>
  <si>
    <t>1FUJHHDR6LLKS7077</t>
  </si>
  <si>
    <t>KS7077</t>
  </si>
  <si>
    <t>409-2</t>
  </si>
  <si>
    <t>409-20</t>
  </si>
  <si>
    <t>3AKJHHDR0LSKS3563</t>
  </si>
  <si>
    <t>KS3563</t>
  </si>
  <si>
    <t>1509-</t>
  </si>
  <si>
    <t>1509-20</t>
  </si>
  <si>
    <t>3AKJHHDR1LSKS3572</t>
  </si>
  <si>
    <t>KS3572</t>
  </si>
  <si>
    <t>1510-</t>
  </si>
  <si>
    <t>1510-20</t>
  </si>
  <si>
    <t>3AKJHHDR9LSKS3576</t>
  </si>
  <si>
    <t>KS3576</t>
  </si>
  <si>
    <t>1511-</t>
  </si>
  <si>
    <t>1511-20</t>
  </si>
  <si>
    <t>3AKJHHDR2LSKS3578</t>
  </si>
  <si>
    <t>KS3578</t>
  </si>
  <si>
    <t>1512-</t>
  </si>
  <si>
    <t>1512-20</t>
  </si>
  <si>
    <t>3AKJHHDR4LSKS3579</t>
  </si>
  <si>
    <t>KS3579</t>
  </si>
  <si>
    <t>1514-</t>
  </si>
  <si>
    <t>1514-20</t>
  </si>
  <si>
    <t>3AKJGLD5XFSGJ7906</t>
  </si>
  <si>
    <t>GJ7906</t>
  </si>
  <si>
    <t>R7220</t>
  </si>
  <si>
    <t>Belleville22Ritz</t>
  </si>
  <si>
    <t>4V4NC9EJ0EN172806</t>
  </si>
  <si>
    <t>172806</t>
  </si>
  <si>
    <t>R7221</t>
  </si>
  <si>
    <t>4V4NC9EH6FN925107</t>
  </si>
  <si>
    <t>925107</t>
  </si>
  <si>
    <t>79231</t>
  </si>
  <si>
    <t>1FUJGLD54FLGD7575</t>
  </si>
  <si>
    <t>GD7575</t>
  </si>
  <si>
    <t>6769</t>
  </si>
  <si>
    <t>4V4NC9EH7HN979583</t>
  </si>
  <si>
    <t>979583</t>
  </si>
  <si>
    <t>6770</t>
  </si>
  <si>
    <t>3AKJHHDR7JSJM0547</t>
  </si>
  <si>
    <t>2546-</t>
  </si>
  <si>
    <t>2546-18TL</t>
  </si>
  <si>
    <t>11VK815A6JA000031</t>
  </si>
  <si>
    <t>000031</t>
  </si>
  <si>
    <t>1718S</t>
  </si>
  <si>
    <t>1718SH</t>
  </si>
  <si>
    <t>T2 6X4</t>
  </si>
  <si>
    <t>11VK815AXJA000033</t>
  </si>
  <si>
    <t>000033</t>
  </si>
  <si>
    <t>1719S</t>
  </si>
  <si>
    <t>1719SH</t>
  </si>
  <si>
    <t>3AKJHHDR3LSKS3542</t>
  </si>
  <si>
    <t>KS3542</t>
  </si>
  <si>
    <t>5032-</t>
  </si>
  <si>
    <t>5032-20</t>
  </si>
  <si>
    <t>3AKJHHDR5LSKS3543</t>
  </si>
  <si>
    <t>KS3543</t>
  </si>
  <si>
    <t>5033-</t>
  </si>
  <si>
    <t>5033-20</t>
  </si>
  <si>
    <t>3AKJHHDR0LSKS3546</t>
  </si>
  <si>
    <t>KS3546</t>
  </si>
  <si>
    <t>5034-</t>
  </si>
  <si>
    <t>5034-20</t>
  </si>
  <si>
    <t>3AKJHHDR2LSKS3547</t>
  </si>
  <si>
    <t>KS3547</t>
  </si>
  <si>
    <t>5035-</t>
  </si>
  <si>
    <t>5035-20</t>
  </si>
  <si>
    <t>3AKJHHDRXLSKS3554</t>
  </si>
  <si>
    <t>KS3554</t>
  </si>
  <si>
    <t>5036-</t>
  </si>
  <si>
    <t>5036-20</t>
  </si>
  <si>
    <t>3AKJHHDR5LSKS3557</t>
  </si>
  <si>
    <t>KS3557</t>
  </si>
  <si>
    <t>5037-</t>
  </si>
  <si>
    <t>5037-20</t>
  </si>
  <si>
    <t>3AKJHHDR5LSKS3560</t>
  </si>
  <si>
    <t>KS3560</t>
  </si>
  <si>
    <t>5038-</t>
  </si>
  <si>
    <t>5038-20</t>
  </si>
  <si>
    <t>3AKJHHDR4LSKS3565</t>
  </si>
  <si>
    <t>KS3565</t>
  </si>
  <si>
    <t>5039-</t>
  </si>
  <si>
    <t>5039-20</t>
  </si>
  <si>
    <t>3AKJHHDRXLSKS3568</t>
  </si>
  <si>
    <t>KS3568</t>
  </si>
  <si>
    <t>5040-</t>
  </si>
  <si>
    <t>5040-20</t>
  </si>
  <si>
    <t>3AKJHHDR7LSKS3575</t>
  </si>
  <si>
    <t>KS3575</t>
  </si>
  <si>
    <t>5041-</t>
  </si>
  <si>
    <t>5041-20</t>
  </si>
  <si>
    <t>3AKJHHDR4LSKS3582</t>
  </si>
  <si>
    <t>KS3582</t>
  </si>
  <si>
    <t>5042-</t>
  </si>
  <si>
    <t>5042-20</t>
  </si>
  <si>
    <t>1FUJHHDR4LLKS7059</t>
  </si>
  <si>
    <t>KS7059</t>
  </si>
  <si>
    <t>5043-</t>
  </si>
  <si>
    <t>5043-20</t>
  </si>
  <si>
    <t>1FUJHHDR4LLKS7062</t>
  </si>
  <si>
    <t>KS7062</t>
  </si>
  <si>
    <t>5044-</t>
  </si>
  <si>
    <t>5044-20</t>
  </si>
  <si>
    <t>1FUJHHDR6LLKS7063</t>
  </si>
  <si>
    <t>KS7063</t>
  </si>
  <si>
    <t>5045-</t>
  </si>
  <si>
    <t>5045-20</t>
  </si>
  <si>
    <t>1FUJHHDRXLLKS7065</t>
  </si>
  <si>
    <t>KS7065</t>
  </si>
  <si>
    <t>5046-</t>
  </si>
  <si>
    <t>5046-20</t>
  </si>
  <si>
    <t>1FUJHHDR1LLKS7066</t>
  </si>
  <si>
    <t>KS7066</t>
  </si>
  <si>
    <t>5047-</t>
  </si>
  <si>
    <t>5047-20</t>
  </si>
  <si>
    <t>1FUJHHDR3LLKS7070</t>
  </si>
  <si>
    <t>KS7070</t>
  </si>
  <si>
    <t>5048-</t>
  </si>
  <si>
    <t>5048-20</t>
  </si>
  <si>
    <t>1FUJHHDR0LLKS7074</t>
  </si>
  <si>
    <t>KS7074</t>
  </si>
  <si>
    <t>5050-</t>
  </si>
  <si>
    <t>5050-20</t>
  </si>
  <si>
    <t>1FUJHHDR8LLKS7078</t>
  </si>
  <si>
    <t>KS7078</t>
  </si>
  <si>
    <t>5051-</t>
  </si>
  <si>
    <t>5051-20</t>
  </si>
  <si>
    <t>1FUJHHDR1LLKS7083</t>
  </si>
  <si>
    <t>KS7083</t>
  </si>
  <si>
    <t>5052-</t>
  </si>
  <si>
    <t>5052-20</t>
  </si>
  <si>
    <t>4V4NC9EH4DN565798</t>
  </si>
  <si>
    <t>R7222</t>
  </si>
  <si>
    <t>2HSCNAPT86C008862</t>
  </si>
  <si>
    <t>008862</t>
  </si>
  <si>
    <t>R7223</t>
  </si>
  <si>
    <t>4V4N09GH26N409730</t>
  </si>
  <si>
    <t>409730</t>
  </si>
  <si>
    <t>R7224</t>
  </si>
  <si>
    <t>StoneyCreek809Barton</t>
  </si>
  <si>
    <t>SRVPL</t>
  </si>
  <si>
    <t>SRVPLATE1</t>
  </si>
  <si>
    <t>SRVPLATE2</t>
  </si>
  <si>
    <t>SRVPLATE3</t>
  </si>
  <si>
    <t>3AKJHHDR7LSKS3544</t>
  </si>
  <si>
    <t>KS3544</t>
  </si>
  <si>
    <t>19291</t>
  </si>
  <si>
    <t>19291-20</t>
  </si>
  <si>
    <t>3AKJHHDR9LSKS3545</t>
  </si>
  <si>
    <t>KS3545</t>
  </si>
  <si>
    <t>19292</t>
  </si>
  <si>
    <t>19292-20</t>
  </si>
  <si>
    <t>3AKJHHDR4LSKS3548</t>
  </si>
  <si>
    <t>KS3548</t>
  </si>
  <si>
    <t>19293</t>
  </si>
  <si>
    <t>19293-20</t>
  </si>
  <si>
    <t>3AKJHHDR2LSKS3550</t>
  </si>
  <si>
    <t>KS3550</t>
  </si>
  <si>
    <t>19294</t>
  </si>
  <si>
    <t>19294-20</t>
  </si>
  <si>
    <t>3AKJHHDR4LSKS3551</t>
  </si>
  <si>
    <t>KS3551</t>
  </si>
  <si>
    <t>19295</t>
  </si>
  <si>
    <t>19295-20</t>
  </si>
  <si>
    <t>3AKJHHDR6LSKS3552</t>
  </si>
  <si>
    <t>KS3552</t>
  </si>
  <si>
    <t>19296</t>
  </si>
  <si>
    <t>19296-20</t>
  </si>
  <si>
    <t>3AKJHHDR8LSKS3553</t>
  </si>
  <si>
    <t>KS3553</t>
  </si>
  <si>
    <t>19297</t>
  </si>
  <si>
    <t>19297-20</t>
  </si>
  <si>
    <t>3AKJHHDR3LSKS3556</t>
  </si>
  <si>
    <t>KS3556</t>
  </si>
  <si>
    <t>19298</t>
  </si>
  <si>
    <t>19298-20</t>
  </si>
  <si>
    <t>3AKJHHDR7LSKS3558</t>
  </si>
  <si>
    <t>KS3558</t>
  </si>
  <si>
    <t>19299</t>
  </si>
  <si>
    <t>19299-20</t>
  </si>
  <si>
    <t>3AKJHHDR9LSKS3562</t>
  </si>
  <si>
    <t>KS3562</t>
  </si>
  <si>
    <t>19301</t>
  </si>
  <si>
    <t>19301-20</t>
  </si>
  <si>
    <t>3AKJHHDRXLSKS3571</t>
  </si>
  <si>
    <t>KS3571</t>
  </si>
  <si>
    <t>R326-</t>
  </si>
  <si>
    <t>R326-20</t>
  </si>
  <si>
    <t>3AKJHHDR3LSKS3573</t>
  </si>
  <si>
    <t>KS3573</t>
  </si>
  <si>
    <t>R327-</t>
  </si>
  <si>
    <t>R327-20</t>
  </si>
  <si>
    <t>3AKJHHDR5LSKS3588</t>
  </si>
  <si>
    <t>KS3588</t>
  </si>
  <si>
    <t>R329-</t>
  </si>
  <si>
    <t>R329-20</t>
  </si>
  <si>
    <t>3AKJHHDR3LSKS3590</t>
  </si>
  <si>
    <t>KS3590</t>
  </si>
  <si>
    <t>R330-</t>
  </si>
  <si>
    <t>R330-20</t>
  </si>
  <si>
    <t>1FUJHHDR8LLKS3595</t>
  </si>
  <si>
    <t>KS3595</t>
  </si>
  <si>
    <t>R331-</t>
  </si>
  <si>
    <t>R331-20</t>
  </si>
  <si>
    <t>1FUJHHDR3LLKS7067</t>
  </si>
  <si>
    <t>KS7067</t>
  </si>
  <si>
    <t>R332-</t>
  </si>
  <si>
    <t>R332-20</t>
  </si>
  <si>
    <t>1FUJHHDR5LLKS7068</t>
  </si>
  <si>
    <t>KS7068</t>
  </si>
  <si>
    <t>R333-</t>
  </si>
  <si>
    <t>R333-20</t>
  </si>
  <si>
    <t>1FUJHHDR1LLKS3597</t>
  </si>
  <si>
    <t>KS3597</t>
  </si>
  <si>
    <t>R334-</t>
  </si>
  <si>
    <t>R334-20</t>
  </si>
  <si>
    <t>1FUJHHDR8LLKS7064</t>
  </si>
  <si>
    <t>KS7064</t>
  </si>
  <si>
    <t>R335-</t>
  </si>
  <si>
    <t>R335-20</t>
  </si>
  <si>
    <t>1FUJHHDR2LLKS3592</t>
  </si>
  <si>
    <t>KS3592</t>
  </si>
  <si>
    <t>R336-</t>
  </si>
  <si>
    <t>R336-20</t>
  </si>
  <si>
    <t>3AKJHHDR5KSKA2427</t>
  </si>
  <si>
    <t>6771</t>
  </si>
  <si>
    <t>3AKJHHDR0JSJJ3898</t>
  </si>
  <si>
    <t>6772</t>
  </si>
  <si>
    <t>3AKJHHDR6JSJC9812</t>
  </si>
  <si>
    <t>6773</t>
  </si>
  <si>
    <t>4V4NC9GH55N379475</t>
  </si>
  <si>
    <t>379475</t>
  </si>
  <si>
    <t>6774</t>
  </si>
  <si>
    <t>4V4NC9EJ4BN295603</t>
  </si>
  <si>
    <t>295603</t>
  </si>
  <si>
    <t>6775</t>
  </si>
  <si>
    <t>4V4NC9EJ3DN564371</t>
  </si>
  <si>
    <t>564371</t>
  </si>
  <si>
    <t>6776</t>
  </si>
  <si>
    <t>1FUJGLDR7HLHV7669</t>
  </si>
  <si>
    <t>6777</t>
  </si>
  <si>
    <t>1XKADU9X68J936487</t>
  </si>
  <si>
    <t>936487</t>
  </si>
  <si>
    <t>6778</t>
  </si>
  <si>
    <t>3AKJHHDR0KSKS2136</t>
  </si>
  <si>
    <t>KS2136</t>
  </si>
  <si>
    <t>R338-</t>
  </si>
  <si>
    <t>R338-19H</t>
  </si>
  <si>
    <t>3AKJHHDR2KSKS2137</t>
  </si>
  <si>
    <t>KS2137</t>
  </si>
  <si>
    <t>R339-</t>
  </si>
  <si>
    <t>R339-19H</t>
  </si>
  <si>
    <t>3AKJHHDR4KSKS2138</t>
  </si>
  <si>
    <t>KS2138</t>
  </si>
  <si>
    <t>R340-</t>
  </si>
  <si>
    <t>R340-19H</t>
  </si>
  <si>
    <t>3AKJHHDR6KSKS2139</t>
  </si>
  <si>
    <t>KS2139</t>
  </si>
  <si>
    <t>R341-</t>
  </si>
  <si>
    <t>R341-19H</t>
  </si>
  <si>
    <t>3AKJHHDR4KSKS2141</t>
  </si>
  <si>
    <t>KS2141</t>
  </si>
  <si>
    <t>R342-</t>
  </si>
  <si>
    <t>R342-19H</t>
  </si>
  <si>
    <t>AKJHHDR1KSKS2145</t>
  </si>
  <si>
    <t>KS2145</t>
  </si>
  <si>
    <t>R343-</t>
  </si>
  <si>
    <t>R343-19H</t>
  </si>
  <si>
    <t>CASCADIA(P4)</t>
  </si>
  <si>
    <t>AKJHHDR5KSKS2147</t>
  </si>
  <si>
    <t>KS2147</t>
  </si>
  <si>
    <t>R344-</t>
  </si>
  <si>
    <t>R344-19H</t>
  </si>
  <si>
    <t>AKJHHDR5KSKS2150</t>
  </si>
  <si>
    <t>KS2150</t>
  </si>
  <si>
    <t>R345-</t>
  </si>
  <si>
    <t>R345-19H</t>
  </si>
  <si>
    <t>AKJHHDR2KSKS2154</t>
  </si>
  <si>
    <t>KS2154</t>
  </si>
  <si>
    <t>R347-</t>
  </si>
  <si>
    <t>R347-19H</t>
  </si>
  <si>
    <t>AKJHHDR8KSKS2157</t>
  </si>
  <si>
    <t>KS2157</t>
  </si>
  <si>
    <t>R348-</t>
  </si>
  <si>
    <t>R348-19H</t>
  </si>
  <si>
    <t>5KJJALCVX7PX47507</t>
  </si>
  <si>
    <t>X47507</t>
  </si>
  <si>
    <t>72541</t>
  </si>
  <si>
    <t>conventional</t>
  </si>
  <si>
    <t>1FUJGLD58FLGM1102</t>
  </si>
  <si>
    <t>GM1102</t>
  </si>
  <si>
    <t>R7225</t>
  </si>
  <si>
    <t>1XP5D49X04N834438</t>
  </si>
  <si>
    <t>834438</t>
  </si>
  <si>
    <t>R7226</t>
  </si>
  <si>
    <t>PETER</t>
  </si>
  <si>
    <t>1165</t>
  </si>
  <si>
    <t>4V4NC9EH7KN904115</t>
  </si>
  <si>
    <t>904115</t>
  </si>
  <si>
    <t>6779</t>
  </si>
  <si>
    <t>1XKYD49X5FJ976488</t>
  </si>
  <si>
    <t>6780</t>
  </si>
  <si>
    <t>1FUJHHDR4LLKS3593</t>
  </si>
  <si>
    <t>KS3593</t>
  </si>
  <si>
    <t>19302</t>
  </si>
  <si>
    <t>19302-20</t>
  </si>
  <si>
    <t>1FUJHHDR6LLKS3594</t>
  </si>
  <si>
    <t>KS3594</t>
  </si>
  <si>
    <t>19303</t>
  </si>
  <si>
    <t>19303-20</t>
  </si>
  <si>
    <t>1FUJHHDRXLLKS3596</t>
  </si>
  <si>
    <t>KS3596</t>
  </si>
  <si>
    <t>19304</t>
  </si>
  <si>
    <t>19304-20</t>
  </si>
  <si>
    <t>1FUJHHDR3LLKS3598</t>
  </si>
  <si>
    <t>KS3598</t>
  </si>
  <si>
    <t>19305</t>
  </si>
  <si>
    <t>19305-20</t>
  </si>
  <si>
    <t>1FUJHHDR5LLKS3599</t>
  </si>
  <si>
    <t>KS3599</t>
  </si>
  <si>
    <t>19306</t>
  </si>
  <si>
    <t>19306-20</t>
  </si>
  <si>
    <t>1FUJHHDR8LLKS3600</t>
  </si>
  <si>
    <t>KS3600</t>
  </si>
  <si>
    <t>19307</t>
  </si>
  <si>
    <t>19307-20</t>
  </si>
  <si>
    <t>1FUJHHDRXLLKS3601</t>
  </si>
  <si>
    <t>KS3601</t>
  </si>
  <si>
    <t>19308</t>
  </si>
  <si>
    <t>19308-20</t>
  </si>
  <si>
    <t>1FUJHHDR1LLKS3602</t>
  </si>
  <si>
    <t>KS3602</t>
  </si>
  <si>
    <t>19309</t>
  </si>
  <si>
    <t>19309-20</t>
  </si>
  <si>
    <t>1FUJHHDR3LLKS3603</t>
  </si>
  <si>
    <t>KS3603</t>
  </si>
  <si>
    <t>19310</t>
  </si>
  <si>
    <t>19310-20</t>
  </si>
  <si>
    <t>1FUJHHDR5LLKS3604</t>
  </si>
  <si>
    <t>KS3604</t>
  </si>
  <si>
    <t>19311</t>
  </si>
  <si>
    <t>19311-20</t>
  </si>
  <si>
    <t>1FUJHHDR7LLKS3605</t>
  </si>
  <si>
    <t>KS3605</t>
  </si>
  <si>
    <t>19312</t>
  </si>
  <si>
    <t>19312-20</t>
  </si>
  <si>
    <t>1FUJHHDR9LLKS3606</t>
  </si>
  <si>
    <t>KS3606</t>
  </si>
  <si>
    <t>19314</t>
  </si>
  <si>
    <t>19314-20</t>
  </si>
  <si>
    <t>1FUJHHDR0LLKS3607</t>
  </si>
  <si>
    <t>KS3607</t>
  </si>
  <si>
    <t>19315</t>
  </si>
  <si>
    <t>19315-20</t>
  </si>
  <si>
    <t>1FUJHHDR2LLKS3608</t>
  </si>
  <si>
    <t>KS3608</t>
  </si>
  <si>
    <t>5054-</t>
  </si>
  <si>
    <t>5054-20</t>
  </si>
  <si>
    <t>1FUJHHDR4LLKS3609</t>
  </si>
  <si>
    <t>KS3609</t>
  </si>
  <si>
    <t>19317</t>
  </si>
  <si>
    <t>19317-20</t>
  </si>
  <si>
    <t>1FUJHHDR0LLKS3610</t>
  </si>
  <si>
    <t>KS3610</t>
  </si>
  <si>
    <t>19318</t>
  </si>
  <si>
    <t>19318-20</t>
  </si>
  <si>
    <t>1FUJHHDR2LLKS3611</t>
  </si>
  <si>
    <t>KS3611</t>
  </si>
  <si>
    <t>19319</t>
  </si>
  <si>
    <t>19319-20</t>
  </si>
  <si>
    <t>1FUJHHDR4LLKS3612</t>
  </si>
  <si>
    <t>KS3612</t>
  </si>
  <si>
    <t>5055-</t>
  </si>
  <si>
    <t>5055-20</t>
  </si>
  <si>
    <t>1FUJHHDR6LLKS3613</t>
  </si>
  <si>
    <t>KS3613</t>
  </si>
  <si>
    <t>19321</t>
  </si>
  <si>
    <t>19321-20</t>
  </si>
  <si>
    <t>1FUJHHDR8LLKS3614</t>
  </si>
  <si>
    <t>KS3614</t>
  </si>
  <si>
    <t>5056-</t>
  </si>
  <si>
    <t>5056-20</t>
  </si>
  <si>
    <t>1FUJHHDRXLLKS3615</t>
  </si>
  <si>
    <t>KS3615</t>
  </si>
  <si>
    <t>19323</t>
  </si>
  <si>
    <t>19323-20</t>
  </si>
  <si>
    <t>1FUJHHDR1LLKS3616</t>
  </si>
  <si>
    <t>KS3616</t>
  </si>
  <si>
    <t>19324</t>
  </si>
  <si>
    <t>19324-20</t>
  </si>
  <si>
    <t>1FUJHHDR3LLKS3617</t>
  </si>
  <si>
    <t>KS3617</t>
  </si>
  <si>
    <t>19325</t>
  </si>
  <si>
    <t>19325-20</t>
  </si>
  <si>
    <t>1FUJHHDR5LLKS3618</t>
  </si>
  <si>
    <t>KS3618</t>
  </si>
  <si>
    <t>19326</t>
  </si>
  <si>
    <t>19326-20</t>
  </si>
  <si>
    <t>1FUJHHDR7LLKS3619</t>
  </si>
  <si>
    <t>KS3619</t>
  </si>
  <si>
    <t>19327</t>
  </si>
  <si>
    <t>19327-20</t>
  </si>
  <si>
    <t>1FUJHHDR3LLKS3620</t>
  </si>
  <si>
    <t>KS3620</t>
  </si>
  <si>
    <t>19328</t>
  </si>
  <si>
    <t>19328-20</t>
  </si>
  <si>
    <t>3AKJHHDR4KSKA2466</t>
  </si>
  <si>
    <t>KA2466</t>
  </si>
  <si>
    <t>2559-</t>
  </si>
  <si>
    <t>2559-19R-SOLD</t>
  </si>
  <si>
    <t>3AKJHHDR4KSKA2399</t>
  </si>
  <si>
    <t>KA2399</t>
  </si>
  <si>
    <t>2560-</t>
  </si>
  <si>
    <t>2560-19R-SOLD</t>
  </si>
  <si>
    <t>1FUJGLDR0BSAX8145</t>
  </si>
  <si>
    <t>72542</t>
  </si>
  <si>
    <t>1FUJGLD51GLGT7474</t>
  </si>
  <si>
    <t>GT7474</t>
  </si>
  <si>
    <t>6781</t>
  </si>
  <si>
    <t>56457</t>
  </si>
  <si>
    <t>56457-D-TR</t>
  </si>
  <si>
    <t>3ALXA7CGXGDHB5918</t>
  </si>
  <si>
    <t>HB5918</t>
  </si>
  <si>
    <t>72561</t>
  </si>
  <si>
    <t>3AKJHHDRXKSKN8724</t>
  </si>
  <si>
    <t>KN8724</t>
  </si>
  <si>
    <t>72533</t>
  </si>
  <si>
    <t>4V4NC9EH9CN559994</t>
  </si>
  <si>
    <t>559994</t>
  </si>
  <si>
    <t>R7227</t>
  </si>
  <si>
    <t>4V4NC9EH8FN189528</t>
  </si>
  <si>
    <t>71451</t>
  </si>
  <si>
    <t>4V4NC9EH7FN925259</t>
  </si>
  <si>
    <t>925259</t>
  </si>
  <si>
    <t>R7228</t>
  </si>
  <si>
    <t xml:space="preserve">VOLVO </t>
  </si>
  <si>
    <t>1FUJF6CK36DV47339</t>
  </si>
  <si>
    <t>V47339</t>
  </si>
  <si>
    <t>R7229</t>
  </si>
  <si>
    <t>00143</t>
  </si>
  <si>
    <t>FK705</t>
  </si>
  <si>
    <t>8FGCU25</t>
  </si>
  <si>
    <t>00145</t>
  </si>
  <si>
    <t>FK706</t>
  </si>
  <si>
    <t>1FUJGLDRXCSBB9961</t>
  </si>
  <si>
    <t>72562</t>
  </si>
  <si>
    <t>4V4NC9EH6KN193040</t>
  </si>
  <si>
    <t>193040</t>
  </si>
  <si>
    <t>6782</t>
  </si>
  <si>
    <t>1FUJBBCK55LN82537</t>
  </si>
  <si>
    <t>N82537</t>
  </si>
  <si>
    <t>6783</t>
  </si>
  <si>
    <t>1FUJGLDR9CSBU1339</t>
  </si>
  <si>
    <t>BU1339</t>
  </si>
  <si>
    <t>R7230</t>
  </si>
  <si>
    <t>3AKJHHDR8JSJJ3891</t>
  </si>
  <si>
    <t>5053-</t>
  </si>
  <si>
    <t>5053-18-SOLD</t>
  </si>
  <si>
    <t>1FUJGLDRXDLFH0223</t>
  </si>
  <si>
    <t>FH0223</t>
  </si>
  <si>
    <t>72563</t>
  </si>
  <si>
    <t>11VJ813A6KA000076</t>
  </si>
  <si>
    <t>000076</t>
  </si>
  <si>
    <t>2023S</t>
  </si>
  <si>
    <t>2023SH</t>
  </si>
  <si>
    <t>11VJ813A8KA000077</t>
  </si>
  <si>
    <t>000077</t>
  </si>
  <si>
    <t>2024S</t>
  </si>
  <si>
    <t>2024SH</t>
  </si>
  <si>
    <t>3AKJHHDR8KSKA2504</t>
  </si>
  <si>
    <t>6784</t>
  </si>
  <si>
    <t>1XKADP9X7DJ963631</t>
  </si>
  <si>
    <t>963631</t>
  </si>
  <si>
    <t>6785</t>
  </si>
  <si>
    <t>3AKJHHDR0JSJR9343</t>
  </si>
  <si>
    <t>JR9343</t>
  </si>
  <si>
    <t>72565</t>
  </si>
  <si>
    <t>3AKJHHDR3JSJJ3880</t>
  </si>
  <si>
    <t>5057-</t>
  </si>
  <si>
    <t>5057-18</t>
  </si>
  <si>
    <t>3AKJHHDR5JSJJ3881</t>
  </si>
  <si>
    <t>5059-</t>
  </si>
  <si>
    <t>5059-18-SOLD</t>
  </si>
  <si>
    <t>3AKJHHDRXJSJC9828</t>
  </si>
  <si>
    <t>5062-</t>
  </si>
  <si>
    <t>5062-18-SOLD</t>
  </si>
  <si>
    <t>3AKJHHDR4JSJC9825</t>
  </si>
  <si>
    <t>5064-</t>
  </si>
  <si>
    <t>5064-18-SOLD</t>
  </si>
  <si>
    <t>3AKJHHDR0JSJJ3884</t>
  </si>
  <si>
    <t>5060-</t>
  </si>
  <si>
    <t>5060-18-SOLD</t>
  </si>
  <si>
    <t>3AKJHHDR5JSJJ3895</t>
  </si>
  <si>
    <t>5061-</t>
  </si>
  <si>
    <t>5061-18-SOLD</t>
  </si>
  <si>
    <t>3AKJHHDR4JSJJ3886</t>
  </si>
  <si>
    <t>5063-</t>
  </si>
  <si>
    <t>5063-18-SOLD</t>
  </si>
  <si>
    <t>4V4NC9EG4CN560686</t>
  </si>
  <si>
    <t>72564</t>
  </si>
  <si>
    <t>3AKJGLD6XESFZ5123</t>
  </si>
  <si>
    <t>FZ5123</t>
  </si>
  <si>
    <t>72566</t>
  </si>
  <si>
    <t>1FUJHHDR5LLKS3621</t>
  </si>
  <si>
    <t>KS3621</t>
  </si>
  <si>
    <t>5067-</t>
  </si>
  <si>
    <t>5067-20</t>
  </si>
  <si>
    <t>3AKJHHDR1LSKS3622</t>
  </si>
  <si>
    <t>KS3622</t>
  </si>
  <si>
    <t>5068-</t>
  </si>
  <si>
    <t>5068-20</t>
  </si>
  <si>
    <t>3AKJHHDR3LSKS3623</t>
  </si>
  <si>
    <t>KS3623</t>
  </si>
  <si>
    <t>5069-</t>
  </si>
  <si>
    <t>5069-20</t>
  </si>
  <si>
    <t>3AKJHHDR5LSKS3624</t>
  </si>
  <si>
    <t>KS3624</t>
  </si>
  <si>
    <t>5070-</t>
  </si>
  <si>
    <t>5070-20</t>
  </si>
  <si>
    <t>3AKJHHDR7LSKS3625</t>
  </si>
  <si>
    <t>KS3625</t>
  </si>
  <si>
    <t>5072-</t>
  </si>
  <si>
    <t>5072-20</t>
  </si>
  <si>
    <t>3AKJHHDR9LSKS3626</t>
  </si>
  <si>
    <t>KS3626</t>
  </si>
  <si>
    <t>5073-</t>
  </si>
  <si>
    <t>5073-20</t>
  </si>
  <si>
    <t>1FUJHHDR3LLKS7084</t>
  </si>
  <si>
    <t>KS7084</t>
  </si>
  <si>
    <t>5074-</t>
  </si>
  <si>
    <t>5074-20</t>
  </si>
  <si>
    <t>1FUJHHDR5LLKS7085</t>
  </si>
  <si>
    <t>KS7085</t>
  </si>
  <si>
    <t>5075-</t>
  </si>
  <si>
    <t>5075-20</t>
  </si>
  <si>
    <t>1FUJHHDR7LLKS7086</t>
  </si>
  <si>
    <t>KS7086</t>
  </si>
  <si>
    <t>5076-</t>
  </si>
  <si>
    <t>5076-20</t>
  </si>
  <si>
    <t>1FUJHHDR9LLKS7087</t>
  </si>
  <si>
    <t>KS7087</t>
  </si>
  <si>
    <t>5077-</t>
  </si>
  <si>
    <t>5077-20</t>
  </si>
  <si>
    <t>1FUJHHDR2LLKS7089</t>
  </si>
  <si>
    <t>KS7089</t>
  </si>
  <si>
    <t>5078-</t>
  </si>
  <si>
    <t>5078-20</t>
  </si>
  <si>
    <t>1FUJHHDR9LLKS7090</t>
  </si>
  <si>
    <t>KS7090</t>
  </si>
  <si>
    <t>5079-</t>
  </si>
  <si>
    <t>5079-20</t>
  </si>
  <si>
    <t>1FUJHHDR0LLKS7091</t>
  </si>
  <si>
    <t>KS7091</t>
  </si>
  <si>
    <t>5081-</t>
  </si>
  <si>
    <t>5081-20</t>
  </si>
  <si>
    <t>1FUJHHDR2LLKS7092</t>
  </si>
  <si>
    <t>KS7092</t>
  </si>
  <si>
    <t>5082-</t>
  </si>
  <si>
    <t>5082-20</t>
  </si>
  <si>
    <t>1FUJHHDR4LLKS7093</t>
  </si>
  <si>
    <t>KS7093</t>
  </si>
  <si>
    <t>5083-</t>
  </si>
  <si>
    <t>5083-20</t>
  </si>
  <si>
    <t>1FUJHHDR6LLKS7094</t>
  </si>
  <si>
    <t>KS7094</t>
  </si>
  <si>
    <t>5084-</t>
  </si>
  <si>
    <t>5084-20</t>
  </si>
  <si>
    <t>1FUJHHDRXLLKS7096</t>
  </si>
  <si>
    <t>KS7096</t>
  </si>
  <si>
    <t>5085-</t>
  </si>
  <si>
    <t>5085-20</t>
  </si>
  <si>
    <t>1FUJHHDR1LLKS7097</t>
  </si>
  <si>
    <t>KS7097</t>
  </si>
  <si>
    <t>5086-</t>
  </si>
  <si>
    <t>5086-20</t>
  </si>
  <si>
    <t>1FUJHHDR5LLKS7099</t>
  </si>
  <si>
    <t>KS7099</t>
  </si>
  <si>
    <t>5087-</t>
  </si>
  <si>
    <t>5087-20</t>
  </si>
  <si>
    <t>1FUJHHDR8LLKS7100</t>
  </si>
  <si>
    <t>KS7100</t>
  </si>
  <si>
    <t>5088-</t>
  </si>
  <si>
    <t>5088-20</t>
  </si>
  <si>
    <t>3AKJHHDR9JSKC6163</t>
  </si>
  <si>
    <t>6786</t>
  </si>
  <si>
    <t>3AKJHHDR2JSJJ3899</t>
  </si>
  <si>
    <t>5089-</t>
  </si>
  <si>
    <t>5089-18-SOLD</t>
  </si>
  <si>
    <t>3AKJHHDRXJSJJ3889</t>
  </si>
  <si>
    <t>5065-</t>
  </si>
  <si>
    <t>5065-18-SOLD</t>
  </si>
  <si>
    <t>3AKJHHDR1JSJC9832</t>
  </si>
  <si>
    <t>5066-</t>
  </si>
  <si>
    <t>5066-18-SOLD</t>
  </si>
  <si>
    <t>3AKJHHDR8KSKA2499</t>
  </si>
  <si>
    <t>6787</t>
  </si>
  <si>
    <t>3AKJGLD50FSGB2645</t>
  </si>
  <si>
    <t>GB2645</t>
  </si>
  <si>
    <t>72567</t>
  </si>
  <si>
    <t>3AKJHHDR0JSJS2701</t>
  </si>
  <si>
    <t>5090-</t>
  </si>
  <si>
    <t>5090-18</t>
  </si>
  <si>
    <t>3AKJHHDR7JSJS2727</t>
  </si>
  <si>
    <t>5091-</t>
  </si>
  <si>
    <t>5091-18</t>
  </si>
  <si>
    <t>3AKJHHDR5JSJS2709</t>
  </si>
  <si>
    <t>5092-</t>
  </si>
  <si>
    <t>5092-18L</t>
  </si>
  <si>
    <t>3AKJHHDR8JSJM0556</t>
  </si>
  <si>
    <t>5093-</t>
  </si>
  <si>
    <t>5093-18T</t>
  </si>
  <si>
    <t>4V4NC9EG6CN552394</t>
  </si>
  <si>
    <t>552394</t>
  </si>
  <si>
    <t>72568</t>
  </si>
  <si>
    <t>780</t>
  </si>
  <si>
    <t>1FUJHHDR8LLKS7095</t>
  </si>
  <si>
    <t>KS7095</t>
  </si>
  <si>
    <t>1515-</t>
  </si>
  <si>
    <t>1515-20</t>
  </si>
  <si>
    <t>1FUJHHDRXLLKS7101</t>
  </si>
  <si>
    <t>KS7101</t>
  </si>
  <si>
    <t>1517-</t>
  </si>
  <si>
    <t>1517-20</t>
  </si>
  <si>
    <t>1FUJHHDR1LLKS7102</t>
  </si>
  <si>
    <t>KS7102</t>
  </si>
  <si>
    <t>1518-</t>
  </si>
  <si>
    <t>1518-20</t>
  </si>
  <si>
    <t>1FUJHHDR3LLKS7103</t>
  </si>
  <si>
    <t>KS7103</t>
  </si>
  <si>
    <t>1519-</t>
  </si>
  <si>
    <t>1519-20</t>
  </si>
  <si>
    <t>1FUJHHDR5LLKS7104</t>
  </si>
  <si>
    <t>KS7104</t>
  </si>
  <si>
    <t>1520-</t>
  </si>
  <si>
    <t>1520-20</t>
  </si>
  <si>
    <t>1FUJHHDR7LLKS7105</t>
  </si>
  <si>
    <t>KS7105</t>
  </si>
  <si>
    <t>1521-</t>
  </si>
  <si>
    <t>1521-20</t>
  </si>
  <si>
    <t>1FUJHHDR9LLKS7106</t>
  </si>
  <si>
    <t>KS7106</t>
  </si>
  <si>
    <t>1522-</t>
  </si>
  <si>
    <t>1522-20</t>
  </si>
  <si>
    <t>1FUJHHDR6LLKS3627</t>
  </si>
  <si>
    <t>KS3627</t>
  </si>
  <si>
    <t>1523-</t>
  </si>
  <si>
    <t>1523-20</t>
  </si>
  <si>
    <t>1FUJHHDR8LLKS3628</t>
  </si>
  <si>
    <t>KS3628</t>
  </si>
  <si>
    <t>1524-</t>
  </si>
  <si>
    <t>1524-20</t>
  </si>
  <si>
    <t>1FUJHHDRXLLKS3629</t>
  </si>
  <si>
    <t>KS3629</t>
  </si>
  <si>
    <t>1526-</t>
  </si>
  <si>
    <t>1526-20</t>
  </si>
  <si>
    <t>1FUJHHDR6LLKS3630</t>
  </si>
  <si>
    <t>KS3630</t>
  </si>
  <si>
    <t>19329</t>
  </si>
  <si>
    <t>19329-20</t>
  </si>
  <si>
    <t>1FUJHHDR8LLKS3631</t>
  </si>
  <si>
    <t>KS3631</t>
  </si>
  <si>
    <t>19330</t>
  </si>
  <si>
    <t>19330-20</t>
  </si>
  <si>
    <t>1FUJHHDRXLLKS3632</t>
  </si>
  <si>
    <t>KS3632</t>
  </si>
  <si>
    <t>19331</t>
  </si>
  <si>
    <t>19331-20</t>
  </si>
  <si>
    <t>1FUJHHDR1LLKS3633</t>
  </si>
  <si>
    <t>KS3633</t>
  </si>
  <si>
    <t>19332</t>
  </si>
  <si>
    <t>19332-20</t>
  </si>
  <si>
    <t>1FUJHHDR5LLKS3635</t>
  </si>
  <si>
    <t>KS3635</t>
  </si>
  <si>
    <t>1527-</t>
  </si>
  <si>
    <t>1527-20</t>
  </si>
  <si>
    <t>1FUJHHDR7LLKS3636</t>
  </si>
  <si>
    <t>KS3636</t>
  </si>
  <si>
    <t>1528-</t>
  </si>
  <si>
    <t>1528-20</t>
  </si>
  <si>
    <t>1FUJHHDR9LLKS3637</t>
  </si>
  <si>
    <t>KS3637</t>
  </si>
  <si>
    <t>1529-</t>
  </si>
  <si>
    <t>1529-20</t>
  </si>
  <si>
    <t>1FUJHHDR0LLKS3638</t>
  </si>
  <si>
    <t>KS3638</t>
  </si>
  <si>
    <t>1530-</t>
  </si>
  <si>
    <t>1530-20</t>
  </si>
  <si>
    <t>1FUJHHDR2LLKS3639</t>
  </si>
  <si>
    <t>KS3639</t>
  </si>
  <si>
    <t>1531-</t>
  </si>
  <si>
    <t>1531-20</t>
  </si>
  <si>
    <t>1FUJHHDR3LLKS3634</t>
  </si>
  <si>
    <t>KS3634</t>
  </si>
  <si>
    <t>19333</t>
  </si>
  <si>
    <t>19333-20</t>
  </si>
  <si>
    <t>3AKJGLD65FSGH8259</t>
  </si>
  <si>
    <t>GH8259</t>
  </si>
  <si>
    <t>72569</t>
  </si>
  <si>
    <t>1FTFX1E42KKD37798</t>
  </si>
  <si>
    <t>D37798</t>
  </si>
  <si>
    <t>8924</t>
  </si>
  <si>
    <t>3AKJHHDRXJSJM0543</t>
  </si>
  <si>
    <t>5094-</t>
  </si>
  <si>
    <t>5094-18T</t>
  </si>
  <si>
    <t>1XKYDP9X7KJ999685</t>
  </si>
  <si>
    <t>999685</t>
  </si>
  <si>
    <t>6788</t>
  </si>
  <si>
    <t>4V4NC9EH4KN904721</t>
  </si>
  <si>
    <t>6789</t>
  </si>
  <si>
    <t>1FUJA6DE87LX19265</t>
  </si>
  <si>
    <t>6790</t>
  </si>
  <si>
    <t>1FUJHHDR6LLKS3644</t>
  </si>
  <si>
    <t>KS3644</t>
  </si>
  <si>
    <t>5105-</t>
  </si>
  <si>
    <t>5105-20</t>
  </si>
  <si>
    <t>1FUJHHDRXLLKS3646</t>
  </si>
  <si>
    <t>KS3646</t>
  </si>
  <si>
    <t>5106-</t>
  </si>
  <si>
    <t>5106-20</t>
  </si>
  <si>
    <t>1FUJHHDR1LLKS3647</t>
  </si>
  <si>
    <t>KS3647</t>
  </si>
  <si>
    <t>5107-</t>
  </si>
  <si>
    <t>5107-20</t>
  </si>
  <si>
    <t>1FUJHHDR1LLKS3650</t>
  </si>
  <si>
    <t>KS3650</t>
  </si>
  <si>
    <t>5108-</t>
  </si>
  <si>
    <t>5108-20</t>
  </si>
  <si>
    <t>1FUJHHDR3LLKS3651</t>
  </si>
  <si>
    <t>KS3651</t>
  </si>
  <si>
    <t>5109-</t>
  </si>
  <si>
    <t>5109-20</t>
  </si>
  <si>
    <t>1FUJHHDR5LLKS3652</t>
  </si>
  <si>
    <t>KS3652</t>
  </si>
  <si>
    <t>5110-</t>
  </si>
  <si>
    <t>5110-20</t>
  </si>
  <si>
    <t>1FUJHHDR7LLKS3653</t>
  </si>
  <si>
    <t>KS3653</t>
  </si>
  <si>
    <t>5111-</t>
  </si>
  <si>
    <t>5111-20</t>
  </si>
  <si>
    <t>1FUJHHDR9LLKS3654</t>
  </si>
  <si>
    <t>KS3654</t>
  </si>
  <si>
    <t>5112-</t>
  </si>
  <si>
    <t>5112-20</t>
  </si>
  <si>
    <t>8925</t>
  </si>
  <si>
    <t>FORD TRANSIT</t>
  </si>
  <si>
    <t>1FTYR2CM3KKA80985</t>
  </si>
  <si>
    <t>A80985</t>
  </si>
  <si>
    <t>8926</t>
  </si>
  <si>
    <t>3AKJHHDR1KSKS2145</t>
  </si>
  <si>
    <t>19352</t>
  </si>
  <si>
    <t>19352-19H</t>
  </si>
  <si>
    <t>3AKJHHDR5KSKS2150</t>
  </si>
  <si>
    <t>19353</t>
  </si>
  <si>
    <t>19353-19H</t>
  </si>
  <si>
    <t>3AKJHHDR2KSKS2154</t>
  </si>
  <si>
    <t>19354</t>
  </si>
  <si>
    <t>19354-19H</t>
  </si>
  <si>
    <t>3AKJHHDR8KSKS2157</t>
  </si>
  <si>
    <t>19355</t>
  </si>
  <si>
    <t>19355-19H</t>
  </si>
  <si>
    <t>3AKJHHDR5KSKS2147</t>
  </si>
  <si>
    <t>19356</t>
  </si>
  <si>
    <t>19356-19H</t>
  </si>
  <si>
    <t>8927</t>
  </si>
  <si>
    <t>ESCAPE (BLUE)</t>
  </si>
  <si>
    <t>1FUJHHDR0LLKS7088</t>
  </si>
  <si>
    <t>KS7088</t>
  </si>
  <si>
    <t>5095-</t>
  </si>
  <si>
    <t>5095-20</t>
  </si>
  <si>
    <t>1FUJHHDR3LLKS7098</t>
  </si>
  <si>
    <t>KS7098</t>
  </si>
  <si>
    <t>5096-</t>
  </si>
  <si>
    <t>5096-20</t>
  </si>
  <si>
    <t>1FUJHHDR9LLKS3640</t>
  </si>
  <si>
    <t>KS3640</t>
  </si>
  <si>
    <t>5097-</t>
  </si>
  <si>
    <t>5097-20</t>
  </si>
  <si>
    <t>1FUJHHDR0LLKS3641</t>
  </si>
  <si>
    <t>KS3641</t>
  </si>
  <si>
    <t>5098-</t>
  </si>
  <si>
    <t>5098-20</t>
  </si>
  <si>
    <t>1FUJHHDR2LLKS3642</t>
  </si>
  <si>
    <t>KS3642</t>
  </si>
  <si>
    <t>5099-</t>
  </si>
  <si>
    <t>5099-20</t>
  </si>
  <si>
    <t>1FUJHHDR8LLKS3645</t>
  </si>
  <si>
    <t>KS3645</t>
  </si>
  <si>
    <t>5101-</t>
  </si>
  <si>
    <t>5101-20</t>
  </si>
  <si>
    <t>1FUJHHDR3LLKS3648</t>
  </si>
  <si>
    <t>KS3648</t>
  </si>
  <si>
    <t>5102-</t>
  </si>
  <si>
    <t>5102-20</t>
  </si>
  <si>
    <t>1FUJHHDR5LLKS3649</t>
  </si>
  <si>
    <t>KS3649</t>
  </si>
  <si>
    <t>5103-</t>
  </si>
  <si>
    <t>5103-20</t>
  </si>
  <si>
    <t>1FUJHHDR0LLKS3655</t>
  </si>
  <si>
    <t>KS3655</t>
  </si>
  <si>
    <t>5104-</t>
  </si>
  <si>
    <t>5104-20</t>
  </si>
  <si>
    <t>1FUJHHDR4LLKS3643</t>
  </si>
  <si>
    <t>KS3643</t>
  </si>
  <si>
    <t>5100-</t>
  </si>
  <si>
    <t>5100-20</t>
  </si>
  <si>
    <t>1NPXGGGG30D248895</t>
  </si>
  <si>
    <t>72570</t>
  </si>
  <si>
    <t>1FUJHHDR5LLKW9790</t>
  </si>
  <si>
    <t>KW9790</t>
  </si>
  <si>
    <t>6791</t>
  </si>
  <si>
    <t>1FUJGLDR8DSBU1737</t>
  </si>
  <si>
    <t>BU1737</t>
  </si>
  <si>
    <t>R7231</t>
  </si>
  <si>
    <t>4V4NC9EH3GN928774</t>
  </si>
  <si>
    <t>6792</t>
  </si>
  <si>
    <t xml:space="preserve">1FUJHHDR3LLKW9819			</t>
  </si>
  <si>
    <t xml:space="preserve">819			</t>
  </si>
  <si>
    <t>6793</t>
  </si>
  <si>
    <t>3AKJHHDR4KSKA2497</t>
  </si>
  <si>
    <t>6794</t>
  </si>
  <si>
    <t>1FTYR2CN8KKA80982</t>
  </si>
  <si>
    <t>A80982</t>
  </si>
  <si>
    <t>8928</t>
  </si>
  <si>
    <t>TST</t>
  </si>
  <si>
    <t>1FUJHHDR8LLKS3662</t>
  </si>
  <si>
    <t>KS3662</t>
  </si>
  <si>
    <t>2571-</t>
  </si>
  <si>
    <t>2571-20</t>
  </si>
  <si>
    <t>1FUJHHDR1LLKS3664</t>
  </si>
  <si>
    <t>KS3664</t>
  </si>
  <si>
    <t>2572-</t>
  </si>
  <si>
    <t>2572-20</t>
  </si>
  <si>
    <t>1FUJHHDR3LLKS3665</t>
  </si>
  <si>
    <t>KS3665</t>
  </si>
  <si>
    <t>2573-</t>
  </si>
  <si>
    <t>2573-20</t>
  </si>
  <si>
    <t>1FUJHHDR5LLKS3666</t>
  </si>
  <si>
    <t>KS3666</t>
  </si>
  <si>
    <t>2574-</t>
  </si>
  <si>
    <t>2574-20</t>
  </si>
  <si>
    <t>1FUJHHDR7LLKS3667</t>
  </si>
  <si>
    <t>KS3667</t>
  </si>
  <si>
    <t>2575-</t>
  </si>
  <si>
    <t>2575-20</t>
  </si>
  <si>
    <t>1FUJHHDR9LLKS3668</t>
  </si>
  <si>
    <t>KS3668</t>
  </si>
  <si>
    <t>2577-</t>
  </si>
  <si>
    <t>2577-20</t>
  </si>
  <si>
    <t>1FUJHHDR2LLKS3673</t>
  </si>
  <si>
    <t>KS3673</t>
  </si>
  <si>
    <t>2578-</t>
  </si>
  <si>
    <t>2578-20</t>
  </si>
  <si>
    <t>1FUJHHDR1LLKS3678</t>
  </si>
  <si>
    <t>KS3678</t>
  </si>
  <si>
    <t>2579-</t>
  </si>
  <si>
    <t>2579-20</t>
  </si>
  <si>
    <t>1FUJHHDRXLLKS3680</t>
  </si>
  <si>
    <t>KS3680</t>
  </si>
  <si>
    <t>2580-</t>
  </si>
  <si>
    <t>2580-20</t>
  </si>
  <si>
    <t>1FUJHHDR7LLKS3684</t>
  </si>
  <si>
    <t>KS3684</t>
  </si>
  <si>
    <t>2581-</t>
  </si>
  <si>
    <t>2581-20</t>
  </si>
  <si>
    <t>1FUJHHDR2LLKS3656</t>
  </si>
  <si>
    <t>KS3656</t>
  </si>
  <si>
    <t>19357</t>
  </si>
  <si>
    <t>19357-20</t>
  </si>
  <si>
    <t>1FUJHHDR4LLKS3657</t>
  </si>
  <si>
    <t>KS3657</t>
  </si>
  <si>
    <t>19358</t>
  </si>
  <si>
    <t>19358-20</t>
  </si>
  <si>
    <t>1FUJHHDR8LLKS3659</t>
  </si>
  <si>
    <t>KS3659</t>
  </si>
  <si>
    <t>19359</t>
  </si>
  <si>
    <t>19359-20</t>
  </si>
  <si>
    <t>1FUJHHDR6LLKS3661</t>
  </si>
  <si>
    <t>KS3661</t>
  </si>
  <si>
    <t>19360</t>
  </si>
  <si>
    <t>19360-20</t>
  </si>
  <si>
    <t>3AKJHHDR0KSKA2416</t>
  </si>
  <si>
    <t>6795</t>
  </si>
  <si>
    <t>1FUJGLDR4HLJC9786</t>
  </si>
  <si>
    <t>6796</t>
  </si>
  <si>
    <t>3AKJHHDR7JSJC9818</t>
  </si>
  <si>
    <t>6797</t>
  </si>
  <si>
    <t>4V4NC9EH4LN220883</t>
  </si>
  <si>
    <t>220883</t>
  </si>
  <si>
    <t>6798</t>
  </si>
  <si>
    <t>4V4NC9EH2CN553552</t>
  </si>
  <si>
    <t>6799</t>
  </si>
  <si>
    <t>1FUJHHDR9LLKS3671</t>
  </si>
  <si>
    <t>KS3671</t>
  </si>
  <si>
    <t>19361</t>
  </si>
  <si>
    <t>19361-20</t>
  </si>
  <si>
    <t>1FUJHHDR0LLKS3672</t>
  </si>
  <si>
    <t>KS3672</t>
  </si>
  <si>
    <t>19362</t>
  </si>
  <si>
    <t>19362-20</t>
  </si>
  <si>
    <t>1FUJHHDR4LLKS3674</t>
  </si>
  <si>
    <t>KS3674</t>
  </si>
  <si>
    <t>19363</t>
  </si>
  <si>
    <t>19363-20</t>
  </si>
  <si>
    <t>1FUJHHDR6LLKS3675</t>
  </si>
  <si>
    <t>KS3675</t>
  </si>
  <si>
    <t>19364</t>
  </si>
  <si>
    <t>19364-20</t>
  </si>
  <si>
    <t>1FUJHHDR8LLKS3676</t>
  </si>
  <si>
    <t>KS3676</t>
  </si>
  <si>
    <t>19365</t>
  </si>
  <si>
    <t>19365-20</t>
  </si>
  <si>
    <t>1FUJHHDRXLLKS3677</t>
  </si>
  <si>
    <t>KS3677</t>
  </si>
  <si>
    <t>19366</t>
  </si>
  <si>
    <t>19366-20</t>
  </si>
  <si>
    <t>1FUJHHDR3LLKS3679</t>
  </si>
  <si>
    <t>KS3679</t>
  </si>
  <si>
    <t>19367</t>
  </si>
  <si>
    <t>19367-20</t>
  </si>
  <si>
    <t>1FUJHHDR1LLKS3681</t>
  </si>
  <si>
    <t>KS3681</t>
  </si>
  <si>
    <t>19368</t>
  </si>
  <si>
    <t>19368-20</t>
  </si>
  <si>
    <t>1FUJHHDR3LLKS3682</t>
  </si>
  <si>
    <t>KS3682</t>
  </si>
  <si>
    <t>19369</t>
  </si>
  <si>
    <t>19369-20</t>
  </si>
  <si>
    <t>1FUJHHDR5LLKS3683</t>
  </si>
  <si>
    <t>KS3683</t>
  </si>
  <si>
    <t>19370</t>
  </si>
  <si>
    <t>19370-20</t>
  </si>
  <si>
    <t>1FUJHHDR6LLKS3658</t>
  </si>
  <si>
    <t>KS3658</t>
  </si>
  <si>
    <t>2582-</t>
  </si>
  <si>
    <t>2582-20L</t>
  </si>
  <si>
    <t>1FUJHHDR4LLKS3660</t>
  </si>
  <si>
    <t>KS3660</t>
  </si>
  <si>
    <t>2583-</t>
  </si>
  <si>
    <t>2583-20</t>
  </si>
  <si>
    <t>1FUJHHDRXLLKS3663</t>
  </si>
  <si>
    <t>KS3663</t>
  </si>
  <si>
    <t>2584-</t>
  </si>
  <si>
    <t>2584-20</t>
  </si>
  <si>
    <t>1FUJHHDR0LLKS3669</t>
  </si>
  <si>
    <t>KS3669</t>
  </si>
  <si>
    <t>2585-</t>
  </si>
  <si>
    <t>2585-20</t>
  </si>
  <si>
    <t>1FUJHHDR7LLKS3670</t>
  </si>
  <si>
    <t>KS3670</t>
  </si>
  <si>
    <t>2586-</t>
  </si>
  <si>
    <t>2586-20</t>
  </si>
  <si>
    <t>1XPBDP9X1HD442178</t>
  </si>
  <si>
    <t>2591-</t>
  </si>
  <si>
    <t>2591-17MC</t>
  </si>
  <si>
    <t>1XPBDP9XXHD442177</t>
  </si>
  <si>
    <t>2590-</t>
  </si>
  <si>
    <t>2590-17MC</t>
  </si>
  <si>
    <t>1XPBDP9X8HD442176</t>
  </si>
  <si>
    <t>2589-</t>
  </si>
  <si>
    <t>2589-17MC</t>
  </si>
  <si>
    <t>1FUJGLD62ELFD6140</t>
  </si>
  <si>
    <t>FD6140</t>
  </si>
  <si>
    <t>R7232</t>
  </si>
  <si>
    <t>1FUGGLD5XFLGC8065</t>
  </si>
  <si>
    <t>GC8065</t>
  </si>
  <si>
    <t>72582</t>
  </si>
  <si>
    <t>1XPBDP9X6HD442175</t>
  </si>
  <si>
    <t>2588-</t>
  </si>
  <si>
    <t>2588-17MC</t>
  </si>
  <si>
    <t>1XPBDP9X4HD442174</t>
  </si>
  <si>
    <t>2587-</t>
  </si>
  <si>
    <t>2587-17MC</t>
  </si>
  <si>
    <t>4V4NC9EH9KN904553</t>
  </si>
  <si>
    <t>904553</t>
  </si>
  <si>
    <t>6800</t>
  </si>
  <si>
    <t>1FUJHHDR9LLKS3685</t>
  </si>
  <si>
    <t>KS3685</t>
  </si>
  <si>
    <t>5114-</t>
  </si>
  <si>
    <t>5114-20T</t>
  </si>
  <si>
    <t>1FUJHHDR0LLKS3686</t>
  </si>
  <si>
    <t>KS3686</t>
  </si>
  <si>
    <t>5115-</t>
  </si>
  <si>
    <t>5115-20T</t>
  </si>
  <si>
    <t>1FUJHHDR2LLKS3687</t>
  </si>
  <si>
    <t>KS3687</t>
  </si>
  <si>
    <t>5117-</t>
  </si>
  <si>
    <t>5117-20T</t>
  </si>
  <si>
    <t>1FUJHHDR4LLKS3688</t>
  </si>
  <si>
    <t>KS3688</t>
  </si>
  <si>
    <t>5118-</t>
  </si>
  <si>
    <t>5118-20T</t>
  </si>
  <si>
    <t>1FUJHHDR6LLKS3689</t>
  </si>
  <si>
    <t>KS3689</t>
  </si>
  <si>
    <t>5119-</t>
  </si>
  <si>
    <t>5119-20T</t>
  </si>
  <si>
    <t>1FUJHHDR2LLKS3690</t>
  </si>
  <si>
    <t>KS3690</t>
  </si>
  <si>
    <t>5120-</t>
  </si>
  <si>
    <t>5120-20T</t>
  </si>
  <si>
    <t>1FUJHHDR4LLKS3691</t>
  </si>
  <si>
    <t>KS3691</t>
  </si>
  <si>
    <t>5121-</t>
  </si>
  <si>
    <t>5121-20T</t>
  </si>
  <si>
    <t>1FUJHHDR6LLKS3692</t>
  </si>
  <si>
    <t>KS3692</t>
  </si>
  <si>
    <t>5122-</t>
  </si>
  <si>
    <t>5122-20T</t>
  </si>
  <si>
    <t>1FUJHHDR8LLKS3693</t>
  </si>
  <si>
    <t>KS3693</t>
  </si>
  <si>
    <t>5123-</t>
  </si>
  <si>
    <t>5123-20T</t>
  </si>
  <si>
    <t>1FUJHHDRXLLKS3694</t>
  </si>
  <si>
    <t>KS3694</t>
  </si>
  <si>
    <t>5124-</t>
  </si>
  <si>
    <t>5124-20T</t>
  </si>
  <si>
    <t>1FUJHHDR1LLKS3695</t>
  </si>
  <si>
    <t>KS3695</t>
  </si>
  <si>
    <t>5126-</t>
  </si>
  <si>
    <t>5126-20T</t>
  </si>
  <si>
    <t>1FUJHHDR3LLKS3696</t>
  </si>
  <si>
    <t>KS3696</t>
  </si>
  <si>
    <t>5127-</t>
  </si>
  <si>
    <t>5127-20T</t>
  </si>
  <si>
    <t>1FUJHHDR5LLKS3697</t>
  </si>
  <si>
    <t>KS3697</t>
  </si>
  <si>
    <t>5128-</t>
  </si>
  <si>
    <t>5128-20T</t>
  </si>
  <si>
    <t>1FUJHHDR7LLKS3698</t>
  </si>
  <si>
    <t>KS3698</t>
  </si>
  <si>
    <t>5129-</t>
  </si>
  <si>
    <t>5129-20T</t>
  </si>
  <si>
    <t>1FUJHHDR9LLKS3699</t>
  </si>
  <si>
    <t>KS3699</t>
  </si>
  <si>
    <t>5130-</t>
  </si>
  <si>
    <t>5130-20T</t>
  </si>
  <si>
    <t>1FUJHHDR1LLKS3700</t>
  </si>
  <si>
    <t>KS3700</t>
  </si>
  <si>
    <t>5131-</t>
  </si>
  <si>
    <t>5131-20T</t>
  </si>
  <si>
    <t>1FUJHHDR3LLKS3701</t>
  </si>
  <si>
    <t>KS3701</t>
  </si>
  <si>
    <t>5132-</t>
  </si>
  <si>
    <t>5132-20T</t>
  </si>
  <si>
    <t>1FUJHHDR5LLKS3702</t>
  </si>
  <si>
    <t>KS3702</t>
  </si>
  <si>
    <t>5133-</t>
  </si>
  <si>
    <t>5133-20T</t>
  </si>
  <si>
    <t>1FUJHHDR2LLKS3706</t>
  </si>
  <si>
    <t>KS3706</t>
  </si>
  <si>
    <t>5135-</t>
  </si>
  <si>
    <t>5135-20T</t>
  </si>
  <si>
    <t>1FUJHHDR4LLKS3707</t>
  </si>
  <si>
    <t>KS3707</t>
  </si>
  <si>
    <t>5136-</t>
  </si>
  <si>
    <t>5136-20T</t>
  </si>
  <si>
    <t>3AKJHHDR7JSKC6176</t>
  </si>
  <si>
    <t>6801</t>
  </si>
  <si>
    <t>1FUJHHDR7LLKS3703</t>
  </si>
  <si>
    <t>KS3703</t>
  </si>
  <si>
    <t>5137-</t>
  </si>
  <si>
    <t>5137-20T</t>
  </si>
  <si>
    <t>1FUJHHDR9LLKS3704</t>
  </si>
  <si>
    <t>KS3704</t>
  </si>
  <si>
    <t>5138-</t>
  </si>
  <si>
    <t>5138-20T</t>
  </si>
  <si>
    <t>1FUJHHDR0LLKS3705</t>
  </si>
  <si>
    <t>KS3705</t>
  </si>
  <si>
    <t>5139-</t>
  </si>
  <si>
    <t>5139-20T</t>
  </si>
  <si>
    <t>1FUJHHDR6LLKS3708</t>
  </si>
  <si>
    <t>KS3708</t>
  </si>
  <si>
    <t>5140-</t>
  </si>
  <si>
    <t>5140-20T</t>
  </si>
  <si>
    <t>1FUJHHDR8LLKS3709</t>
  </si>
  <si>
    <t>KS3709</t>
  </si>
  <si>
    <t>5141-</t>
  </si>
  <si>
    <t>5141-20T</t>
  </si>
  <si>
    <t>1FUJHHDR4LLKS3710</t>
  </si>
  <si>
    <t>KS3710</t>
  </si>
  <si>
    <t>5142-</t>
  </si>
  <si>
    <t>5142-20T</t>
  </si>
  <si>
    <t>1FUJHHDR6LLKS3711</t>
  </si>
  <si>
    <t>KS3711</t>
  </si>
  <si>
    <t>5144-</t>
  </si>
  <si>
    <t>5144-20T</t>
  </si>
  <si>
    <t>1FUJHHDR8LLKS3712</t>
  </si>
  <si>
    <t>KS3712</t>
  </si>
  <si>
    <t>5145-</t>
  </si>
  <si>
    <t>5145-20T</t>
  </si>
  <si>
    <t>1FUJHHDRXLLKS3713</t>
  </si>
  <si>
    <t>KS3713</t>
  </si>
  <si>
    <t>5146-</t>
  </si>
  <si>
    <t>5146-20T</t>
  </si>
  <si>
    <t>1FUJHHDR1LLKS3714</t>
  </si>
  <si>
    <t>KS3714</t>
  </si>
  <si>
    <t>5147-</t>
  </si>
  <si>
    <t>5147-20T</t>
  </si>
  <si>
    <t>1FUJHHDR3LLKS3715</t>
  </si>
  <si>
    <t>KS3715</t>
  </si>
  <si>
    <t>2592-</t>
  </si>
  <si>
    <t>2592-20T</t>
  </si>
  <si>
    <t>1FUJHHDR5LLKS3716</t>
  </si>
  <si>
    <t>KS3716</t>
  </si>
  <si>
    <t>2593-</t>
  </si>
  <si>
    <t>2593-20T</t>
  </si>
  <si>
    <t>1FUJHHDR7LLKS3717</t>
  </si>
  <si>
    <t>KS3717</t>
  </si>
  <si>
    <t>2594-</t>
  </si>
  <si>
    <t>2594-20T</t>
  </si>
  <si>
    <t>1FUJHHDR0LLKS3719</t>
  </si>
  <si>
    <t>KS3719</t>
  </si>
  <si>
    <t>2595-</t>
  </si>
  <si>
    <t>2595-20T</t>
  </si>
  <si>
    <t>1FUJHHDR9LLKS3721</t>
  </si>
  <si>
    <t>KS3721</t>
  </si>
  <si>
    <t>2596-</t>
  </si>
  <si>
    <t>2596-20T</t>
  </si>
  <si>
    <t>1FUJHHDR0LLKS3722</t>
  </si>
  <si>
    <t>KS3722</t>
  </si>
  <si>
    <t>2597-</t>
  </si>
  <si>
    <t>2597-20T</t>
  </si>
  <si>
    <t>1FUJHHDR2LLKS3723</t>
  </si>
  <si>
    <t>KS3723</t>
  </si>
  <si>
    <t>2598-</t>
  </si>
  <si>
    <t>2598-20T</t>
  </si>
  <si>
    <t>1FUJHHDR6LLKS3725</t>
  </si>
  <si>
    <t>KS3725</t>
  </si>
  <si>
    <t>2599-</t>
  </si>
  <si>
    <t>2599-20T</t>
  </si>
  <si>
    <t>1FUJHHDR8LLKS3726</t>
  </si>
  <si>
    <t>KS3726</t>
  </si>
  <si>
    <t>2600-</t>
  </si>
  <si>
    <t>2600-20T</t>
  </si>
  <si>
    <t>1FUJHHDRXLLKS3727</t>
  </si>
  <si>
    <t>KS3727</t>
  </si>
  <si>
    <t>2601-</t>
  </si>
  <si>
    <t>2601-20T</t>
  </si>
  <si>
    <t>EKAM</t>
  </si>
  <si>
    <t>NEWWA</t>
  </si>
  <si>
    <t>NEWWAYCARTAGE1</t>
  </si>
  <si>
    <t>NEWWAYCARTAGE2</t>
  </si>
  <si>
    <t>NEWWAYCARTAGE3</t>
  </si>
  <si>
    <t>NEWWAYCARTAGE4</t>
  </si>
  <si>
    <t>88858</t>
  </si>
  <si>
    <t>FK708</t>
  </si>
  <si>
    <t>79519</t>
  </si>
  <si>
    <t>FK707</t>
  </si>
  <si>
    <t>88705</t>
  </si>
  <si>
    <t>FK709</t>
  </si>
  <si>
    <t>1FUJGLDR0HLHV7657</t>
  </si>
  <si>
    <t>6802</t>
  </si>
  <si>
    <t>Correct unit#</t>
  </si>
  <si>
    <t>No space</t>
  </si>
  <si>
    <t>First five</t>
  </si>
  <si>
    <t>Truck Status</t>
  </si>
  <si>
    <t>Truck Class</t>
  </si>
  <si>
    <t>Truck ID</t>
  </si>
  <si>
    <t>5154-20</t>
  </si>
  <si>
    <t>5149-20</t>
  </si>
  <si>
    <t>5162-20</t>
  </si>
  <si>
    <t>5163-20</t>
  </si>
  <si>
    <t>2610-20</t>
  </si>
  <si>
    <t>5169-20</t>
  </si>
  <si>
    <t>COMPANY</t>
  </si>
  <si>
    <t>5155-20</t>
  </si>
  <si>
    <t>5166-20</t>
  </si>
  <si>
    <t>2618-20</t>
  </si>
  <si>
    <t>5153-20</t>
  </si>
  <si>
    <t>19387-20</t>
  </si>
  <si>
    <t>2612-20</t>
  </si>
  <si>
    <t>ACTI VE</t>
  </si>
  <si>
    <t>5156-20</t>
  </si>
  <si>
    <t>5180-20</t>
  </si>
  <si>
    <t>5173-20</t>
  </si>
  <si>
    <t>2619-20</t>
  </si>
  <si>
    <t>19380-20</t>
  </si>
  <si>
    <t>5165-20</t>
  </si>
  <si>
    <t>9978l</t>
  </si>
  <si>
    <t>19376-20</t>
  </si>
  <si>
    <t>5160-20</t>
  </si>
  <si>
    <t>5157-20</t>
  </si>
  <si>
    <t>19375-20</t>
  </si>
  <si>
    <t>1535-20</t>
  </si>
  <si>
    <t xml:space="preserve">CHARGER LOGISTICS INC </t>
  </si>
  <si>
    <t>19382-20</t>
  </si>
  <si>
    <t>5150-20</t>
  </si>
  <si>
    <t>5168-20</t>
  </si>
  <si>
    <t xml:space="preserve">CHARGER LOGISTICS USA INC </t>
  </si>
  <si>
    <t>5178-20</t>
  </si>
  <si>
    <t>5177-20</t>
  </si>
  <si>
    <t xml:space="preserve">Company </t>
  </si>
  <si>
    <t>19388-20</t>
  </si>
  <si>
    <t>2608-20</t>
  </si>
  <si>
    <t>19385-20</t>
  </si>
  <si>
    <t xml:space="preserve">Owner Operator </t>
  </si>
  <si>
    <t>5175-20</t>
  </si>
  <si>
    <t>5151-20</t>
  </si>
  <si>
    <t>2604-20</t>
  </si>
  <si>
    <t>2602-20</t>
  </si>
  <si>
    <t>5172-20</t>
  </si>
  <si>
    <t>5174-20</t>
  </si>
  <si>
    <t>2375-20</t>
  </si>
  <si>
    <t>19390-20</t>
  </si>
  <si>
    <t xml:space="preserve">CHARGER LOGISTICS USA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</si>
</sst>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8" fillId="33" borderId="0" xfId="0" applyFont="1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22"/>
  <sheetViews>
    <sheetView tabSelected="1" workbookViewId="0">
      <selection activeCell="E2" sqref="E2"/>
    </sheetView>
  </sheetViews>
  <sheetFormatPr defaultRowHeight="15" x14ac:dyDescent="0.25"/>
  <cols>
    <col min="3" max="3" width="12.42578125" bestFit="1" customWidth="1"/>
    <col min="4" max="4" width="12.42578125" customWidth="1"/>
    <col min="5" max="5" width="26.7109375" bestFit="1" customWidth="1"/>
    <col min="6" max="6" width="20" customWidth="1"/>
    <col min="7" max="7" width="12.42578125" customWidth="1"/>
    <col min="8" max="8" width="26.28515625" customWidth="1"/>
    <col min="12" max="12" width="12.85546875" bestFit="1" customWidth="1"/>
    <col min="13" max="13" width="16.5703125" bestFit="1" customWidth="1"/>
    <col min="14" max="14" width="12.28515625" bestFit="1" customWidth="1"/>
    <col min="18" max="18" width="24.85546875" bestFit="1" customWidth="1"/>
    <col min="19" max="19" width="21" bestFit="1" customWidth="1"/>
    <col min="22" max="22" width="13.7109375" bestFit="1" customWidth="1"/>
  </cols>
  <sheetData>
    <row r="1" spans="1:22" ht="15.75" x14ac:dyDescent="0.25">
      <c r="A1" s="2" t="s">
        <v>8882</v>
      </c>
      <c r="B1" s="2" t="s">
        <v>8881</v>
      </c>
      <c r="C1" s="2" t="s">
        <v>8880</v>
      </c>
      <c r="D1" s="2" t="s">
        <v>8883</v>
      </c>
      <c r="E1" s="2" t="s">
        <v>12</v>
      </c>
      <c r="F1" s="2" t="s">
        <v>8884</v>
      </c>
      <c r="G1" s="2" t="s">
        <v>8885</v>
      </c>
      <c r="H1" s="3" t="str">
        <f>"Post_Date"</f>
        <v>Post_Date</v>
      </c>
      <c r="I1" s="3" t="str">
        <f>"Invoice_Date"</f>
        <v>Invoice_Date</v>
      </c>
      <c r="J1" s="3" t="str">
        <f>"Source"</f>
        <v>Source</v>
      </c>
      <c r="K1" s="3" t="str">
        <f>"Read_Type"</f>
        <v>Read_Type</v>
      </c>
      <c r="L1" s="3" t="str">
        <f>"PrePass_Id"</f>
        <v>PrePass_Id</v>
      </c>
      <c r="M1" s="3" t="str">
        <f>"EZPassId_Plate"</f>
        <v>EZPassId_Plate</v>
      </c>
      <c r="N1" s="3" t="str">
        <f>"Truck_Id"</f>
        <v>Truck_Id</v>
      </c>
      <c r="O1" s="3" t="str">
        <f>"Agency"</f>
        <v>Agency</v>
      </c>
      <c r="P1" s="3" t="str">
        <f>"Entry_Plaza"</f>
        <v>Entry_Plaza</v>
      </c>
      <c r="Q1" s="3" t="str">
        <f>"Entry_Date"</f>
        <v>Entry_Date</v>
      </c>
      <c r="R1" s="3" t="str">
        <f>"Exit_Plaza"</f>
        <v>Exit_Plaza</v>
      </c>
      <c r="S1" s="3" t="str">
        <f>"Exit_Date"</f>
        <v>Exit_Date</v>
      </c>
      <c r="T1" s="3" t="str">
        <f>"Class"</f>
        <v>Class</v>
      </c>
      <c r="U1" s="3" t="str">
        <f>"Miles"</f>
        <v>Miles</v>
      </c>
      <c r="V1" s="3" t="str">
        <f>"Toll_Charge"</f>
        <v>Toll_Charge</v>
      </c>
    </row>
    <row r="2" spans="1:22" x14ac:dyDescent="0.25">
      <c r="A2" s="1" t="str">
        <f t="shared" ref="A2:A65" si="0">LEFT(N2,5)</f>
        <v>2432-</v>
      </c>
      <c r="B2" s="1" t="str">
        <f>SUBSTITUTE(A2," ","")</f>
        <v>2432-</v>
      </c>
      <c r="C2" s="1" t="str">
        <f>VLOOKUP(B2,'Master truck list'!D:E,2,0)</f>
        <v>2432-19SH</v>
      </c>
      <c r="D2" s="1" t="str">
        <f>VLOOKUP(C2,'Master truck list'!E:F,2,0)</f>
        <v>ACTIVE</v>
      </c>
      <c r="E2" s="1" t="str">
        <f>VLOOKUP(C2,'Master truck list'!E:M,9,0)</f>
        <v>CHARGER LOGISTICS USA INC</v>
      </c>
      <c r="F2" s="1" t="str">
        <f>VLOOKUP(C2,'Master truck list'!E:G,3,0)</f>
        <v>Company</v>
      </c>
      <c r="G2" s="1">
        <f>VLOOKUP(C2,'Master truck list'!E:R,14,0)</f>
        <v>1709</v>
      </c>
      <c r="H2" t="str">
        <f>"12/20/2019 7:00:30 AM"</f>
        <v>12/20/2019 7:00:30 AM</v>
      </c>
      <c r="I2" t="str">
        <f>""</f>
        <v/>
      </c>
      <c r="J2" t="str">
        <f t="shared" ref="J2:J65" si="1">"Elite"</f>
        <v>Elite</v>
      </c>
      <c r="K2" t="str">
        <f t="shared" ref="K2:K65" si="2">"Device"</f>
        <v>Device</v>
      </c>
      <c r="L2" t="str">
        <f t="shared" ref="L2:L7" si="3">"777169930"</f>
        <v>777169930</v>
      </c>
      <c r="M2" t="str">
        <f t="shared" ref="M2:M7" si="4">"16429005"</f>
        <v>16429005</v>
      </c>
      <c r="N2" t="str">
        <f t="shared" ref="N2:N7" si="5">"2432-19S"</f>
        <v>2432-19S</v>
      </c>
      <c r="O2" t="str">
        <f t="shared" ref="O2:O65" si="6">"TEXAS"</f>
        <v>TEXAS</v>
      </c>
      <c r="P2" t="str">
        <f t="shared" ref="P2:P65" si="7">"N A"</f>
        <v>N A</v>
      </c>
      <c r="Q2" t="str">
        <f t="shared" ref="Q2:Q65" si="8">"N/A"</f>
        <v>N/A</v>
      </c>
      <c r="R2" t="str">
        <f>"130 ARPTP 04 308"</f>
        <v>130 ARPTP 04 308</v>
      </c>
      <c r="S2" t="str">
        <f>"12/19/2019 7:08:45 AM"</f>
        <v>12/19/2019 7:08:45 AM</v>
      </c>
      <c r="T2" t="str">
        <f>"5"</f>
        <v>5</v>
      </c>
      <c r="U2" t="str">
        <f t="shared" ref="U2:U65" si="9">"N/A"</f>
        <v>N/A</v>
      </c>
      <c r="V2" t="str">
        <f>"5.5500"</f>
        <v>5.5500</v>
      </c>
    </row>
    <row r="3" spans="1:22" x14ac:dyDescent="0.25">
      <c r="A3" s="1" t="str">
        <f t="shared" si="0"/>
        <v>2432-</v>
      </c>
      <c r="B3" s="1" t="str">
        <f t="shared" ref="B3:B66" si="10">SUBSTITUTE(A3," ","")</f>
        <v>2432-</v>
      </c>
      <c r="C3" s="1" t="str">
        <f>VLOOKUP(B3,'Master truck list'!D:E,2,0)</f>
        <v>2432-19SH</v>
      </c>
      <c r="D3" s="1" t="str">
        <f>VLOOKUP(C3,'Master truck list'!E:F,2,0)</f>
        <v>ACTIVE</v>
      </c>
      <c r="E3" s="1" t="str">
        <f>VLOOKUP(C3,'Master truck list'!E:M,9,0)</f>
        <v>CHARGER LOGISTICS USA INC</v>
      </c>
      <c r="F3" s="1" t="str">
        <f>VLOOKUP(C3,'Master truck list'!E:G,3,0)</f>
        <v>Company</v>
      </c>
      <c r="G3" s="1">
        <f>VLOOKUP(C3,'Master truck list'!E:R,14,0)</f>
        <v>1709</v>
      </c>
      <c r="H3" t="str">
        <f>"12/20/2019 7:00:30 AM"</f>
        <v>12/20/2019 7:00:30 AM</v>
      </c>
      <c r="I3" t="str">
        <f>""</f>
        <v/>
      </c>
      <c r="J3" t="str">
        <f t="shared" si="1"/>
        <v>Elite</v>
      </c>
      <c r="K3" t="str">
        <f t="shared" si="2"/>
        <v>Device</v>
      </c>
      <c r="L3" t="str">
        <f t="shared" si="3"/>
        <v>777169930</v>
      </c>
      <c r="M3" t="str">
        <f t="shared" si="4"/>
        <v>16429005</v>
      </c>
      <c r="N3" t="str">
        <f t="shared" si="5"/>
        <v>2432-19S</v>
      </c>
      <c r="O3" t="str">
        <f t="shared" si="6"/>
        <v>TEXAS</v>
      </c>
      <c r="P3" t="str">
        <f t="shared" si="7"/>
        <v>N A</v>
      </c>
      <c r="Q3" t="str">
        <f t="shared" si="8"/>
        <v>N/A</v>
      </c>
      <c r="R3" t="str">
        <f>"130 CMRNP 08 306"</f>
        <v>130 CMRNP 08 306</v>
      </c>
      <c r="S3" t="str">
        <f>"12/19/2019 6:51:46 AM"</f>
        <v>12/19/2019 6:51:46 AM</v>
      </c>
      <c r="T3" t="str">
        <f>"5"</f>
        <v>5</v>
      </c>
      <c r="U3" t="str">
        <f t="shared" si="9"/>
        <v>N/A</v>
      </c>
      <c r="V3" t="str">
        <f>"5.5500"</f>
        <v>5.5500</v>
      </c>
    </row>
    <row r="4" spans="1:22" x14ac:dyDescent="0.25">
      <c r="A4" s="1" t="str">
        <f t="shared" si="0"/>
        <v>2432-</v>
      </c>
      <c r="B4" s="1" t="str">
        <f t="shared" si="10"/>
        <v>2432-</v>
      </c>
      <c r="C4" s="1" t="str">
        <f>VLOOKUP(B4,'Master truck list'!D:E,2,0)</f>
        <v>2432-19SH</v>
      </c>
      <c r="D4" s="1" t="str">
        <f>VLOOKUP(C4,'Master truck list'!E:F,2,0)</f>
        <v>ACTIVE</v>
      </c>
      <c r="E4" s="1" t="str">
        <f>VLOOKUP(C4,'Master truck list'!E:M,9,0)</f>
        <v>CHARGER LOGISTICS USA INC</v>
      </c>
      <c r="F4" s="1" t="str">
        <f>VLOOKUP(C4,'Master truck list'!E:G,3,0)</f>
        <v>Company</v>
      </c>
      <c r="G4" s="1">
        <f>VLOOKUP(C4,'Master truck list'!E:R,14,0)</f>
        <v>1709</v>
      </c>
      <c r="H4" t="str">
        <f>"12/20/2019 7:00:30 AM"</f>
        <v>12/20/2019 7:00:30 AM</v>
      </c>
      <c r="I4" t="str">
        <f>""</f>
        <v/>
      </c>
      <c r="J4" t="str">
        <f t="shared" si="1"/>
        <v>Elite</v>
      </c>
      <c r="K4" t="str">
        <f t="shared" si="2"/>
        <v>Device</v>
      </c>
      <c r="L4" t="str">
        <f t="shared" si="3"/>
        <v>777169930</v>
      </c>
      <c r="M4" t="str">
        <f t="shared" si="4"/>
        <v>16429005</v>
      </c>
      <c r="N4" t="str">
        <f t="shared" si="5"/>
        <v>2432-19S</v>
      </c>
      <c r="O4" t="str">
        <f t="shared" si="6"/>
        <v>TEXAS</v>
      </c>
      <c r="P4" t="str">
        <f t="shared" si="7"/>
        <v>N A</v>
      </c>
      <c r="Q4" t="str">
        <f t="shared" si="8"/>
        <v>N/A</v>
      </c>
      <c r="R4" t="str">
        <f>"130 MGCRP 06 305"</f>
        <v>130 MGCRP 06 305</v>
      </c>
      <c r="S4" t="str">
        <f>"12/19/2019 6:40:33 AM"</f>
        <v>12/19/2019 6:40:33 AM</v>
      </c>
      <c r="T4" t="str">
        <f>"5"</f>
        <v>5</v>
      </c>
      <c r="U4" t="str">
        <f t="shared" si="9"/>
        <v>N/A</v>
      </c>
      <c r="V4" t="str">
        <f>"5.5500"</f>
        <v>5.5500</v>
      </c>
    </row>
    <row r="5" spans="1:22" x14ac:dyDescent="0.25">
      <c r="A5" s="1" t="str">
        <f t="shared" si="0"/>
        <v>2432-</v>
      </c>
      <c r="B5" s="1" t="str">
        <f t="shared" si="10"/>
        <v>2432-</v>
      </c>
      <c r="C5" s="1" t="str">
        <f>VLOOKUP(B5,'Master truck list'!D:E,2,0)</f>
        <v>2432-19SH</v>
      </c>
      <c r="D5" s="1" t="str">
        <f>VLOOKUP(C5,'Master truck list'!E:F,2,0)</f>
        <v>ACTIVE</v>
      </c>
      <c r="E5" s="1" t="str">
        <f>VLOOKUP(C5,'Master truck list'!E:M,9,0)</f>
        <v>CHARGER LOGISTICS USA INC</v>
      </c>
      <c r="F5" s="1" t="str">
        <f>VLOOKUP(C5,'Master truck list'!E:G,3,0)</f>
        <v>Company</v>
      </c>
      <c r="G5" s="1">
        <f>VLOOKUP(C5,'Master truck list'!E:R,14,0)</f>
        <v>1709</v>
      </c>
      <c r="H5" t="str">
        <f>"12/20/2019 7:00:30 AM"</f>
        <v>12/20/2019 7:00:30 AM</v>
      </c>
      <c r="I5" t="str">
        <f>""</f>
        <v/>
      </c>
      <c r="J5" t="str">
        <f t="shared" si="1"/>
        <v>Elite</v>
      </c>
      <c r="K5" t="str">
        <f t="shared" si="2"/>
        <v>Device</v>
      </c>
      <c r="L5" t="str">
        <f t="shared" si="3"/>
        <v>777169930</v>
      </c>
      <c r="M5" t="str">
        <f t="shared" si="4"/>
        <v>16429005</v>
      </c>
      <c r="N5" t="str">
        <f t="shared" si="5"/>
        <v>2432-19S</v>
      </c>
      <c r="O5" t="str">
        <f t="shared" si="6"/>
        <v>TEXAS</v>
      </c>
      <c r="P5" t="str">
        <f t="shared" si="7"/>
        <v>N A</v>
      </c>
      <c r="Q5" t="str">
        <f t="shared" si="8"/>
        <v>N/A</v>
      </c>
      <c r="R5" t="str">
        <f>"130 DKCRP 06 307"</f>
        <v>130 DKCRP 06 307</v>
      </c>
      <c r="S5" t="str">
        <f>"12/19/2019 7:01:49 AM"</f>
        <v>12/19/2019 7:01:49 AM</v>
      </c>
      <c r="T5" t="str">
        <f>"5"</f>
        <v>5</v>
      </c>
      <c r="U5" t="str">
        <f t="shared" si="9"/>
        <v>N/A</v>
      </c>
      <c r="V5" t="str">
        <f>"5.5500"</f>
        <v>5.5500</v>
      </c>
    </row>
    <row r="6" spans="1:22" x14ac:dyDescent="0.25">
      <c r="A6" s="1" t="str">
        <f t="shared" si="0"/>
        <v>2432-</v>
      </c>
      <c r="B6" s="1" t="str">
        <f t="shared" si="10"/>
        <v>2432-</v>
      </c>
      <c r="C6" s="1" t="str">
        <f>VLOOKUP(B6,'Master truck list'!D:E,2,0)</f>
        <v>2432-19SH</v>
      </c>
      <c r="D6" s="1" t="str">
        <f>VLOOKUP(C6,'Master truck list'!E:F,2,0)</f>
        <v>ACTIVE</v>
      </c>
      <c r="E6" s="1" t="str">
        <f>VLOOKUP(C6,'Master truck list'!E:M,9,0)</f>
        <v>CHARGER LOGISTICS USA INC</v>
      </c>
      <c r="F6" s="1" t="str">
        <f>VLOOKUP(C6,'Master truck list'!E:G,3,0)</f>
        <v>Company</v>
      </c>
      <c r="G6" s="1">
        <f>VLOOKUP(C6,'Master truck list'!E:R,14,0)</f>
        <v>1709</v>
      </c>
      <c r="H6" t="str">
        <f t="shared" ref="H6:H12" si="11">"12/21/2019 7:00:28 AM"</f>
        <v>12/21/2019 7:00:28 AM</v>
      </c>
      <c r="I6" t="str">
        <f>""</f>
        <v/>
      </c>
      <c r="J6" t="str">
        <f t="shared" si="1"/>
        <v>Elite</v>
      </c>
      <c r="K6" t="str">
        <f t="shared" si="2"/>
        <v>Device</v>
      </c>
      <c r="L6" t="str">
        <f t="shared" si="3"/>
        <v>777169930</v>
      </c>
      <c r="M6" t="str">
        <f t="shared" si="4"/>
        <v>16429005</v>
      </c>
      <c r="N6" t="str">
        <f t="shared" si="5"/>
        <v>2432-19S</v>
      </c>
      <c r="O6" t="str">
        <f t="shared" si="6"/>
        <v>TEXAS</v>
      </c>
      <c r="P6" t="str">
        <f t="shared" si="7"/>
        <v>N A</v>
      </c>
      <c r="Q6" t="str">
        <f t="shared" si="8"/>
        <v>N/A</v>
      </c>
      <c r="R6" t="str">
        <f>"130 SKYSP 02 4104"</f>
        <v>130 SKYSP 02 4104</v>
      </c>
      <c r="S6" t="str">
        <f>"12/19/2019 7:20:54 AM"</f>
        <v>12/19/2019 7:20:54 AM</v>
      </c>
      <c r="T6" t="str">
        <f>"15"</f>
        <v>15</v>
      </c>
      <c r="U6" t="str">
        <f t="shared" si="9"/>
        <v>N/A</v>
      </c>
      <c r="V6" t="str">
        <f>"9.3800"</f>
        <v>9.3800</v>
      </c>
    </row>
    <row r="7" spans="1:22" x14ac:dyDescent="0.25">
      <c r="A7" s="1" t="str">
        <f t="shared" si="0"/>
        <v>2432-</v>
      </c>
      <c r="B7" s="1" t="str">
        <f t="shared" si="10"/>
        <v>2432-</v>
      </c>
      <c r="C7" s="1" t="str">
        <f>VLOOKUP(B7,'Master truck list'!D:E,2,0)</f>
        <v>2432-19SH</v>
      </c>
      <c r="D7" s="1" t="str">
        <f>VLOOKUP(C7,'Master truck list'!E:F,2,0)</f>
        <v>ACTIVE</v>
      </c>
      <c r="E7" s="1" t="str">
        <f>VLOOKUP(C7,'Master truck list'!E:M,9,0)</f>
        <v>CHARGER LOGISTICS USA INC</v>
      </c>
      <c r="F7" s="1" t="str">
        <f>VLOOKUP(C7,'Master truck list'!E:G,3,0)</f>
        <v>Company</v>
      </c>
      <c r="G7" s="1">
        <f>VLOOKUP(C7,'Master truck list'!E:R,14,0)</f>
        <v>1709</v>
      </c>
      <c r="H7" t="str">
        <f t="shared" si="11"/>
        <v>12/21/2019 7:00:28 AM</v>
      </c>
      <c r="I7" t="str">
        <f>""</f>
        <v/>
      </c>
      <c r="J7" t="str">
        <f t="shared" si="1"/>
        <v>Elite</v>
      </c>
      <c r="K7" t="str">
        <f t="shared" si="2"/>
        <v>Device</v>
      </c>
      <c r="L7" t="str">
        <f t="shared" si="3"/>
        <v>777169930</v>
      </c>
      <c r="M7" t="str">
        <f t="shared" si="4"/>
        <v>16429005</v>
      </c>
      <c r="N7" t="str">
        <f t="shared" si="5"/>
        <v>2432-19S</v>
      </c>
      <c r="O7" t="str">
        <f t="shared" si="6"/>
        <v>TEXAS</v>
      </c>
      <c r="P7" t="str">
        <f t="shared" si="7"/>
        <v>N A</v>
      </c>
      <c r="Q7" t="str">
        <f t="shared" si="8"/>
        <v>N/A</v>
      </c>
      <c r="R7" t="str">
        <f>"130 BLUESP 01 4110"</f>
        <v>130 BLUESP 01 4110</v>
      </c>
      <c r="S7" t="str">
        <f>"12/19/2019 7:33:55 AM"</f>
        <v>12/19/2019 7:33:55 AM</v>
      </c>
      <c r="T7" t="str">
        <f>"15"</f>
        <v>15</v>
      </c>
      <c r="U7" t="str">
        <f t="shared" si="9"/>
        <v>N/A</v>
      </c>
      <c r="V7" t="str">
        <f>"20.4900"</f>
        <v>20.4900</v>
      </c>
    </row>
    <row r="8" spans="1:22" x14ac:dyDescent="0.25">
      <c r="A8" s="1" t="str">
        <f t="shared" si="0"/>
        <v>2430-</v>
      </c>
      <c r="B8" s="1" t="str">
        <f t="shared" si="10"/>
        <v>2430-</v>
      </c>
      <c r="C8" s="1" t="str">
        <f>VLOOKUP(B8,'Master truck list'!D:E,2,0)</f>
        <v>2430-19SH</v>
      </c>
      <c r="D8" s="1" t="str">
        <f>VLOOKUP(C8,'Master truck list'!E:F,2,0)</f>
        <v>ACTIVE</v>
      </c>
      <c r="E8" s="1" t="str">
        <f>VLOOKUP(C8,'Master truck list'!E:M,9,0)</f>
        <v>CHARGER LOGISTICS USA INC</v>
      </c>
      <c r="F8" s="1" t="str">
        <f>VLOOKUP(C8,'Master truck list'!E:G,3,0)</f>
        <v>Company</v>
      </c>
      <c r="G8" s="1">
        <f>VLOOKUP(C8,'Master truck list'!E:R,14,0)</f>
        <v>1707</v>
      </c>
      <c r="H8" t="str">
        <f t="shared" si="11"/>
        <v>12/21/2019 7:00:28 AM</v>
      </c>
      <c r="I8" t="str">
        <f>""</f>
        <v/>
      </c>
      <c r="J8" t="str">
        <f t="shared" si="1"/>
        <v>Elite</v>
      </c>
      <c r="K8" t="str">
        <f t="shared" si="2"/>
        <v>Device</v>
      </c>
      <c r="L8" t="str">
        <f>"777169936"</f>
        <v>777169936</v>
      </c>
      <c r="M8" t="str">
        <f>"16429011"</f>
        <v>16429011</v>
      </c>
      <c r="N8" t="str">
        <f>"2430-19S"</f>
        <v>2430-19S</v>
      </c>
      <c r="O8" t="str">
        <f t="shared" si="6"/>
        <v>TEXAS</v>
      </c>
      <c r="P8" t="str">
        <f t="shared" si="7"/>
        <v>N A</v>
      </c>
      <c r="Q8" t="str">
        <f t="shared" si="8"/>
        <v>N/A</v>
      </c>
      <c r="R8" t="str">
        <f>"130 ARPTP 04 308"</f>
        <v>130 ARPTP 04 308</v>
      </c>
      <c r="S8" t="str">
        <f>"12/20/2019 6:27:30 PM"</f>
        <v>12/20/2019 6:27:30 PM</v>
      </c>
      <c r="T8" t="str">
        <f t="shared" ref="T8:T14" si="12">"5"</f>
        <v>5</v>
      </c>
      <c r="U8" t="str">
        <f t="shared" si="9"/>
        <v>N/A</v>
      </c>
      <c r="V8" t="str">
        <f>"5.5500"</f>
        <v>5.5500</v>
      </c>
    </row>
    <row r="9" spans="1:22" x14ac:dyDescent="0.25">
      <c r="A9" s="1" t="str">
        <f t="shared" si="0"/>
        <v>2430-</v>
      </c>
      <c r="B9" s="1" t="str">
        <f t="shared" si="10"/>
        <v>2430-</v>
      </c>
      <c r="C9" s="1" t="str">
        <f>VLOOKUP(B9,'Master truck list'!D:E,2,0)</f>
        <v>2430-19SH</v>
      </c>
      <c r="D9" s="1" t="str">
        <f>VLOOKUP(C9,'Master truck list'!E:F,2,0)</f>
        <v>ACTIVE</v>
      </c>
      <c r="E9" s="1" t="str">
        <f>VLOOKUP(C9,'Master truck list'!E:M,9,0)</f>
        <v>CHARGER LOGISTICS USA INC</v>
      </c>
      <c r="F9" s="1" t="str">
        <f>VLOOKUP(C9,'Master truck list'!E:G,3,0)</f>
        <v>Company</v>
      </c>
      <c r="G9" s="1">
        <f>VLOOKUP(C9,'Master truck list'!E:R,14,0)</f>
        <v>1707</v>
      </c>
      <c r="H9" t="str">
        <f t="shared" si="11"/>
        <v>12/21/2019 7:00:28 AM</v>
      </c>
      <c r="I9" t="str">
        <f>""</f>
        <v/>
      </c>
      <c r="J9" t="str">
        <f t="shared" si="1"/>
        <v>Elite</v>
      </c>
      <c r="K9" t="str">
        <f t="shared" si="2"/>
        <v>Device</v>
      </c>
      <c r="L9" t="str">
        <f>"777169936"</f>
        <v>777169936</v>
      </c>
      <c r="M9" t="str">
        <f>"16429011"</f>
        <v>16429011</v>
      </c>
      <c r="N9" t="str">
        <f>"2430-19S"</f>
        <v>2430-19S</v>
      </c>
      <c r="O9" t="str">
        <f t="shared" si="6"/>
        <v>TEXAS</v>
      </c>
      <c r="P9" t="str">
        <f t="shared" si="7"/>
        <v>N A</v>
      </c>
      <c r="Q9" t="str">
        <f t="shared" si="8"/>
        <v>N/A</v>
      </c>
      <c r="R9" t="str">
        <f>"130 CMRNP 08 306"</f>
        <v>130 CMRNP 08 306</v>
      </c>
      <c r="S9" t="str">
        <f>"12/20/2019 6:08:58 PM"</f>
        <v>12/20/2019 6:08:58 PM</v>
      </c>
      <c r="T9" t="str">
        <f t="shared" si="12"/>
        <v>5</v>
      </c>
      <c r="U9" t="str">
        <f t="shared" si="9"/>
        <v>N/A</v>
      </c>
      <c r="V9" t="str">
        <f>"5.5500"</f>
        <v>5.5500</v>
      </c>
    </row>
    <row r="10" spans="1:22" x14ac:dyDescent="0.25">
      <c r="A10" s="1" t="str">
        <f t="shared" si="0"/>
        <v>2430-</v>
      </c>
      <c r="B10" s="1" t="str">
        <f t="shared" si="10"/>
        <v>2430-</v>
      </c>
      <c r="C10" s="1" t="str">
        <f>VLOOKUP(B10,'Master truck list'!D:E,2,0)</f>
        <v>2430-19SH</v>
      </c>
      <c r="D10" s="1" t="str">
        <f>VLOOKUP(C10,'Master truck list'!E:F,2,0)</f>
        <v>ACTIVE</v>
      </c>
      <c r="E10" s="1" t="str">
        <f>VLOOKUP(C10,'Master truck list'!E:M,9,0)</f>
        <v>CHARGER LOGISTICS USA INC</v>
      </c>
      <c r="F10" s="1" t="str">
        <f>VLOOKUP(C10,'Master truck list'!E:G,3,0)</f>
        <v>Company</v>
      </c>
      <c r="G10" s="1">
        <f>VLOOKUP(C10,'Master truck list'!E:R,14,0)</f>
        <v>1707</v>
      </c>
      <c r="H10" t="str">
        <f t="shared" si="11"/>
        <v>12/21/2019 7:00:28 AM</v>
      </c>
      <c r="I10" t="str">
        <f>""</f>
        <v/>
      </c>
      <c r="J10" t="str">
        <f t="shared" si="1"/>
        <v>Elite</v>
      </c>
      <c r="K10" t="str">
        <f t="shared" si="2"/>
        <v>Device</v>
      </c>
      <c r="L10" t="str">
        <f>"777169936"</f>
        <v>777169936</v>
      </c>
      <c r="M10" t="str">
        <f>"16429011"</f>
        <v>16429011</v>
      </c>
      <c r="N10" t="str">
        <f>"2430-19S"</f>
        <v>2430-19S</v>
      </c>
      <c r="O10" t="str">
        <f t="shared" si="6"/>
        <v>TEXAS</v>
      </c>
      <c r="P10" t="str">
        <f t="shared" si="7"/>
        <v>N A</v>
      </c>
      <c r="Q10" t="str">
        <f t="shared" si="8"/>
        <v>N/A</v>
      </c>
      <c r="R10" t="str">
        <f>"130 MGCRP 07 305"</f>
        <v>130 MGCRP 07 305</v>
      </c>
      <c r="S10" t="str">
        <f>"12/20/2019 5:57:02 PM"</f>
        <v>12/20/2019 5:57:02 PM</v>
      </c>
      <c r="T10" t="str">
        <f t="shared" si="12"/>
        <v>5</v>
      </c>
      <c r="U10" t="str">
        <f t="shared" si="9"/>
        <v>N/A</v>
      </c>
      <c r="V10" t="str">
        <f>"5.5500"</f>
        <v>5.5500</v>
      </c>
    </row>
    <row r="11" spans="1:22" x14ac:dyDescent="0.25">
      <c r="A11" s="1" t="str">
        <f t="shared" si="0"/>
        <v>2430-</v>
      </c>
      <c r="B11" s="1" t="str">
        <f t="shared" si="10"/>
        <v>2430-</v>
      </c>
      <c r="C11" s="1" t="str">
        <f>VLOOKUP(B11,'Master truck list'!D:E,2,0)</f>
        <v>2430-19SH</v>
      </c>
      <c r="D11" s="1" t="str">
        <f>VLOOKUP(C11,'Master truck list'!E:F,2,0)</f>
        <v>ACTIVE</v>
      </c>
      <c r="E11" s="1" t="str">
        <f>VLOOKUP(C11,'Master truck list'!E:M,9,0)</f>
        <v>CHARGER LOGISTICS USA INC</v>
      </c>
      <c r="F11" s="1" t="str">
        <f>VLOOKUP(C11,'Master truck list'!E:G,3,0)</f>
        <v>Company</v>
      </c>
      <c r="G11" s="1">
        <f>VLOOKUP(C11,'Master truck list'!E:R,14,0)</f>
        <v>1707</v>
      </c>
      <c r="H11" t="str">
        <f t="shared" si="11"/>
        <v>12/21/2019 7:00:28 AM</v>
      </c>
      <c r="I11" t="str">
        <f>""</f>
        <v/>
      </c>
      <c r="J11" t="str">
        <f t="shared" si="1"/>
        <v>Elite</v>
      </c>
      <c r="K11" t="str">
        <f t="shared" si="2"/>
        <v>Device</v>
      </c>
      <c r="L11" t="str">
        <f>"777169936"</f>
        <v>777169936</v>
      </c>
      <c r="M11" t="str">
        <f>"16429011"</f>
        <v>16429011</v>
      </c>
      <c r="N11" t="str">
        <f>"2430-19S"</f>
        <v>2430-19S</v>
      </c>
      <c r="O11" t="str">
        <f t="shared" si="6"/>
        <v>TEXAS</v>
      </c>
      <c r="P11" t="str">
        <f t="shared" si="7"/>
        <v>N A</v>
      </c>
      <c r="Q11" t="str">
        <f t="shared" si="8"/>
        <v>N/A</v>
      </c>
      <c r="R11" t="str">
        <f>"45SE MLPWB 01 611"</f>
        <v>45SE MLPWB 01 611</v>
      </c>
      <c r="S11" t="str">
        <f>"12/20/2019 6:38:10 PM"</f>
        <v>12/20/2019 6:38:10 PM</v>
      </c>
      <c r="T11" t="str">
        <f t="shared" si="12"/>
        <v>5</v>
      </c>
      <c r="U11" t="str">
        <f t="shared" si="9"/>
        <v>N/A</v>
      </c>
      <c r="V11" t="str">
        <f>"3.3000"</f>
        <v>3.3000</v>
      </c>
    </row>
    <row r="12" spans="1:22" x14ac:dyDescent="0.25">
      <c r="A12" s="1" t="str">
        <f t="shared" si="0"/>
        <v>2430-</v>
      </c>
      <c r="B12" s="1" t="str">
        <f t="shared" si="10"/>
        <v>2430-</v>
      </c>
      <c r="C12" s="1" t="str">
        <f>VLOOKUP(B12,'Master truck list'!D:E,2,0)</f>
        <v>2430-19SH</v>
      </c>
      <c r="D12" s="1" t="str">
        <f>VLOOKUP(C12,'Master truck list'!E:F,2,0)</f>
        <v>ACTIVE</v>
      </c>
      <c r="E12" s="1" t="str">
        <f>VLOOKUP(C12,'Master truck list'!E:M,9,0)</f>
        <v>CHARGER LOGISTICS USA INC</v>
      </c>
      <c r="F12" s="1" t="str">
        <f>VLOOKUP(C12,'Master truck list'!E:G,3,0)</f>
        <v>Company</v>
      </c>
      <c r="G12" s="1">
        <f>VLOOKUP(C12,'Master truck list'!E:R,14,0)</f>
        <v>1707</v>
      </c>
      <c r="H12" t="str">
        <f t="shared" si="11"/>
        <v>12/21/2019 7:00:28 AM</v>
      </c>
      <c r="I12" t="str">
        <f>""</f>
        <v/>
      </c>
      <c r="J12" t="str">
        <f t="shared" si="1"/>
        <v>Elite</v>
      </c>
      <c r="K12" t="str">
        <f t="shared" si="2"/>
        <v>Device</v>
      </c>
      <c r="L12" t="str">
        <f>"777169936"</f>
        <v>777169936</v>
      </c>
      <c r="M12" t="str">
        <f>"16429011"</f>
        <v>16429011</v>
      </c>
      <c r="N12" t="str">
        <f>"2430-19S"</f>
        <v>2430-19S</v>
      </c>
      <c r="O12" t="str">
        <f t="shared" si="6"/>
        <v>TEXAS</v>
      </c>
      <c r="P12" t="str">
        <f t="shared" si="7"/>
        <v>N A</v>
      </c>
      <c r="Q12" t="str">
        <f t="shared" si="8"/>
        <v>N/A</v>
      </c>
      <c r="R12" t="str">
        <f>"130 DKCRP 06 307"</f>
        <v>130 DKCRP 06 307</v>
      </c>
      <c r="S12" t="str">
        <f>"12/20/2019 6:19:19 PM"</f>
        <v>12/20/2019 6:19:19 PM</v>
      </c>
      <c r="T12" t="str">
        <f t="shared" si="12"/>
        <v>5</v>
      </c>
      <c r="U12" t="str">
        <f t="shared" si="9"/>
        <v>N/A</v>
      </c>
      <c r="V12" t="str">
        <f>"5.5500"</f>
        <v>5.5500</v>
      </c>
    </row>
    <row r="13" spans="1:22" x14ac:dyDescent="0.25">
      <c r="A13" s="1" t="str">
        <f t="shared" si="0"/>
        <v>1436-</v>
      </c>
      <c r="B13" s="1" t="str">
        <f t="shared" si="10"/>
        <v>1436-</v>
      </c>
      <c r="C13" s="1" t="str">
        <f>VLOOKUP(B13,'Master truck list'!D:E,2,0)</f>
        <v>1436-19SH</v>
      </c>
      <c r="D13" s="1" t="str">
        <f>VLOOKUP(C13,'Master truck list'!E:F,2,0)</f>
        <v>ACTIVE</v>
      </c>
      <c r="E13" s="1" t="str">
        <f>VLOOKUP(C13,'Master truck list'!E:M,9,0)</f>
        <v>CHARGER LOGISTICS INC</v>
      </c>
      <c r="F13" s="1" t="str">
        <f>VLOOKUP(C13,'Master truck list'!E:G,3,0)</f>
        <v>Company</v>
      </c>
      <c r="G13" s="1">
        <f>VLOOKUP(C13,'Master truck list'!E:R,14,0)</f>
        <v>1734</v>
      </c>
      <c r="H13" t="str">
        <f t="shared" ref="H13:H19" si="13">"12/20/2019 7:00:30 AM"</f>
        <v>12/20/2019 7:00:30 AM</v>
      </c>
      <c r="I13" t="str">
        <f>""</f>
        <v/>
      </c>
      <c r="J13" t="str">
        <f t="shared" si="1"/>
        <v>Elite</v>
      </c>
      <c r="K13" t="str">
        <f t="shared" si="2"/>
        <v>Device</v>
      </c>
      <c r="L13" t="str">
        <f>"777166843"</f>
        <v>777166843</v>
      </c>
      <c r="M13" t="str">
        <f>"16425918"</f>
        <v>16425918</v>
      </c>
      <c r="N13" t="str">
        <f>"1436-19S"</f>
        <v>1436-19S</v>
      </c>
      <c r="O13" t="str">
        <f t="shared" si="6"/>
        <v>TEXAS</v>
      </c>
      <c r="P13" t="str">
        <f t="shared" si="7"/>
        <v>N A</v>
      </c>
      <c r="Q13" t="str">
        <f t="shared" si="8"/>
        <v>N/A</v>
      </c>
      <c r="R13" t="str">
        <f>"130 DKCRP 06 307"</f>
        <v>130 DKCRP 06 307</v>
      </c>
      <c r="S13" t="str">
        <f>"12/19/2019 10:41:12 AM"</f>
        <v>12/19/2019 10:41:12 AM</v>
      </c>
      <c r="T13" t="str">
        <f t="shared" si="12"/>
        <v>5</v>
      </c>
      <c r="U13" t="str">
        <f t="shared" si="9"/>
        <v>N/A</v>
      </c>
      <c r="V13" t="str">
        <f>"5.5500"</f>
        <v>5.5500</v>
      </c>
    </row>
    <row r="14" spans="1:22" x14ac:dyDescent="0.25">
      <c r="A14" s="1" t="str">
        <f t="shared" si="0"/>
        <v>1436-</v>
      </c>
      <c r="B14" s="1" t="str">
        <f t="shared" si="10"/>
        <v>1436-</v>
      </c>
      <c r="C14" s="1" t="str">
        <f>VLOOKUP(B14,'Master truck list'!D:E,2,0)</f>
        <v>1436-19SH</v>
      </c>
      <c r="D14" s="1" t="str">
        <f>VLOOKUP(C14,'Master truck list'!E:F,2,0)</f>
        <v>ACTIVE</v>
      </c>
      <c r="E14" s="1" t="str">
        <f>VLOOKUP(C14,'Master truck list'!E:M,9,0)</f>
        <v>CHARGER LOGISTICS INC</v>
      </c>
      <c r="F14" s="1" t="str">
        <f>VLOOKUP(C14,'Master truck list'!E:G,3,0)</f>
        <v>Company</v>
      </c>
      <c r="G14" s="1">
        <f>VLOOKUP(C14,'Master truck list'!E:R,14,0)</f>
        <v>1734</v>
      </c>
      <c r="H14" t="str">
        <f t="shared" si="13"/>
        <v>12/20/2019 7:00:30 AM</v>
      </c>
      <c r="I14" t="str">
        <f>""</f>
        <v/>
      </c>
      <c r="J14" t="str">
        <f t="shared" si="1"/>
        <v>Elite</v>
      </c>
      <c r="K14" t="str">
        <f t="shared" si="2"/>
        <v>Device</v>
      </c>
      <c r="L14" t="str">
        <f>"777166843"</f>
        <v>777166843</v>
      </c>
      <c r="M14" t="str">
        <f>"16425918"</f>
        <v>16425918</v>
      </c>
      <c r="N14" t="str">
        <f>"1436-19S"</f>
        <v>1436-19S</v>
      </c>
      <c r="O14" t="str">
        <f t="shared" si="6"/>
        <v>TEXAS</v>
      </c>
      <c r="P14" t="str">
        <f t="shared" si="7"/>
        <v>N A</v>
      </c>
      <c r="Q14" t="str">
        <f t="shared" si="8"/>
        <v>N/A</v>
      </c>
      <c r="R14" t="str">
        <f>"130 MGCRP 06 305"</f>
        <v>130 MGCRP 06 305</v>
      </c>
      <c r="S14" t="str">
        <f>"12/19/2019 10:19:36 AM"</f>
        <v>12/19/2019 10:19:36 AM</v>
      </c>
      <c r="T14" t="str">
        <f t="shared" si="12"/>
        <v>5</v>
      </c>
      <c r="U14" t="str">
        <f t="shared" si="9"/>
        <v>N/A</v>
      </c>
      <c r="V14" t="str">
        <f>"5.5500"</f>
        <v>5.5500</v>
      </c>
    </row>
    <row r="15" spans="1:22" x14ac:dyDescent="0.25">
      <c r="A15" s="1" t="str">
        <f t="shared" si="0"/>
        <v>1436-</v>
      </c>
      <c r="B15" s="1" t="str">
        <f t="shared" si="10"/>
        <v>1436-</v>
      </c>
      <c r="C15" s="1" t="str">
        <f>VLOOKUP(B15,'Master truck list'!D:E,2,0)</f>
        <v>1436-19SH</v>
      </c>
      <c r="D15" s="1" t="str">
        <f>VLOOKUP(C15,'Master truck list'!E:F,2,0)</f>
        <v>ACTIVE</v>
      </c>
      <c r="E15" s="1" t="str">
        <f>VLOOKUP(C15,'Master truck list'!E:M,9,0)</f>
        <v>CHARGER LOGISTICS INC</v>
      </c>
      <c r="F15" s="1" t="str">
        <f>VLOOKUP(C15,'Master truck list'!E:G,3,0)</f>
        <v>Company</v>
      </c>
      <c r="G15" s="1">
        <f>VLOOKUP(C15,'Master truck list'!E:R,14,0)</f>
        <v>1734</v>
      </c>
      <c r="H15" t="str">
        <f t="shared" si="13"/>
        <v>12/20/2019 7:00:30 AM</v>
      </c>
      <c r="I15" t="str">
        <f>""</f>
        <v/>
      </c>
      <c r="J15" t="str">
        <f t="shared" si="1"/>
        <v>Elite</v>
      </c>
      <c r="K15" t="str">
        <f t="shared" si="2"/>
        <v>Device</v>
      </c>
      <c r="L15" t="str">
        <f>"777166843"</f>
        <v>777166843</v>
      </c>
      <c r="M15" t="str">
        <f>"16425918"</f>
        <v>16425918</v>
      </c>
      <c r="N15" t="str">
        <f>"1436-19S"</f>
        <v>1436-19S</v>
      </c>
      <c r="O15" t="str">
        <f t="shared" si="6"/>
        <v>TEXAS</v>
      </c>
      <c r="P15" t="str">
        <f t="shared" si="7"/>
        <v>N A</v>
      </c>
      <c r="Q15" t="str">
        <f t="shared" si="8"/>
        <v>N/A</v>
      </c>
      <c r="R15" t="str">
        <f>"130 CMRNP 08 306"</f>
        <v>130 CMRNP 08 306</v>
      </c>
      <c r="S15" t="str">
        <f>"12/19/2019 10:30:57 AM"</f>
        <v>12/19/2019 10:30:57 AM</v>
      </c>
      <c r="T15" t="str">
        <f>"2"</f>
        <v>2</v>
      </c>
      <c r="U15" t="str">
        <f t="shared" si="9"/>
        <v>N/A</v>
      </c>
      <c r="V15" t="str">
        <f>"1.8500"</f>
        <v>1.8500</v>
      </c>
    </row>
    <row r="16" spans="1:22" x14ac:dyDescent="0.25">
      <c r="A16" s="1" t="str">
        <f t="shared" si="0"/>
        <v>1436-</v>
      </c>
      <c r="B16" s="1" t="str">
        <f t="shared" si="10"/>
        <v>1436-</v>
      </c>
      <c r="C16" s="1" t="str">
        <f>VLOOKUP(B16,'Master truck list'!D:E,2,0)</f>
        <v>1436-19SH</v>
      </c>
      <c r="D16" s="1" t="str">
        <f>VLOOKUP(C16,'Master truck list'!E:F,2,0)</f>
        <v>ACTIVE</v>
      </c>
      <c r="E16" s="1" t="str">
        <f>VLOOKUP(C16,'Master truck list'!E:M,9,0)</f>
        <v>CHARGER LOGISTICS INC</v>
      </c>
      <c r="F16" s="1" t="str">
        <f>VLOOKUP(C16,'Master truck list'!E:G,3,0)</f>
        <v>Company</v>
      </c>
      <c r="G16" s="1">
        <f>VLOOKUP(C16,'Master truck list'!E:R,14,0)</f>
        <v>1734</v>
      </c>
      <c r="H16" t="str">
        <f t="shared" si="13"/>
        <v>12/20/2019 7:00:30 AM</v>
      </c>
      <c r="I16" t="str">
        <f>""</f>
        <v/>
      </c>
      <c r="J16" t="str">
        <f t="shared" si="1"/>
        <v>Elite</v>
      </c>
      <c r="K16" t="str">
        <f t="shared" si="2"/>
        <v>Device</v>
      </c>
      <c r="L16" t="str">
        <f>"777166843"</f>
        <v>777166843</v>
      </c>
      <c r="M16" t="str">
        <f>"16425918"</f>
        <v>16425918</v>
      </c>
      <c r="N16" t="str">
        <f>"1436-19S"</f>
        <v>1436-19S</v>
      </c>
      <c r="O16" t="str">
        <f t="shared" si="6"/>
        <v>TEXAS</v>
      </c>
      <c r="P16" t="str">
        <f t="shared" si="7"/>
        <v>N A</v>
      </c>
      <c r="Q16" t="str">
        <f t="shared" si="8"/>
        <v>N/A</v>
      </c>
      <c r="R16" t="str">
        <f>"45SE MLPWB 01 611"</f>
        <v>45SE MLPWB 01 611</v>
      </c>
      <c r="S16" t="str">
        <f>"12/19/2019 10:59:08 AM"</f>
        <v>12/19/2019 10:59:08 AM</v>
      </c>
      <c r="T16" t="str">
        <f t="shared" ref="T16:T39" si="14">"5"</f>
        <v>5</v>
      </c>
      <c r="U16" t="str">
        <f t="shared" si="9"/>
        <v>N/A</v>
      </c>
      <c r="V16" t="str">
        <f>"3.3000"</f>
        <v>3.3000</v>
      </c>
    </row>
    <row r="17" spans="1:22" x14ac:dyDescent="0.25">
      <c r="A17" s="1" t="str">
        <f t="shared" si="0"/>
        <v>1436-</v>
      </c>
      <c r="B17" s="1" t="str">
        <f t="shared" si="10"/>
        <v>1436-</v>
      </c>
      <c r="C17" s="1" t="str">
        <f>VLOOKUP(B17,'Master truck list'!D:E,2,0)</f>
        <v>1436-19SH</v>
      </c>
      <c r="D17" s="1" t="str">
        <f>VLOOKUP(C17,'Master truck list'!E:F,2,0)</f>
        <v>ACTIVE</v>
      </c>
      <c r="E17" s="1" t="str">
        <f>VLOOKUP(C17,'Master truck list'!E:M,9,0)</f>
        <v>CHARGER LOGISTICS INC</v>
      </c>
      <c r="F17" s="1" t="str">
        <f>VLOOKUP(C17,'Master truck list'!E:G,3,0)</f>
        <v>Company</v>
      </c>
      <c r="G17" s="1">
        <f>VLOOKUP(C17,'Master truck list'!E:R,14,0)</f>
        <v>1734</v>
      </c>
      <c r="H17" t="str">
        <f t="shared" si="13"/>
        <v>12/20/2019 7:00:30 AM</v>
      </c>
      <c r="I17" t="str">
        <f>""</f>
        <v/>
      </c>
      <c r="J17" t="str">
        <f t="shared" si="1"/>
        <v>Elite</v>
      </c>
      <c r="K17" t="str">
        <f t="shared" si="2"/>
        <v>Device</v>
      </c>
      <c r="L17" t="str">
        <f>"777166843"</f>
        <v>777166843</v>
      </c>
      <c r="M17" t="str">
        <f>"16425918"</f>
        <v>16425918</v>
      </c>
      <c r="N17" t="str">
        <f>"1436-19S"</f>
        <v>1436-19S</v>
      </c>
      <c r="O17" t="str">
        <f t="shared" si="6"/>
        <v>TEXAS</v>
      </c>
      <c r="P17" t="str">
        <f t="shared" si="7"/>
        <v>N A</v>
      </c>
      <c r="Q17" t="str">
        <f t="shared" si="8"/>
        <v>N/A</v>
      </c>
      <c r="R17" t="str">
        <f>"130 ARPTP 04 308"</f>
        <v>130 ARPTP 04 308</v>
      </c>
      <c r="S17" t="str">
        <f>"12/19/2019 10:48:19 AM"</f>
        <v>12/19/2019 10:48:19 AM</v>
      </c>
      <c r="T17" t="str">
        <f t="shared" si="14"/>
        <v>5</v>
      </c>
      <c r="U17" t="str">
        <f t="shared" si="9"/>
        <v>N/A</v>
      </c>
      <c r="V17" t="str">
        <f>"5.5500"</f>
        <v>5.5500</v>
      </c>
    </row>
    <row r="18" spans="1:22" x14ac:dyDescent="0.25">
      <c r="A18" s="1" t="str">
        <f t="shared" si="0"/>
        <v>2435-</v>
      </c>
      <c r="B18" s="1" t="str">
        <f t="shared" si="10"/>
        <v>2435-</v>
      </c>
      <c r="C18" s="1" t="str">
        <f>VLOOKUP(B18,'Master truck list'!D:E,2,0)</f>
        <v>2435-19SH</v>
      </c>
      <c r="D18" s="1" t="str">
        <f>VLOOKUP(C18,'Master truck list'!E:F,2,0)</f>
        <v>ACTIVE</v>
      </c>
      <c r="E18" s="1" t="str">
        <f>VLOOKUP(C18,'Master truck list'!E:M,9,0)</f>
        <v>CHARGER LOGISTICS USA INC</v>
      </c>
      <c r="F18" s="1" t="str">
        <f>VLOOKUP(C18,'Master truck list'!E:G,3,0)</f>
        <v>Company</v>
      </c>
      <c r="G18" s="1">
        <f>VLOOKUP(C18,'Master truck list'!E:R,14,0)</f>
        <v>1710</v>
      </c>
      <c r="H18" t="str">
        <f t="shared" si="13"/>
        <v>12/20/2019 7:00:30 AM</v>
      </c>
      <c r="I18" t="str">
        <f>""</f>
        <v/>
      </c>
      <c r="J18" t="str">
        <f t="shared" si="1"/>
        <v>Elite</v>
      </c>
      <c r="K18" t="str">
        <f t="shared" si="2"/>
        <v>Device</v>
      </c>
      <c r="L18" t="str">
        <f t="shared" ref="L18:L27" si="15">"777166839"</f>
        <v>777166839</v>
      </c>
      <c r="M18" t="str">
        <f t="shared" ref="M18:M27" si="16">"16425914"</f>
        <v>16425914</v>
      </c>
      <c r="N18" t="str">
        <f t="shared" ref="N18:N27" si="17">"2435-19S"</f>
        <v>2435-19S</v>
      </c>
      <c r="O18" t="str">
        <f t="shared" si="6"/>
        <v>TEXAS</v>
      </c>
      <c r="P18" t="str">
        <f t="shared" si="7"/>
        <v>N A</v>
      </c>
      <c r="Q18" t="str">
        <f t="shared" si="8"/>
        <v>N/A</v>
      </c>
      <c r="R18" t="str">
        <f>"130 CMRNP 13 306"</f>
        <v>130 CMRNP 13 306</v>
      </c>
      <c r="S18" t="str">
        <f>"12/19/2019 6:21:08 AM"</f>
        <v>12/19/2019 6:21:08 AM</v>
      </c>
      <c r="T18" t="str">
        <f t="shared" si="14"/>
        <v>5</v>
      </c>
      <c r="U18" t="str">
        <f t="shared" si="9"/>
        <v>N/A</v>
      </c>
      <c r="V18" t="str">
        <f>"5.5500"</f>
        <v>5.5500</v>
      </c>
    </row>
    <row r="19" spans="1:22" x14ac:dyDescent="0.25">
      <c r="A19" s="1" t="str">
        <f t="shared" si="0"/>
        <v>2435-</v>
      </c>
      <c r="B19" s="1" t="str">
        <f t="shared" si="10"/>
        <v>2435-</v>
      </c>
      <c r="C19" s="1" t="str">
        <f>VLOOKUP(B19,'Master truck list'!D:E,2,0)</f>
        <v>2435-19SH</v>
      </c>
      <c r="D19" s="1" t="str">
        <f>VLOOKUP(C19,'Master truck list'!E:F,2,0)</f>
        <v>ACTIVE</v>
      </c>
      <c r="E19" s="1" t="str">
        <f>VLOOKUP(C19,'Master truck list'!E:M,9,0)</f>
        <v>CHARGER LOGISTICS USA INC</v>
      </c>
      <c r="F19" s="1" t="str">
        <f>VLOOKUP(C19,'Master truck list'!E:G,3,0)</f>
        <v>Company</v>
      </c>
      <c r="G19" s="1">
        <f>VLOOKUP(C19,'Master truck list'!E:R,14,0)</f>
        <v>1710</v>
      </c>
      <c r="H19" t="str">
        <f t="shared" si="13"/>
        <v>12/20/2019 7:00:30 AM</v>
      </c>
      <c r="I19" t="str">
        <f>""</f>
        <v/>
      </c>
      <c r="J19" t="str">
        <f t="shared" si="1"/>
        <v>Elite</v>
      </c>
      <c r="K19" t="str">
        <f t="shared" si="2"/>
        <v>Device</v>
      </c>
      <c r="L19" t="str">
        <f t="shared" si="15"/>
        <v>777166839</v>
      </c>
      <c r="M19" t="str">
        <f t="shared" si="16"/>
        <v>16425914</v>
      </c>
      <c r="N19" t="str">
        <f t="shared" si="17"/>
        <v>2435-19S</v>
      </c>
      <c r="O19" t="str">
        <f t="shared" si="6"/>
        <v>TEXAS</v>
      </c>
      <c r="P19" t="str">
        <f t="shared" si="7"/>
        <v>N A</v>
      </c>
      <c r="Q19" t="str">
        <f t="shared" si="8"/>
        <v>N/A</v>
      </c>
      <c r="R19" t="str">
        <f>"130 ARPTP 09 308"</f>
        <v>130 ARPTP 09 308</v>
      </c>
      <c r="S19" t="str">
        <f>"12/19/2019 6:04:12 AM"</f>
        <v>12/19/2019 6:04:12 AM</v>
      </c>
      <c r="T19" t="str">
        <f t="shared" si="14"/>
        <v>5</v>
      </c>
      <c r="U19" t="str">
        <f t="shared" si="9"/>
        <v>N/A</v>
      </c>
      <c r="V19" t="str">
        <f>"5.5500"</f>
        <v>5.5500</v>
      </c>
    </row>
    <row r="20" spans="1:22" x14ac:dyDescent="0.25">
      <c r="A20" s="1" t="str">
        <f t="shared" si="0"/>
        <v>2435-</v>
      </c>
      <c r="B20" s="1" t="str">
        <f t="shared" si="10"/>
        <v>2435-</v>
      </c>
      <c r="C20" s="1" t="str">
        <f>VLOOKUP(B20,'Master truck list'!D:E,2,0)</f>
        <v>2435-19SH</v>
      </c>
      <c r="D20" s="1" t="str">
        <f>VLOOKUP(C20,'Master truck list'!E:F,2,0)</f>
        <v>ACTIVE</v>
      </c>
      <c r="E20" s="1" t="str">
        <f>VLOOKUP(C20,'Master truck list'!E:M,9,0)</f>
        <v>CHARGER LOGISTICS USA INC</v>
      </c>
      <c r="F20" s="1" t="str">
        <f>VLOOKUP(C20,'Master truck list'!E:G,3,0)</f>
        <v>Company</v>
      </c>
      <c r="G20" s="1">
        <f>VLOOKUP(C20,'Master truck list'!E:R,14,0)</f>
        <v>1710</v>
      </c>
      <c r="H20" t="str">
        <f>"12/19/2019 7:00:35 AM"</f>
        <v>12/19/2019 7:00:35 AM</v>
      </c>
      <c r="I20" t="str">
        <f>""</f>
        <v/>
      </c>
      <c r="J20" t="str">
        <f t="shared" si="1"/>
        <v>Elite</v>
      </c>
      <c r="K20" t="str">
        <f t="shared" si="2"/>
        <v>Device</v>
      </c>
      <c r="L20" t="str">
        <f t="shared" si="15"/>
        <v>777166839</v>
      </c>
      <c r="M20" t="str">
        <f t="shared" si="16"/>
        <v>16425914</v>
      </c>
      <c r="N20" t="str">
        <f t="shared" si="17"/>
        <v>2435-19S</v>
      </c>
      <c r="O20" t="str">
        <f t="shared" si="6"/>
        <v>TEXAS</v>
      </c>
      <c r="P20" t="str">
        <f t="shared" si="7"/>
        <v>N A</v>
      </c>
      <c r="Q20" t="str">
        <f t="shared" si="8"/>
        <v>N/A</v>
      </c>
      <c r="R20" t="str">
        <f>"45SE MLPWB 01 611"</f>
        <v>45SE MLPWB 01 611</v>
      </c>
      <c r="S20" t="str">
        <f>"12/18/2019 4:03:30 PM"</f>
        <v>12/18/2019 4:03:30 PM</v>
      </c>
      <c r="T20" t="str">
        <f t="shared" si="14"/>
        <v>5</v>
      </c>
      <c r="U20" t="str">
        <f t="shared" si="9"/>
        <v>N/A</v>
      </c>
      <c r="V20" t="str">
        <f>"3.3000"</f>
        <v>3.3000</v>
      </c>
    </row>
    <row r="21" spans="1:22" x14ac:dyDescent="0.25">
      <c r="A21" s="1" t="str">
        <f t="shared" si="0"/>
        <v>2435-</v>
      </c>
      <c r="B21" s="1" t="str">
        <f t="shared" si="10"/>
        <v>2435-</v>
      </c>
      <c r="C21" s="1" t="str">
        <f>VLOOKUP(B21,'Master truck list'!D:E,2,0)</f>
        <v>2435-19SH</v>
      </c>
      <c r="D21" s="1" t="str">
        <f>VLOOKUP(C21,'Master truck list'!E:F,2,0)</f>
        <v>ACTIVE</v>
      </c>
      <c r="E21" s="1" t="str">
        <f>VLOOKUP(C21,'Master truck list'!E:M,9,0)</f>
        <v>CHARGER LOGISTICS USA INC</v>
      </c>
      <c r="F21" s="1" t="str">
        <f>VLOOKUP(C21,'Master truck list'!E:G,3,0)</f>
        <v>Company</v>
      </c>
      <c r="G21" s="1">
        <f>VLOOKUP(C21,'Master truck list'!E:R,14,0)</f>
        <v>1710</v>
      </c>
      <c r="H21" t="str">
        <f>"12/19/2019 7:00:35 AM"</f>
        <v>12/19/2019 7:00:35 AM</v>
      </c>
      <c r="I21" t="str">
        <f>""</f>
        <v/>
      </c>
      <c r="J21" t="str">
        <f t="shared" si="1"/>
        <v>Elite</v>
      </c>
      <c r="K21" t="str">
        <f t="shared" si="2"/>
        <v>Device</v>
      </c>
      <c r="L21" t="str">
        <f t="shared" si="15"/>
        <v>777166839</v>
      </c>
      <c r="M21" t="str">
        <f t="shared" si="16"/>
        <v>16425914</v>
      </c>
      <c r="N21" t="str">
        <f t="shared" si="17"/>
        <v>2435-19S</v>
      </c>
      <c r="O21" t="str">
        <f t="shared" si="6"/>
        <v>TEXAS</v>
      </c>
      <c r="P21" t="str">
        <f t="shared" si="7"/>
        <v>N A</v>
      </c>
      <c r="Q21" t="str">
        <f t="shared" si="8"/>
        <v>N/A</v>
      </c>
      <c r="R21" t="str">
        <f>"130 MGCRP 06 305"</f>
        <v>130 MGCRP 06 305</v>
      </c>
      <c r="S21" t="str">
        <f>"12/18/2019 3:25:01 PM"</f>
        <v>12/18/2019 3:25:01 PM</v>
      </c>
      <c r="T21" t="str">
        <f t="shared" si="14"/>
        <v>5</v>
      </c>
      <c r="U21" t="str">
        <f t="shared" si="9"/>
        <v>N/A</v>
      </c>
      <c r="V21" t="str">
        <f>"5.5500"</f>
        <v>5.5500</v>
      </c>
    </row>
    <row r="22" spans="1:22" x14ac:dyDescent="0.25">
      <c r="A22" s="1" t="str">
        <f t="shared" si="0"/>
        <v>2435-</v>
      </c>
      <c r="B22" s="1" t="str">
        <f t="shared" si="10"/>
        <v>2435-</v>
      </c>
      <c r="C22" s="1" t="str">
        <f>VLOOKUP(B22,'Master truck list'!D:E,2,0)</f>
        <v>2435-19SH</v>
      </c>
      <c r="D22" s="1" t="str">
        <f>VLOOKUP(C22,'Master truck list'!E:F,2,0)</f>
        <v>ACTIVE</v>
      </c>
      <c r="E22" s="1" t="str">
        <f>VLOOKUP(C22,'Master truck list'!E:M,9,0)</f>
        <v>CHARGER LOGISTICS USA INC</v>
      </c>
      <c r="F22" s="1" t="str">
        <f>VLOOKUP(C22,'Master truck list'!E:G,3,0)</f>
        <v>Company</v>
      </c>
      <c r="G22" s="1">
        <f>VLOOKUP(C22,'Master truck list'!E:R,14,0)</f>
        <v>1710</v>
      </c>
      <c r="H22" t="str">
        <f>"12/19/2019 7:00:35 AM"</f>
        <v>12/19/2019 7:00:35 AM</v>
      </c>
      <c r="I22" t="str">
        <f>""</f>
        <v/>
      </c>
      <c r="J22" t="str">
        <f t="shared" si="1"/>
        <v>Elite</v>
      </c>
      <c r="K22" t="str">
        <f t="shared" si="2"/>
        <v>Device</v>
      </c>
      <c r="L22" t="str">
        <f t="shared" si="15"/>
        <v>777166839</v>
      </c>
      <c r="M22" t="str">
        <f t="shared" si="16"/>
        <v>16425914</v>
      </c>
      <c r="N22" t="str">
        <f t="shared" si="17"/>
        <v>2435-19S</v>
      </c>
      <c r="O22" t="str">
        <f t="shared" si="6"/>
        <v>TEXAS</v>
      </c>
      <c r="P22" t="str">
        <f t="shared" si="7"/>
        <v>N A</v>
      </c>
      <c r="Q22" t="str">
        <f t="shared" si="8"/>
        <v>N/A</v>
      </c>
      <c r="R22" t="str">
        <f>"130 DKCRP 06 307"</f>
        <v>130 DKCRP 06 307</v>
      </c>
      <c r="S22" t="str">
        <f>"12/18/2019 3:46:05 PM"</f>
        <v>12/18/2019 3:46:05 PM</v>
      </c>
      <c r="T22" t="str">
        <f t="shared" si="14"/>
        <v>5</v>
      </c>
      <c r="U22" t="str">
        <f t="shared" si="9"/>
        <v>N/A</v>
      </c>
      <c r="V22" t="str">
        <f>"5.5500"</f>
        <v>5.5500</v>
      </c>
    </row>
    <row r="23" spans="1:22" x14ac:dyDescent="0.25">
      <c r="A23" s="1" t="str">
        <f t="shared" si="0"/>
        <v>2435-</v>
      </c>
      <c r="B23" s="1" t="str">
        <f t="shared" si="10"/>
        <v>2435-</v>
      </c>
      <c r="C23" s="1" t="str">
        <f>VLOOKUP(B23,'Master truck list'!D:E,2,0)</f>
        <v>2435-19SH</v>
      </c>
      <c r="D23" s="1" t="str">
        <f>VLOOKUP(C23,'Master truck list'!E:F,2,0)</f>
        <v>ACTIVE</v>
      </c>
      <c r="E23" s="1" t="str">
        <f>VLOOKUP(C23,'Master truck list'!E:M,9,0)</f>
        <v>CHARGER LOGISTICS USA INC</v>
      </c>
      <c r="F23" s="1" t="str">
        <f>VLOOKUP(C23,'Master truck list'!E:G,3,0)</f>
        <v>Company</v>
      </c>
      <c r="G23" s="1">
        <f>VLOOKUP(C23,'Master truck list'!E:R,14,0)</f>
        <v>1710</v>
      </c>
      <c r="H23" t="str">
        <f>"12/20/2019 7:00:30 AM"</f>
        <v>12/20/2019 7:00:30 AM</v>
      </c>
      <c r="I23" t="str">
        <f>""</f>
        <v/>
      </c>
      <c r="J23" t="str">
        <f t="shared" si="1"/>
        <v>Elite</v>
      </c>
      <c r="K23" t="str">
        <f t="shared" si="2"/>
        <v>Device</v>
      </c>
      <c r="L23" t="str">
        <f t="shared" si="15"/>
        <v>777166839</v>
      </c>
      <c r="M23" t="str">
        <f t="shared" si="16"/>
        <v>16425914</v>
      </c>
      <c r="N23" t="str">
        <f t="shared" si="17"/>
        <v>2435-19S</v>
      </c>
      <c r="O23" t="str">
        <f t="shared" si="6"/>
        <v>TEXAS</v>
      </c>
      <c r="P23" t="str">
        <f t="shared" si="7"/>
        <v>N A</v>
      </c>
      <c r="Q23" t="str">
        <f t="shared" si="8"/>
        <v>N/A</v>
      </c>
      <c r="R23" t="str">
        <f>"130 MGCRP 11 305"</f>
        <v>130 MGCRP 11 305</v>
      </c>
      <c r="S23" t="str">
        <f>"12/19/2019 6:32:08 AM"</f>
        <v>12/19/2019 6:32:08 AM</v>
      </c>
      <c r="T23" t="str">
        <f t="shared" si="14"/>
        <v>5</v>
      </c>
      <c r="U23" t="str">
        <f t="shared" si="9"/>
        <v>N/A</v>
      </c>
      <c r="V23" t="str">
        <f>"5.5500"</f>
        <v>5.5500</v>
      </c>
    </row>
    <row r="24" spans="1:22" x14ac:dyDescent="0.25">
      <c r="A24" s="1" t="str">
        <f t="shared" si="0"/>
        <v>2435-</v>
      </c>
      <c r="B24" s="1" t="str">
        <f t="shared" si="10"/>
        <v>2435-</v>
      </c>
      <c r="C24" s="1" t="str">
        <f>VLOOKUP(B24,'Master truck list'!D:E,2,0)</f>
        <v>2435-19SH</v>
      </c>
      <c r="D24" s="1" t="str">
        <f>VLOOKUP(C24,'Master truck list'!E:F,2,0)</f>
        <v>ACTIVE</v>
      </c>
      <c r="E24" s="1" t="str">
        <f>VLOOKUP(C24,'Master truck list'!E:M,9,0)</f>
        <v>CHARGER LOGISTICS USA INC</v>
      </c>
      <c r="F24" s="1" t="str">
        <f>VLOOKUP(C24,'Master truck list'!E:G,3,0)</f>
        <v>Company</v>
      </c>
      <c r="G24" s="1">
        <f>VLOOKUP(C24,'Master truck list'!E:R,14,0)</f>
        <v>1710</v>
      </c>
      <c r="H24" t="str">
        <f>"12/20/2019 7:00:30 AM"</f>
        <v>12/20/2019 7:00:30 AM</v>
      </c>
      <c r="I24" t="str">
        <f>""</f>
        <v/>
      </c>
      <c r="J24" t="str">
        <f t="shared" si="1"/>
        <v>Elite</v>
      </c>
      <c r="K24" t="str">
        <f t="shared" si="2"/>
        <v>Device</v>
      </c>
      <c r="L24" t="str">
        <f t="shared" si="15"/>
        <v>777166839</v>
      </c>
      <c r="M24" t="str">
        <f t="shared" si="16"/>
        <v>16425914</v>
      </c>
      <c r="N24" t="str">
        <f t="shared" si="17"/>
        <v>2435-19S</v>
      </c>
      <c r="O24" t="str">
        <f t="shared" si="6"/>
        <v>TEXAS</v>
      </c>
      <c r="P24" t="str">
        <f t="shared" si="7"/>
        <v>N A</v>
      </c>
      <c r="Q24" t="str">
        <f t="shared" si="8"/>
        <v>N/A</v>
      </c>
      <c r="R24" t="str">
        <f>"130 DKCRP 11 307"</f>
        <v>130 DKCRP 11 307</v>
      </c>
      <c r="S24" t="str">
        <f>"12/19/2019 6:11:10 AM"</f>
        <v>12/19/2019 6:11:10 AM</v>
      </c>
      <c r="T24" t="str">
        <f t="shared" si="14"/>
        <v>5</v>
      </c>
      <c r="U24" t="str">
        <f t="shared" si="9"/>
        <v>N/A</v>
      </c>
      <c r="V24" t="str">
        <f>"5.5500"</f>
        <v>5.5500</v>
      </c>
    </row>
    <row r="25" spans="1:22" x14ac:dyDescent="0.25">
      <c r="A25" s="1" t="str">
        <f t="shared" si="0"/>
        <v>2435-</v>
      </c>
      <c r="B25" s="1" t="str">
        <f t="shared" si="10"/>
        <v>2435-</v>
      </c>
      <c r="C25" s="1" t="str">
        <f>VLOOKUP(B25,'Master truck list'!D:E,2,0)</f>
        <v>2435-19SH</v>
      </c>
      <c r="D25" s="1" t="str">
        <f>VLOOKUP(C25,'Master truck list'!E:F,2,0)</f>
        <v>ACTIVE</v>
      </c>
      <c r="E25" s="1" t="str">
        <f>VLOOKUP(C25,'Master truck list'!E:M,9,0)</f>
        <v>CHARGER LOGISTICS USA INC</v>
      </c>
      <c r="F25" s="1" t="str">
        <f>VLOOKUP(C25,'Master truck list'!E:G,3,0)</f>
        <v>Company</v>
      </c>
      <c r="G25" s="1">
        <f>VLOOKUP(C25,'Master truck list'!E:R,14,0)</f>
        <v>1710</v>
      </c>
      <c r="H25" t="str">
        <f>"12/20/2019 7:00:30 AM"</f>
        <v>12/20/2019 7:00:30 AM</v>
      </c>
      <c r="I25" t="str">
        <f>""</f>
        <v/>
      </c>
      <c r="J25" t="str">
        <f t="shared" si="1"/>
        <v>Elite</v>
      </c>
      <c r="K25" t="str">
        <f t="shared" si="2"/>
        <v>Device</v>
      </c>
      <c r="L25" t="str">
        <f t="shared" si="15"/>
        <v>777166839</v>
      </c>
      <c r="M25" t="str">
        <f t="shared" si="16"/>
        <v>16425914</v>
      </c>
      <c r="N25" t="str">
        <f t="shared" si="17"/>
        <v>2435-19S</v>
      </c>
      <c r="O25" t="str">
        <f t="shared" si="6"/>
        <v>TEXAS</v>
      </c>
      <c r="P25" t="str">
        <f t="shared" si="7"/>
        <v>N A</v>
      </c>
      <c r="Q25" t="str">
        <f t="shared" si="8"/>
        <v>N/A</v>
      </c>
      <c r="R25" t="str">
        <f>"45SE MLPEB 02 611"</f>
        <v>45SE MLPEB 02 611</v>
      </c>
      <c r="S25" t="str">
        <f>"12/19/2019 5:53:39 AM"</f>
        <v>12/19/2019 5:53:39 AM</v>
      </c>
      <c r="T25" t="str">
        <f t="shared" si="14"/>
        <v>5</v>
      </c>
      <c r="U25" t="str">
        <f t="shared" si="9"/>
        <v>N/A</v>
      </c>
      <c r="V25" t="str">
        <f>"3.3000"</f>
        <v>3.3000</v>
      </c>
    </row>
    <row r="26" spans="1:22" x14ac:dyDescent="0.25">
      <c r="A26" s="1" t="str">
        <f t="shared" si="0"/>
        <v>2435-</v>
      </c>
      <c r="B26" s="1" t="str">
        <f t="shared" si="10"/>
        <v>2435-</v>
      </c>
      <c r="C26" s="1" t="str">
        <f>VLOOKUP(B26,'Master truck list'!D:E,2,0)</f>
        <v>2435-19SH</v>
      </c>
      <c r="D26" s="1" t="str">
        <f>VLOOKUP(C26,'Master truck list'!E:F,2,0)</f>
        <v>ACTIVE</v>
      </c>
      <c r="E26" s="1" t="str">
        <f>VLOOKUP(C26,'Master truck list'!E:M,9,0)</f>
        <v>CHARGER LOGISTICS USA INC</v>
      </c>
      <c r="F26" s="1" t="str">
        <f>VLOOKUP(C26,'Master truck list'!E:G,3,0)</f>
        <v>Company</v>
      </c>
      <c r="G26" s="1">
        <f>VLOOKUP(C26,'Master truck list'!E:R,14,0)</f>
        <v>1710</v>
      </c>
      <c r="H26" t="str">
        <f>"12/19/2019 7:00:35 AM"</f>
        <v>12/19/2019 7:00:35 AM</v>
      </c>
      <c r="I26" t="str">
        <f>""</f>
        <v/>
      </c>
      <c r="J26" t="str">
        <f t="shared" si="1"/>
        <v>Elite</v>
      </c>
      <c r="K26" t="str">
        <f t="shared" si="2"/>
        <v>Device</v>
      </c>
      <c r="L26" t="str">
        <f t="shared" si="15"/>
        <v>777166839</v>
      </c>
      <c r="M26" t="str">
        <f t="shared" si="16"/>
        <v>16425914</v>
      </c>
      <c r="N26" t="str">
        <f t="shared" si="17"/>
        <v>2435-19S</v>
      </c>
      <c r="O26" t="str">
        <f t="shared" si="6"/>
        <v>TEXAS</v>
      </c>
      <c r="P26" t="str">
        <f t="shared" si="7"/>
        <v>N A</v>
      </c>
      <c r="Q26" t="str">
        <f t="shared" si="8"/>
        <v>N/A</v>
      </c>
      <c r="R26" t="str">
        <f>"130 ARPTP 04 308"</f>
        <v>130 ARPTP 04 308</v>
      </c>
      <c r="S26" t="str">
        <f>"12/18/2019 3:53:01 PM"</f>
        <v>12/18/2019 3:53:01 PM</v>
      </c>
      <c r="T26" t="str">
        <f t="shared" si="14"/>
        <v>5</v>
      </c>
      <c r="U26" t="str">
        <f t="shared" si="9"/>
        <v>N/A</v>
      </c>
      <c r="V26" t="str">
        <f t="shared" ref="V26:V31" si="18">"5.5500"</f>
        <v>5.5500</v>
      </c>
    </row>
    <row r="27" spans="1:22" x14ac:dyDescent="0.25">
      <c r="A27" s="1" t="str">
        <f t="shared" si="0"/>
        <v>2435-</v>
      </c>
      <c r="B27" s="1" t="str">
        <f t="shared" si="10"/>
        <v>2435-</v>
      </c>
      <c r="C27" s="1" t="str">
        <f>VLOOKUP(B27,'Master truck list'!D:E,2,0)</f>
        <v>2435-19SH</v>
      </c>
      <c r="D27" s="1" t="str">
        <f>VLOOKUP(C27,'Master truck list'!E:F,2,0)</f>
        <v>ACTIVE</v>
      </c>
      <c r="E27" s="1" t="str">
        <f>VLOOKUP(C27,'Master truck list'!E:M,9,0)</f>
        <v>CHARGER LOGISTICS USA INC</v>
      </c>
      <c r="F27" s="1" t="str">
        <f>VLOOKUP(C27,'Master truck list'!E:G,3,0)</f>
        <v>Company</v>
      </c>
      <c r="G27" s="1">
        <f>VLOOKUP(C27,'Master truck list'!E:R,14,0)</f>
        <v>1710</v>
      </c>
      <c r="H27" t="str">
        <f>"12/19/2019 7:00:35 AM"</f>
        <v>12/19/2019 7:00:35 AM</v>
      </c>
      <c r="I27" t="str">
        <f>""</f>
        <v/>
      </c>
      <c r="J27" t="str">
        <f t="shared" si="1"/>
        <v>Elite</v>
      </c>
      <c r="K27" t="str">
        <f t="shared" si="2"/>
        <v>Device</v>
      </c>
      <c r="L27" t="str">
        <f t="shared" si="15"/>
        <v>777166839</v>
      </c>
      <c r="M27" t="str">
        <f t="shared" si="16"/>
        <v>16425914</v>
      </c>
      <c r="N27" t="str">
        <f t="shared" si="17"/>
        <v>2435-19S</v>
      </c>
      <c r="O27" t="str">
        <f t="shared" si="6"/>
        <v>TEXAS</v>
      </c>
      <c r="P27" t="str">
        <f t="shared" si="7"/>
        <v>N A</v>
      </c>
      <c r="Q27" t="str">
        <f t="shared" si="8"/>
        <v>N/A</v>
      </c>
      <c r="R27" t="str">
        <f>"130 CMRNP 08 306"</f>
        <v>130 CMRNP 08 306</v>
      </c>
      <c r="S27" t="str">
        <f>"12/18/2019 3:35:59 PM"</f>
        <v>12/18/2019 3:35:59 PM</v>
      </c>
      <c r="T27" t="str">
        <f t="shared" si="14"/>
        <v>5</v>
      </c>
      <c r="U27" t="str">
        <f t="shared" si="9"/>
        <v>N/A</v>
      </c>
      <c r="V27" t="str">
        <f t="shared" si="18"/>
        <v>5.5500</v>
      </c>
    </row>
    <row r="28" spans="1:22" x14ac:dyDescent="0.25">
      <c r="A28" s="1" t="str">
        <f t="shared" si="0"/>
        <v>19321</v>
      </c>
      <c r="B28" s="1" t="str">
        <f t="shared" si="10"/>
        <v>19321</v>
      </c>
      <c r="C28" s="1" t="str">
        <f>VLOOKUP(B28,'Master truck list'!D:E,2,0)</f>
        <v>19321-20</v>
      </c>
      <c r="D28" s="1" t="str">
        <f>VLOOKUP(C28,'Master truck list'!E:F,2,0)</f>
        <v>ACTIVE</v>
      </c>
      <c r="E28" s="1" t="str">
        <f>VLOOKUP(C28,'Master truck list'!E:M,9,0)</f>
        <v>BKFS LOGISTICS</v>
      </c>
      <c r="F28" s="1" t="str">
        <f>VLOOKUP(C28,'Master truck list'!E:G,3,0)</f>
        <v>Company</v>
      </c>
      <c r="G28" s="1">
        <f>VLOOKUP(C28,'Master truck list'!E:R,14,0)</f>
        <v>2384</v>
      </c>
      <c r="H28" t="str">
        <f>"12/21/2019 7:00:28 AM"</f>
        <v>12/21/2019 7:00:28 AM</v>
      </c>
      <c r="I28" t="str">
        <f>""</f>
        <v/>
      </c>
      <c r="J28" t="str">
        <f t="shared" si="1"/>
        <v>Elite</v>
      </c>
      <c r="K28" t="str">
        <f t="shared" si="2"/>
        <v>Device</v>
      </c>
      <c r="L28" t="str">
        <f>"777169934"</f>
        <v>777169934</v>
      </c>
      <c r="M28" t="str">
        <f>"16429009"</f>
        <v>16429009</v>
      </c>
      <c r="N28" t="str">
        <f>"19321-20"</f>
        <v>19321-20</v>
      </c>
      <c r="O28" t="str">
        <f t="shared" si="6"/>
        <v>TEXAS</v>
      </c>
      <c r="P28" t="str">
        <f t="shared" si="7"/>
        <v>N A</v>
      </c>
      <c r="Q28" t="str">
        <f t="shared" si="8"/>
        <v>N/A</v>
      </c>
      <c r="R28" t="str">
        <f>"130 CMRNP 13 306"</f>
        <v>130 CMRNP 13 306</v>
      </c>
      <c r="S28" t="str">
        <f>"12/20/2019 6:00:42 PM"</f>
        <v>12/20/2019 6:00:42 PM</v>
      </c>
      <c r="T28" t="str">
        <f t="shared" si="14"/>
        <v>5</v>
      </c>
      <c r="U28" t="str">
        <f t="shared" si="9"/>
        <v>N/A</v>
      </c>
      <c r="V28" t="str">
        <f t="shared" si="18"/>
        <v>5.5500</v>
      </c>
    </row>
    <row r="29" spans="1:22" x14ac:dyDescent="0.25">
      <c r="A29" s="1" t="str">
        <f t="shared" si="0"/>
        <v>19321</v>
      </c>
      <c r="B29" s="1" t="str">
        <f t="shared" si="10"/>
        <v>19321</v>
      </c>
      <c r="C29" s="1" t="str">
        <f>VLOOKUP(B29,'Master truck list'!D:E,2,0)</f>
        <v>19321-20</v>
      </c>
      <c r="D29" s="1" t="str">
        <f>VLOOKUP(C29,'Master truck list'!E:F,2,0)</f>
        <v>ACTIVE</v>
      </c>
      <c r="E29" s="1" t="str">
        <f>VLOOKUP(C29,'Master truck list'!E:M,9,0)</f>
        <v>BKFS LOGISTICS</v>
      </c>
      <c r="F29" s="1" t="str">
        <f>VLOOKUP(C29,'Master truck list'!E:G,3,0)</f>
        <v>Company</v>
      </c>
      <c r="G29" s="1">
        <f>VLOOKUP(C29,'Master truck list'!E:R,14,0)</f>
        <v>2384</v>
      </c>
      <c r="H29" t="str">
        <f>"12/21/2019 7:00:28 AM"</f>
        <v>12/21/2019 7:00:28 AM</v>
      </c>
      <c r="I29" t="str">
        <f>""</f>
        <v/>
      </c>
      <c r="J29" t="str">
        <f t="shared" si="1"/>
        <v>Elite</v>
      </c>
      <c r="K29" t="str">
        <f t="shared" si="2"/>
        <v>Device</v>
      </c>
      <c r="L29" t="str">
        <f>"777169934"</f>
        <v>777169934</v>
      </c>
      <c r="M29" t="str">
        <f>"16429009"</f>
        <v>16429009</v>
      </c>
      <c r="N29" t="str">
        <f>"19321-20"</f>
        <v>19321-20</v>
      </c>
      <c r="O29" t="str">
        <f t="shared" si="6"/>
        <v>TEXAS</v>
      </c>
      <c r="P29" t="str">
        <f t="shared" si="7"/>
        <v>N A</v>
      </c>
      <c r="Q29" t="str">
        <f t="shared" si="8"/>
        <v>N/A</v>
      </c>
      <c r="R29" t="str">
        <f>"130 ARPTP 09 308"</f>
        <v>130 ARPTP 09 308</v>
      </c>
      <c r="S29" t="str">
        <f>"12/20/2019 5:31:36 PM"</f>
        <v>12/20/2019 5:31:36 PM</v>
      </c>
      <c r="T29" t="str">
        <f t="shared" si="14"/>
        <v>5</v>
      </c>
      <c r="U29" t="str">
        <f t="shared" si="9"/>
        <v>N/A</v>
      </c>
      <c r="V29" t="str">
        <f t="shared" si="18"/>
        <v>5.5500</v>
      </c>
    </row>
    <row r="30" spans="1:22" x14ac:dyDescent="0.25">
      <c r="A30" s="1" t="str">
        <f t="shared" si="0"/>
        <v>19321</v>
      </c>
      <c r="B30" s="1" t="str">
        <f t="shared" si="10"/>
        <v>19321</v>
      </c>
      <c r="C30" s="1" t="str">
        <f>VLOOKUP(B30,'Master truck list'!D:E,2,0)</f>
        <v>19321-20</v>
      </c>
      <c r="D30" s="1" t="str">
        <f>VLOOKUP(C30,'Master truck list'!E:F,2,0)</f>
        <v>ACTIVE</v>
      </c>
      <c r="E30" s="1" t="str">
        <f>VLOOKUP(C30,'Master truck list'!E:M,9,0)</f>
        <v>BKFS LOGISTICS</v>
      </c>
      <c r="F30" s="1" t="str">
        <f>VLOOKUP(C30,'Master truck list'!E:G,3,0)</f>
        <v>Company</v>
      </c>
      <c r="G30" s="1">
        <f>VLOOKUP(C30,'Master truck list'!E:R,14,0)</f>
        <v>2384</v>
      </c>
      <c r="H30" t="str">
        <f>"12/21/2019 7:00:28 AM"</f>
        <v>12/21/2019 7:00:28 AM</v>
      </c>
      <c r="I30" t="str">
        <f>""</f>
        <v/>
      </c>
      <c r="J30" t="str">
        <f t="shared" si="1"/>
        <v>Elite</v>
      </c>
      <c r="K30" t="str">
        <f t="shared" si="2"/>
        <v>Device</v>
      </c>
      <c r="L30" t="str">
        <f>"777169934"</f>
        <v>777169934</v>
      </c>
      <c r="M30" t="str">
        <f>"16429009"</f>
        <v>16429009</v>
      </c>
      <c r="N30" t="str">
        <f>"19321-20"</f>
        <v>19321-20</v>
      </c>
      <c r="O30" t="str">
        <f t="shared" si="6"/>
        <v>TEXAS</v>
      </c>
      <c r="P30" t="str">
        <f t="shared" si="7"/>
        <v>N A</v>
      </c>
      <c r="Q30" t="str">
        <f t="shared" si="8"/>
        <v>N/A</v>
      </c>
      <c r="R30" t="str">
        <f>"130 DKCRP 11 307"</f>
        <v>130 DKCRP 11 307</v>
      </c>
      <c r="S30" t="str">
        <f>"12/20/2019 5:42:27 PM"</f>
        <v>12/20/2019 5:42:27 PM</v>
      </c>
      <c r="T30" t="str">
        <f t="shared" si="14"/>
        <v>5</v>
      </c>
      <c r="U30" t="str">
        <f t="shared" si="9"/>
        <v>N/A</v>
      </c>
      <c r="V30" t="str">
        <f t="shared" si="18"/>
        <v>5.5500</v>
      </c>
    </row>
    <row r="31" spans="1:22" x14ac:dyDescent="0.25">
      <c r="A31" s="1" t="str">
        <f t="shared" si="0"/>
        <v>19321</v>
      </c>
      <c r="B31" s="1" t="str">
        <f t="shared" si="10"/>
        <v>19321</v>
      </c>
      <c r="C31" s="1" t="str">
        <f>VLOOKUP(B31,'Master truck list'!D:E,2,0)</f>
        <v>19321-20</v>
      </c>
      <c r="D31" s="1" t="str">
        <f>VLOOKUP(C31,'Master truck list'!E:F,2,0)</f>
        <v>ACTIVE</v>
      </c>
      <c r="E31" s="1" t="str">
        <f>VLOOKUP(C31,'Master truck list'!E:M,9,0)</f>
        <v>BKFS LOGISTICS</v>
      </c>
      <c r="F31" s="1" t="str">
        <f>VLOOKUP(C31,'Master truck list'!E:G,3,0)</f>
        <v>Company</v>
      </c>
      <c r="G31" s="1">
        <f>VLOOKUP(C31,'Master truck list'!E:R,14,0)</f>
        <v>2384</v>
      </c>
      <c r="H31" t="str">
        <f>"12/21/2019 7:00:28 AM"</f>
        <v>12/21/2019 7:00:28 AM</v>
      </c>
      <c r="I31" t="str">
        <f>""</f>
        <v/>
      </c>
      <c r="J31" t="str">
        <f t="shared" si="1"/>
        <v>Elite</v>
      </c>
      <c r="K31" t="str">
        <f t="shared" si="2"/>
        <v>Device</v>
      </c>
      <c r="L31" t="str">
        <f>"777169934"</f>
        <v>777169934</v>
      </c>
      <c r="M31" t="str">
        <f>"16429009"</f>
        <v>16429009</v>
      </c>
      <c r="N31" t="str">
        <f>"19321-20"</f>
        <v>19321-20</v>
      </c>
      <c r="O31" t="str">
        <f t="shared" si="6"/>
        <v>TEXAS</v>
      </c>
      <c r="P31" t="str">
        <f t="shared" si="7"/>
        <v>N A</v>
      </c>
      <c r="Q31" t="str">
        <f t="shared" si="8"/>
        <v>N/A</v>
      </c>
      <c r="R31" t="str">
        <f>"130 MGCRP 11 305"</f>
        <v>130 MGCRP 11 305</v>
      </c>
      <c r="S31" t="str">
        <f>"12/20/2019 6:18:01 PM"</f>
        <v>12/20/2019 6:18:01 PM</v>
      </c>
      <c r="T31" t="str">
        <f t="shared" si="14"/>
        <v>5</v>
      </c>
      <c r="U31" t="str">
        <f t="shared" si="9"/>
        <v>N/A</v>
      </c>
      <c r="V31" t="str">
        <f t="shared" si="18"/>
        <v>5.5500</v>
      </c>
    </row>
    <row r="32" spans="1:22" x14ac:dyDescent="0.25">
      <c r="A32" s="1" t="str">
        <f t="shared" si="0"/>
        <v>19321</v>
      </c>
      <c r="B32" s="1" t="str">
        <f t="shared" si="10"/>
        <v>19321</v>
      </c>
      <c r="C32" s="1" t="str">
        <f>VLOOKUP(B32,'Master truck list'!D:E,2,0)</f>
        <v>19321-20</v>
      </c>
      <c r="D32" s="1" t="str">
        <f>VLOOKUP(C32,'Master truck list'!E:F,2,0)</f>
        <v>ACTIVE</v>
      </c>
      <c r="E32" s="1" t="str">
        <f>VLOOKUP(C32,'Master truck list'!E:M,9,0)</f>
        <v>BKFS LOGISTICS</v>
      </c>
      <c r="F32" s="1" t="str">
        <f>VLOOKUP(C32,'Master truck list'!E:G,3,0)</f>
        <v>Company</v>
      </c>
      <c r="G32" s="1">
        <f>VLOOKUP(C32,'Master truck list'!E:R,14,0)</f>
        <v>2384</v>
      </c>
      <c r="H32" t="str">
        <f>"12/21/2019 7:00:28 AM"</f>
        <v>12/21/2019 7:00:28 AM</v>
      </c>
      <c r="I32" t="str">
        <f>""</f>
        <v/>
      </c>
      <c r="J32" t="str">
        <f t="shared" si="1"/>
        <v>Elite</v>
      </c>
      <c r="K32" t="str">
        <f t="shared" si="2"/>
        <v>Device</v>
      </c>
      <c r="L32" t="str">
        <f>"777169934"</f>
        <v>777169934</v>
      </c>
      <c r="M32" t="str">
        <f>"16429009"</f>
        <v>16429009</v>
      </c>
      <c r="N32" t="str">
        <f>"19321-20"</f>
        <v>19321-20</v>
      </c>
      <c r="O32" t="str">
        <f t="shared" si="6"/>
        <v>TEXAS</v>
      </c>
      <c r="P32" t="str">
        <f t="shared" si="7"/>
        <v>N A</v>
      </c>
      <c r="Q32" t="str">
        <f t="shared" si="8"/>
        <v>N/A</v>
      </c>
      <c r="R32" t="str">
        <f>"45SE MLPEB 02 611"</f>
        <v>45SE MLPEB 02 611</v>
      </c>
      <c r="S32" t="str">
        <f>"12/20/2019 5:20:27 PM"</f>
        <v>12/20/2019 5:20:27 PM</v>
      </c>
      <c r="T32" t="str">
        <f t="shared" si="14"/>
        <v>5</v>
      </c>
      <c r="U32" t="str">
        <f t="shared" si="9"/>
        <v>N/A</v>
      </c>
      <c r="V32" t="str">
        <f>"3.3000"</f>
        <v>3.3000</v>
      </c>
    </row>
    <row r="33" spans="1:22" x14ac:dyDescent="0.25">
      <c r="A33" s="1" t="str">
        <f t="shared" si="0"/>
        <v>19315</v>
      </c>
      <c r="B33" s="1" t="str">
        <f t="shared" si="10"/>
        <v>19315</v>
      </c>
      <c r="C33" s="1" t="str">
        <f>VLOOKUP(B33,'Master truck list'!D:E,2,0)</f>
        <v>19315-20</v>
      </c>
      <c r="D33" s="1" t="str">
        <f>VLOOKUP(C33,'Master truck list'!E:F,2,0)</f>
        <v>ACTIVE</v>
      </c>
      <c r="E33" s="1" t="str">
        <f>VLOOKUP(C33,'Master truck list'!E:M,9,0)</f>
        <v>BKFS LOGISTICS</v>
      </c>
      <c r="F33" s="1" t="str">
        <f>VLOOKUP(C33,'Master truck list'!E:G,3,0)</f>
        <v>Company</v>
      </c>
      <c r="G33" s="1">
        <f>VLOOKUP(C33,'Master truck list'!E:R,14,0)</f>
        <v>2378</v>
      </c>
      <c r="H33" t="str">
        <f>"12/19/2019 7:00:35 AM"</f>
        <v>12/19/2019 7:00:35 AM</v>
      </c>
      <c r="I33" t="str">
        <f>""</f>
        <v/>
      </c>
      <c r="J33" t="str">
        <f t="shared" si="1"/>
        <v>Elite</v>
      </c>
      <c r="K33" t="str">
        <f t="shared" si="2"/>
        <v>Device</v>
      </c>
      <c r="L33" t="str">
        <f>"777168368"</f>
        <v>777168368</v>
      </c>
      <c r="M33" t="str">
        <f>"16427443"</f>
        <v>16427443</v>
      </c>
      <c r="N33" t="str">
        <f>"19315-20"</f>
        <v>19315-20</v>
      </c>
      <c r="O33" t="str">
        <f t="shared" si="6"/>
        <v>TEXAS</v>
      </c>
      <c r="P33" t="str">
        <f t="shared" si="7"/>
        <v>N A</v>
      </c>
      <c r="Q33" t="str">
        <f t="shared" si="8"/>
        <v>N/A</v>
      </c>
      <c r="R33" t="str">
        <f>"130 MGCRP 11 305"</f>
        <v>130 MGCRP 11 305</v>
      </c>
      <c r="S33" t="str">
        <f>"12/18/2019 2:08:39 PM"</f>
        <v>12/18/2019 2:08:39 PM</v>
      </c>
      <c r="T33" t="str">
        <f t="shared" si="14"/>
        <v>5</v>
      </c>
      <c r="U33" t="str">
        <f t="shared" si="9"/>
        <v>N/A</v>
      </c>
      <c r="V33" t="str">
        <f>"5.5500"</f>
        <v>5.5500</v>
      </c>
    </row>
    <row r="34" spans="1:22" x14ac:dyDescent="0.25">
      <c r="A34" s="1" t="str">
        <f t="shared" si="0"/>
        <v>19315</v>
      </c>
      <c r="B34" s="1" t="str">
        <f t="shared" si="10"/>
        <v>19315</v>
      </c>
      <c r="C34" s="1" t="str">
        <f>VLOOKUP(B34,'Master truck list'!D:E,2,0)</f>
        <v>19315-20</v>
      </c>
      <c r="D34" s="1" t="str">
        <f>VLOOKUP(C34,'Master truck list'!E:F,2,0)</f>
        <v>ACTIVE</v>
      </c>
      <c r="E34" s="1" t="str">
        <f>VLOOKUP(C34,'Master truck list'!E:M,9,0)</f>
        <v>BKFS LOGISTICS</v>
      </c>
      <c r="F34" s="1" t="str">
        <f>VLOOKUP(C34,'Master truck list'!E:G,3,0)</f>
        <v>Company</v>
      </c>
      <c r="G34" s="1">
        <f>VLOOKUP(C34,'Master truck list'!E:R,14,0)</f>
        <v>2378</v>
      </c>
      <c r="H34" t="str">
        <f>"12/19/2019 7:00:35 AM"</f>
        <v>12/19/2019 7:00:35 AM</v>
      </c>
      <c r="I34" t="str">
        <f>""</f>
        <v/>
      </c>
      <c r="J34" t="str">
        <f t="shared" si="1"/>
        <v>Elite</v>
      </c>
      <c r="K34" t="str">
        <f t="shared" si="2"/>
        <v>Device</v>
      </c>
      <c r="L34" t="str">
        <f>"777168368"</f>
        <v>777168368</v>
      </c>
      <c r="M34" t="str">
        <f>"16427443"</f>
        <v>16427443</v>
      </c>
      <c r="N34" t="str">
        <f>"19315-20"</f>
        <v>19315-20</v>
      </c>
      <c r="O34" t="str">
        <f t="shared" si="6"/>
        <v>TEXAS</v>
      </c>
      <c r="P34" t="str">
        <f t="shared" si="7"/>
        <v>N A</v>
      </c>
      <c r="Q34" t="str">
        <f t="shared" si="8"/>
        <v>N/A</v>
      </c>
      <c r="R34" t="str">
        <f>"45SE MLPEB 02 611"</f>
        <v>45SE MLPEB 02 611</v>
      </c>
      <c r="S34" t="str">
        <f>"12/18/2019 12:56:46 PM"</f>
        <v>12/18/2019 12:56:46 PM</v>
      </c>
      <c r="T34" t="str">
        <f t="shared" si="14"/>
        <v>5</v>
      </c>
      <c r="U34" t="str">
        <f t="shared" si="9"/>
        <v>N/A</v>
      </c>
      <c r="V34" t="str">
        <f>"3.3000"</f>
        <v>3.3000</v>
      </c>
    </row>
    <row r="35" spans="1:22" x14ac:dyDescent="0.25">
      <c r="A35" s="1" t="str">
        <f t="shared" si="0"/>
        <v>19315</v>
      </c>
      <c r="B35" s="1" t="str">
        <f t="shared" si="10"/>
        <v>19315</v>
      </c>
      <c r="C35" s="1" t="str">
        <f>VLOOKUP(B35,'Master truck list'!D:E,2,0)</f>
        <v>19315-20</v>
      </c>
      <c r="D35" s="1" t="str">
        <f>VLOOKUP(C35,'Master truck list'!E:F,2,0)</f>
        <v>ACTIVE</v>
      </c>
      <c r="E35" s="1" t="str">
        <f>VLOOKUP(C35,'Master truck list'!E:M,9,0)</f>
        <v>BKFS LOGISTICS</v>
      </c>
      <c r="F35" s="1" t="str">
        <f>VLOOKUP(C35,'Master truck list'!E:G,3,0)</f>
        <v>Company</v>
      </c>
      <c r="G35" s="1">
        <f>VLOOKUP(C35,'Master truck list'!E:R,14,0)</f>
        <v>2378</v>
      </c>
      <c r="H35" t="str">
        <f>"12/19/2019 7:00:35 AM"</f>
        <v>12/19/2019 7:00:35 AM</v>
      </c>
      <c r="I35" t="str">
        <f>""</f>
        <v/>
      </c>
      <c r="J35" t="str">
        <f t="shared" si="1"/>
        <v>Elite</v>
      </c>
      <c r="K35" t="str">
        <f t="shared" si="2"/>
        <v>Device</v>
      </c>
      <c r="L35" t="str">
        <f>"777168368"</f>
        <v>777168368</v>
      </c>
      <c r="M35" t="str">
        <f>"16427443"</f>
        <v>16427443</v>
      </c>
      <c r="N35" t="str">
        <f>"19315-20"</f>
        <v>19315-20</v>
      </c>
      <c r="O35" t="str">
        <f t="shared" si="6"/>
        <v>TEXAS</v>
      </c>
      <c r="P35" t="str">
        <f t="shared" si="7"/>
        <v>N A</v>
      </c>
      <c r="Q35" t="str">
        <f t="shared" si="8"/>
        <v>N/A</v>
      </c>
      <c r="R35" t="str">
        <f>"130 ARPTP 09 308"</f>
        <v>130 ARPTP 09 308</v>
      </c>
      <c r="S35" t="str">
        <f>"12/18/2019 1:07:13 PM"</f>
        <v>12/18/2019 1:07:13 PM</v>
      </c>
      <c r="T35" t="str">
        <f t="shared" si="14"/>
        <v>5</v>
      </c>
      <c r="U35" t="str">
        <f t="shared" si="9"/>
        <v>N/A</v>
      </c>
      <c r="V35" t="str">
        <f>"5.5500"</f>
        <v>5.5500</v>
      </c>
    </row>
    <row r="36" spans="1:22" x14ac:dyDescent="0.25">
      <c r="A36" s="1" t="str">
        <f t="shared" si="0"/>
        <v>19315</v>
      </c>
      <c r="B36" s="1" t="str">
        <f t="shared" si="10"/>
        <v>19315</v>
      </c>
      <c r="C36" s="1" t="str">
        <f>VLOOKUP(B36,'Master truck list'!D:E,2,0)</f>
        <v>19315-20</v>
      </c>
      <c r="D36" s="1" t="str">
        <f>VLOOKUP(C36,'Master truck list'!E:F,2,0)</f>
        <v>ACTIVE</v>
      </c>
      <c r="E36" s="1" t="str">
        <f>VLOOKUP(C36,'Master truck list'!E:M,9,0)</f>
        <v>BKFS LOGISTICS</v>
      </c>
      <c r="F36" s="1" t="str">
        <f>VLOOKUP(C36,'Master truck list'!E:G,3,0)</f>
        <v>Company</v>
      </c>
      <c r="G36" s="1">
        <f>VLOOKUP(C36,'Master truck list'!E:R,14,0)</f>
        <v>2378</v>
      </c>
      <c r="H36" t="str">
        <f>"12/19/2019 7:00:35 AM"</f>
        <v>12/19/2019 7:00:35 AM</v>
      </c>
      <c r="I36" t="str">
        <f>""</f>
        <v/>
      </c>
      <c r="J36" t="str">
        <f t="shared" si="1"/>
        <v>Elite</v>
      </c>
      <c r="K36" t="str">
        <f t="shared" si="2"/>
        <v>Device</v>
      </c>
      <c r="L36" t="str">
        <f>"777168368"</f>
        <v>777168368</v>
      </c>
      <c r="M36" t="str">
        <f>"16427443"</f>
        <v>16427443</v>
      </c>
      <c r="N36" t="str">
        <f>"19315-20"</f>
        <v>19315-20</v>
      </c>
      <c r="O36" t="str">
        <f t="shared" si="6"/>
        <v>TEXAS</v>
      </c>
      <c r="P36" t="str">
        <f t="shared" si="7"/>
        <v>N A</v>
      </c>
      <c r="Q36" t="str">
        <f t="shared" si="8"/>
        <v>N/A</v>
      </c>
      <c r="R36" t="str">
        <f>"130 CMRNP 13 306"</f>
        <v>130 CMRNP 13 306</v>
      </c>
      <c r="S36" t="str">
        <f>"12/18/2019 1:57:21 PM"</f>
        <v>12/18/2019 1:57:21 PM</v>
      </c>
      <c r="T36" t="str">
        <f t="shared" si="14"/>
        <v>5</v>
      </c>
      <c r="U36" t="str">
        <f t="shared" si="9"/>
        <v>N/A</v>
      </c>
      <c r="V36" t="str">
        <f>"5.5500"</f>
        <v>5.5500</v>
      </c>
    </row>
    <row r="37" spans="1:22" x14ac:dyDescent="0.25">
      <c r="A37" s="1" t="str">
        <f t="shared" si="0"/>
        <v>1528-</v>
      </c>
      <c r="B37" s="1" t="str">
        <f t="shared" si="10"/>
        <v>1528-</v>
      </c>
      <c r="C37" s="1" t="str">
        <f>VLOOKUP(B37,'Master truck list'!D:E,2,0)</f>
        <v>1528-20</v>
      </c>
      <c r="D37" s="1" t="str">
        <f>VLOOKUP(C37,'Master truck list'!E:F,2,0)</f>
        <v>ACTIVE</v>
      </c>
      <c r="E37" s="1" t="str">
        <f>VLOOKUP(C37,'Master truck list'!E:M,9,0)</f>
        <v>PEARL GLOBAL LOGISTICS</v>
      </c>
      <c r="F37" s="1" t="str">
        <f>VLOOKUP(C37,'Master truck list'!E:G,3,0)</f>
        <v>Company</v>
      </c>
      <c r="G37" s="1">
        <f>VLOOKUP(C37,'Master truck list'!E:R,14,0)</f>
        <v>2507</v>
      </c>
      <c r="H37" t="str">
        <f t="shared" ref="H37:H46" si="19">"12/21/2019 7:00:28 AM"</f>
        <v>12/21/2019 7:00:28 AM</v>
      </c>
      <c r="I37" t="str">
        <f>""</f>
        <v/>
      </c>
      <c r="J37" t="str">
        <f t="shared" si="1"/>
        <v>Elite</v>
      </c>
      <c r="K37" t="str">
        <f t="shared" si="2"/>
        <v>Device</v>
      </c>
      <c r="L37" t="str">
        <f>"777184819"</f>
        <v>777184819</v>
      </c>
      <c r="M37" t="str">
        <f>"16499845"</f>
        <v>16499845</v>
      </c>
      <c r="N37" t="str">
        <f>"1528-20"</f>
        <v>1528-20</v>
      </c>
      <c r="O37" t="str">
        <f t="shared" si="6"/>
        <v>TEXAS</v>
      </c>
      <c r="P37" t="str">
        <f t="shared" si="7"/>
        <v>N A</v>
      </c>
      <c r="Q37" t="str">
        <f t="shared" si="8"/>
        <v>N/A</v>
      </c>
      <c r="R37" t="str">
        <f>"130 DKCRP 10 307"</f>
        <v>130 DKCRP 10 307</v>
      </c>
      <c r="S37" t="str">
        <f>"12/20/2019 3:56:26 PM"</f>
        <v>12/20/2019 3:56:26 PM</v>
      </c>
      <c r="T37" t="str">
        <f t="shared" si="14"/>
        <v>5</v>
      </c>
      <c r="U37" t="str">
        <f t="shared" si="9"/>
        <v>N/A</v>
      </c>
      <c r="V37" t="str">
        <f>"5.5500"</f>
        <v>5.5500</v>
      </c>
    </row>
    <row r="38" spans="1:22" x14ac:dyDescent="0.25">
      <c r="A38" s="1" t="str">
        <f t="shared" si="0"/>
        <v>1528-</v>
      </c>
      <c r="B38" s="1" t="str">
        <f t="shared" si="10"/>
        <v>1528-</v>
      </c>
      <c r="C38" s="1" t="str">
        <f>VLOOKUP(B38,'Master truck list'!D:E,2,0)</f>
        <v>1528-20</v>
      </c>
      <c r="D38" s="1" t="str">
        <f>VLOOKUP(C38,'Master truck list'!E:F,2,0)</f>
        <v>ACTIVE</v>
      </c>
      <c r="E38" s="1" t="str">
        <f>VLOOKUP(C38,'Master truck list'!E:M,9,0)</f>
        <v>PEARL GLOBAL LOGISTICS</v>
      </c>
      <c r="F38" s="1" t="str">
        <f>VLOOKUP(C38,'Master truck list'!E:G,3,0)</f>
        <v>Company</v>
      </c>
      <c r="G38" s="1">
        <f>VLOOKUP(C38,'Master truck list'!E:R,14,0)</f>
        <v>2507</v>
      </c>
      <c r="H38" t="str">
        <f t="shared" si="19"/>
        <v>12/21/2019 7:00:28 AM</v>
      </c>
      <c r="I38" t="str">
        <f>""</f>
        <v/>
      </c>
      <c r="J38" t="str">
        <f t="shared" si="1"/>
        <v>Elite</v>
      </c>
      <c r="K38" t="str">
        <f t="shared" si="2"/>
        <v>Device</v>
      </c>
      <c r="L38" t="str">
        <f>"777184819"</f>
        <v>777184819</v>
      </c>
      <c r="M38" t="str">
        <f>"16499845"</f>
        <v>16499845</v>
      </c>
      <c r="N38" t="str">
        <f>"1528-20"</f>
        <v>1528-20</v>
      </c>
      <c r="O38" t="str">
        <f t="shared" si="6"/>
        <v>TEXAS</v>
      </c>
      <c r="P38" t="str">
        <f t="shared" si="7"/>
        <v>N A</v>
      </c>
      <c r="Q38" t="str">
        <f t="shared" si="8"/>
        <v>N/A</v>
      </c>
      <c r="R38" t="str">
        <f>"45SE MLPEB 02 611"</f>
        <v>45SE MLPEB 02 611</v>
      </c>
      <c r="S38" t="str">
        <f>"12/20/2019 3:36:35 PM"</f>
        <v>12/20/2019 3:36:35 PM</v>
      </c>
      <c r="T38" t="str">
        <f t="shared" si="14"/>
        <v>5</v>
      </c>
      <c r="U38" t="str">
        <f t="shared" si="9"/>
        <v>N/A</v>
      </c>
      <c r="V38" t="str">
        <f>"3.3000"</f>
        <v>3.3000</v>
      </c>
    </row>
    <row r="39" spans="1:22" x14ac:dyDescent="0.25">
      <c r="A39" s="1" t="str">
        <f t="shared" si="0"/>
        <v>1528-</v>
      </c>
      <c r="B39" s="1" t="str">
        <f t="shared" si="10"/>
        <v>1528-</v>
      </c>
      <c r="C39" s="1" t="str">
        <f>VLOOKUP(B39,'Master truck list'!D:E,2,0)</f>
        <v>1528-20</v>
      </c>
      <c r="D39" s="1" t="str">
        <f>VLOOKUP(C39,'Master truck list'!E:F,2,0)</f>
        <v>ACTIVE</v>
      </c>
      <c r="E39" s="1" t="str">
        <f>VLOOKUP(C39,'Master truck list'!E:M,9,0)</f>
        <v>PEARL GLOBAL LOGISTICS</v>
      </c>
      <c r="F39" s="1" t="str">
        <f>VLOOKUP(C39,'Master truck list'!E:G,3,0)</f>
        <v>Company</v>
      </c>
      <c r="G39" s="1">
        <f>VLOOKUP(C39,'Master truck list'!E:R,14,0)</f>
        <v>2507</v>
      </c>
      <c r="H39" t="str">
        <f t="shared" si="19"/>
        <v>12/21/2019 7:00:28 AM</v>
      </c>
      <c r="I39" t="str">
        <f>""</f>
        <v/>
      </c>
      <c r="J39" t="str">
        <f t="shared" si="1"/>
        <v>Elite</v>
      </c>
      <c r="K39" t="str">
        <f t="shared" si="2"/>
        <v>Device</v>
      </c>
      <c r="L39" t="str">
        <f>"777184819"</f>
        <v>777184819</v>
      </c>
      <c r="M39" t="str">
        <f>"16499845"</f>
        <v>16499845</v>
      </c>
      <c r="N39" t="str">
        <f>"1528-20"</f>
        <v>1528-20</v>
      </c>
      <c r="O39" t="str">
        <f t="shared" si="6"/>
        <v>TEXAS</v>
      </c>
      <c r="P39" t="str">
        <f t="shared" si="7"/>
        <v>N A</v>
      </c>
      <c r="Q39" t="str">
        <f t="shared" si="8"/>
        <v>N/A</v>
      </c>
      <c r="R39" t="str">
        <f>"130 MGCRP 11 305"</f>
        <v>130 MGCRP 11 305</v>
      </c>
      <c r="S39" t="str">
        <f>"12/20/2019 4:27:05 PM"</f>
        <v>12/20/2019 4:27:05 PM</v>
      </c>
      <c r="T39" t="str">
        <f t="shared" si="14"/>
        <v>5</v>
      </c>
      <c r="U39" t="str">
        <f t="shared" si="9"/>
        <v>N/A</v>
      </c>
      <c r="V39" t="str">
        <f>"5.5500"</f>
        <v>5.5500</v>
      </c>
    </row>
    <row r="40" spans="1:22" x14ac:dyDescent="0.25">
      <c r="A40" s="1" t="str">
        <f t="shared" si="0"/>
        <v>1528-</v>
      </c>
      <c r="B40" s="1" t="str">
        <f t="shared" si="10"/>
        <v>1528-</v>
      </c>
      <c r="C40" s="1" t="str">
        <f>VLOOKUP(B40,'Master truck list'!D:E,2,0)</f>
        <v>1528-20</v>
      </c>
      <c r="D40" s="1" t="str">
        <f>VLOOKUP(C40,'Master truck list'!E:F,2,0)</f>
        <v>ACTIVE</v>
      </c>
      <c r="E40" s="1" t="str">
        <f>VLOOKUP(C40,'Master truck list'!E:M,9,0)</f>
        <v>PEARL GLOBAL LOGISTICS</v>
      </c>
      <c r="F40" s="1" t="str">
        <f>VLOOKUP(C40,'Master truck list'!E:G,3,0)</f>
        <v>Company</v>
      </c>
      <c r="G40" s="1">
        <f>VLOOKUP(C40,'Master truck list'!E:R,14,0)</f>
        <v>2507</v>
      </c>
      <c r="H40" t="str">
        <f t="shared" si="19"/>
        <v>12/21/2019 7:00:28 AM</v>
      </c>
      <c r="I40" t="str">
        <f>""</f>
        <v/>
      </c>
      <c r="J40" t="str">
        <f t="shared" si="1"/>
        <v>Elite</v>
      </c>
      <c r="K40" t="str">
        <f t="shared" si="2"/>
        <v>Device</v>
      </c>
      <c r="L40" t="str">
        <f>"777184819"</f>
        <v>777184819</v>
      </c>
      <c r="M40" t="str">
        <f>"16499845"</f>
        <v>16499845</v>
      </c>
      <c r="N40" t="str">
        <f>"1528-20"</f>
        <v>1528-20</v>
      </c>
      <c r="O40" t="str">
        <f t="shared" si="6"/>
        <v>TEXAS</v>
      </c>
      <c r="P40" t="str">
        <f t="shared" si="7"/>
        <v>N A</v>
      </c>
      <c r="Q40" t="str">
        <f t="shared" si="8"/>
        <v>N/A</v>
      </c>
      <c r="R40" t="str">
        <f>"130 CMRNP 12 306"</f>
        <v>130 CMRNP 12 306</v>
      </c>
      <c r="S40" t="str">
        <f>"12/20/2019 4:16:13 PM"</f>
        <v>12/20/2019 4:16:13 PM</v>
      </c>
      <c r="T40" t="str">
        <f>"2"</f>
        <v>2</v>
      </c>
      <c r="U40" t="str">
        <f t="shared" si="9"/>
        <v>N/A</v>
      </c>
      <c r="V40" t="str">
        <f>"1.8500"</f>
        <v>1.8500</v>
      </c>
    </row>
    <row r="41" spans="1:22" x14ac:dyDescent="0.25">
      <c r="A41" s="1" t="str">
        <f t="shared" si="0"/>
        <v>1528-</v>
      </c>
      <c r="B41" s="1" t="str">
        <f t="shared" si="10"/>
        <v>1528-</v>
      </c>
      <c r="C41" s="1" t="str">
        <f>VLOOKUP(B41,'Master truck list'!D:E,2,0)</f>
        <v>1528-20</v>
      </c>
      <c r="D41" s="1" t="str">
        <f>VLOOKUP(C41,'Master truck list'!E:F,2,0)</f>
        <v>ACTIVE</v>
      </c>
      <c r="E41" s="1" t="str">
        <f>VLOOKUP(C41,'Master truck list'!E:M,9,0)</f>
        <v>PEARL GLOBAL LOGISTICS</v>
      </c>
      <c r="F41" s="1" t="str">
        <f>VLOOKUP(C41,'Master truck list'!E:G,3,0)</f>
        <v>Company</v>
      </c>
      <c r="G41" s="1">
        <f>VLOOKUP(C41,'Master truck list'!E:R,14,0)</f>
        <v>2507</v>
      </c>
      <c r="H41" t="str">
        <f t="shared" si="19"/>
        <v>12/21/2019 7:00:28 AM</v>
      </c>
      <c r="I41" t="str">
        <f>""</f>
        <v/>
      </c>
      <c r="J41" t="str">
        <f t="shared" si="1"/>
        <v>Elite</v>
      </c>
      <c r="K41" t="str">
        <f t="shared" si="2"/>
        <v>Device</v>
      </c>
      <c r="L41" t="str">
        <f>"777184819"</f>
        <v>777184819</v>
      </c>
      <c r="M41" t="str">
        <f>"16499845"</f>
        <v>16499845</v>
      </c>
      <c r="N41" t="str">
        <f>"1528-20"</f>
        <v>1528-20</v>
      </c>
      <c r="O41" t="str">
        <f t="shared" si="6"/>
        <v>TEXAS</v>
      </c>
      <c r="P41" t="str">
        <f t="shared" si="7"/>
        <v>N A</v>
      </c>
      <c r="Q41" t="str">
        <f t="shared" si="8"/>
        <v>N/A</v>
      </c>
      <c r="R41" t="str">
        <f>"130 ARPTP 09 308"</f>
        <v>130 ARPTP 09 308</v>
      </c>
      <c r="S41" t="str">
        <f>"12/20/2019 3:47:32 PM"</f>
        <v>12/20/2019 3:47:32 PM</v>
      </c>
      <c r="T41" t="str">
        <f t="shared" ref="T41:T76" si="20">"5"</f>
        <v>5</v>
      </c>
      <c r="U41" t="str">
        <f t="shared" si="9"/>
        <v>N/A</v>
      </c>
      <c r="V41" t="str">
        <f>"5.5500"</f>
        <v>5.5500</v>
      </c>
    </row>
    <row r="42" spans="1:22" x14ac:dyDescent="0.25">
      <c r="A42" s="1" t="str">
        <f t="shared" si="0"/>
        <v>2579-</v>
      </c>
      <c r="B42" s="1" t="str">
        <f t="shared" si="10"/>
        <v>2579-</v>
      </c>
      <c r="C42" s="1" t="str">
        <f>VLOOKUP(B42,'Master truck list'!D:E,2,0)</f>
        <v>2579-20</v>
      </c>
      <c r="D42" s="1" t="str">
        <f>VLOOKUP(C42,'Master truck list'!E:F,2,0)</f>
        <v>ACTIVE</v>
      </c>
      <c r="E42" s="1" t="str">
        <f>VLOOKUP(C42,'Master truck list'!E:M,9,0)</f>
        <v>CHARGER LOGISTICS USA INC</v>
      </c>
      <c r="F42" s="1" t="str">
        <f>VLOOKUP(C42,'Master truck list'!E:G,3,0)</f>
        <v>Company</v>
      </c>
      <c r="G42" s="1">
        <f>VLOOKUP(C42,'Master truck list'!E:R,14,0)</f>
        <v>2568</v>
      </c>
      <c r="H42" t="str">
        <f t="shared" si="19"/>
        <v>12/21/2019 7:00:28 AM</v>
      </c>
      <c r="I42" t="str">
        <f>""</f>
        <v/>
      </c>
      <c r="J42" t="str">
        <f t="shared" si="1"/>
        <v>Elite</v>
      </c>
      <c r="K42" t="str">
        <f t="shared" si="2"/>
        <v>Device</v>
      </c>
      <c r="L42" t="str">
        <f t="shared" ref="L42:L51" si="21">"777167443"</f>
        <v>777167443</v>
      </c>
      <c r="M42" t="str">
        <f t="shared" ref="M42:M51" si="22">"16426518"</f>
        <v>16426518</v>
      </c>
      <c r="N42" t="str">
        <f t="shared" ref="N42:N51" si="23">"2579-20"</f>
        <v>2579-20</v>
      </c>
      <c r="O42" t="str">
        <f t="shared" si="6"/>
        <v>TEXAS</v>
      </c>
      <c r="P42" t="str">
        <f t="shared" si="7"/>
        <v>N A</v>
      </c>
      <c r="Q42" t="str">
        <f t="shared" si="8"/>
        <v>N/A</v>
      </c>
      <c r="R42" t="str">
        <f>"130 CMRNP 08 306"</f>
        <v>130 CMRNP 08 306</v>
      </c>
      <c r="S42" t="str">
        <f>"12/20/2019 11:41:50 AM"</f>
        <v>12/20/2019 11:41:50 AM</v>
      </c>
      <c r="T42" t="str">
        <f t="shared" si="20"/>
        <v>5</v>
      </c>
      <c r="U42" t="str">
        <f t="shared" si="9"/>
        <v>N/A</v>
      </c>
      <c r="V42" t="str">
        <f>"5.5500"</f>
        <v>5.5500</v>
      </c>
    </row>
    <row r="43" spans="1:22" x14ac:dyDescent="0.25">
      <c r="A43" s="1" t="str">
        <f t="shared" si="0"/>
        <v>2579-</v>
      </c>
      <c r="B43" s="1" t="str">
        <f t="shared" si="10"/>
        <v>2579-</v>
      </c>
      <c r="C43" s="1" t="str">
        <f>VLOOKUP(B43,'Master truck list'!D:E,2,0)</f>
        <v>2579-20</v>
      </c>
      <c r="D43" s="1" t="str">
        <f>VLOOKUP(C43,'Master truck list'!E:F,2,0)</f>
        <v>ACTIVE</v>
      </c>
      <c r="E43" s="1" t="str">
        <f>VLOOKUP(C43,'Master truck list'!E:M,9,0)</f>
        <v>CHARGER LOGISTICS USA INC</v>
      </c>
      <c r="F43" s="1" t="str">
        <f>VLOOKUP(C43,'Master truck list'!E:G,3,0)</f>
        <v>Company</v>
      </c>
      <c r="G43" s="1">
        <f>VLOOKUP(C43,'Master truck list'!E:R,14,0)</f>
        <v>2568</v>
      </c>
      <c r="H43" t="str">
        <f t="shared" si="19"/>
        <v>12/21/2019 7:00:28 AM</v>
      </c>
      <c r="I43" t="str">
        <f>""</f>
        <v/>
      </c>
      <c r="J43" t="str">
        <f t="shared" si="1"/>
        <v>Elite</v>
      </c>
      <c r="K43" t="str">
        <f t="shared" si="2"/>
        <v>Device</v>
      </c>
      <c r="L43" t="str">
        <f t="shared" si="21"/>
        <v>777167443</v>
      </c>
      <c r="M43" t="str">
        <f t="shared" si="22"/>
        <v>16426518</v>
      </c>
      <c r="N43" t="str">
        <f t="shared" si="23"/>
        <v>2579-20</v>
      </c>
      <c r="O43" t="str">
        <f t="shared" si="6"/>
        <v>TEXAS</v>
      </c>
      <c r="P43" t="str">
        <f t="shared" si="7"/>
        <v>N A</v>
      </c>
      <c r="Q43" t="str">
        <f t="shared" si="8"/>
        <v>N/A</v>
      </c>
      <c r="R43" t="str">
        <f>"45SE MLPWB 01 611"</f>
        <v>45SE MLPWB 01 611</v>
      </c>
      <c r="S43" t="str">
        <f>"12/20/2019 12:09:18 PM"</f>
        <v>12/20/2019 12:09:18 PM</v>
      </c>
      <c r="T43" t="str">
        <f t="shared" si="20"/>
        <v>5</v>
      </c>
      <c r="U43" t="str">
        <f t="shared" si="9"/>
        <v>N/A</v>
      </c>
      <c r="V43" t="str">
        <f>"3.3000"</f>
        <v>3.3000</v>
      </c>
    </row>
    <row r="44" spans="1:22" x14ac:dyDescent="0.25">
      <c r="A44" s="1" t="str">
        <f t="shared" si="0"/>
        <v>2579-</v>
      </c>
      <c r="B44" s="1" t="str">
        <f t="shared" si="10"/>
        <v>2579-</v>
      </c>
      <c r="C44" s="1" t="str">
        <f>VLOOKUP(B44,'Master truck list'!D:E,2,0)</f>
        <v>2579-20</v>
      </c>
      <c r="D44" s="1" t="str">
        <f>VLOOKUP(C44,'Master truck list'!E:F,2,0)</f>
        <v>ACTIVE</v>
      </c>
      <c r="E44" s="1" t="str">
        <f>VLOOKUP(C44,'Master truck list'!E:M,9,0)</f>
        <v>CHARGER LOGISTICS USA INC</v>
      </c>
      <c r="F44" s="1" t="str">
        <f>VLOOKUP(C44,'Master truck list'!E:G,3,0)</f>
        <v>Company</v>
      </c>
      <c r="G44" s="1">
        <f>VLOOKUP(C44,'Master truck list'!E:R,14,0)</f>
        <v>2568</v>
      </c>
      <c r="H44" t="str">
        <f t="shared" si="19"/>
        <v>12/21/2019 7:00:28 AM</v>
      </c>
      <c r="I44" t="str">
        <f>""</f>
        <v/>
      </c>
      <c r="J44" t="str">
        <f t="shared" si="1"/>
        <v>Elite</v>
      </c>
      <c r="K44" t="str">
        <f t="shared" si="2"/>
        <v>Device</v>
      </c>
      <c r="L44" t="str">
        <f t="shared" si="21"/>
        <v>777167443</v>
      </c>
      <c r="M44" t="str">
        <f t="shared" si="22"/>
        <v>16426518</v>
      </c>
      <c r="N44" t="str">
        <f t="shared" si="23"/>
        <v>2579-20</v>
      </c>
      <c r="O44" t="str">
        <f t="shared" si="6"/>
        <v>TEXAS</v>
      </c>
      <c r="P44" t="str">
        <f t="shared" si="7"/>
        <v>N A</v>
      </c>
      <c r="Q44" t="str">
        <f t="shared" si="8"/>
        <v>N/A</v>
      </c>
      <c r="R44" t="str">
        <f>"130 MGCRP 06 305"</f>
        <v>130 MGCRP 06 305</v>
      </c>
      <c r="S44" t="str">
        <f>"12/20/2019 11:30:51 AM"</f>
        <v>12/20/2019 11:30:51 AM</v>
      </c>
      <c r="T44" t="str">
        <f t="shared" si="20"/>
        <v>5</v>
      </c>
      <c r="U44" t="str">
        <f t="shared" si="9"/>
        <v>N/A</v>
      </c>
      <c r="V44" t="str">
        <f>"5.5500"</f>
        <v>5.5500</v>
      </c>
    </row>
    <row r="45" spans="1:22" x14ac:dyDescent="0.25">
      <c r="A45" s="1" t="str">
        <f t="shared" si="0"/>
        <v>2579-</v>
      </c>
      <c r="B45" s="1" t="str">
        <f t="shared" si="10"/>
        <v>2579-</v>
      </c>
      <c r="C45" s="1" t="str">
        <f>VLOOKUP(B45,'Master truck list'!D:E,2,0)</f>
        <v>2579-20</v>
      </c>
      <c r="D45" s="1" t="str">
        <f>VLOOKUP(C45,'Master truck list'!E:F,2,0)</f>
        <v>ACTIVE</v>
      </c>
      <c r="E45" s="1" t="str">
        <f>VLOOKUP(C45,'Master truck list'!E:M,9,0)</f>
        <v>CHARGER LOGISTICS USA INC</v>
      </c>
      <c r="F45" s="1" t="str">
        <f>VLOOKUP(C45,'Master truck list'!E:G,3,0)</f>
        <v>Company</v>
      </c>
      <c r="G45" s="1">
        <f>VLOOKUP(C45,'Master truck list'!E:R,14,0)</f>
        <v>2568</v>
      </c>
      <c r="H45" t="str">
        <f t="shared" si="19"/>
        <v>12/21/2019 7:00:28 AM</v>
      </c>
      <c r="I45" t="str">
        <f>""</f>
        <v/>
      </c>
      <c r="J45" t="str">
        <f t="shared" si="1"/>
        <v>Elite</v>
      </c>
      <c r="K45" t="str">
        <f t="shared" si="2"/>
        <v>Device</v>
      </c>
      <c r="L45" t="str">
        <f t="shared" si="21"/>
        <v>777167443</v>
      </c>
      <c r="M45" t="str">
        <f t="shared" si="22"/>
        <v>16426518</v>
      </c>
      <c r="N45" t="str">
        <f t="shared" si="23"/>
        <v>2579-20</v>
      </c>
      <c r="O45" t="str">
        <f t="shared" si="6"/>
        <v>TEXAS</v>
      </c>
      <c r="P45" t="str">
        <f t="shared" si="7"/>
        <v>N A</v>
      </c>
      <c r="Q45" t="str">
        <f t="shared" si="8"/>
        <v>N/A</v>
      </c>
      <c r="R45" t="str">
        <f>"130 DKCRP 06 307"</f>
        <v>130 DKCRP 06 307</v>
      </c>
      <c r="S45" t="str">
        <f>"12/20/2019 11:51:48 AM"</f>
        <v>12/20/2019 11:51:48 AM</v>
      </c>
      <c r="T45" t="str">
        <f t="shared" si="20"/>
        <v>5</v>
      </c>
      <c r="U45" t="str">
        <f t="shared" si="9"/>
        <v>N/A</v>
      </c>
      <c r="V45" t="str">
        <f>"5.5500"</f>
        <v>5.5500</v>
      </c>
    </row>
    <row r="46" spans="1:22" x14ac:dyDescent="0.25">
      <c r="A46" s="1" t="str">
        <f t="shared" si="0"/>
        <v>2579-</v>
      </c>
      <c r="B46" s="1" t="str">
        <f t="shared" si="10"/>
        <v>2579-</v>
      </c>
      <c r="C46" s="1" t="str">
        <f>VLOOKUP(B46,'Master truck list'!D:E,2,0)</f>
        <v>2579-20</v>
      </c>
      <c r="D46" s="1" t="str">
        <f>VLOOKUP(C46,'Master truck list'!E:F,2,0)</f>
        <v>ACTIVE</v>
      </c>
      <c r="E46" s="1" t="str">
        <f>VLOOKUP(C46,'Master truck list'!E:M,9,0)</f>
        <v>CHARGER LOGISTICS USA INC</v>
      </c>
      <c r="F46" s="1" t="str">
        <f>VLOOKUP(C46,'Master truck list'!E:G,3,0)</f>
        <v>Company</v>
      </c>
      <c r="G46" s="1">
        <f>VLOOKUP(C46,'Master truck list'!E:R,14,0)</f>
        <v>2568</v>
      </c>
      <c r="H46" t="str">
        <f t="shared" si="19"/>
        <v>12/21/2019 7:00:28 AM</v>
      </c>
      <c r="I46" t="str">
        <f>""</f>
        <v/>
      </c>
      <c r="J46" t="str">
        <f t="shared" si="1"/>
        <v>Elite</v>
      </c>
      <c r="K46" t="str">
        <f t="shared" si="2"/>
        <v>Device</v>
      </c>
      <c r="L46" t="str">
        <f t="shared" si="21"/>
        <v>777167443</v>
      </c>
      <c r="M46" t="str">
        <f t="shared" si="22"/>
        <v>16426518</v>
      </c>
      <c r="N46" t="str">
        <f t="shared" si="23"/>
        <v>2579-20</v>
      </c>
      <c r="O46" t="str">
        <f t="shared" si="6"/>
        <v>TEXAS</v>
      </c>
      <c r="P46" t="str">
        <f t="shared" si="7"/>
        <v>N A</v>
      </c>
      <c r="Q46" t="str">
        <f t="shared" si="8"/>
        <v>N/A</v>
      </c>
      <c r="R46" t="str">
        <f>"130 ARPTP 04 308"</f>
        <v>130 ARPTP 04 308</v>
      </c>
      <c r="S46" t="str">
        <f>"12/20/2019 11:58:45 AM"</f>
        <v>12/20/2019 11:58:45 AM</v>
      </c>
      <c r="T46" t="str">
        <f t="shared" si="20"/>
        <v>5</v>
      </c>
      <c r="U46" t="str">
        <f t="shared" si="9"/>
        <v>N/A</v>
      </c>
      <c r="V46" t="str">
        <f>"5.5500"</f>
        <v>5.5500</v>
      </c>
    </row>
    <row r="47" spans="1:22" x14ac:dyDescent="0.25">
      <c r="A47" s="1" t="str">
        <f t="shared" si="0"/>
        <v>2579-</v>
      </c>
      <c r="B47" s="1" t="str">
        <f t="shared" si="10"/>
        <v>2579-</v>
      </c>
      <c r="C47" s="1" t="str">
        <f>VLOOKUP(B47,'Master truck list'!D:E,2,0)</f>
        <v>2579-20</v>
      </c>
      <c r="D47" s="1" t="str">
        <f>VLOOKUP(C47,'Master truck list'!E:F,2,0)</f>
        <v>ACTIVE</v>
      </c>
      <c r="E47" s="1" t="str">
        <f>VLOOKUP(C47,'Master truck list'!E:M,9,0)</f>
        <v>CHARGER LOGISTICS USA INC</v>
      </c>
      <c r="F47" s="1" t="str">
        <f>VLOOKUP(C47,'Master truck list'!E:G,3,0)</f>
        <v>Company</v>
      </c>
      <c r="G47" s="1">
        <f>VLOOKUP(C47,'Master truck list'!E:R,14,0)</f>
        <v>2568</v>
      </c>
      <c r="H47" t="str">
        <f>"12/18/2019 7:00:28 AM"</f>
        <v>12/18/2019 7:00:28 AM</v>
      </c>
      <c r="I47" t="str">
        <f>""</f>
        <v/>
      </c>
      <c r="J47" t="str">
        <f t="shared" si="1"/>
        <v>Elite</v>
      </c>
      <c r="K47" t="str">
        <f t="shared" si="2"/>
        <v>Device</v>
      </c>
      <c r="L47" t="str">
        <f t="shared" si="21"/>
        <v>777167443</v>
      </c>
      <c r="M47" t="str">
        <f t="shared" si="22"/>
        <v>16426518</v>
      </c>
      <c r="N47" t="str">
        <f t="shared" si="23"/>
        <v>2579-20</v>
      </c>
      <c r="O47" t="str">
        <f t="shared" si="6"/>
        <v>TEXAS</v>
      </c>
      <c r="P47" t="str">
        <f t="shared" si="7"/>
        <v>N A</v>
      </c>
      <c r="Q47" t="str">
        <f t="shared" si="8"/>
        <v>N/A</v>
      </c>
      <c r="R47" t="str">
        <f>"130 CMRNP 08 306"</f>
        <v>130 CMRNP 08 306</v>
      </c>
      <c r="S47" t="str">
        <f>"12/17/2019 7:14:59 AM"</f>
        <v>12/17/2019 7:14:59 AM</v>
      </c>
      <c r="T47" t="str">
        <f t="shared" si="20"/>
        <v>5</v>
      </c>
      <c r="U47" t="str">
        <f t="shared" si="9"/>
        <v>N/A</v>
      </c>
      <c r="V47" t="str">
        <f>"5.5500"</f>
        <v>5.5500</v>
      </c>
    </row>
    <row r="48" spans="1:22" x14ac:dyDescent="0.25">
      <c r="A48" s="1" t="str">
        <f t="shared" si="0"/>
        <v>2579-</v>
      </c>
      <c r="B48" s="1" t="str">
        <f t="shared" si="10"/>
        <v>2579-</v>
      </c>
      <c r="C48" s="1" t="str">
        <f>VLOOKUP(B48,'Master truck list'!D:E,2,0)</f>
        <v>2579-20</v>
      </c>
      <c r="D48" s="1" t="str">
        <f>VLOOKUP(C48,'Master truck list'!E:F,2,0)</f>
        <v>ACTIVE</v>
      </c>
      <c r="E48" s="1" t="str">
        <f>VLOOKUP(C48,'Master truck list'!E:M,9,0)</f>
        <v>CHARGER LOGISTICS USA INC</v>
      </c>
      <c r="F48" s="1" t="str">
        <f>VLOOKUP(C48,'Master truck list'!E:G,3,0)</f>
        <v>Company</v>
      </c>
      <c r="G48" s="1">
        <f>VLOOKUP(C48,'Master truck list'!E:R,14,0)</f>
        <v>2568</v>
      </c>
      <c r="H48" t="str">
        <f>"12/18/2019 7:00:28 AM"</f>
        <v>12/18/2019 7:00:28 AM</v>
      </c>
      <c r="I48" t="str">
        <f>""</f>
        <v/>
      </c>
      <c r="J48" t="str">
        <f t="shared" si="1"/>
        <v>Elite</v>
      </c>
      <c r="K48" t="str">
        <f t="shared" si="2"/>
        <v>Device</v>
      </c>
      <c r="L48" t="str">
        <f t="shared" si="21"/>
        <v>777167443</v>
      </c>
      <c r="M48" t="str">
        <f t="shared" si="22"/>
        <v>16426518</v>
      </c>
      <c r="N48" t="str">
        <f t="shared" si="23"/>
        <v>2579-20</v>
      </c>
      <c r="O48" t="str">
        <f t="shared" si="6"/>
        <v>TEXAS</v>
      </c>
      <c r="P48" t="str">
        <f t="shared" si="7"/>
        <v>N A</v>
      </c>
      <c r="Q48" t="str">
        <f t="shared" si="8"/>
        <v>N/A</v>
      </c>
      <c r="R48" t="str">
        <f>"45SE MLPWB 01 611"</f>
        <v>45SE MLPWB 01 611</v>
      </c>
      <c r="S48" t="str">
        <f>"12/17/2019 7:44:25 AM"</f>
        <v>12/17/2019 7:44:25 AM</v>
      </c>
      <c r="T48" t="str">
        <f t="shared" si="20"/>
        <v>5</v>
      </c>
      <c r="U48" t="str">
        <f t="shared" si="9"/>
        <v>N/A</v>
      </c>
      <c r="V48" t="str">
        <f>"3.3000"</f>
        <v>3.3000</v>
      </c>
    </row>
    <row r="49" spans="1:22" x14ac:dyDescent="0.25">
      <c r="A49" s="1" t="str">
        <f t="shared" si="0"/>
        <v>2579-</v>
      </c>
      <c r="B49" s="1" t="str">
        <f t="shared" si="10"/>
        <v>2579-</v>
      </c>
      <c r="C49" s="1" t="str">
        <f>VLOOKUP(B49,'Master truck list'!D:E,2,0)</f>
        <v>2579-20</v>
      </c>
      <c r="D49" s="1" t="str">
        <f>VLOOKUP(C49,'Master truck list'!E:F,2,0)</f>
        <v>ACTIVE</v>
      </c>
      <c r="E49" s="1" t="str">
        <f>VLOOKUP(C49,'Master truck list'!E:M,9,0)</f>
        <v>CHARGER LOGISTICS USA INC</v>
      </c>
      <c r="F49" s="1" t="str">
        <f>VLOOKUP(C49,'Master truck list'!E:G,3,0)</f>
        <v>Company</v>
      </c>
      <c r="G49" s="1">
        <f>VLOOKUP(C49,'Master truck list'!E:R,14,0)</f>
        <v>2568</v>
      </c>
      <c r="H49" t="str">
        <f>"12/18/2019 7:00:28 AM"</f>
        <v>12/18/2019 7:00:28 AM</v>
      </c>
      <c r="I49" t="str">
        <f>""</f>
        <v/>
      </c>
      <c r="J49" t="str">
        <f t="shared" si="1"/>
        <v>Elite</v>
      </c>
      <c r="K49" t="str">
        <f t="shared" si="2"/>
        <v>Device</v>
      </c>
      <c r="L49" t="str">
        <f t="shared" si="21"/>
        <v>777167443</v>
      </c>
      <c r="M49" t="str">
        <f t="shared" si="22"/>
        <v>16426518</v>
      </c>
      <c r="N49" t="str">
        <f t="shared" si="23"/>
        <v>2579-20</v>
      </c>
      <c r="O49" t="str">
        <f t="shared" si="6"/>
        <v>TEXAS</v>
      </c>
      <c r="P49" t="str">
        <f t="shared" si="7"/>
        <v>N A</v>
      </c>
      <c r="Q49" t="str">
        <f t="shared" si="8"/>
        <v>N/A</v>
      </c>
      <c r="R49" t="str">
        <f>"130 MGCRP 06 305"</f>
        <v>130 MGCRP 06 305</v>
      </c>
      <c r="S49" t="str">
        <f>"12/17/2019 7:03:58 AM"</f>
        <v>12/17/2019 7:03:58 AM</v>
      </c>
      <c r="T49" t="str">
        <f t="shared" si="20"/>
        <v>5</v>
      </c>
      <c r="U49" t="str">
        <f t="shared" si="9"/>
        <v>N/A</v>
      </c>
      <c r="V49" t="str">
        <f t="shared" ref="V49:V55" si="24">"5.5500"</f>
        <v>5.5500</v>
      </c>
    </row>
    <row r="50" spans="1:22" x14ac:dyDescent="0.25">
      <c r="A50" s="1" t="str">
        <f t="shared" si="0"/>
        <v>2579-</v>
      </c>
      <c r="B50" s="1" t="str">
        <f t="shared" si="10"/>
        <v>2579-</v>
      </c>
      <c r="C50" s="1" t="str">
        <f>VLOOKUP(B50,'Master truck list'!D:E,2,0)</f>
        <v>2579-20</v>
      </c>
      <c r="D50" s="1" t="str">
        <f>VLOOKUP(C50,'Master truck list'!E:F,2,0)</f>
        <v>ACTIVE</v>
      </c>
      <c r="E50" s="1" t="str">
        <f>VLOOKUP(C50,'Master truck list'!E:M,9,0)</f>
        <v>CHARGER LOGISTICS USA INC</v>
      </c>
      <c r="F50" s="1" t="str">
        <f>VLOOKUP(C50,'Master truck list'!E:G,3,0)</f>
        <v>Company</v>
      </c>
      <c r="G50" s="1">
        <f>VLOOKUP(C50,'Master truck list'!E:R,14,0)</f>
        <v>2568</v>
      </c>
      <c r="H50" t="str">
        <f>"12/18/2019 7:00:28 AM"</f>
        <v>12/18/2019 7:00:28 AM</v>
      </c>
      <c r="I50" t="str">
        <f>""</f>
        <v/>
      </c>
      <c r="J50" t="str">
        <f t="shared" si="1"/>
        <v>Elite</v>
      </c>
      <c r="K50" t="str">
        <f t="shared" si="2"/>
        <v>Device</v>
      </c>
      <c r="L50" t="str">
        <f t="shared" si="21"/>
        <v>777167443</v>
      </c>
      <c r="M50" t="str">
        <f t="shared" si="22"/>
        <v>16426518</v>
      </c>
      <c r="N50" t="str">
        <f t="shared" si="23"/>
        <v>2579-20</v>
      </c>
      <c r="O50" t="str">
        <f t="shared" si="6"/>
        <v>TEXAS</v>
      </c>
      <c r="P50" t="str">
        <f t="shared" si="7"/>
        <v>N A</v>
      </c>
      <c r="Q50" t="str">
        <f t="shared" si="8"/>
        <v>N/A</v>
      </c>
      <c r="R50" t="str">
        <f>"130 DKCRP 06 307"</f>
        <v>130 DKCRP 06 307</v>
      </c>
      <c r="S50" t="str">
        <f>"12/17/2019 7:26:46 AM"</f>
        <v>12/17/2019 7:26:46 AM</v>
      </c>
      <c r="T50" t="str">
        <f t="shared" si="20"/>
        <v>5</v>
      </c>
      <c r="U50" t="str">
        <f t="shared" si="9"/>
        <v>N/A</v>
      </c>
      <c r="V50" t="str">
        <f t="shared" si="24"/>
        <v>5.5500</v>
      </c>
    </row>
    <row r="51" spans="1:22" x14ac:dyDescent="0.25">
      <c r="A51" s="1" t="str">
        <f t="shared" si="0"/>
        <v>2579-</v>
      </c>
      <c r="B51" s="1" t="str">
        <f t="shared" si="10"/>
        <v>2579-</v>
      </c>
      <c r="C51" s="1" t="str">
        <f>VLOOKUP(B51,'Master truck list'!D:E,2,0)</f>
        <v>2579-20</v>
      </c>
      <c r="D51" s="1" t="str">
        <f>VLOOKUP(C51,'Master truck list'!E:F,2,0)</f>
        <v>ACTIVE</v>
      </c>
      <c r="E51" s="1" t="str">
        <f>VLOOKUP(C51,'Master truck list'!E:M,9,0)</f>
        <v>CHARGER LOGISTICS USA INC</v>
      </c>
      <c r="F51" s="1" t="str">
        <f>VLOOKUP(C51,'Master truck list'!E:G,3,0)</f>
        <v>Company</v>
      </c>
      <c r="G51" s="1">
        <f>VLOOKUP(C51,'Master truck list'!E:R,14,0)</f>
        <v>2568</v>
      </c>
      <c r="H51" t="str">
        <f>"12/18/2019 7:00:28 AM"</f>
        <v>12/18/2019 7:00:28 AM</v>
      </c>
      <c r="I51" t="str">
        <f>""</f>
        <v/>
      </c>
      <c r="J51" t="str">
        <f t="shared" si="1"/>
        <v>Elite</v>
      </c>
      <c r="K51" t="str">
        <f t="shared" si="2"/>
        <v>Device</v>
      </c>
      <c r="L51" t="str">
        <f t="shared" si="21"/>
        <v>777167443</v>
      </c>
      <c r="M51" t="str">
        <f t="shared" si="22"/>
        <v>16426518</v>
      </c>
      <c r="N51" t="str">
        <f t="shared" si="23"/>
        <v>2579-20</v>
      </c>
      <c r="O51" t="str">
        <f t="shared" si="6"/>
        <v>TEXAS</v>
      </c>
      <c r="P51" t="str">
        <f t="shared" si="7"/>
        <v>N A</v>
      </c>
      <c r="Q51" t="str">
        <f t="shared" si="8"/>
        <v>N/A</v>
      </c>
      <c r="R51" t="str">
        <f>"130 ARPTP 04 308"</f>
        <v>130 ARPTP 04 308</v>
      </c>
      <c r="S51" t="str">
        <f>"12/17/2019 7:33:44 AM"</f>
        <v>12/17/2019 7:33:44 AM</v>
      </c>
      <c r="T51" t="str">
        <f t="shared" si="20"/>
        <v>5</v>
      </c>
      <c r="U51" t="str">
        <f t="shared" si="9"/>
        <v>N/A</v>
      </c>
      <c r="V51" t="str">
        <f t="shared" si="24"/>
        <v>5.5500</v>
      </c>
    </row>
    <row r="52" spans="1:22" x14ac:dyDescent="0.25">
      <c r="A52" s="1" t="str">
        <f t="shared" si="0"/>
        <v>19317</v>
      </c>
      <c r="B52" s="1" t="str">
        <f t="shared" si="10"/>
        <v>19317</v>
      </c>
      <c r="C52" s="1" t="str">
        <f>VLOOKUP(B52,'Master truck list'!D:E,2,0)</f>
        <v>19317-20</v>
      </c>
      <c r="D52" s="1" t="str">
        <f>VLOOKUP(C52,'Master truck list'!E:F,2,0)</f>
        <v>ACTIVE</v>
      </c>
      <c r="E52" s="1" t="str">
        <f>VLOOKUP(C52,'Master truck list'!E:M,9,0)</f>
        <v>BKFS LOGISTICS</v>
      </c>
      <c r="F52" s="1" t="str">
        <f>VLOOKUP(C52,'Master truck list'!E:G,3,0)</f>
        <v>Company</v>
      </c>
      <c r="G52" s="1">
        <f>VLOOKUP(C52,'Master truck list'!E:R,14,0)</f>
        <v>2380</v>
      </c>
      <c r="H52" t="str">
        <f>"12/17/2019 7:00:33 AM"</f>
        <v>12/17/2019 7:00:33 AM</v>
      </c>
      <c r="I52" t="str">
        <f>""</f>
        <v/>
      </c>
      <c r="J52" t="str">
        <f t="shared" si="1"/>
        <v>Elite</v>
      </c>
      <c r="K52" t="str">
        <f t="shared" si="2"/>
        <v>Device</v>
      </c>
      <c r="L52" t="str">
        <f>"777166924"</f>
        <v>777166924</v>
      </c>
      <c r="M52" t="str">
        <f>"16425999"</f>
        <v>16425999</v>
      </c>
      <c r="N52" t="str">
        <f>"19317-20"</f>
        <v>19317-20</v>
      </c>
      <c r="O52" t="str">
        <f t="shared" si="6"/>
        <v>TEXAS</v>
      </c>
      <c r="P52" t="str">
        <f t="shared" si="7"/>
        <v>N A</v>
      </c>
      <c r="Q52" t="str">
        <f t="shared" si="8"/>
        <v>N/A</v>
      </c>
      <c r="R52" t="str">
        <f>"130 MGCRP 06 305"</f>
        <v>130 MGCRP 06 305</v>
      </c>
      <c r="S52" t="str">
        <f>"12/16/2019 3:33:36 AM"</f>
        <v>12/16/2019 3:33:36 AM</v>
      </c>
      <c r="T52" t="str">
        <f t="shared" si="20"/>
        <v>5</v>
      </c>
      <c r="U52" t="str">
        <f t="shared" si="9"/>
        <v>N/A</v>
      </c>
      <c r="V52" t="str">
        <f t="shared" si="24"/>
        <v>5.5500</v>
      </c>
    </row>
    <row r="53" spans="1:22" x14ac:dyDescent="0.25">
      <c r="A53" s="1" t="str">
        <f t="shared" si="0"/>
        <v>19317</v>
      </c>
      <c r="B53" s="1" t="str">
        <f t="shared" si="10"/>
        <v>19317</v>
      </c>
      <c r="C53" s="1" t="str">
        <f>VLOOKUP(B53,'Master truck list'!D:E,2,0)</f>
        <v>19317-20</v>
      </c>
      <c r="D53" s="1" t="str">
        <f>VLOOKUP(C53,'Master truck list'!E:F,2,0)</f>
        <v>ACTIVE</v>
      </c>
      <c r="E53" s="1" t="str">
        <f>VLOOKUP(C53,'Master truck list'!E:M,9,0)</f>
        <v>BKFS LOGISTICS</v>
      </c>
      <c r="F53" s="1" t="str">
        <f>VLOOKUP(C53,'Master truck list'!E:G,3,0)</f>
        <v>Company</v>
      </c>
      <c r="G53" s="1">
        <f>VLOOKUP(C53,'Master truck list'!E:R,14,0)</f>
        <v>2380</v>
      </c>
      <c r="H53" t="str">
        <f>"12/17/2019 7:00:33 AM"</f>
        <v>12/17/2019 7:00:33 AM</v>
      </c>
      <c r="I53" t="str">
        <f>""</f>
        <v/>
      </c>
      <c r="J53" t="str">
        <f t="shared" si="1"/>
        <v>Elite</v>
      </c>
      <c r="K53" t="str">
        <f t="shared" si="2"/>
        <v>Device</v>
      </c>
      <c r="L53" t="str">
        <f>"777166924"</f>
        <v>777166924</v>
      </c>
      <c r="M53" t="str">
        <f>"16425999"</f>
        <v>16425999</v>
      </c>
      <c r="N53" t="str">
        <f>"19317-20"</f>
        <v>19317-20</v>
      </c>
      <c r="O53" t="str">
        <f t="shared" si="6"/>
        <v>TEXAS</v>
      </c>
      <c r="P53" t="str">
        <f t="shared" si="7"/>
        <v>N A</v>
      </c>
      <c r="Q53" t="str">
        <f t="shared" si="8"/>
        <v>N/A</v>
      </c>
      <c r="R53" t="str">
        <f>"130 DKCRP 06 307"</f>
        <v>130 DKCRP 06 307</v>
      </c>
      <c r="S53" t="str">
        <f>"12/16/2019 3:55:34 AM"</f>
        <v>12/16/2019 3:55:34 AM</v>
      </c>
      <c r="T53" t="str">
        <f t="shared" si="20"/>
        <v>5</v>
      </c>
      <c r="U53" t="str">
        <f t="shared" si="9"/>
        <v>N/A</v>
      </c>
      <c r="V53" t="str">
        <f t="shared" si="24"/>
        <v>5.5500</v>
      </c>
    </row>
    <row r="54" spans="1:22" x14ac:dyDescent="0.25">
      <c r="A54" s="1" t="str">
        <f t="shared" si="0"/>
        <v>19317</v>
      </c>
      <c r="B54" s="1" t="str">
        <f t="shared" si="10"/>
        <v>19317</v>
      </c>
      <c r="C54" s="1" t="str">
        <f>VLOOKUP(B54,'Master truck list'!D:E,2,0)</f>
        <v>19317-20</v>
      </c>
      <c r="D54" s="1" t="str">
        <f>VLOOKUP(C54,'Master truck list'!E:F,2,0)</f>
        <v>ACTIVE</v>
      </c>
      <c r="E54" s="1" t="str">
        <f>VLOOKUP(C54,'Master truck list'!E:M,9,0)</f>
        <v>BKFS LOGISTICS</v>
      </c>
      <c r="F54" s="1" t="str">
        <f>VLOOKUP(C54,'Master truck list'!E:G,3,0)</f>
        <v>Company</v>
      </c>
      <c r="G54" s="1">
        <f>VLOOKUP(C54,'Master truck list'!E:R,14,0)</f>
        <v>2380</v>
      </c>
      <c r="H54" t="str">
        <f>"12/17/2019 7:00:33 AM"</f>
        <v>12/17/2019 7:00:33 AM</v>
      </c>
      <c r="I54" t="str">
        <f>""</f>
        <v/>
      </c>
      <c r="J54" t="str">
        <f t="shared" si="1"/>
        <v>Elite</v>
      </c>
      <c r="K54" t="str">
        <f t="shared" si="2"/>
        <v>Device</v>
      </c>
      <c r="L54" t="str">
        <f>"777166924"</f>
        <v>777166924</v>
      </c>
      <c r="M54" t="str">
        <f>"16425999"</f>
        <v>16425999</v>
      </c>
      <c r="N54" t="str">
        <f>"19317-20"</f>
        <v>19317-20</v>
      </c>
      <c r="O54" t="str">
        <f t="shared" si="6"/>
        <v>TEXAS</v>
      </c>
      <c r="P54" t="str">
        <f t="shared" si="7"/>
        <v>N A</v>
      </c>
      <c r="Q54" t="str">
        <f t="shared" si="8"/>
        <v>N/A</v>
      </c>
      <c r="R54" t="str">
        <f>"130 ARPTP 04 308"</f>
        <v>130 ARPTP 04 308</v>
      </c>
      <c r="S54" t="str">
        <f>"12/16/2019 4:02:49 AM"</f>
        <v>12/16/2019 4:02:49 AM</v>
      </c>
      <c r="T54" t="str">
        <f t="shared" si="20"/>
        <v>5</v>
      </c>
      <c r="U54" t="str">
        <f t="shared" si="9"/>
        <v>N/A</v>
      </c>
      <c r="V54" t="str">
        <f t="shared" si="24"/>
        <v>5.5500</v>
      </c>
    </row>
    <row r="55" spans="1:22" x14ac:dyDescent="0.25">
      <c r="A55" s="1" t="str">
        <f t="shared" si="0"/>
        <v>19317</v>
      </c>
      <c r="B55" s="1" t="str">
        <f t="shared" si="10"/>
        <v>19317</v>
      </c>
      <c r="C55" s="1" t="str">
        <f>VLOOKUP(B55,'Master truck list'!D:E,2,0)</f>
        <v>19317-20</v>
      </c>
      <c r="D55" s="1" t="str">
        <f>VLOOKUP(C55,'Master truck list'!E:F,2,0)</f>
        <v>ACTIVE</v>
      </c>
      <c r="E55" s="1" t="str">
        <f>VLOOKUP(C55,'Master truck list'!E:M,9,0)</f>
        <v>BKFS LOGISTICS</v>
      </c>
      <c r="F55" s="1" t="str">
        <f>VLOOKUP(C55,'Master truck list'!E:G,3,0)</f>
        <v>Company</v>
      </c>
      <c r="G55" s="1">
        <f>VLOOKUP(C55,'Master truck list'!E:R,14,0)</f>
        <v>2380</v>
      </c>
      <c r="H55" t="str">
        <f>"12/17/2019 7:00:33 AM"</f>
        <v>12/17/2019 7:00:33 AM</v>
      </c>
      <c r="I55" t="str">
        <f>""</f>
        <v/>
      </c>
      <c r="J55" t="str">
        <f t="shared" si="1"/>
        <v>Elite</v>
      </c>
      <c r="K55" t="str">
        <f t="shared" si="2"/>
        <v>Device</v>
      </c>
      <c r="L55" t="str">
        <f>"777166924"</f>
        <v>777166924</v>
      </c>
      <c r="M55" t="str">
        <f>"16425999"</f>
        <v>16425999</v>
      </c>
      <c r="N55" t="str">
        <f>"19317-20"</f>
        <v>19317-20</v>
      </c>
      <c r="O55" t="str">
        <f t="shared" si="6"/>
        <v>TEXAS</v>
      </c>
      <c r="P55" t="str">
        <f t="shared" si="7"/>
        <v>N A</v>
      </c>
      <c r="Q55" t="str">
        <f t="shared" si="8"/>
        <v>N/A</v>
      </c>
      <c r="R55" t="str">
        <f>"130 CMRNP 08 306"</f>
        <v>130 CMRNP 08 306</v>
      </c>
      <c r="S55" t="str">
        <f>"12/16/2019 3:45:08 AM"</f>
        <v>12/16/2019 3:45:08 AM</v>
      </c>
      <c r="T55" t="str">
        <f t="shared" si="20"/>
        <v>5</v>
      </c>
      <c r="U55" t="str">
        <f t="shared" si="9"/>
        <v>N/A</v>
      </c>
      <c r="V55" t="str">
        <f t="shared" si="24"/>
        <v>5.5500</v>
      </c>
    </row>
    <row r="56" spans="1:22" x14ac:dyDescent="0.25">
      <c r="A56" s="1" t="str">
        <f t="shared" si="0"/>
        <v>19317</v>
      </c>
      <c r="B56" s="1" t="str">
        <f t="shared" si="10"/>
        <v>19317</v>
      </c>
      <c r="C56" s="1" t="str">
        <f>VLOOKUP(B56,'Master truck list'!D:E,2,0)</f>
        <v>19317-20</v>
      </c>
      <c r="D56" s="1" t="str">
        <f>VLOOKUP(C56,'Master truck list'!E:F,2,0)</f>
        <v>ACTIVE</v>
      </c>
      <c r="E56" s="1" t="str">
        <f>VLOOKUP(C56,'Master truck list'!E:M,9,0)</f>
        <v>BKFS LOGISTICS</v>
      </c>
      <c r="F56" s="1" t="str">
        <f>VLOOKUP(C56,'Master truck list'!E:G,3,0)</f>
        <v>Company</v>
      </c>
      <c r="G56" s="1">
        <f>VLOOKUP(C56,'Master truck list'!E:R,14,0)</f>
        <v>2380</v>
      </c>
      <c r="H56" t="str">
        <f>"12/17/2019 7:00:33 AM"</f>
        <v>12/17/2019 7:00:33 AM</v>
      </c>
      <c r="I56" t="str">
        <f>""</f>
        <v/>
      </c>
      <c r="J56" t="str">
        <f t="shared" si="1"/>
        <v>Elite</v>
      </c>
      <c r="K56" t="str">
        <f t="shared" si="2"/>
        <v>Device</v>
      </c>
      <c r="L56" t="str">
        <f>"777166924"</f>
        <v>777166924</v>
      </c>
      <c r="M56" t="str">
        <f>"16425999"</f>
        <v>16425999</v>
      </c>
      <c r="N56" t="str">
        <f>"19317-20"</f>
        <v>19317-20</v>
      </c>
      <c r="O56" t="str">
        <f t="shared" si="6"/>
        <v>TEXAS</v>
      </c>
      <c r="P56" t="str">
        <f t="shared" si="7"/>
        <v>N A</v>
      </c>
      <c r="Q56" t="str">
        <f t="shared" si="8"/>
        <v>N/A</v>
      </c>
      <c r="R56" t="str">
        <f>"45SE MLPWB 01 611"</f>
        <v>45SE MLPWB 01 611</v>
      </c>
      <c r="S56" t="str">
        <f>"12/16/2019 4:17:13 AM"</f>
        <v>12/16/2019 4:17:13 AM</v>
      </c>
      <c r="T56" t="str">
        <f t="shared" si="20"/>
        <v>5</v>
      </c>
      <c r="U56" t="str">
        <f t="shared" si="9"/>
        <v>N/A</v>
      </c>
      <c r="V56" t="str">
        <f>"3.3000"</f>
        <v>3.3000</v>
      </c>
    </row>
    <row r="57" spans="1:22" x14ac:dyDescent="0.25">
      <c r="A57" s="1" t="str">
        <f t="shared" si="0"/>
        <v>2471-</v>
      </c>
      <c r="B57" s="1" t="str">
        <f t="shared" si="10"/>
        <v>2471-</v>
      </c>
      <c r="C57" s="1" t="str">
        <f>VLOOKUP(B57,'Master truck list'!D:E,2,0)</f>
        <v>2471-19L</v>
      </c>
      <c r="D57" s="1" t="str">
        <f>VLOOKUP(C57,'Master truck list'!E:F,2,0)</f>
        <v>ACTIVE</v>
      </c>
      <c r="E57" s="1" t="str">
        <f>VLOOKUP(C57,'Master truck list'!E:M,9,0)</f>
        <v>CHARGER LOGISTICS USA INC</v>
      </c>
      <c r="F57" s="1" t="str">
        <f>VLOOKUP(C57,'Master truck list'!E:G,3,0)</f>
        <v>Owner Operator</v>
      </c>
      <c r="G57" s="1">
        <f>VLOOKUP(C57,'Master truck list'!E:R,14,0)</f>
        <v>1938</v>
      </c>
      <c r="H57" t="str">
        <f>"12/20/2019 7:00:30 AM"</f>
        <v>12/20/2019 7:00:30 AM</v>
      </c>
      <c r="I57" t="str">
        <f>""</f>
        <v/>
      </c>
      <c r="J57" t="str">
        <f t="shared" si="1"/>
        <v>Elite</v>
      </c>
      <c r="K57" t="str">
        <f t="shared" si="2"/>
        <v>Device</v>
      </c>
      <c r="L57" t="str">
        <f>"777167155"</f>
        <v>777167155</v>
      </c>
      <c r="M57" t="str">
        <f>"16426230"</f>
        <v>16426230</v>
      </c>
      <c r="N57" t="str">
        <f>"2471-19L"</f>
        <v>2471-19L</v>
      </c>
      <c r="O57" t="str">
        <f t="shared" si="6"/>
        <v>TEXAS</v>
      </c>
      <c r="P57" t="str">
        <f t="shared" si="7"/>
        <v>N A</v>
      </c>
      <c r="Q57" t="str">
        <f t="shared" si="8"/>
        <v>N/A</v>
      </c>
      <c r="R57" t="str">
        <f>"130 DKCRP 06 307"</f>
        <v>130 DKCRP 06 307</v>
      </c>
      <c r="S57" t="str">
        <f>"12/19/2019 3:10:29 PM"</f>
        <v>12/19/2019 3:10:29 PM</v>
      </c>
      <c r="T57" t="str">
        <f t="shared" si="20"/>
        <v>5</v>
      </c>
      <c r="U57" t="str">
        <f t="shared" si="9"/>
        <v>N/A</v>
      </c>
      <c r="V57" t="str">
        <f>"5.5500"</f>
        <v>5.5500</v>
      </c>
    </row>
    <row r="58" spans="1:22" x14ac:dyDescent="0.25">
      <c r="A58" s="1" t="str">
        <f t="shared" si="0"/>
        <v>2471-</v>
      </c>
      <c r="B58" s="1" t="str">
        <f t="shared" si="10"/>
        <v>2471-</v>
      </c>
      <c r="C58" s="1" t="str">
        <f>VLOOKUP(B58,'Master truck list'!D:E,2,0)</f>
        <v>2471-19L</v>
      </c>
      <c r="D58" s="1" t="str">
        <f>VLOOKUP(C58,'Master truck list'!E:F,2,0)</f>
        <v>ACTIVE</v>
      </c>
      <c r="E58" s="1" t="str">
        <f>VLOOKUP(C58,'Master truck list'!E:M,9,0)</f>
        <v>CHARGER LOGISTICS USA INC</v>
      </c>
      <c r="F58" s="1" t="str">
        <f>VLOOKUP(C58,'Master truck list'!E:G,3,0)</f>
        <v>Owner Operator</v>
      </c>
      <c r="G58" s="1">
        <f>VLOOKUP(C58,'Master truck list'!E:R,14,0)</f>
        <v>1938</v>
      </c>
      <c r="H58" t="str">
        <f>"12/20/2019 7:00:30 AM"</f>
        <v>12/20/2019 7:00:30 AM</v>
      </c>
      <c r="I58" t="str">
        <f>""</f>
        <v/>
      </c>
      <c r="J58" t="str">
        <f t="shared" si="1"/>
        <v>Elite</v>
      </c>
      <c r="K58" t="str">
        <f t="shared" si="2"/>
        <v>Device</v>
      </c>
      <c r="L58" t="str">
        <f>"777167155"</f>
        <v>777167155</v>
      </c>
      <c r="M58" t="str">
        <f>"16426230"</f>
        <v>16426230</v>
      </c>
      <c r="N58" t="str">
        <f>"2471-19L"</f>
        <v>2471-19L</v>
      </c>
      <c r="O58" t="str">
        <f t="shared" si="6"/>
        <v>TEXAS</v>
      </c>
      <c r="P58" t="str">
        <f t="shared" si="7"/>
        <v>N A</v>
      </c>
      <c r="Q58" t="str">
        <f t="shared" si="8"/>
        <v>N/A</v>
      </c>
      <c r="R58" t="str">
        <f>"130 MGCRP 06 305"</f>
        <v>130 MGCRP 06 305</v>
      </c>
      <c r="S58" t="str">
        <f>"12/19/2019 2:50:05 PM"</f>
        <v>12/19/2019 2:50:05 PM</v>
      </c>
      <c r="T58" t="str">
        <f t="shared" si="20"/>
        <v>5</v>
      </c>
      <c r="U58" t="str">
        <f t="shared" si="9"/>
        <v>N/A</v>
      </c>
      <c r="V58" t="str">
        <f>"5.5500"</f>
        <v>5.5500</v>
      </c>
    </row>
    <row r="59" spans="1:22" x14ac:dyDescent="0.25">
      <c r="A59" s="1" t="str">
        <f t="shared" si="0"/>
        <v>2471-</v>
      </c>
      <c r="B59" s="1" t="str">
        <f t="shared" si="10"/>
        <v>2471-</v>
      </c>
      <c r="C59" s="1" t="str">
        <f>VLOOKUP(B59,'Master truck list'!D:E,2,0)</f>
        <v>2471-19L</v>
      </c>
      <c r="D59" s="1" t="str">
        <f>VLOOKUP(C59,'Master truck list'!E:F,2,0)</f>
        <v>ACTIVE</v>
      </c>
      <c r="E59" s="1" t="str">
        <f>VLOOKUP(C59,'Master truck list'!E:M,9,0)</f>
        <v>CHARGER LOGISTICS USA INC</v>
      </c>
      <c r="F59" s="1" t="str">
        <f>VLOOKUP(C59,'Master truck list'!E:G,3,0)</f>
        <v>Owner Operator</v>
      </c>
      <c r="G59" s="1">
        <f>VLOOKUP(C59,'Master truck list'!E:R,14,0)</f>
        <v>1938</v>
      </c>
      <c r="H59" t="str">
        <f>"12/20/2019 7:00:30 AM"</f>
        <v>12/20/2019 7:00:30 AM</v>
      </c>
      <c r="I59" t="str">
        <f>""</f>
        <v/>
      </c>
      <c r="J59" t="str">
        <f t="shared" si="1"/>
        <v>Elite</v>
      </c>
      <c r="K59" t="str">
        <f t="shared" si="2"/>
        <v>Device</v>
      </c>
      <c r="L59" t="str">
        <f>"777167155"</f>
        <v>777167155</v>
      </c>
      <c r="M59" t="str">
        <f>"16426230"</f>
        <v>16426230</v>
      </c>
      <c r="N59" t="str">
        <f>"2471-19L"</f>
        <v>2471-19L</v>
      </c>
      <c r="O59" t="str">
        <f t="shared" si="6"/>
        <v>TEXAS</v>
      </c>
      <c r="P59" t="str">
        <f t="shared" si="7"/>
        <v>N A</v>
      </c>
      <c r="Q59" t="str">
        <f t="shared" si="8"/>
        <v>N/A</v>
      </c>
      <c r="R59" t="str">
        <f>"45SE MLPWB 02 611"</f>
        <v>45SE MLPWB 02 611</v>
      </c>
      <c r="S59" t="str">
        <f>"12/19/2019 3:27:46 PM"</f>
        <v>12/19/2019 3:27:46 PM</v>
      </c>
      <c r="T59" t="str">
        <f t="shared" si="20"/>
        <v>5</v>
      </c>
      <c r="U59" t="str">
        <f t="shared" si="9"/>
        <v>N/A</v>
      </c>
      <c r="V59" t="str">
        <f>"3.3000"</f>
        <v>3.3000</v>
      </c>
    </row>
    <row r="60" spans="1:22" x14ac:dyDescent="0.25">
      <c r="A60" s="1" t="str">
        <f t="shared" si="0"/>
        <v>2471-</v>
      </c>
      <c r="B60" s="1" t="str">
        <f t="shared" si="10"/>
        <v>2471-</v>
      </c>
      <c r="C60" s="1" t="str">
        <f>VLOOKUP(B60,'Master truck list'!D:E,2,0)</f>
        <v>2471-19L</v>
      </c>
      <c r="D60" s="1" t="str">
        <f>VLOOKUP(C60,'Master truck list'!E:F,2,0)</f>
        <v>ACTIVE</v>
      </c>
      <c r="E60" s="1" t="str">
        <f>VLOOKUP(C60,'Master truck list'!E:M,9,0)</f>
        <v>CHARGER LOGISTICS USA INC</v>
      </c>
      <c r="F60" s="1" t="str">
        <f>VLOOKUP(C60,'Master truck list'!E:G,3,0)</f>
        <v>Owner Operator</v>
      </c>
      <c r="G60" s="1">
        <f>VLOOKUP(C60,'Master truck list'!E:R,14,0)</f>
        <v>1938</v>
      </c>
      <c r="H60" t="str">
        <f>"12/20/2019 7:00:30 AM"</f>
        <v>12/20/2019 7:00:30 AM</v>
      </c>
      <c r="I60" t="str">
        <f>""</f>
        <v/>
      </c>
      <c r="J60" t="str">
        <f t="shared" si="1"/>
        <v>Elite</v>
      </c>
      <c r="K60" t="str">
        <f t="shared" si="2"/>
        <v>Device</v>
      </c>
      <c r="L60" t="str">
        <f>"777167155"</f>
        <v>777167155</v>
      </c>
      <c r="M60" t="str">
        <f>"16426230"</f>
        <v>16426230</v>
      </c>
      <c r="N60" t="str">
        <f>"2471-19L"</f>
        <v>2471-19L</v>
      </c>
      <c r="O60" t="str">
        <f t="shared" si="6"/>
        <v>TEXAS</v>
      </c>
      <c r="P60" t="str">
        <f t="shared" si="7"/>
        <v>N A</v>
      </c>
      <c r="Q60" t="str">
        <f t="shared" si="8"/>
        <v>N/A</v>
      </c>
      <c r="R60" t="str">
        <f>"130 CMRNP 08 306"</f>
        <v>130 CMRNP 08 306</v>
      </c>
      <c r="S60" t="str">
        <f>"12/19/2019 3:00:48 PM"</f>
        <v>12/19/2019 3:00:48 PM</v>
      </c>
      <c r="T60" t="str">
        <f t="shared" si="20"/>
        <v>5</v>
      </c>
      <c r="U60" t="str">
        <f t="shared" si="9"/>
        <v>N/A</v>
      </c>
      <c r="V60" t="str">
        <f>"5.5500"</f>
        <v>5.5500</v>
      </c>
    </row>
    <row r="61" spans="1:22" x14ac:dyDescent="0.25">
      <c r="A61" s="1" t="str">
        <f t="shared" si="0"/>
        <v>2471-</v>
      </c>
      <c r="B61" s="1" t="str">
        <f t="shared" si="10"/>
        <v>2471-</v>
      </c>
      <c r="C61" s="1" t="str">
        <f>VLOOKUP(B61,'Master truck list'!D:E,2,0)</f>
        <v>2471-19L</v>
      </c>
      <c r="D61" s="1" t="str">
        <f>VLOOKUP(C61,'Master truck list'!E:F,2,0)</f>
        <v>ACTIVE</v>
      </c>
      <c r="E61" s="1" t="str">
        <f>VLOOKUP(C61,'Master truck list'!E:M,9,0)</f>
        <v>CHARGER LOGISTICS USA INC</v>
      </c>
      <c r="F61" s="1" t="str">
        <f>VLOOKUP(C61,'Master truck list'!E:G,3,0)</f>
        <v>Owner Operator</v>
      </c>
      <c r="G61" s="1">
        <f>VLOOKUP(C61,'Master truck list'!E:R,14,0)</f>
        <v>1938</v>
      </c>
      <c r="H61" t="str">
        <f>"12/20/2019 7:00:30 AM"</f>
        <v>12/20/2019 7:00:30 AM</v>
      </c>
      <c r="I61" t="str">
        <f>""</f>
        <v/>
      </c>
      <c r="J61" t="str">
        <f t="shared" si="1"/>
        <v>Elite</v>
      </c>
      <c r="K61" t="str">
        <f t="shared" si="2"/>
        <v>Device</v>
      </c>
      <c r="L61" t="str">
        <f>"777167155"</f>
        <v>777167155</v>
      </c>
      <c r="M61" t="str">
        <f>"16426230"</f>
        <v>16426230</v>
      </c>
      <c r="N61" t="str">
        <f>"2471-19L"</f>
        <v>2471-19L</v>
      </c>
      <c r="O61" t="str">
        <f t="shared" si="6"/>
        <v>TEXAS</v>
      </c>
      <c r="P61" t="str">
        <f t="shared" si="7"/>
        <v>N A</v>
      </c>
      <c r="Q61" t="str">
        <f t="shared" si="8"/>
        <v>N/A</v>
      </c>
      <c r="R61" t="str">
        <f>"130 ARPTP 04 308"</f>
        <v>130 ARPTP 04 308</v>
      </c>
      <c r="S61" t="str">
        <f>"12/19/2019 3:17:18 PM"</f>
        <v>12/19/2019 3:17:18 PM</v>
      </c>
      <c r="T61" t="str">
        <f t="shared" si="20"/>
        <v>5</v>
      </c>
      <c r="U61" t="str">
        <f t="shared" si="9"/>
        <v>N/A</v>
      </c>
      <c r="V61" t="str">
        <f>"5.5500"</f>
        <v>5.5500</v>
      </c>
    </row>
    <row r="62" spans="1:22" x14ac:dyDescent="0.25">
      <c r="A62" s="1" t="str">
        <f t="shared" si="0"/>
        <v>2474-</v>
      </c>
      <c r="B62" s="1" t="str">
        <f t="shared" si="10"/>
        <v>2474-</v>
      </c>
      <c r="C62" s="1" t="str">
        <f>VLOOKUP(B62,'Master truck list'!D:E,2,0)</f>
        <v>2474-19L</v>
      </c>
      <c r="D62" s="1" t="str">
        <f>VLOOKUP(C62,'Master truck list'!E:F,2,0)</f>
        <v>ACTIVE</v>
      </c>
      <c r="E62" s="1" t="str">
        <f>VLOOKUP(C62,'Master truck list'!E:M,9,0)</f>
        <v>CHARGER LOGISTICS USA INC</v>
      </c>
      <c r="F62" s="1" t="str">
        <f>VLOOKUP(C62,'Master truck list'!E:G,3,0)</f>
        <v>Owner Operator</v>
      </c>
      <c r="G62" s="1">
        <f>VLOOKUP(C62,'Master truck list'!E:R,14,0)</f>
        <v>1941</v>
      </c>
      <c r="H62" t="str">
        <f>"12/19/2019 7:00:35 AM"</f>
        <v>12/19/2019 7:00:35 AM</v>
      </c>
      <c r="I62" t="str">
        <f>""</f>
        <v/>
      </c>
      <c r="J62" t="str">
        <f t="shared" si="1"/>
        <v>Elite</v>
      </c>
      <c r="K62" t="str">
        <f t="shared" si="2"/>
        <v>Device</v>
      </c>
      <c r="L62" t="str">
        <f>"777166840"</f>
        <v>777166840</v>
      </c>
      <c r="M62" t="str">
        <f>"16425915"</f>
        <v>16425915</v>
      </c>
      <c r="N62" t="str">
        <f>"2474-19L"</f>
        <v>2474-19L</v>
      </c>
      <c r="O62" t="str">
        <f t="shared" si="6"/>
        <v>TEXAS</v>
      </c>
      <c r="P62" t="str">
        <f t="shared" si="7"/>
        <v>N A</v>
      </c>
      <c r="Q62" t="str">
        <f t="shared" si="8"/>
        <v>N/A</v>
      </c>
      <c r="R62" t="str">
        <f>"130 DKCRP 06 307"</f>
        <v>130 DKCRP 06 307</v>
      </c>
      <c r="S62" t="str">
        <f>"12/18/2019 4:17:56 PM"</f>
        <v>12/18/2019 4:17:56 PM</v>
      </c>
      <c r="T62" t="str">
        <f t="shared" si="20"/>
        <v>5</v>
      </c>
      <c r="U62" t="str">
        <f t="shared" si="9"/>
        <v>N/A</v>
      </c>
      <c r="V62" t="str">
        <f>"5.5500"</f>
        <v>5.5500</v>
      </c>
    </row>
    <row r="63" spans="1:22" x14ac:dyDescent="0.25">
      <c r="A63" s="1" t="str">
        <f t="shared" si="0"/>
        <v>2474-</v>
      </c>
      <c r="B63" s="1" t="str">
        <f t="shared" si="10"/>
        <v>2474-</v>
      </c>
      <c r="C63" s="1" t="str">
        <f>VLOOKUP(B63,'Master truck list'!D:E,2,0)</f>
        <v>2474-19L</v>
      </c>
      <c r="D63" s="1" t="str">
        <f>VLOOKUP(C63,'Master truck list'!E:F,2,0)</f>
        <v>ACTIVE</v>
      </c>
      <c r="E63" s="1" t="str">
        <f>VLOOKUP(C63,'Master truck list'!E:M,9,0)</f>
        <v>CHARGER LOGISTICS USA INC</v>
      </c>
      <c r="F63" s="1" t="str">
        <f>VLOOKUP(C63,'Master truck list'!E:G,3,0)</f>
        <v>Owner Operator</v>
      </c>
      <c r="G63" s="1">
        <f>VLOOKUP(C63,'Master truck list'!E:R,14,0)</f>
        <v>1941</v>
      </c>
      <c r="H63" t="str">
        <f>"12/19/2019 7:00:35 AM"</f>
        <v>12/19/2019 7:00:35 AM</v>
      </c>
      <c r="I63" t="str">
        <f>""</f>
        <v/>
      </c>
      <c r="J63" t="str">
        <f t="shared" si="1"/>
        <v>Elite</v>
      </c>
      <c r="K63" t="str">
        <f t="shared" si="2"/>
        <v>Device</v>
      </c>
      <c r="L63" t="str">
        <f>"777166840"</f>
        <v>777166840</v>
      </c>
      <c r="M63" t="str">
        <f>"16425915"</f>
        <v>16425915</v>
      </c>
      <c r="N63" t="str">
        <f>"2474-19L"</f>
        <v>2474-19L</v>
      </c>
      <c r="O63" t="str">
        <f t="shared" si="6"/>
        <v>TEXAS</v>
      </c>
      <c r="P63" t="str">
        <f t="shared" si="7"/>
        <v>N A</v>
      </c>
      <c r="Q63" t="str">
        <f t="shared" si="8"/>
        <v>N/A</v>
      </c>
      <c r="R63" t="str">
        <f>"45SE MLPWB 01 611"</f>
        <v>45SE MLPWB 01 611</v>
      </c>
      <c r="S63" t="str">
        <f>"12/18/2019 4:34:56 PM"</f>
        <v>12/18/2019 4:34:56 PM</v>
      </c>
      <c r="T63" t="str">
        <f t="shared" si="20"/>
        <v>5</v>
      </c>
      <c r="U63" t="str">
        <f t="shared" si="9"/>
        <v>N/A</v>
      </c>
      <c r="V63" t="str">
        <f>"3.3000"</f>
        <v>3.3000</v>
      </c>
    </row>
    <row r="64" spans="1:22" x14ac:dyDescent="0.25">
      <c r="A64" s="1" t="str">
        <f t="shared" si="0"/>
        <v>2474-</v>
      </c>
      <c r="B64" s="1" t="str">
        <f t="shared" si="10"/>
        <v>2474-</v>
      </c>
      <c r="C64" s="1" t="str">
        <f>VLOOKUP(B64,'Master truck list'!D:E,2,0)</f>
        <v>2474-19L</v>
      </c>
      <c r="D64" s="1" t="str">
        <f>VLOOKUP(C64,'Master truck list'!E:F,2,0)</f>
        <v>ACTIVE</v>
      </c>
      <c r="E64" s="1" t="str">
        <f>VLOOKUP(C64,'Master truck list'!E:M,9,0)</f>
        <v>CHARGER LOGISTICS USA INC</v>
      </c>
      <c r="F64" s="1" t="str">
        <f>VLOOKUP(C64,'Master truck list'!E:G,3,0)</f>
        <v>Owner Operator</v>
      </c>
      <c r="G64" s="1">
        <f>VLOOKUP(C64,'Master truck list'!E:R,14,0)</f>
        <v>1941</v>
      </c>
      <c r="H64" t="str">
        <f>"12/19/2019 7:00:35 AM"</f>
        <v>12/19/2019 7:00:35 AM</v>
      </c>
      <c r="I64" t="str">
        <f>""</f>
        <v/>
      </c>
      <c r="J64" t="str">
        <f t="shared" si="1"/>
        <v>Elite</v>
      </c>
      <c r="K64" t="str">
        <f t="shared" si="2"/>
        <v>Device</v>
      </c>
      <c r="L64" t="str">
        <f>"777166840"</f>
        <v>777166840</v>
      </c>
      <c r="M64" t="str">
        <f>"16425915"</f>
        <v>16425915</v>
      </c>
      <c r="N64" t="str">
        <f>"2474-19L"</f>
        <v>2474-19L</v>
      </c>
      <c r="O64" t="str">
        <f t="shared" si="6"/>
        <v>TEXAS</v>
      </c>
      <c r="P64" t="str">
        <f t="shared" si="7"/>
        <v>N A</v>
      </c>
      <c r="Q64" t="str">
        <f t="shared" si="8"/>
        <v>N/A</v>
      </c>
      <c r="R64" t="str">
        <f>"130 MGCRP 07 305"</f>
        <v>130 MGCRP 07 305</v>
      </c>
      <c r="S64" t="str">
        <f>"12/18/2019 3:57:55 PM"</f>
        <v>12/18/2019 3:57:55 PM</v>
      </c>
      <c r="T64" t="str">
        <f t="shared" si="20"/>
        <v>5</v>
      </c>
      <c r="U64" t="str">
        <f t="shared" si="9"/>
        <v>N/A</v>
      </c>
      <c r="V64" t="str">
        <f t="shared" ref="V64:V69" si="25">"5.5500"</f>
        <v>5.5500</v>
      </c>
    </row>
    <row r="65" spans="1:22" x14ac:dyDescent="0.25">
      <c r="A65" s="1" t="str">
        <f t="shared" si="0"/>
        <v>2474-</v>
      </c>
      <c r="B65" s="1" t="str">
        <f t="shared" si="10"/>
        <v>2474-</v>
      </c>
      <c r="C65" s="1" t="str">
        <f>VLOOKUP(B65,'Master truck list'!D:E,2,0)</f>
        <v>2474-19L</v>
      </c>
      <c r="D65" s="1" t="str">
        <f>VLOOKUP(C65,'Master truck list'!E:F,2,0)</f>
        <v>ACTIVE</v>
      </c>
      <c r="E65" s="1" t="str">
        <f>VLOOKUP(C65,'Master truck list'!E:M,9,0)</f>
        <v>CHARGER LOGISTICS USA INC</v>
      </c>
      <c r="F65" s="1" t="str">
        <f>VLOOKUP(C65,'Master truck list'!E:G,3,0)</f>
        <v>Owner Operator</v>
      </c>
      <c r="G65" s="1">
        <f>VLOOKUP(C65,'Master truck list'!E:R,14,0)</f>
        <v>1941</v>
      </c>
      <c r="H65" t="str">
        <f>"12/19/2019 7:00:35 AM"</f>
        <v>12/19/2019 7:00:35 AM</v>
      </c>
      <c r="I65" t="str">
        <f>""</f>
        <v/>
      </c>
      <c r="J65" t="str">
        <f t="shared" si="1"/>
        <v>Elite</v>
      </c>
      <c r="K65" t="str">
        <f t="shared" si="2"/>
        <v>Device</v>
      </c>
      <c r="L65" t="str">
        <f>"777166840"</f>
        <v>777166840</v>
      </c>
      <c r="M65" t="str">
        <f>"16425915"</f>
        <v>16425915</v>
      </c>
      <c r="N65" t="str">
        <f>"2474-19L"</f>
        <v>2474-19L</v>
      </c>
      <c r="O65" t="str">
        <f t="shared" si="6"/>
        <v>TEXAS</v>
      </c>
      <c r="P65" t="str">
        <f t="shared" si="7"/>
        <v>N A</v>
      </c>
      <c r="Q65" t="str">
        <f t="shared" si="8"/>
        <v>N/A</v>
      </c>
      <c r="R65" t="str">
        <f>"130 CMRNP 08 306"</f>
        <v>130 CMRNP 08 306</v>
      </c>
      <c r="S65" t="str">
        <f>"12/18/2019 4:08:22 PM"</f>
        <v>12/18/2019 4:08:22 PM</v>
      </c>
      <c r="T65" t="str">
        <f t="shared" si="20"/>
        <v>5</v>
      </c>
      <c r="U65" t="str">
        <f t="shared" si="9"/>
        <v>N/A</v>
      </c>
      <c r="V65" t="str">
        <f t="shared" si="25"/>
        <v>5.5500</v>
      </c>
    </row>
    <row r="66" spans="1:22" x14ac:dyDescent="0.25">
      <c r="A66" s="1" t="str">
        <f t="shared" ref="A66:A129" si="26">LEFT(N66,5)</f>
        <v>2474-</v>
      </c>
      <c r="B66" s="1" t="str">
        <f t="shared" si="10"/>
        <v>2474-</v>
      </c>
      <c r="C66" s="1" t="str">
        <f>VLOOKUP(B66,'Master truck list'!D:E,2,0)</f>
        <v>2474-19L</v>
      </c>
      <c r="D66" s="1" t="str">
        <f>VLOOKUP(C66,'Master truck list'!E:F,2,0)</f>
        <v>ACTIVE</v>
      </c>
      <c r="E66" s="1" t="str">
        <f>VLOOKUP(C66,'Master truck list'!E:M,9,0)</f>
        <v>CHARGER LOGISTICS USA INC</v>
      </c>
      <c r="F66" s="1" t="str">
        <f>VLOOKUP(C66,'Master truck list'!E:G,3,0)</f>
        <v>Owner Operator</v>
      </c>
      <c r="G66" s="1">
        <f>VLOOKUP(C66,'Master truck list'!E:R,14,0)</f>
        <v>1941</v>
      </c>
      <c r="H66" t="str">
        <f>"12/19/2019 7:00:35 AM"</f>
        <v>12/19/2019 7:00:35 AM</v>
      </c>
      <c r="I66" t="str">
        <f>""</f>
        <v/>
      </c>
      <c r="J66" t="str">
        <f t="shared" ref="J66:J129" si="27">"Elite"</f>
        <v>Elite</v>
      </c>
      <c r="K66" t="str">
        <f t="shared" ref="K66:K77" si="28">"Device"</f>
        <v>Device</v>
      </c>
      <c r="L66" t="str">
        <f>"777166840"</f>
        <v>777166840</v>
      </c>
      <c r="M66" t="str">
        <f>"16425915"</f>
        <v>16425915</v>
      </c>
      <c r="N66" t="str">
        <f>"2474-19L"</f>
        <v>2474-19L</v>
      </c>
      <c r="O66" t="str">
        <f t="shared" ref="O66:O129" si="29">"TEXAS"</f>
        <v>TEXAS</v>
      </c>
      <c r="P66" t="str">
        <f t="shared" ref="P66:P129" si="30">"N A"</f>
        <v>N A</v>
      </c>
      <c r="Q66" t="str">
        <f t="shared" ref="Q66:Q129" si="31">"N/A"</f>
        <v>N/A</v>
      </c>
      <c r="R66" t="str">
        <f>"130 ARPTP 04 308"</f>
        <v>130 ARPTP 04 308</v>
      </c>
      <c r="S66" t="str">
        <f>"12/18/2019 4:24:50 PM"</f>
        <v>12/18/2019 4:24:50 PM</v>
      </c>
      <c r="T66" t="str">
        <f t="shared" si="20"/>
        <v>5</v>
      </c>
      <c r="U66" t="str">
        <f t="shared" ref="U66:U129" si="32">"N/A"</f>
        <v>N/A</v>
      </c>
      <c r="V66" t="str">
        <f t="shared" si="25"/>
        <v>5.5500</v>
      </c>
    </row>
    <row r="67" spans="1:22" x14ac:dyDescent="0.25">
      <c r="A67" s="1" t="str">
        <f t="shared" si="26"/>
        <v>2433-</v>
      </c>
      <c r="B67" s="1" t="str">
        <f t="shared" ref="B67:B130" si="33">SUBSTITUTE(A67," ","")</f>
        <v>2433-</v>
      </c>
      <c r="C67" s="1" t="str">
        <f>VLOOKUP(B67,'Master truck list'!D:E,2,0)</f>
        <v>2433-19SH</v>
      </c>
      <c r="D67" s="1" t="str">
        <f>VLOOKUP(C67,'Master truck list'!E:F,2,0)</f>
        <v>ACTIVE</v>
      </c>
      <c r="E67" s="1" t="str">
        <f>VLOOKUP(C67,'Master truck list'!E:M,9,0)</f>
        <v>CHARGER LOGISTICS USA INC</v>
      </c>
      <c r="F67" s="1" t="str">
        <f>VLOOKUP(C67,'Master truck list'!E:G,3,0)</f>
        <v>Company</v>
      </c>
      <c r="G67" s="1">
        <f>VLOOKUP(C67,'Master truck list'!E:R,14,0)</f>
        <v>1706</v>
      </c>
      <c r="H67" t="str">
        <f t="shared" ref="H67:H74" si="34">"12/18/2019 7:00:28 AM"</f>
        <v>12/18/2019 7:00:28 AM</v>
      </c>
      <c r="I67" t="str">
        <f>""</f>
        <v/>
      </c>
      <c r="J67" t="str">
        <f t="shared" si="27"/>
        <v>Elite</v>
      </c>
      <c r="K67" t="str">
        <f t="shared" si="28"/>
        <v>Device</v>
      </c>
      <c r="L67" t="str">
        <f t="shared" ref="L67:L77" si="35">"777167147"</f>
        <v>777167147</v>
      </c>
      <c r="M67" t="str">
        <f t="shared" ref="M67:M77" si="36">"16426222"</f>
        <v>16426222</v>
      </c>
      <c r="N67" t="str">
        <f t="shared" ref="N67:N77" si="37">"2433-19S"</f>
        <v>2433-19S</v>
      </c>
      <c r="O67" t="str">
        <f t="shared" si="29"/>
        <v>TEXAS</v>
      </c>
      <c r="P67" t="str">
        <f t="shared" si="30"/>
        <v>N A</v>
      </c>
      <c r="Q67" t="str">
        <f t="shared" si="31"/>
        <v>N/A</v>
      </c>
      <c r="R67" t="str">
        <f>"130 DKCRP 06 307"</f>
        <v>130 DKCRP 06 307</v>
      </c>
      <c r="S67" t="str">
        <f>"12/17/2019 11:18:33 AM"</f>
        <v>12/17/2019 11:18:33 AM</v>
      </c>
      <c r="T67" t="str">
        <f t="shared" si="20"/>
        <v>5</v>
      </c>
      <c r="U67" t="str">
        <f t="shared" si="32"/>
        <v>N/A</v>
      </c>
      <c r="V67" t="str">
        <f t="shared" si="25"/>
        <v>5.5500</v>
      </c>
    </row>
    <row r="68" spans="1:22" x14ac:dyDescent="0.25">
      <c r="A68" s="1" t="str">
        <f t="shared" si="26"/>
        <v>2433-</v>
      </c>
      <c r="B68" s="1" t="str">
        <f t="shared" si="33"/>
        <v>2433-</v>
      </c>
      <c r="C68" s="1" t="str">
        <f>VLOOKUP(B68,'Master truck list'!D:E,2,0)</f>
        <v>2433-19SH</v>
      </c>
      <c r="D68" s="1" t="str">
        <f>VLOOKUP(C68,'Master truck list'!E:F,2,0)</f>
        <v>ACTIVE</v>
      </c>
      <c r="E68" s="1" t="str">
        <f>VLOOKUP(C68,'Master truck list'!E:M,9,0)</f>
        <v>CHARGER LOGISTICS USA INC</v>
      </c>
      <c r="F68" s="1" t="str">
        <f>VLOOKUP(C68,'Master truck list'!E:G,3,0)</f>
        <v>Company</v>
      </c>
      <c r="G68" s="1">
        <f>VLOOKUP(C68,'Master truck list'!E:R,14,0)</f>
        <v>1706</v>
      </c>
      <c r="H68" t="str">
        <f t="shared" si="34"/>
        <v>12/18/2019 7:00:28 AM</v>
      </c>
      <c r="I68" t="str">
        <f>""</f>
        <v/>
      </c>
      <c r="J68" t="str">
        <f t="shared" si="27"/>
        <v>Elite</v>
      </c>
      <c r="K68" t="str">
        <f t="shared" si="28"/>
        <v>Device</v>
      </c>
      <c r="L68" t="str">
        <f t="shared" si="35"/>
        <v>777167147</v>
      </c>
      <c r="M68" t="str">
        <f t="shared" si="36"/>
        <v>16426222</v>
      </c>
      <c r="N68" t="str">
        <f t="shared" si="37"/>
        <v>2433-19S</v>
      </c>
      <c r="O68" t="str">
        <f t="shared" si="29"/>
        <v>TEXAS</v>
      </c>
      <c r="P68" t="str">
        <f t="shared" si="30"/>
        <v>N A</v>
      </c>
      <c r="Q68" t="str">
        <f t="shared" si="31"/>
        <v>N/A</v>
      </c>
      <c r="R68" t="str">
        <f>"130 DKCRP 11 307"</f>
        <v>130 DKCRP 11 307</v>
      </c>
      <c r="S68" t="str">
        <f>"12/17/2019 8:40:02 PM"</f>
        <v>12/17/2019 8:40:02 PM</v>
      </c>
      <c r="T68" t="str">
        <f t="shared" si="20"/>
        <v>5</v>
      </c>
      <c r="U68" t="str">
        <f t="shared" si="32"/>
        <v>N/A</v>
      </c>
      <c r="V68" t="str">
        <f t="shared" si="25"/>
        <v>5.5500</v>
      </c>
    </row>
    <row r="69" spans="1:22" x14ac:dyDescent="0.25">
      <c r="A69" s="1" t="str">
        <f t="shared" si="26"/>
        <v>2433-</v>
      </c>
      <c r="B69" s="1" t="str">
        <f t="shared" si="33"/>
        <v>2433-</v>
      </c>
      <c r="C69" s="1" t="str">
        <f>VLOOKUP(B69,'Master truck list'!D:E,2,0)</f>
        <v>2433-19SH</v>
      </c>
      <c r="D69" s="1" t="str">
        <f>VLOOKUP(C69,'Master truck list'!E:F,2,0)</f>
        <v>ACTIVE</v>
      </c>
      <c r="E69" s="1" t="str">
        <f>VLOOKUP(C69,'Master truck list'!E:M,9,0)</f>
        <v>CHARGER LOGISTICS USA INC</v>
      </c>
      <c r="F69" s="1" t="str">
        <f>VLOOKUP(C69,'Master truck list'!E:G,3,0)</f>
        <v>Company</v>
      </c>
      <c r="G69" s="1">
        <f>VLOOKUP(C69,'Master truck list'!E:R,14,0)</f>
        <v>1706</v>
      </c>
      <c r="H69" t="str">
        <f t="shared" si="34"/>
        <v>12/18/2019 7:00:28 AM</v>
      </c>
      <c r="I69" t="str">
        <f>""</f>
        <v/>
      </c>
      <c r="J69" t="str">
        <f t="shared" si="27"/>
        <v>Elite</v>
      </c>
      <c r="K69" t="str">
        <f t="shared" si="28"/>
        <v>Device</v>
      </c>
      <c r="L69" t="str">
        <f t="shared" si="35"/>
        <v>777167147</v>
      </c>
      <c r="M69" t="str">
        <f t="shared" si="36"/>
        <v>16426222</v>
      </c>
      <c r="N69" t="str">
        <f t="shared" si="37"/>
        <v>2433-19S</v>
      </c>
      <c r="O69" t="str">
        <f t="shared" si="29"/>
        <v>TEXAS</v>
      </c>
      <c r="P69" t="str">
        <f t="shared" si="30"/>
        <v>N A</v>
      </c>
      <c r="Q69" t="str">
        <f t="shared" si="31"/>
        <v>N/A</v>
      </c>
      <c r="R69" t="str">
        <f>"130 MGCRP 06 305"</f>
        <v>130 MGCRP 06 305</v>
      </c>
      <c r="S69" t="str">
        <f>"12/17/2019 10:57:40 AM"</f>
        <v>12/17/2019 10:57:40 AM</v>
      </c>
      <c r="T69" t="str">
        <f t="shared" si="20"/>
        <v>5</v>
      </c>
      <c r="U69" t="str">
        <f t="shared" si="32"/>
        <v>N/A</v>
      </c>
      <c r="V69" t="str">
        <f t="shared" si="25"/>
        <v>5.5500</v>
      </c>
    </row>
    <row r="70" spans="1:22" x14ac:dyDescent="0.25">
      <c r="A70" s="1" t="str">
        <f t="shared" si="26"/>
        <v>2433-</v>
      </c>
      <c r="B70" s="1" t="str">
        <f t="shared" si="33"/>
        <v>2433-</v>
      </c>
      <c r="C70" s="1" t="str">
        <f>VLOOKUP(B70,'Master truck list'!D:E,2,0)</f>
        <v>2433-19SH</v>
      </c>
      <c r="D70" s="1" t="str">
        <f>VLOOKUP(C70,'Master truck list'!E:F,2,0)</f>
        <v>ACTIVE</v>
      </c>
      <c r="E70" s="1" t="str">
        <f>VLOOKUP(C70,'Master truck list'!E:M,9,0)</f>
        <v>CHARGER LOGISTICS USA INC</v>
      </c>
      <c r="F70" s="1" t="str">
        <f>VLOOKUP(C70,'Master truck list'!E:G,3,0)</f>
        <v>Company</v>
      </c>
      <c r="G70" s="1">
        <f>VLOOKUP(C70,'Master truck list'!E:R,14,0)</f>
        <v>1706</v>
      </c>
      <c r="H70" t="str">
        <f t="shared" si="34"/>
        <v>12/18/2019 7:00:28 AM</v>
      </c>
      <c r="I70" t="str">
        <f>""</f>
        <v/>
      </c>
      <c r="J70" t="str">
        <f t="shared" si="27"/>
        <v>Elite</v>
      </c>
      <c r="K70" t="str">
        <f t="shared" si="28"/>
        <v>Device</v>
      </c>
      <c r="L70" t="str">
        <f t="shared" si="35"/>
        <v>777167147</v>
      </c>
      <c r="M70" t="str">
        <f t="shared" si="36"/>
        <v>16426222</v>
      </c>
      <c r="N70" t="str">
        <f t="shared" si="37"/>
        <v>2433-19S</v>
      </c>
      <c r="O70" t="str">
        <f t="shared" si="29"/>
        <v>TEXAS</v>
      </c>
      <c r="P70" t="str">
        <f t="shared" si="30"/>
        <v>N A</v>
      </c>
      <c r="Q70" t="str">
        <f t="shared" si="31"/>
        <v>N/A</v>
      </c>
      <c r="R70" t="str">
        <f>"45SE MLPEB 02 611"</f>
        <v>45SE MLPEB 02 611</v>
      </c>
      <c r="S70" t="str">
        <f>"12/17/2019 8:22:04 PM"</f>
        <v>12/17/2019 8:22:04 PM</v>
      </c>
      <c r="T70" t="str">
        <f t="shared" si="20"/>
        <v>5</v>
      </c>
      <c r="U70" t="str">
        <f t="shared" si="32"/>
        <v>N/A</v>
      </c>
      <c r="V70" t="str">
        <f>"3.3000"</f>
        <v>3.3000</v>
      </c>
    </row>
    <row r="71" spans="1:22" x14ac:dyDescent="0.25">
      <c r="A71" s="1" t="str">
        <f t="shared" si="26"/>
        <v>2433-</v>
      </c>
      <c r="B71" s="1" t="str">
        <f t="shared" si="33"/>
        <v>2433-</v>
      </c>
      <c r="C71" s="1" t="str">
        <f>VLOOKUP(B71,'Master truck list'!D:E,2,0)</f>
        <v>2433-19SH</v>
      </c>
      <c r="D71" s="1" t="str">
        <f>VLOOKUP(C71,'Master truck list'!E:F,2,0)</f>
        <v>ACTIVE</v>
      </c>
      <c r="E71" s="1" t="str">
        <f>VLOOKUP(C71,'Master truck list'!E:M,9,0)</f>
        <v>CHARGER LOGISTICS USA INC</v>
      </c>
      <c r="F71" s="1" t="str">
        <f>VLOOKUP(C71,'Master truck list'!E:G,3,0)</f>
        <v>Company</v>
      </c>
      <c r="G71" s="1">
        <f>VLOOKUP(C71,'Master truck list'!E:R,14,0)</f>
        <v>1706</v>
      </c>
      <c r="H71" t="str">
        <f t="shared" si="34"/>
        <v>12/18/2019 7:00:28 AM</v>
      </c>
      <c r="I71" t="str">
        <f>""</f>
        <v/>
      </c>
      <c r="J71" t="str">
        <f t="shared" si="27"/>
        <v>Elite</v>
      </c>
      <c r="K71" t="str">
        <f t="shared" si="28"/>
        <v>Device</v>
      </c>
      <c r="L71" t="str">
        <f t="shared" si="35"/>
        <v>777167147</v>
      </c>
      <c r="M71" t="str">
        <f t="shared" si="36"/>
        <v>16426222</v>
      </c>
      <c r="N71" t="str">
        <f t="shared" si="37"/>
        <v>2433-19S</v>
      </c>
      <c r="O71" t="str">
        <f t="shared" si="29"/>
        <v>TEXAS</v>
      </c>
      <c r="P71" t="str">
        <f t="shared" si="30"/>
        <v>N A</v>
      </c>
      <c r="Q71" t="str">
        <f t="shared" si="31"/>
        <v>N/A</v>
      </c>
      <c r="R71" t="str">
        <f>"45SE MLPWB 01 611"</f>
        <v>45SE MLPWB 01 611</v>
      </c>
      <c r="S71" t="str">
        <f>"12/17/2019 11:35:57 AM"</f>
        <v>12/17/2019 11:35:57 AM</v>
      </c>
      <c r="T71" t="str">
        <f t="shared" si="20"/>
        <v>5</v>
      </c>
      <c r="U71" t="str">
        <f t="shared" si="32"/>
        <v>N/A</v>
      </c>
      <c r="V71" t="str">
        <f>"3.3000"</f>
        <v>3.3000</v>
      </c>
    </row>
    <row r="72" spans="1:22" x14ac:dyDescent="0.25">
      <c r="A72" s="1" t="str">
        <f t="shared" si="26"/>
        <v>2433-</v>
      </c>
      <c r="B72" s="1" t="str">
        <f t="shared" si="33"/>
        <v>2433-</v>
      </c>
      <c r="C72" s="1" t="str">
        <f>VLOOKUP(B72,'Master truck list'!D:E,2,0)</f>
        <v>2433-19SH</v>
      </c>
      <c r="D72" s="1" t="str">
        <f>VLOOKUP(C72,'Master truck list'!E:F,2,0)</f>
        <v>ACTIVE</v>
      </c>
      <c r="E72" s="1" t="str">
        <f>VLOOKUP(C72,'Master truck list'!E:M,9,0)</f>
        <v>CHARGER LOGISTICS USA INC</v>
      </c>
      <c r="F72" s="1" t="str">
        <f>VLOOKUP(C72,'Master truck list'!E:G,3,0)</f>
        <v>Company</v>
      </c>
      <c r="G72" s="1">
        <f>VLOOKUP(C72,'Master truck list'!E:R,14,0)</f>
        <v>1706</v>
      </c>
      <c r="H72" t="str">
        <f t="shared" si="34"/>
        <v>12/18/2019 7:00:28 AM</v>
      </c>
      <c r="I72" t="str">
        <f>""</f>
        <v/>
      </c>
      <c r="J72" t="str">
        <f t="shared" si="27"/>
        <v>Elite</v>
      </c>
      <c r="K72" t="str">
        <f t="shared" si="28"/>
        <v>Device</v>
      </c>
      <c r="L72" t="str">
        <f t="shared" si="35"/>
        <v>777167147</v>
      </c>
      <c r="M72" t="str">
        <f t="shared" si="36"/>
        <v>16426222</v>
      </c>
      <c r="N72" t="str">
        <f t="shared" si="37"/>
        <v>2433-19S</v>
      </c>
      <c r="O72" t="str">
        <f t="shared" si="29"/>
        <v>TEXAS</v>
      </c>
      <c r="P72" t="str">
        <f t="shared" si="30"/>
        <v>N A</v>
      </c>
      <c r="Q72" t="str">
        <f t="shared" si="31"/>
        <v>N/A</v>
      </c>
      <c r="R72" t="str">
        <f>"130 MGCRP 11 305"</f>
        <v>130 MGCRP 11 305</v>
      </c>
      <c r="S72" t="str">
        <f>"12/17/2019 9:01:10 PM"</f>
        <v>12/17/2019 9:01:10 PM</v>
      </c>
      <c r="T72" t="str">
        <f t="shared" si="20"/>
        <v>5</v>
      </c>
      <c r="U72" t="str">
        <f t="shared" si="32"/>
        <v>N/A</v>
      </c>
      <c r="V72" t="str">
        <f>"5.5500"</f>
        <v>5.5500</v>
      </c>
    </row>
    <row r="73" spans="1:22" x14ac:dyDescent="0.25">
      <c r="A73" s="1" t="str">
        <f t="shared" si="26"/>
        <v>2433-</v>
      </c>
      <c r="B73" s="1" t="str">
        <f t="shared" si="33"/>
        <v>2433-</v>
      </c>
      <c r="C73" s="1" t="str">
        <f>VLOOKUP(B73,'Master truck list'!D:E,2,0)</f>
        <v>2433-19SH</v>
      </c>
      <c r="D73" s="1" t="str">
        <f>VLOOKUP(C73,'Master truck list'!E:F,2,0)</f>
        <v>ACTIVE</v>
      </c>
      <c r="E73" s="1" t="str">
        <f>VLOOKUP(C73,'Master truck list'!E:M,9,0)</f>
        <v>CHARGER LOGISTICS USA INC</v>
      </c>
      <c r="F73" s="1" t="str">
        <f>VLOOKUP(C73,'Master truck list'!E:G,3,0)</f>
        <v>Company</v>
      </c>
      <c r="G73" s="1">
        <f>VLOOKUP(C73,'Master truck list'!E:R,14,0)</f>
        <v>1706</v>
      </c>
      <c r="H73" t="str">
        <f t="shared" si="34"/>
        <v>12/18/2019 7:00:28 AM</v>
      </c>
      <c r="I73" t="str">
        <f>""</f>
        <v/>
      </c>
      <c r="J73" t="str">
        <f t="shared" si="27"/>
        <v>Elite</v>
      </c>
      <c r="K73" t="str">
        <f t="shared" si="28"/>
        <v>Device</v>
      </c>
      <c r="L73" t="str">
        <f t="shared" si="35"/>
        <v>777167147</v>
      </c>
      <c r="M73" t="str">
        <f t="shared" si="36"/>
        <v>16426222</v>
      </c>
      <c r="N73" t="str">
        <f t="shared" si="37"/>
        <v>2433-19S</v>
      </c>
      <c r="O73" t="str">
        <f t="shared" si="29"/>
        <v>TEXAS</v>
      </c>
      <c r="P73" t="str">
        <f t="shared" si="30"/>
        <v>N A</v>
      </c>
      <c r="Q73" t="str">
        <f t="shared" si="31"/>
        <v>N/A</v>
      </c>
      <c r="R73" t="str">
        <f>"130 CMRNP 08 306"</f>
        <v>130 CMRNP 08 306</v>
      </c>
      <c r="S73" t="str">
        <f>"12/17/2019 11:08:36 AM"</f>
        <v>12/17/2019 11:08:36 AM</v>
      </c>
      <c r="T73" t="str">
        <f t="shared" si="20"/>
        <v>5</v>
      </c>
      <c r="U73" t="str">
        <f t="shared" si="32"/>
        <v>N/A</v>
      </c>
      <c r="V73" t="str">
        <f>"5.5500"</f>
        <v>5.5500</v>
      </c>
    </row>
    <row r="74" spans="1:22" x14ac:dyDescent="0.25">
      <c r="A74" s="1" t="str">
        <f t="shared" si="26"/>
        <v>2433-</v>
      </c>
      <c r="B74" s="1" t="str">
        <f t="shared" si="33"/>
        <v>2433-</v>
      </c>
      <c r="C74" s="1" t="str">
        <f>VLOOKUP(B74,'Master truck list'!D:E,2,0)</f>
        <v>2433-19SH</v>
      </c>
      <c r="D74" s="1" t="str">
        <f>VLOOKUP(C74,'Master truck list'!E:F,2,0)</f>
        <v>ACTIVE</v>
      </c>
      <c r="E74" s="1" t="str">
        <f>VLOOKUP(C74,'Master truck list'!E:M,9,0)</f>
        <v>CHARGER LOGISTICS USA INC</v>
      </c>
      <c r="F74" s="1" t="str">
        <f>VLOOKUP(C74,'Master truck list'!E:G,3,0)</f>
        <v>Company</v>
      </c>
      <c r="G74" s="1">
        <f>VLOOKUP(C74,'Master truck list'!E:R,14,0)</f>
        <v>1706</v>
      </c>
      <c r="H74" t="str">
        <f t="shared" si="34"/>
        <v>12/18/2019 7:00:28 AM</v>
      </c>
      <c r="I74" t="str">
        <f>""</f>
        <v/>
      </c>
      <c r="J74" t="str">
        <f t="shared" si="27"/>
        <v>Elite</v>
      </c>
      <c r="K74" t="str">
        <f t="shared" si="28"/>
        <v>Device</v>
      </c>
      <c r="L74" t="str">
        <f t="shared" si="35"/>
        <v>777167147</v>
      </c>
      <c r="M74" t="str">
        <f t="shared" si="36"/>
        <v>16426222</v>
      </c>
      <c r="N74" t="str">
        <f t="shared" si="37"/>
        <v>2433-19S</v>
      </c>
      <c r="O74" t="str">
        <f t="shared" si="29"/>
        <v>TEXAS</v>
      </c>
      <c r="P74" t="str">
        <f t="shared" si="30"/>
        <v>N A</v>
      </c>
      <c r="Q74" t="str">
        <f t="shared" si="31"/>
        <v>N/A</v>
      </c>
      <c r="R74" t="str">
        <f>"130 ARPTP 09 308"</f>
        <v>130 ARPTP 09 308</v>
      </c>
      <c r="S74" t="str">
        <f>"12/17/2019 8:32:41 PM"</f>
        <v>12/17/2019 8:32:41 PM</v>
      </c>
      <c r="T74" t="str">
        <f t="shared" si="20"/>
        <v>5</v>
      </c>
      <c r="U74" t="str">
        <f t="shared" si="32"/>
        <v>N/A</v>
      </c>
      <c r="V74" t="str">
        <f>"5.5500"</f>
        <v>5.5500</v>
      </c>
    </row>
    <row r="75" spans="1:22" x14ac:dyDescent="0.25">
      <c r="A75" s="1" t="str">
        <f t="shared" si="26"/>
        <v>2433-</v>
      </c>
      <c r="B75" s="1" t="str">
        <f t="shared" si="33"/>
        <v>2433-</v>
      </c>
      <c r="C75" s="1" t="str">
        <f>VLOOKUP(B75,'Master truck list'!D:E,2,0)</f>
        <v>2433-19SH</v>
      </c>
      <c r="D75" s="1" t="str">
        <f>VLOOKUP(C75,'Master truck list'!E:F,2,0)</f>
        <v>ACTIVE</v>
      </c>
      <c r="E75" s="1" t="str">
        <f>VLOOKUP(C75,'Master truck list'!E:M,9,0)</f>
        <v>CHARGER LOGISTICS USA INC</v>
      </c>
      <c r="F75" s="1" t="str">
        <f>VLOOKUP(C75,'Master truck list'!E:G,3,0)</f>
        <v>Company</v>
      </c>
      <c r="G75" s="1">
        <f>VLOOKUP(C75,'Master truck list'!E:R,14,0)</f>
        <v>1706</v>
      </c>
      <c r="H75" t="str">
        <f>"12/17/2019 7:00:33 AM"</f>
        <v>12/17/2019 7:00:33 AM</v>
      </c>
      <c r="I75" t="str">
        <f>""</f>
        <v/>
      </c>
      <c r="J75" t="str">
        <f t="shared" si="27"/>
        <v>Elite</v>
      </c>
      <c r="K75" t="str">
        <f t="shared" si="28"/>
        <v>Device</v>
      </c>
      <c r="L75" t="str">
        <f t="shared" si="35"/>
        <v>777167147</v>
      </c>
      <c r="M75" t="str">
        <f t="shared" si="36"/>
        <v>16426222</v>
      </c>
      <c r="N75" t="str">
        <f t="shared" si="37"/>
        <v>2433-19S</v>
      </c>
      <c r="O75" t="str">
        <f t="shared" si="29"/>
        <v>TEXAS</v>
      </c>
      <c r="P75" t="str">
        <f t="shared" si="30"/>
        <v>N A</v>
      </c>
      <c r="Q75" t="str">
        <f t="shared" si="31"/>
        <v>N/A</v>
      </c>
      <c r="R75" t="str">
        <f>"PGBW MLG12 09 MLG1"</f>
        <v>PGBW MLG12 09 MLG1</v>
      </c>
      <c r="S75" t="str">
        <f>"12/16/2019 5:45:40 PM"</f>
        <v>12/16/2019 5:45:40 PM</v>
      </c>
      <c r="T75" t="str">
        <f t="shared" si="20"/>
        <v>5</v>
      </c>
      <c r="U75" t="str">
        <f t="shared" si="32"/>
        <v>N/A</v>
      </c>
      <c r="V75" t="str">
        <f>"4.6400"</f>
        <v>4.6400</v>
      </c>
    </row>
    <row r="76" spans="1:22" x14ac:dyDescent="0.25">
      <c r="A76" s="1" t="str">
        <f t="shared" si="26"/>
        <v>2433-</v>
      </c>
      <c r="B76" s="1" t="str">
        <f t="shared" si="33"/>
        <v>2433-</v>
      </c>
      <c r="C76" s="1" t="str">
        <f>VLOOKUP(B76,'Master truck list'!D:E,2,0)</f>
        <v>2433-19SH</v>
      </c>
      <c r="D76" s="1" t="str">
        <f>VLOOKUP(C76,'Master truck list'!E:F,2,0)</f>
        <v>ACTIVE</v>
      </c>
      <c r="E76" s="1" t="str">
        <f>VLOOKUP(C76,'Master truck list'!E:M,9,0)</f>
        <v>CHARGER LOGISTICS USA INC</v>
      </c>
      <c r="F76" s="1" t="str">
        <f>VLOOKUP(C76,'Master truck list'!E:G,3,0)</f>
        <v>Company</v>
      </c>
      <c r="G76" s="1">
        <f>VLOOKUP(C76,'Master truck list'!E:R,14,0)</f>
        <v>1706</v>
      </c>
      <c r="H76" t="str">
        <f>"12/18/2019 7:00:28 AM"</f>
        <v>12/18/2019 7:00:28 AM</v>
      </c>
      <c r="I76" t="str">
        <f>""</f>
        <v/>
      </c>
      <c r="J76" t="str">
        <f t="shared" si="27"/>
        <v>Elite</v>
      </c>
      <c r="K76" t="str">
        <f t="shared" si="28"/>
        <v>Device</v>
      </c>
      <c r="L76" t="str">
        <f t="shared" si="35"/>
        <v>777167147</v>
      </c>
      <c r="M76" t="str">
        <f t="shared" si="36"/>
        <v>16426222</v>
      </c>
      <c r="N76" t="str">
        <f t="shared" si="37"/>
        <v>2433-19S</v>
      </c>
      <c r="O76" t="str">
        <f t="shared" si="29"/>
        <v>TEXAS</v>
      </c>
      <c r="P76" t="str">
        <f t="shared" si="30"/>
        <v>N A</v>
      </c>
      <c r="Q76" t="str">
        <f t="shared" si="31"/>
        <v>N/A</v>
      </c>
      <c r="R76" t="str">
        <f>"130 ARPTP 04 308"</f>
        <v>130 ARPTP 04 308</v>
      </c>
      <c r="S76" t="str">
        <f>"12/17/2019 11:25:27 AM"</f>
        <v>12/17/2019 11:25:27 AM</v>
      </c>
      <c r="T76" t="str">
        <f t="shared" si="20"/>
        <v>5</v>
      </c>
      <c r="U76" t="str">
        <f t="shared" si="32"/>
        <v>N/A</v>
      </c>
      <c r="V76" t="str">
        <f>"5.5500"</f>
        <v>5.5500</v>
      </c>
    </row>
    <row r="77" spans="1:22" x14ac:dyDescent="0.25">
      <c r="A77" s="1" t="str">
        <f t="shared" si="26"/>
        <v>2433-</v>
      </c>
      <c r="B77" s="1" t="str">
        <f t="shared" si="33"/>
        <v>2433-</v>
      </c>
      <c r="C77" s="1" t="str">
        <f>VLOOKUP(B77,'Master truck list'!D:E,2,0)</f>
        <v>2433-19SH</v>
      </c>
      <c r="D77" s="1" t="str">
        <f>VLOOKUP(C77,'Master truck list'!E:F,2,0)</f>
        <v>ACTIVE</v>
      </c>
      <c r="E77" s="1" t="str">
        <f>VLOOKUP(C77,'Master truck list'!E:M,9,0)</f>
        <v>CHARGER LOGISTICS USA INC</v>
      </c>
      <c r="F77" s="1" t="str">
        <f>VLOOKUP(C77,'Master truck list'!E:G,3,0)</f>
        <v>Company</v>
      </c>
      <c r="G77" s="1">
        <f>VLOOKUP(C77,'Master truck list'!E:R,14,0)</f>
        <v>1706</v>
      </c>
      <c r="H77" t="str">
        <f>"12/18/2019 7:00:28 AM"</f>
        <v>12/18/2019 7:00:28 AM</v>
      </c>
      <c r="I77" t="str">
        <f>""</f>
        <v/>
      </c>
      <c r="J77" t="str">
        <f t="shared" si="27"/>
        <v>Elite</v>
      </c>
      <c r="K77" t="str">
        <f t="shared" si="28"/>
        <v>Device</v>
      </c>
      <c r="L77" t="str">
        <f t="shared" si="35"/>
        <v>777167147</v>
      </c>
      <c r="M77" t="str">
        <f t="shared" si="36"/>
        <v>16426222</v>
      </c>
      <c r="N77" t="str">
        <f t="shared" si="37"/>
        <v>2433-19S</v>
      </c>
      <c r="O77" t="str">
        <f t="shared" si="29"/>
        <v>TEXAS</v>
      </c>
      <c r="P77" t="str">
        <f t="shared" si="30"/>
        <v>N A</v>
      </c>
      <c r="Q77" t="str">
        <f t="shared" si="31"/>
        <v>N/A</v>
      </c>
      <c r="R77" t="str">
        <f>"130 CMRNP 13 306"</f>
        <v>130 CMRNP 13 306</v>
      </c>
      <c r="S77" t="str">
        <f>"12/17/2019 8:50:09 PM"</f>
        <v>12/17/2019 8:50:09 PM</v>
      </c>
      <c r="T77" t="str">
        <f>"2"</f>
        <v>2</v>
      </c>
      <c r="U77" t="str">
        <f t="shared" si="32"/>
        <v>N/A</v>
      </c>
      <c r="V77" t="str">
        <f>"1.8500"</f>
        <v>1.8500</v>
      </c>
    </row>
    <row r="78" spans="1:22" x14ac:dyDescent="0.25">
      <c r="A78" s="1" t="str">
        <f t="shared" si="26"/>
        <v>554-1</v>
      </c>
      <c r="B78" s="1" t="str">
        <f t="shared" si="33"/>
        <v>554-1</v>
      </c>
      <c r="C78" s="1" t="str">
        <f>VLOOKUP(B78,'Master truck list'!D:E,2,0)</f>
        <v>554-18A</v>
      </c>
      <c r="D78" s="1" t="str">
        <f>VLOOKUP(C78,'Master truck list'!E:F,2,0)</f>
        <v>ACTIVE</v>
      </c>
      <c r="E78" s="1" t="str">
        <f>VLOOKUP(C78,'Master truck list'!E:M,9,0)</f>
        <v>BNK TRANSPORT INC</v>
      </c>
      <c r="F78" s="1" t="str">
        <f>VLOOKUP(C78,'Master truck list'!E:G,3,0)</f>
        <v>Company</v>
      </c>
      <c r="G78" s="1">
        <f>VLOOKUP(C78,'Master truck list'!E:R,14,0)</f>
        <v>1186</v>
      </c>
      <c r="H78" t="str">
        <f>"12/21/2019 7:00:28 AM"</f>
        <v>12/21/2019 7:00:28 AM</v>
      </c>
      <c r="I78" t="str">
        <f>""</f>
        <v/>
      </c>
      <c r="J78" t="str">
        <f t="shared" si="27"/>
        <v>Elite</v>
      </c>
      <c r="K78" t="str">
        <f>"Plate"</f>
        <v>Plate</v>
      </c>
      <c r="L78" t="str">
        <f>"777184830"</f>
        <v>777184830</v>
      </c>
      <c r="M78" t="str">
        <f>"IN-2415853"</f>
        <v>IN-2415853</v>
      </c>
      <c r="N78" t="str">
        <f>"554-18A"</f>
        <v>554-18A</v>
      </c>
      <c r="O78" t="str">
        <f t="shared" si="29"/>
        <v>TEXAS</v>
      </c>
      <c r="P78" t="str">
        <f t="shared" si="30"/>
        <v>N A</v>
      </c>
      <c r="Q78" t="str">
        <f t="shared" si="31"/>
        <v>N/A</v>
      </c>
      <c r="R78" t="str">
        <f>"45SE MLPEB 01 611"</f>
        <v>45SE MLPEB 01 611</v>
      </c>
      <c r="S78" t="str">
        <f>"12/16/2019 4:15:02 PM"</f>
        <v>12/16/2019 4:15:02 PM</v>
      </c>
      <c r="T78" t="str">
        <f>"5"</f>
        <v>5</v>
      </c>
      <c r="U78" t="str">
        <f t="shared" si="32"/>
        <v>N/A</v>
      </c>
      <c r="V78" t="str">
        <f>"4.3900"</f>
        <v>4.3900</v>
      </c>
    </row>
    <row r="79" spans="1:22" x14ac:dyDescent="0.25">
      <c r="A79" s="1" t="str">
        <f t="shared" si="26"/>
        <v>583-1</v>
      </c>
      <c r="B79" s="1" t="str">
        <f t="shared" si="33"/>
        <v>583-1</v>
      </c>
      <c r="C79" s="1" t="str">
        <f>VLOOKUP(B79,'Master truck list'!D:E,2,0)</f>
        <v>583-18A</v>
      </c>
      <c r="D79" s="1" t="str">
        <f>VLOOKUP(C79,'Master truck list'!E:F,2,0)</f>
        <v>ACTIVE</v>
      </c>
      <c r="E79" s="1" t="str">
        <f>VLOOKUP(C79,'Master truck list'!E:M,9,0)</f>
        <v>BNK TRANSPORT INC</v>
      </c>
      <c r="F79" s="1" t="str">
        <f>VLOOKUP(C79,'Master truck list'!E:G,3,0)</f>
        <v>Company</v>
      </c>
      <c r="G79" s="1">
        <f>VLOOKUP(C79,'Master truck list'!E:R,14,0)</f>
        <v>1259</v>
      </c>
      <c r="H79" t="str">
        <f t="shared" ref="H79:H88" si="38">"12/19/2019 7:00:35 AM"</f>
        <v>12/19/2019 7:00:35 AM</v>
      </c>
      <c r="I79" t="str">
        <f>""</f>
        <v/>
      </c>
      <c r="J79" t="str">
        <f t="shared" si="27"/>
        <v>Elite</v>
      </c>
      <c r="K79" t="str">
        <f t="shared" ref="K79:K142" si="39">"Device"</f>
        <v>Device</v>
      </c>
      <c r="L79" t="str">
        <f t="shared" ref="L79:L93" si="40">"777174208"</f>
        <v>777174208</v>
      </c>
      <c r="M79" t="str">
        <f t="shared" ref="M79:M93" si="41">"16483934"</f>
        <v>16483934</v>
      </c>
      <c r="N79" t="str">
        <f t="shared" ref="N79:N93" si="42">"583-18A"</f>
        <v>583-18A</v>
      </c>
      <c r="O79" t="str">
        <f t="shared" si="29"/>
        <v>TEXAS</v>
      </c>
      <c r="P79" t="str">
        <f t="shared" si="30"/>
        <v>N A</v>
      </c>
      <c r="Q79" t="str">
        <f t="shared" si="31"/>
        <v>N/A</v>
      </c>
      <c r="R79" t="str">
        <f>"130 ARPTP 04 308"</f>
        <v>130 ARPTP 04 308</v>
      </c>
      <c r="S79" t="str">
        <f>"12/18/2019 6:12:57 PM"</f>
        <v>12/18/2019 6:12:57 PM</v>
      </c>
      <c r="T79" t="str">
        <f>"5"</f>
        <v>5</v>
      </c>
      <c r="U79" t="str">
        <f t="shared" si="32"/>
        <v>N/A</v>
      </c>
      <c r="V79" t="str">
        <f>"5.5500"</f>
        <v>5.5500</v>
      </c>
    </row>
    <row r="80" spans="1:22" x14ac:dyDescent="0.25">
      <c r="A80" s="1" t="str">
        <f t="shared" si="26"/>
        <v>583-1</v>
      </c>
      <c r="B80" s="1" t="str">
        <f t="shared" si="33"/>
        <v>583-1</v>
      </c>
      <c r="C80" s="1" t="str">
        <f>VLOOKUP(B80,'Master truck list'!D:E,2,0)</f>
        <v>583-18A</v>
      </c>
      <c r="D80" s="1" t="str">
        <f>VLOOKUP(C80,'Master truck list'!E:F,2,0)</f>
        <v>ACTIVE</v>
      </c>
      <c r="E80" s="1" t="str">
        <f>VLOOKUP(C80,'Master truck list'!E:M,9,0)</f>
        <v>BNK TRANSPORT INC</v>
      </c>
      <c r="F80" s="1" t="str">
        <f>VLOOKUP(C80,'Master truck list'!E:G,3,0)</f>
        <v>Company</v>
      </c>
      <c r="G80" s="1">
        <f>VLOOKUP(C80,'Master truck list'!E:R,14,0)</f>
        <v>1259</v>
      </c>
      <c r="H80" t="str">
        <f t="shared" si="38"/>
        <v>12/19/2019 7:00:35 AM</v>
      </c>
      <c r="I80" t="str">
        <f>""</f>
        <v/>
      </c>
      <c r="J80" t="str">
        <f t="shared" si="27"/>
        <v>Elite</v>
      </c>
      <c r="K80" t="str">
        <f t="shared" si="39"/>
        <v>Device</v>
      </c>
      <c r="L80" t="str">
        <f t="shared" si="40"/>
        <v>777174208</v>
      </c>
      <c r="M80" t="str">
        <f t="shared" si="41"/>
        <v>16483934</v>
      </c>
      <c r="N80" t="str">
        <f t="shared" si="42"/>
        <v>583-18A</v>
      </c>
      <c r="O80" t="str">
        <f t="shared" si="29"/>
        <v>TEXAS</v>
      </c>
      <c r="P80" t="str">
        <f t="shared" si="30"/>
        <v>N A</v>
      </c>
      <c r="Q80" t="str">
        <f t="shared" si="31"/>
        <v>N/A</v>
      </c>
      <c r="R80" t="str">
        <f>"130 CMRNP 13 306"</f>
        <v>130 CMRNP 13 306</v>
      </c>
      <c r="S80" t="str">
        <f>"12/17/2019 10:54:09 PM"</f>
        <v>12/17/2019 10:54:09 PM</v>
      </c>
      <c r="T80" t="str">
        <f>"2"</f>
        <v>2</v>
      </c>
      <c r="U80" t="str">
        <f t="shared" si="32"/>
        <v>N/A</v>
      </c>
      <c r="V80" t="str">
        <f>"1.8500"</f>
        <v>1.8500</v>
      </c>
    </row>
    <row r="81" spans="1:22" x14ac:dyDescent="0.25">
      <c r="A81" s="1" t="str">
        <f t="shared" si="26"/>
        <v>583-1</v>
      </c>
      <c r="B81" s="1" t="str">
        <f t="shared" si="33"/>
        <v>583-1</v>
      </c>
      <c r="C81" s="1" t="str">
        <f>VLOOKUP(B81,'Master truck list'!D:E,2,0)</f>
        <v>583-18A</v>
      </c>
      <c r="D81" s="1" t="str">
        <f>VLOOKUP(C81,'Master truck list'!E:F,2,0)</f>
        <v>ACTIVE</v>
      </c>
      <c r="E81" s="1" t="str">
        <f>VLOOKUP(C81,'Master truck list'!E:M,9,0)</f>
        <v>BNK TRANSPORT INC</v>
      </c>
      <c r="F81" s="1" t="str">
        <f>VLOOKUP(C81,'Master truck list'!E:G,3,0)</f>
        <v>Company</v>
      </c>
      <c r="G81" s="1">
        <f>VLOOKUP(C81,'Master truck list'!E:R,14,0)</f>
        <v>1259</v>
      </c>
      <c r="H81" t="str">
        <f t="shared" si="38"/>
        <v>12/19/2019 7:00:35 AM</v>
      </c>
      <c r="I81" t="str">
        <f>""</f>
        <v/>
      </c>
      <c r="J81" t="str">
        <f t="shared" si="27"/>
        <v>Elite</v>
      </c>
      <c r="K81" t="str">
        <f t="shared" si="39"/>
        <v>Device</v>
      </c>
      <c r="L81" t="str">
        <f t="shared" si="40"/>
        <v>777174208</v>
      </c>
      <c r="M81" t="str">
        <f t="shared" si="41"/>
        <v>16483934</v>
      </c>
      <c r="N81" t="str">
        <f t="shared" si="42"/>
        <v>583-18A</v>
      </c>
      <c r="O81" t="str">
        <f t="shared" si="29"/>
        <v>TEXAS</v>
      </c>
      <c r="P81" t="str">
        <f t="shared" si="30"/>
        <v>N A</v>
      </c>
      <c r="Q81" t="str">
        <f t="shared" si="31"/>
        <v>N/A</v>
      </c>
      <c r="R81" t="str">
        <f>"130 ARPTP 09 308"</f>
        <v>130 ARPTP 09 308</v>
      </c>
      <c r="S81" t="str">
        <f>"12/17/2019 10:36:48 PM"</f>
        <v>12/17/2019 10:36:48 PM</v>
      </c>
      <c r="T81" t="str">
        <f t="shared" ref="T81:T144" si="43">"5"</f>
        <v>5</v>
      </c>
      <c r="U81" t="str">
        <f t="shared" si="32"/>
        <v>N/A</v>
      </c>
      <c r="V81" t="str">
        <f>"5.5500"</f>
        <v>5.5500</v>
      </c>
    </row>
    <row r="82" spans="1:22" x14ac:dyDescent="0.25">
      <c r="A82" s="1" t="str">
        <f t="shared" si="26"/>
        <v>583-1</v>
      </c>
      <c r="B82" s="1" t="str">
        <f t="shared" si="33"/>
        <v>583-1</v>
      </c>
      <c r="C82" s="1" t="str">
        <f>VLOOKUP(B82,'Master truck list'!D:E,2,0)</f>
        <v>583-18A</v>
      </c>
      <c r="D82" s="1" t="str">
        <f>VLOOKUP(C82,'Master truck list'!E:F,2,0)</f>
        <v>ACTIVE</v>
      </c>
      <c r="E82" s="1" t="str">
        <f>VLOOKUP(C82,'Master truck list'!E:M,9,0)</f>
        <v>BNK TRANSPORT INC</v>
      </c>
      <c r="F82" s="1" t="str">
        <f>VLOOKUP(C82,'Master truck list'!E:G,3,0)</f>
        <v>Company</v>
      </c>
      <c r="G82" s="1">
        <f>VLOOKUP(C82,'Master truck list'!E:R,14,0)</f>
        <v>1259</v>
      </c>
      <c r="H82" t="str">
        <f t="shared" si="38"/>
        <v>12/19/2019 7:00:35 AM</v>
      </c>
      <c r="I82" t="str">
        <f>""</f>
        <v/>
      </c>
      <c r="J82" t="str">
        <f t="shared" si="27"/>
        <v>Elite</v>
      </c>
      <c r="K82" t="str">
        <f t="shared" si="39"/>
        <v>Device</v>
      </c>
      <c r="L82" t="str">
        <f t="shared" si="40"/>
        <v>777174208</v>
      </c>
      <c r="M82" t="str">
        <f t="shared" si="41"/>
        <v>16483934</v>
      </c>
      <c r="N82" t="str">
        <f t="shared" si="42"/>
        <v>583-18A</v>
      </c>
      <c r="O82" t="str">
        <f t="shared" si="29"/>
        <v>TEXAS</v>
      </c>
      <c r="P82" t="str">
        <f t="shared" si="30"/>
        <v>N A</v>
      </c>
      <c r="Q82" t="str">
        <f t="shared" si="31"/>
        <v>N/A</v>
      </c>
      <c r="R82" t="str">
        <f>"130 MGCRP 11 305"</f>
        <v>130 MGCRP 11 305</v>
      </c>
      <c r="S82" t="str">
        <f>"12/17/2019 11:05:11 PM"</f>
        <v>12/17/2019 11:05:11 PM</v>
      </c>
      <c r="T82" t="str">
        <f t="shared" si="43"/>
        <v>5</v>
      </c>
      <c r="U82" t="str">
        <f t="shared" si="32"/>
        <v>N/A</v>
      </c>
      <c r="V82" t="str">
        <f>"5.5500"</f>
        <v>5.5500</v>
      </c>
    </row>
    <row r="83" spans="1:22" x14ac:dyDescent="0.25">
      <c r="A83" s="1" t="str">
        <f t="shared" si="26"/>
        <v>583-1</v>
      </c>
      <c r="B83" s="1" t="str">
        <f t="shared" si="33"/>
        <v>583-1</v>
      </c>
      <c r="C83" s="1" t="str">
        <f>VLOOKUP(B83,'Master truck list'!D:E,2,0)</f>
        <v>583-18A</v>
      </c>
      <c r="D83" s="1" t="str">
        <f>VLOOKUP(C83,'Master truck list'!E:F,2,0)</f>
        <v>ACTIVE</v>
      </c>
      <c r="E83" s="1" t="str">
        <f>VLOOKUP(C83,'Master truck list'!E:M,9,0)</f>
        <v>BNK TRANSPORT INC</v>
      </c>
      <c r="F83" s="1" t="str">
        <f>VLOOKUP(C83,'Master truck list'!E:G,3,0)</f>
        <v>Company</v>
      </c>
      <c r="G83" s="1">
        <f>VLOOKUP(C83,'Master truck list'!E:R,14,0)</f>
        <v>1259</v>
      </c>
      <c r="H83" t="str">
        <f t="shared" si="38"/>
        <v>12/19/2019 7:00:35 AM</v>
      </c>
      <c r="I83" t="str">
        <f>""</f>
        <v/>
      </c>
      <c r="J83" t="str">
        <f t="shared" si="27"/>
        <v>Elite</v>
      </c>
      <c r="K83" t="str">
        <f t="shared" si="39"/>
        <v>Device</v>
      </c>
      <c r="L83" t="str">
        <f t="shared" si="40"/>
        <v>777174208</v>
      </c>
      <c r="M83" t="str">
        <f t="shared" si="41"/>
        <v>16483934</v>
      </c>
      <c r="N83" t="str">
        <f t="shared" si="42"/>
        <v>583-18A</v>
      </c>
      <c r="O83" t="str">
        <f t="shared" si="29"/>
        <v>TEXAS</v>
      </c>
      <c r="P83" t="str">
        <f t="shared" si="30"/>
        <v>N A</v>
      </c>
      <c r="Q83" t="str">
        <f t="shared" si="31"/>
        <v>N/A</v>
      </c>
      <c r="R83" t="str">
        <f>"45SE MLPEB 02 611"</f>
        <v>45SE MLPEB 02 611</v>
      </c>
      <c r="S83" t="str">
        <f>"12/17/2019 10:26:15 PM"</f>
        <v>12/17/2019 10:26:15 PM</v>
      </c>
      <c r="T83" t="str">
        <f t="shared" si="43"/>
        <v>5</v>
      </c>
      <c r="U83" t="str">
        <f t="shared" si="32"/>
        <v>N/A</v>
      </c>
      <c r="V83" t="str">
        <f>"3.3000"</f>
        <v>3.3000</v>
      </c>
    </row>
    <row r="84" spans="1:22" x14ac:dyDescent="0.25">
      <c r="A84" s="1" t="str">
        <f t="shared" si="26"/>
        <v>583-1</v>
      </c>
      <c r="B84" s="1" t="str">
        <f t="shared" si="33"/>
        <v>583-1</v>
      </c>
      <c r="C84" s="1" t="str">
        <f>VLOOKUP(B84,'Master truck list'!D:E,2,0)</f>
        <v>583-18A</v>
      </c>
      <c r="D84" s="1" t="str">
        <f>VLOOKUP(C84,'Master truck list'!E:F,2,0)</f>
        <v>ACTIVE</v>
      </c>
      <c r="E84" s="1" t="str">
        <f>VLOOKUP(C84,'Master truck list'!E:M,9,0)</f>
        <v>BNK TRANSPORT INC</v>
      </c>
      <c r="F84" s="1" t="str">
        <f>VLOOKUP(C84,'Master truck list'!E:G,3,0)</f>
        <v>Company</v>
      </c>
      <c r="G84" s="1">
        <f>VLOOKUP(C84,'Master truck list'!E:R,14,0)</f>
        <v>1259</v>
      </c>
      <c r="H84" t="str">
        <f t="shared" si="38"/>
        <v>12/19/2019 7:00:35 AM</v>
      </c>
      <c r="I84" t="str">
        <f>""</f>
        <v/>
      </c>
      <c r="J84" t="str">
        <f t="shared" si="27"/>
        <v>Elite</v>
      </c>
      <c r="K84" t="str">
        <f t="shared" si="39"/>
        <v>Device</v>
      </c>
      <c r="L84" t="str">
        <f t="shared" si="40"/>
        <v>777174208</v>
      </c>
      <c r="M84" t="str">
        <f t="shared" si="41"/>
        <v>16483934</v>
      </c>
      <c r="N84" t="str">
        <f t="shared" si="42"/>
        <v>583-18A</v>
      </c>
      <c r="O84" t="str">
        <f t="shared" si="29"/>
        <v>TEXAS</v>
      </c>
      <c r="P84" t="str">
        <f t="shared" si="30"/>
        <v>N A</v>
      </c>
      <c r="Q84" t="str">
        <f t="shared" si="31"/>
        <v>N/A</v>
      </c>
      <c r="R84" t="str">
        <f>"130 DKCRP 11 307"</f>
        <v>130 DKCRP 11 307</v>
      </c>
      <c r="S84" t="str">
        <f>"12/17/2019 10:43:47 PM"</f>
        <v>12/17/2019 10:43:47 PM</v>
      </c>
      <c r="T84" t="str">
        <f t="shared" si="43"/>
        <v>5</v>
      </c>
      <c r="U84" t="str">
        <f t="shared" si="32"/>
        <v>N/A</v>
      </c>
      <c r="V84" t="str">
        <f>"5.5500"</f>
        <v>5.5500</v>
      </c>
    </row>
    <row r="85" spans="1:22" x14ac:dyDescent="0.25">
      <c r="A85" s="1" t="str">
        <f t="shared" si="26"/>
        <v>583-1</v>
      </c>
      <c r="B85" s="1" t="str">
        <f t="shared" si="33"/>
        <v>583-1</v>
      </c>
      <c r="C85" s="1" t="str">
        <f>VLOOKUP(B85,'Master truck list'!D:E,2,0)</f>
        <v>583-18A</v>
      </c>
      <c r="D85" s="1" t="str">
        <f>VLOOKUP(C85,'Master truck list'!E:F,2,0)</f>
        <v>ACTIVE</v>
      </c>
      <c r="E85" s="1" t="str">
        <f>VLOOKUP(C85,'Master truck list'!E:M,9,0)</f>
        <v>BNK TRANSPORT INC</v>
      </c>
      <c r="F85" s="1" t="str">
        <f>VLOOKUP(C85,'Master truck list'!E:G,3,0)</f>
        <v>Company</v>
      </c>
      <c r="G85" s="1">
        <f>VLOOKUP(C85,'Master truck list'!E:R,14,0)</f>
        <v>1259</v>
      </c>
      <c r="H85" t="str">
        <f t="shared" si="38"/>
        <v>12/19/2019 7:00:35 AM</v>
      </c>
      <c r="I85" t="str">
        <f>""</f>
        <v/>
      </c>
      <c r="J85" t="str">
        <f t="shared" si="27"/>
        <v>Elite</v>
      </c>
      <c r="K85" t="str">
        <f t="shared" si="39"/>
        <v>Device</v>
      </c>
      <c r="L85" t="str">
        <f t="shared" si="40"/>
        <v>777174208</v>
      </c>
      <c r="M85" t="str">
        <f t="shared" si="41"/>
        <v>16483934</v>
      </c>
      <c r="N85" t="str">
        <f t="shared" si="42"/>
        <v>583-18A</v>
      </c>
      <c r="O85" t="str">
        <f t="shared" si="29"/>
        <v>TEXAS</v>
      </c>
      <c r="P85" t="str">
        <f t="shared" si="30"/>
        <v>N A</v>
      </c>
      <c r="Q85" t="str">
        <f t="shared" si="31"/>
        <v>N/A</v>
      </c>
      <c r="R85" t="str">
        <f>"130 CMRNP 08 306"</f>
        <v>130 CMRNP 08 306</v>
      </c>
      <c r="S85" t="str">
        <f>"12/18/2019 5:53:12 PM"</f>
        <v>12/18/2019 5:53:12 PM</v>
      </c>
      <c r="T85" t="str">
        <f t="shared" si="43"/>
        <v>5</v>
      </c>
      <c r="U85" t="str">
        <f t="shared" si="32"/>
        <v>N/A</v>
      </c>
      <c r="V85" t="str">
        <f>"5.5500"</f>
        <v>5.5500</v>
      </c>
    </row>
    <row r="86" spans="1:22" x14ac:dyDescent="0.25">
      <c r="A86" s="1" t="str">
        <f t="shared" si="26"/>
        <v>583-1</v>
      </c>
      <c r="B86" s="1" t="str">
        <f t="shared" si="33"/>
        <v>583-1</v>
      </c>
      <c r="C86" s="1" t="str">
        <f>VLOOKUP(B86,'Master truck list'!D:E,2,0)</f>
        <v>583-18A</v>
      </c>
      <c r="D86" s="1" t="str">
        <f>VLOOKUP(C86,'Master truck list'!E:F,2,0)</f>
        <v>ACTIVE</v>
      </c>
      <c r="E86" s="1" t="str">
        <f>VLOOKUP(C86,'Master truck list'!E:M,9,0)</f>
        <v>BNK TRANSPORT INC</v>
      </c>
      <c r="F86" s="1" t="str">
        <f>VLOOKUP(C86,'Master truck list'!E:G,3,0)</f>
        <v>Company</v>
      </c>
      <c r="G86" s="1">
        <f>VLOOKUP(C86,'Master truck list'!E:R,14,0)</f>
        <v>1259</v>
      </c>
      <c r="H86" t="str">
        <f t="shared" si="38"/>
        <v>12/19/2019 7:00:35 AM</v>
      </c>
      <c r="I86" t="str">
        <f>""</f>
        <v/>
      </c>
      <c r="J86" t="str">
        <f t="shared" si="27"/>
        <v>Elite</v>
      </c>
      <c r="K86" t="str">
        <f t="shared" si="39"/>
        <v>Device</v>
      </c>
      <c r="L86" t="str">
        <f t="shared" si="40"/>
        <v>777174208</v>
      </c>
      <c r="M86" t="str">
        <f t="shared" si="41"/>
        <v>16483934</v>
      </c>
      <c r="N86" t="str">
        <f t="shared" si="42"/>
        <v>583-18A</v>
      </c>
      <c r="O86" t="str">
        <f t="shared" si="29"/>
        <v>TEXAS</v>
      </c>
      <c r="P86" t="str">
        <f t="shared" si="30"/>
        <v>N A</v>
      </c>
      <c r="Q86" t="str">
        <f t="shared" si="31"/>
        <v>N/A</v>
      </c>
      <c r="R86" t="str">
        <f>"45SE MLPWB 01 611"</f>
        <v>45SE MLPWB 01 611</v>
      </c>
      <c r="S86" t="str">
        <f>"12/18/2019 6:23:44 PM"</f>
        <v>12/18/2019 6:23:44 PM</v>
      </c>
      <c r="T86" t="str">
        <f t="shared" si="43"/>
        <v>5</v>
      </c>
      <c r="U86" t="str">
        <f t="shared" si="32"/>
        <v>N/A</v>
      </c>
      <c r="V86" t="str">
        <f>"3.3000"</f>
        <v>3.3000</v>
      </c>
    </row>
    <row r="87" spans="1:22" x14ac:dyDescent="0.25">
      <c r="A87" s="1" t="str">
        <f t="shared" si="26"/>
        <v>583-1</v>
      </c>
      <c r="B87" s="1" t="str">
        <f t="shared" si="33"/>
        <v>583-1</v>
      </c>
      <c r="C87" s="1" t="str">
        <f>VLOOKUP(B87,'Master truck list'!D:E,2,0)</f>
        <v>583-18A</v>
      </c>
      <c r="D87" s="1" t="str">
        <f>VLOOKUP(C87,'Master truck list'!E:F,2,0)</f>
        <v>ACTIVE</v>
      </c>
      <c r="E87" s="1" t="str">
        <f>VLOOKUP(C87,'Master truck list'!E:M,9,0)</f>
        <v>BNK TRANSPORT INC</v>
      </c>
      <c r="F87" s="1" t="str">
        <f>VLOOKUP(C87,'Master truck list'!E:G,3,0)</f>
        <v>Company</v>
      </c>
      <c r="G87" s="1">
        <f>VLOOKUP(C87,'Master truck list'!E:R,14,0)</f>
        <v>1259</v>
      </c>
      <c r="H87" t="str">
        <f t="shared" si="38"/>
        <v>12/19/2019 7:00:35 AM</v>
      </c>
      <c r="I87" t="str">
        <f>""</f>
        <v/>
      </c>
      <c r="J87" t="str">
        <f t="shared" si="27"/>
        <v>Elite</v>
      </c>
      <c r="K87" t="str">
        <f t="shared" si="39"/>
        <v>Device</v>
      </c>
      <c r="L87" t="str">
        <f t="shared" si="40"/>
        <v>777174208</v>
      </c>
      <c r="M87" t="str">
        <f t="shared" si="41"/>
        <v>16483934</v>
      </c>
      <c r="N87" t="str">
        <f t="shared" si="42"/>
        <v>583-18A</v>
      </c>
      <c r="O87" t="str">
        <f t="shared" si="29"/>
        <v>TEXAS</v>
      </c>
      <c r="P87" t="str">
        <f t="shared" si="30"/>
        <v>N A</v>
      </c>
      <c r="Q87" t="str">
        <f t="shared" si="31"/>
        <v>N/A</v>
      </c>
      <c r="R87" t="str">
        <f>"130 DKCRP 06 307"</f>
        <v>130 DKCRP 06 307</v>
      </c>
      <c r="S87" t="str">
        <f>"12/18/2019 6:03:35 PM"</f>
        <v>12/18/2019 6:03:35 PM</v>
      </c>
      <c r="T87" t="str">
        <f t="shared" si="43"/>
        <v>5</v>
      </c>
      <c r="U87" t="str">
        <f t="shared" si="32"/>
        <v>N/A</v>
      </c>
      <c r="V87" t="str">
        <f t="shared" ref="V87:V92" si="44">"5.5500"</f>
        <v>5.5500</v>
      </c>
    </row>
    <row r="88" spans="1:22" x14ac:dyDescent="0.25">
      <c r="A88" s="1" t="str">
        <f t="shared" si="26"/>
        <v>583-1</v>
      </c>
      <c r="B88" s="1" t="str">
        <f t="shared" si="33"/>
        <v>583-1</v>
      </c>
      <c r="C88" s="1" t="str">
        <f>VLOOKUP(B88,'Master truck list'!D:E,2,0)</f>
        <v>583-18A</v>
      </c>
      <c r="D88" s="1" t="str">
        <f>VLOOKUP(C88,'Master truck list'!E:F,2,0)</f>
        <v>ACTIVE</v>
      </c>
      <c r="E88" s="1" t="str">
        <f>VLOOKUP(C88,'Master truck list'!E:M,9,0)</f>
        <v>BNK TRANSPORT INC</v>
      </c>
      <c r="F88" s="1" t="str">
        <f>VLOOKUP(C88,'Master truck list'!E:G,3,0)</f>
        <v>Company</v>
      </c>
      <c r="G88" s="1">
        <f>VLOOKUP(C88,'Master truck list'!E:R,14,0)</f>
        <v>1259</v>
      </c>
      <c r="H88" t="str">
        <f t="shared" si="38"/>
        <v>12/19/2019 7:00:35 AM</v>
      </c>
      <c r="I88" t="str">
        <f>""</f>
        <v/>
      </c>
      <c r="J88" t="str">
        <f t="shared" si="27"/>
        <v>Elite</v>
      </c>
      <c r="K88" t="str">
        <f t="shared" si="39"/>
        <v>Device</v>
      </c>
      <c r="L88" t="str">
        <f t="shared" si="40"/>
        <v>777174208</v>
      </c>
      <c r="M88" t="str">
        <f t="shared" si="41"/>
        <v>16483934</v>
      </c>
      <c r="N88" t="str">
        <f t="shared" si="42"/>
        <v>583-18A</v>
      </c>
      <c r="O88" t="str">
        <f t="shared" si="29"/>
        <v>TEXAS</v>
      </c>
      <c r="P88" t="str">
        <f t="shared" si="30"/>
        <v>N A</v>
      </c>
      <c r="Q88" t="str">
        <f t="shared" si="31"/>
        <v>N/A</v>
      </c>
      <c r="R88" t="str">
        <f>"130 MGCRP 06 305"</f>
        <v>130 MGCRP 06 305</v>
      </c>
      <c r="S88" t="str">
        <f>"12/18/2019 5:42:13 PM"</f>
        <v>12/18/2019 5:42:13 PM</v>
      </c>
      <c r="T88" t="str">
        <f t="shared" si="43"/>
        <v>5</v>
      </c>
      <c r="U88" t="str">
        <f t="shared" si="32"/>
        <v>N/A</v>
      </c>
      <c r="V88" t="str">
        <f t="shared" si="44"/>
        <v>5.5500</v>
      </c>
    </row>
    <row r="89" spans="1:22" x14ac:dyDescent="0.25">
      <c r="A89" s="1" t="str">
        <f t="shared" si="26"/>
        <v>583-1</v>
      </c>
      <c r="B89" s="1" t="str">
        <f t="shared" si="33"/>
        <v>583-1</v>
      </c>
      <c r="C89" s="1" t="str">
        <f>VLOOKUP(B89,'Master truck list'!D:E,2,0)</f>
        <v>583-18A</v>
      </c>
      <c r="D89" s="1" t="str">
        <f>VLOOKUP(C89,'Master truck list'!E:F,2,0)</f>
        <v>ACTIVE</v>
      </c>
      <c r="E89" s="1" t="str">
        <f>VLOOKUP(C89,'Master truck list'!E:M,9,0)</f>
        <v>BNK TRANSPORT INC</v>
      </c>
      <c r="F89" s="1" t="str">
        <f>VLOOKUP(C89,'Master truck list'!E:G,3,0)</f>
        <v>Company</v>
      </c>
      <c r="G89" s="1">
        <f>VLOOKUP(C89,'Master truck list'!E:R,14,0)</f>
        <v>1259</v>
      </c>
      <c r="H89" t="str">
        <f t="shared" ref="H89:H98" si="45">"12/21/2019 7:00:28 AM"</f>
        <v>12/21/2019 7:00:28 AM</v>
      </c>
      <c r="I89" t="str">
        <f>""</f>
        <v/>
      </c>
      <c r="J89" t="str">
        <f t="shared" si="27"/>
        <v>Elite</v>
      </c>
      <c r="K89" t="str">
        <f t="shared" si="39"/>
        <v>Device</v>
      </c>
      <c r="L89" t="str">
        <f t="shared" si="40"/>
        <v>777174208</v>
      </c>
      <c r="M89" t="str">
        <f t="shared" si="41"/>
        <v>16483934</v>
      </c>
      <c r="N89" t="str">
        <f t="shared" si="42"/>
        <v>583-18A</v>
      </c>
      <c r="O89" t="str">
        <f t="shared" si="29"/>
        <v>TEXAS</v>
      </c>
      <c r="P89" t="str">
        <f t="shared" si="30"/>
        <v>N A</v>
      </c>
      <c r="Q89" t="str">
        <f t="shared" si="31"/>
        <v>N/A</v>
      </c>
      <c r="R89" t="str">
        <f>"130 MGCRP 10 305"</f>
        <v>130 MGCRP 10 305</v>
      </c>
      <c r="S89" t="str">
        <f>"12/20/2019 3:19:40 AM"</f>
        <v>12/20/2019 3:19:40 AM</v>
      </c>
      <c r="T89" t="str">
        <f t="shared" si="43"/>
        <v>5</v>
      </c>
      <c r="U89" t="str">
        <f t="shared" si="32"/>
        <v>N/A</v>
      </c>
      <c r="V89" t="str">
        <f t="shared" si="44"/>
        <v>5.5500</v>
      </c>
    </row>
    <row r="90" spans="1:22" x14ac:dyDescent="0.25">
      <c r="A90" s="1" t="str">
        <f t="shared" si="26"/>
        <v>583-1</v>
      </c>
      <c r="B90" s="1" t="str">
        <f t="shared" si="33"/>
        <v>583-1</v>
      </c>
      <c r="C90" s="1" t="str">
        <f>VLOOKUP(B90,'Master truck list'!D:E,2,0)</f>
        <v>583-18A</v>
      </c>
      <c r="D90" s="1" t="str">
        <f>VLOOKUP(C90,'Master truck list'!E:F,2,0)</f>
        <v>ACTIVE</v>
      </c>
      <c r="E90" s="1" t="str">
        <f>VLOOKUP(C90,'Master truck list'!E:M,9,0)</f>
        <v>BNK TRANSPORT INC</v>
      </c>
      <c r="F90" s="1" t="str">
        <f>VLOOKUP(C90,'Master truck list'!E:G,3,0)</f>
        <v>Company</v>
      </c>
      <c r="G90" s="1">
        <f>VLOOKUP(C90,'Master truck list'!E:R,14,0)</f>
        <v>1259</v>
      </c>
      <c r="H90" t="str">
        <f t="shared" si="45"/>
        <v>12/21/2019 7:00:28 AM</v>
      </c>
      <c r="I90" t="str">
        <f>""</f>
        <v/>
      </c>
      <c r="J90" t="str">
        <f t="shared" si="27"/>
        <v>Elite</v>
      </c>
      <c r="K90" t="str">
        <f t="shared" si="39"/>
        <v>Device</v>
      </c>
      <c r="L90" t="str">
        <f t="shared" si="40"/>
        <v>777174208</v>
      </c>
      <c r="M90" t="str">
        <f t="shared" si="41"/>
        <v>16483934</v>
      </c>
      <c r="N90" t="str">
        <f t="shared" si="42"/>
        <v>583-18A</v>
      </c>
      <c r="O90" t="str">
        <f t="shared" si="29"/>
        <v>TEXAS</v>
      </c>
      <c r="P90" t="str">
        <f t="shared" si="30"/>
        <v>N A</v>
      </c>
      <c r="Q90" t="str">
        <f t="shared" si="31"/>
        <v>N/A</v>
      </c>
      <c r="R90" t="str">
        <f>"130 ARPTP 09 308"</f>
        <v>130 ARPTP 09 308</v>
      </c>
      <c r="S90" t="str">
        <f>"12/20/2019 2:51:35 AM"</f>
        <v>12/20/2019 2:51:35 AM</v>
      </c>
      <c r="T90" t="str">
        <f t="shared" si="43"/>
        <v>5</v>
      </c>
      <c r="U90" t="str">
        <f t="shared" si="32"/>
        <v>N/A</v>
      </c>
      <c r="V90" t="str">
        <f t="shared" si="44"/>
        <v>5.5500</v>
      </c>
    </row>
    <row r="91" spans="1:22" x14ac:dyDescent="0.25">
      <c r="A91" s="1" t="str">
        <f t="shared" si="26"/>
        <v>583-1</v>
      </c>
      <c r="B91" s="1" t="str">
        <f t="shared" si="33"/>
        <v>583-1</v>
      </c>
      <c r="C91" s="1" t="str">
        <f>VLOOKUP(B91,'Master truck list'!D:E,2,0)</f>
        <v>583-18A</v>
      </c>
      <c r="D91" s="1" t="str">
        <f>VLOOKUP(C91,'Master truck list'!E:F,2,0)</f>
        <v>ACTIVE</v>
      </c>
      <c r="E91" s="1" t="str">
        <f>VLOOKUP(C91,'Master truck list'!E:M,9,0)</f>
        <v>BNK TRANSPORT INC</v>
      </c>
      <c r="F91" s="1" t="str">
        <f>VLOOKUP(C91,'Master truck list'!E:G,3,0)</f>
        <v>Company</v>
      </c>
      <c r="G91" s="1">
        <f>VLOOKUP(C91,'Master truck list'!E:R,14,0)</f>
        <v>1259</v>
      </c>
      <c r="H91" t="str">
        <f t="shared" si="45"/>
        <v>12/21/2019 7:00:28 AM</v>
      </c>
      <c r="I91" t="str">
        <f>""</f>
        <v/>
      </c>
      <c r="J91" t="str">
        <f t="shared" si="27"/>
        <v>Elite</v>
      </c>
      <c r="K91" t="str">
        <f t="shared" si="39"/>
        <v>Device</v>
      </c>
      <c r="L91" t="str">
        <f t="shared" si="40"/>
        <v>777174208</v>
      </c>
      <c r="M91" t="str">
        <f t="shared" si="41"/>
        <v>16483934</v>
      </c>
      <c r="N91" t="str">
        <f t="shared" si="42"/>
        <v>583-18A</v>
      </c>
      <c r="O91" t="str">
        <f t="shared" si="29"/>
        <v>TEXAS</v>
      </c>
      <c r="P91" t="str">
        <f t="shared" si="30"/>
        <v>N A</v>
      </c>
      <c r="Q91" t="str">
        <f t="shared" si="31"/>
        <v>N/A</v>
      </c>
      <c r="R91" t="str">
        <f>"130 CMRNP 13 306"</f>
        <v>130 CMRNP 13 306</v>
      </c>
      <c r="S91" t="str">
        <f>"12/20/2019 3:08:42 AM"</f>
        <v>12/20/2019 3:08:42 AM</v>
      </c>
      <c r="T91" t="str">
        <f t="shared" si="43"/>
        <v>5</v>
      </c>
      <c r="U91" t="str">
        <f t="shared" si="32"/>
        <v>N/A</v>
      </c>
      <c r="V91" t="str">
        <f t="shared" si="44"/>
        <v>5.5500</v>
      </c>
    </row>
    <row r="92" spans="1:22" x14ac:dyDescent="0.25">
      <c r="A92" s="1" t="str">
        <f t="shared" si="26"/>
        <v>583-1</v>
      </c>
      <c r="B92" s="1" t="str">
        <f t="shared" si="33"/>
        <v>583-1</v>
      </c>
      <c r="C92" s="1" t="str">
        <f>VLOOKUP(B92,'Master truck list'!D:E,2,0)</f>
        <v>583-18A</v>
      </c>
      <c r="D92" s="1" t="str">
        <f>VLOOKUP(C92,'Master truck list'!E:F,2,0)</f>
        <v>ACTIVE</v>
      </c>
      <c r="E92" s="1" t="str">
        <f>VLOOKUP(C92,'Master truck list'!E:M,9,0)</f>
        <v>BNK TRANSPORT INC</v>
      </c>
      <c r="F92" s="1" t="str">
        <f>VLOOKUP(C92,'Master truck list'!E:G,3,0)</f>
        <v>Company</v>
      </c>
      <c r="G92" s="1">
        <f>VLOOKUP(C92,'Master truck list'!E:R,14,0)</f>
        <v>1259</v>
      </c>
      <c r="H92" t="str">
        <f t="shared" si="45"/>
        <v>12/21/2019 7:00:28 AM</v>
      </c>
      <c r="I92" t="str">
        <f>""</f>
        <v/>
      </c>
      <c r="J92" t="str">
        <f t="shared" si="27"/>
        <v>Elite</v>
      </c>
      <c r="K92" t="str">
        <f t="shared" si="39"/>
        <v>Device</v>
      </c>
      <c r="L92" t="str">
        <f t="shared" si="40"/>
        <v>777174208</v>
      </c>
      <c r="M92" t="str">
        <f t="shared" si="41"/>
        <v>16483934</v>
      </c>
      <c r="N92" t="str">
        <f t="shared" si="42"/>
        <v>583-18A</v>
      </c>
      <c r="O92" t="str">
        <f t="shared" si="29"/>
        <v>TEXAS</v>
      </c>
      <c r="P92" t="str">
        <f t="shared" si="30"/>
        <v>N A</v>
      </c>
      <c r="Q92" t="str">
        <f t="shared" si="31"/>
        <v>N/A</v>
      </c>
      <c r="R92" t="str">
        <f>"130 DKCRP 11 307"</f>
        <v>130 DKCRP 11 307</v>
      </c>
      <c r="S92" t="str">
        <f>"12/20/2019 2:58:31 AM"</f>
        <v>12/20/2019 2:58:31 AM</v>
      </c>
      <c r="T92" t="str">
        <f t="shared" si="43"/>
        <v>5</v>
      </c>
      <c r="U92" t="str">
        <f t="shared" si="32"/>
        <v>N/A</v>
      </c>
      <c r="V92" t="str">
        <f t="shared" si="44"/>
        <v>5.5500</v>
      </c>
    </row>
    <row r="93" spans="1:22" x14ac:dyDescent="0.25">
      <c r="A93" s="1" t="str">
        <f t="shared" si="26"/>
        <v>583-1</v>
      </c>
      <c r="B93" s="1" t="str">
        <f t="shared" si="33"/>
        <v>583-1</v>
      </c>
      <c r="C93" s="1" t="str">
        <f>VLOOKUP(B93,'Master truck list'!D:E,2,0)</f>
        <v>583-18A</v>
      </c>
      <c r="D93" s="1" t="str">
        <f>VLOOKUP(C93,'Master truck list'!E:F,2,0)</f>
        <v>ACTIVE</v>
      </c>
      <c r="E93" s="1" t="str">
        <f>VLOOKUP(C93,'Master truck list'!E:M,9,0)</f>
        <v>BNK TRANSPORT INC</v>
      </c>
      <c r="F93" s="1" t="str">
        <f>VLOOKUP(C93,'Master truck list'!E:G,3,0)</f>
        <v>Company</v>
      </c>
      <c r="G93" s="1">
        <f>VLOOKUP(C93,'Master truck list'!E:R,14,0)</f>
        <v>1259</v>
      </c>
      <c r="H93" t="str">
        <f t="shared" si="45"/>
        <v>12/21/2019 7:00:28 AM</v>
      </c>
      <c r="I93" t="str">
        <f>""</f>
        <v/>
      </c>
      <c r="J93" t="str">
        <f t="shared" si="27"/>
        <v>Elite</v>
      </c>
      <c r="K93" t="str">
        <f t="shared" si="39"/>
        <v>Device</v>
      </c>
      <c r="L93" t="str">
        <f t="shared" si="40"/>
        <v>777174208</v>
      </c>
      <c r="M93" t="str">
        <f t="shared" si="41"/>
        <v>16483934</v>
      </c>
      <c r="N93" t="str">
        <f t="shared" si="42"/>
        <v>583-18A</v>
      </c>
      <c r="O93" t="str">
        <f t="shared" si="29"/>
        <v>TEXAS</v>
      </c>
      <c r="P93" t="str">
        <f t="shared" si="30"/>
        <v>N A</v>
      </c>
      <c r="Q93" t="str">
        <f t="shared" si="31"/>
        <v>N/A</v>
      </c>
      <c r="R93" t="str">
        <f>"45SE MLPEB 02 611"</f>
        <v>45SE MLPEB 02 611</v>
      </c>
      <c r="S93" t="str">
        <f>"12/20/2019 2:41:01 AM"</f>
        <v>12/20/2019 2:41:01 AM</v>
      </c>
      <c r="T93" t="str">
        <f t="shared" si="43"/>
        <v>5</v>
      </c>
      <c r="U93" t="str">
        <f t="shared" si="32"/>
        <v>N/A</v>
      </c>
      <c r="V93" t="str">
        <f>"3.3000"</f>
        <v>3.3000</v>
      </c>
    </row>
    <row r="94" spans="1:22" x14ac:dyDescent="0.25">
      <c r="A94" s="1" t="str">
        <f t="shared" si="26"/>
        <v>556-1</v>
      </c>
      <c r="B94" s="1" t="str">
        <f t="shared" si="33"/>
        <v>556-1</v>
      </c>
      <c r="C94" s="1" t="str">
        <f>VLOOKUP(B94,'Master truck list'!D:E,2,0)</f>
        <v>556-18A</v>
      </c>
      <c r="D94" s="1" t="str">
        <f>VLOOKUP(C94,'Master truck list'!E:F,2,0)</f>
        <v>ACTIVE</v>
      </c>
      <c r="E94" s="1" t="str">
        <f>VLOOKUP(C94,'Master truck list'!E:M,9,0)</f>
        <v>BNK TRANSPORT INC</v>
      </c>
      <c r="F94" s="1" t="str">
        <f>VLOOKUP(C94,'Master truck list'!E:G,3,0)</f>
        <v>Company</v>
      </c>
      <c r="G94" s="1">
        <f>VLOOKUP(C94,'Master truck list'!E:R,14,0)</f>
        <v>1188</v>
      </c>
      <c r="H94" t="str">
        <f t="shared" si="45"/>
        <v>12/21/2019 7:00:28 AM</v>
      </c>
      <c r="I94" t="str">
        <f>""</f>
        <v/>
      </c>
      <c r="J94" t="str">
        <f t="shared" si="27"/>
        <v>Elite</v>
      </c>
      <c r="K94" t="str">
        <f t="shared" si="39"/>
        <v>Device</v>
      </c>
      <c r="L94" t="str">
        <f t="shared" ref="L94:L114" si="46">"777184813"</f>
        <v>777184813</v>
      </c>
      <c r="M94" t="str">
        <f t="shared" ref="M94:M114" si="47">"16499839"</f>
        <v>16499839</v>
      </c>
      <c r="N94" t="str">
        <f t="shared" ref="N94:N114" si="48">"556-18A"</f>
        <v>556-18A</v>
      </c>
      <c r="O94" t="str">
        <f t="shared" si="29"/>
        <v>TEXAS</v>
      </c>
      <c r="P94" t="str">
        <f t="shared" si="30"/>
        <v>N A</v>
      </c>
      <c r="Q94" t="str">
        <f t="shared" si="31"/>
        <v>N/A</v>
      </c>
      <c r="R94" t="str">
        <f>"130 MGCRP 06 305"</f>
        <v>130 MGCRP 06 305</v>
      </c>
      <c r="S94" t="str">
        <f>"12/20/2019 11:41:47 AM"</f>
        <v>12/20/2019 11:41:47 AM</v>
      </c>
      <c r="T94" t="str">
        <f t="shared" si="43"/>
        <v>5</v>
      </c>
      <c r="U94" t="str">
        <f t="shared" si="32"/>
        <v>N/A</v>
      </c>
      <c r="V94" t="str">
        <f>"5.5500"</f>
        <v>5.5500</v>
      </c>
    </row>
    <row r="95" spans="1:22" x14ac:dyDescent="0.25">
      <c r="A95" s="1" t="str">
        <f t="shared" si="26"/>
        <v>556-1</v>
      </c>
      <c r="B95" s="1" t="str">
        <f t="shared" si="33"/>
        <v>556-1</v>
      </c>
      <c r="C95" s="1" t="str">
        <f>VLOOKUP(B95,'Master truck list'!D:E,2,0)</f>
        <v>556-18A</v>
      </c>
      <c r="D95" s="1" t="str">
        <f>VLOOKUP(C95,'Master truck list'!E:F,2,0)</f>
        <v>ACTIVE</v>
      </c>
      <c r="E95" s="1" t="str">
        <f>VLOOKUP(C95,'Master truck list'!E:M,9,0)</f>
        <v>BNK TRANSPORT INC</v>
      </c>
      <c r="F95" s="1" t="str">
        <f>VLOOKUP(C95,'Master truck list'!E:G,3,0)</f>
        <v>Company</v>
      </c>
      <c r="G95" s="1">
        <f>VLOOKUP(C95,'Master truck list'!E:R,14,0)</f>
        <v>1188</v>
      </c>
      <c r="H95" t="str">
        <f t="shared" si="45"/>
        <v>12/21/2019 7:00:28 AM</v>
      </c>
      <c r="I95" t="str">
        <f>""</f>
        <v/>
      </c>
      <c r="J95" t="str">
        <f t="shared" si="27"/>
        <v>Elite</v>
      </c>
      <c r="K95" t="str">
        <f t="shared" si="39"/>
        <v>Device</v>
      </c>
      <c r="L95" t="str">
        <f t="shared" si="46"/>
        <v>777184813</v>
      </c>
      <c r="M95" t="str">
        <f t="shared" si="47"/>
        <v>16499839</v>
      </c>
      <c r="N95" t="str">
        <f t="shared" si="48"/>
        <v>556-18A</v>
      </c>
      <c r="O95" t="str">
        <f t="shared" si="29"/>
        <v>TEXAS</v>
      </c>
      <c r="P95" t="str">
        <f t="shared" si="30"/>
        <v>N A</v>
      </c>
      <c r="Q95" t="str">
        <f t="shared" si="31"/>
        <v>N/A</v>
      </c>
      <c r="R95" t="str">
        <f>"45SE MLPWB 01 611"</f>
        <v>45SE MLPWB 01 611</v>
      </c>
      <c r="S95" t="str">
        <f>"12/20/2019 12:20:10 PM"</f>
        <v>12/20/2019 12:20:10 PM</v>
      </c>
      <c r="T95" t="str">
        <f t="shared" si="43"/>
        <v>5</v>
      </c>
      <c r="U95" t="str">
        <f t="shared" si="32"/>
        <v>N/A</v>
      </c>
      <c r="V95" t="str">
        <f>"3.3000"</f>
        <v>3.3000</v>
      </c>
    </row>
    <row r="96" spans="1:22" x14ac:dyDescent="0.25">
      <c r="A96" s="1" t="str">
        <f t="shared" si="26"/>
        <v>556-1</v>
      </c>
      <c r="B96" s="1" t="str">
        <f t="shared" si="33"/>
        <v>556-1</v>
      </c>
      <c r="C96" s="1" t="str">
        <f>VLOOKUP(B96,'Master truck list'!D:E,2,0)</f>
        <v>556-18A</v>
      </c>
      <c r="D96" s="1" t="str">
        <f>VLOOKUP(C96,'Master truck list'!E:F,2,0)</f>
        <v>ACTIVE</v>
      </c>
      <c r="E96" s="1" t="str">
        <f>VLOOKUP(C96,'Master truck list'!E:M,9,0)</f>
        <v>BNK TRANSPORT INC</v>
      </c>
      <c r="F96" s="1" t="str">
        <f>VLOOKUP(C96,'Master truck list'!E:G,3,0)</f>
        <v>Company</v>
      </c>
      <c r="G96" s="1">
        <f>VLOOKUP(C96,'Master truck list'!E:R,14,0)</f>
        <v>1188</v>
      </c>
      <c r="H96" t="str">
        <f t="shared" si="45"/>
        <v>12/21/2019 7:00:28 AM</v>
      </c>
      <c r="I96" t="str">
        <f>""</f>
        <v/>
      </c>
      <c r="J96" t="str">
        <f t="shared" si="27"/>
        <v>Elite</v>
      </c>
      <c r="K96" t="str">
        <f t="shared" si="39"/>
        <v>Device</v>
      </c>
      <c r="L96" t="str">
        <f t="shared" si="46"/>
        <v>777184813</v>
      </c>
      <c r="M96" t="str">
        <f t="shared" si="47"/>
        <v>16499839</v>
      </c>
      <c r="N96" t="str">
        <f t="shared" si="48"/>
        <v>556-18A</v>
      </c>
      <c r="O96" t="str">
        <f t="shared" si="29"/>
        <v>TEXAS</v>
      </c>
      <c r="P96" t="str">
        <f t="shared" si="30"/>
        <v>N A</v>
      </c>
      <c r="Q96" t="str">
        <f t="shared" si="31"/>
        <v>N/A</v>
      </c>
      <c r="R96" t="str">
        <f>"130 CMRNP 08 306"</f>
        <v>130 CMRNP 08 306</v>
      </c>
      <c r="S96" t="str">
        <f>"12/20/2019 11:52:45 AM"</f>
        <v>12/20/2019 11:52:45 AM</v>
      </c>
      <c r="T96" t="str">
        <f t="shared" si="43"/>
        <v>5</v>
      </c>
      <c r="U96" t="str">
        <f t="shared" si="32"/>
        <v>N/A</v>
      </c>
      <c r="V96" t="str">
        <f>"5.5500"</f>
        <v>5.5500</v>
      </c>
    </row>
    <row r="97" spans="1:22" x14ac:dyDescent="0.25">
      <c r="A97" s="1" t="str">
        <f t="shared" si="26"/>
        <v>556-1</v>
      </c>
      <c r="B97" s="1" t="str">
        <f t="shared" si="33"/>
        <v>556-1</v>
      </c>
      <c r="C97" s="1" t="str">
        <f>VLOOKUP(B97,'Master truck list'!D:E,2,0)</f>
        <v>556-18A</v>
      </c>
      <c r="D97" s="1" t="str">
        <f>VLOOKUP(C97,'Master truck list'!E:F,2,0)</f>
        <v>ACTIVE</v>
      </c>
      <c r="E97" s="1" t="str">
        <f>VLOOKUP(C97,'Master truck list'!E:M,9,0)</f>
        <v>BNK TRANSPORT INC</v>
      </c>
      <c r="F97" s="1" t="str">
        <f>VLOOKUP(C97,'Master truck list'!E:G,3,0)</f>
        <v>Company</v>
      </c>
      <c r="G97" s="1">
        <f>VLOOKUP(C97,'Master truck list'!E:R,14,0)</f>
        <v>1188</v>
      </c>
      <c r="H97" t="str">
        <f t="shared" si="45"/>
        <v>12/21/2019 7:00:28 AM</v>
      </c>
      <c r="I97" t="str">
        <f>""</f>
        <v/>
      </c>
      <c r="J97" t="str">
        <f t="shared" si="27"/>
        <v>Elite</v>
      </c>
      <c r="K97" t="str">
        <f t="shared" si="39"/>
        <v>Device</v>
      </c>
      <c r="L97" t="str">
        <f t="shared" si="46"/>
        <v>777184813</v>
      </c>
      <c r="M97" t="str">
        <f t="shared" si="47"/>
        <v>16499839</v>
      </c>
      <c r="N97" t="str">
        <f t="shared" si="48"/>
        <v>556-18A</v>
      </c>
      <c r="O97" t="str">
        <f t="shared" si="29"/>
        <v>TEXAS</v>
      </c>
      <c r="P97" t="str">
        <f t="shared" si="30"/>
        <v>N A</v>
      </c>
      <c r="Q97" t="str">
        <f t="shared" si="31"/>
        <v>N/A</v>
      </c>
      <c r="R97" t="str">
        <f>"130 DKCRP 06 307"</f>
        <v>130 DKCRP 06 307</v>
      </c>
      <c r="S97" t="str">
        <f>"12/20/2019 12:02:42 PM"</f>
        <v>12/20/2019 12:02:42 PM</v>
      </c>
      <c r="T97" t="str">
        <f t="shared" si="43"/>
        <v>5</v>
      </c>
      <c r="U97" t="str">
        <f t="shared" si="32"/>
        <v>N/A</v>
      </c>
      <c r="V97" t="str">
        <f>"5.5500"</f>
        <v>5.5500</v>
      </c>
    </row>
    <row r="98" spans="1:22" x14ac:dyDescent="0.25">
      <c r="A98" s="1" t="str">
        <f t="shared" si="26"/>
        <v>556-1</v>
      </c>
      <c r="B98" s="1" t="str">
        <f t="shared" si="33"/>
        <v>556-1</v>
      </c>
      <c r="C98" s="1" t="str">
        <f>VLOOKUP(B98,'Master truck list'!D:E,2,0)</f>
        <v>556-18A</v>
      </c>
      <c r="D98" s="1" t="str">
        <f>VLOOKUP(C98,'Master truck list'!E:F,2,0)</f>
        <v>ACTIVE</v>
      </c>
      <c r="E98" s="1" t="str">
        <f>VLOOKUP(C98,'Master truck list'!E:M,9,0)</f>
        <v>BNK TRANSPORT INC</v>
      </c>
      <c r="F98" s="1" t="str">
        <f>VLOOKUP(C98,'Master truck list'!E:G,3,0)</f>
        <v>Company</v>
      </c>
      <c r="G98" s="1">
        <f>VLOOKUP(C98,'Master truck list'!E:R,14,0)</f>
        <v>1188</v>
      </c>
      <c r="H98" t="str">
        <f t="shared" si="45"/>
        <v>12/21/2019 7:00:28 AM</v>
      </c>
      <c r="I98" t="str">
        <f>""</f>
        <v/>
      </c>
      <c r="J98" t="str">
        <f t="shared" si="27"/>
        <v>Elite</v>
      </c>
      <c r="K98" t="str">
        <f t="shared" si="39"/>
        <v>Device</v>
      </c>
      <c r="L98" t="str">
        <f t="shared" si="46"/>
        <v>777184813</v>
      </c>
      <c r="M98" t="str">
        <f t="shared" si="47"/>
        <v>16499839</v>
      </c>
      <c r="N98" t="str">
        <f t="shared" si="48"/>
        <v>556-18A</v>
      </c>
      <c r="O98" t="str">
        <f t="shared" si="29"/>
        <v>TEXAS</v>
      </c>
      <c r="P98" t="str">
        <f t="shared" si="30"/>
        <v>N A</v>
      </c>
      <c r="Q98" t="str">
        <f t="shared" si="31"/>
        <v>N/A</v>
      </c>
      <c r="R98" t="str">
        <f>"130 ARPTP 04 308"</f>
        <v>130 ARPTP 04 308</v>
      </c>
      <c r="S98" t="str">
        <f>"12/20/2019 12:09:38 PM"</f>
        <v>12/20/2019 12:09:38 PM</v>
      </c>
      <c r="T98" t="str">
        <f t="shared" si="43"/>
        <v>5</v>
      </c>
      <c r="U98" t="str">
        <f t="shared" si="32"/>
        <v>N/A</v>
      </c>
      <c r="V98" t="str">
        <f>"5.5500"</f>
        <v>5.5500</v>
      </c>
    </row>
    <row r="99" spans="1:22" x14ac:dyDescent="0.25">
      <c r="A99" s="1" t="str">
        <f t="shared" si="26"/>
        <v>556-1</v>
      </c>
      <c r="B99" s="1" t="str">
        <f t="shared" si="33"/>
        <v>556-1</v>
      </c>
      <c r="C99" s="1" t="str">
        <f>VLOOKUP(B99,'Master truck list'!D:E,2,0)</f>
        <v>556-18A</v>
      </c>
      <c r="D99" s="1" t="str">
        <f>VLOOKUP(C99,'Master truck list'!E:F,2,0)</f>
        <v>ACTIVE</v>
      </c>
      <c r="E99" s="1" t="str">
        <f>VLOOKUP(C99,'Master truck list'!E:M,9,0)</f>
        <v>BNK TRANSPORT INC</v>
      </c>
      <c r="F99" s="1" t="str">
        <f>VLOOKUP(C99,'Master truck list'!E:G,3,0)</f>
        <v>Company</v>
      </c>
      <c r="G99" s="1">
        <f>VLOOKUP(C99,'Master truck list'!E:R,14,0)</f>
        <v>1188</v>
      </c>
      <c r="H99" t="str">
        <f>"12/20/2019 7:00:30 AM"</f>
        <v>12/20/2019 7:00:30 AM</v>
      </c>
      <c r="I99" t="str">
        <f>""</f>
        <v/>
      </c>
      <c r="J99" t="str">
        <f t="shared" si="27"/>
        <v>Elite</v>
      </c>
      <c r="K99" t="str">
        <f t="shared" si="39"/>
        <v>Device</v>
      </c>
      <c r="L99" t="str">
        <f t="shared" si="46"/>
        <v>777184813</v>
      </c>
      <c r="M99" t="str">
        <f t="shared" si="47"/>
        <v>16499839</v>
      </c>
      <c r="N99" t="str">
        <f t="shared" si="48"/>
        <v>556-18A</v>
      </c>
      <c r="O99" t="str">
        <f t="shared" si="29"/>
        <v>TEXAS</v>
      </c>
      <c r="P99" t="str">
        <f t="shared" si="30"/>
        <v>N A</v>
      </c>
      <c r="Q99" t="str">
        <f t="shared" si="31"/>
        <v>N/A</v>
      </c>
      <c r="R99" t="str">
        <f>"130 DKCRP 11 307"</f>
        <v>130 DKCRP 11 307</v>
      </c>
      <c r="S99" t="str">
        <f>"12/19/2019 6:38:20 PM"</f>
        <v>12/19/2019 6:38:20 PM</v>
      </c>
      <c r="T99" t="str">
        <f t="shared" si="43"/>
        <v>5</v>
      </c>
      <c r="U99" t="str">
        <f t="shared" si="32"/>
        <v>N/A</v>
      </c>
      <c r="V99" t="str">
        <f>"5.5500"</f>
        <v>5.5500</v>
      </c>
    </row>
    <row r="100" spans="1:22" x14ac:dyDescent="0.25">
      <c r="A100" s="1" t="str">
        <f t="shared" si="26"/>
        <v>556-1</v>
      </c>
      <c r="B100" s="1" t="str">
        <f t="shared" si="33"/>
        <v>556-1</v>
      </c>
      <c r="C100" s="1" t="str">
        <f>VLOOKUP(B100,'Master truck list'!D:E,2,0)</f>
        <v>556-18A</v>
      </c>
      <c r="D100" s="1" t="str">
        <f>VLOOKUP(C100,'Master truck list'!E:F,2,0)</f>
        <v>ACTIVE</v>
      </c>
      <c r="E100" s="1" t="str">
        <f>VLOOKUP(C100,'Master truck list'!E:M,9,0)</f>
        <v>BNK TRANSPORT INC</v>
      </c>
      <c r="F100" s="1" t="str">
        <f>VLOOKUP(C100,'Master truck list'!E:G,3,0)</f>
        <v>Company</v>
      </c>
      <c r="G100" s="1">
        <f>VLOOKUP(C100,'Master truck list'!E:R,14,0)</f>
        <v>1188</v>
      </c>
      <c r="H100" t="str">
        <f>"12/21/2019 7:00:28 AM"</f>
        <v>12/21/2019 7:00:28 AM</v>
      </c>
      <c r="I100" t="str">
        <f>""</f>
        <v/>
      </c>
      <c r="J100" t="str">
        <f t="shared" si="27"/>
        <v>Elite</v>
      </c>
      <c r="K100" t="str">
        <f t="shared" si="39"/>
        <v>Device</v>
      </c>
      <c r="L100" t="str">
        <f t="shared" si="46"/>
        <v>777184813</v>
      </c>
      <c r="M100" t="str">
        <f t="shared" si="47"/>
        <v>16499839</v>
      </c>
      <c r="N100" t="str">
        <f t="shared" si="48"/>
        <v>556-18A</v>
      </c>
      <c r="O100" t="str">
        <f t="shared" si="29"/>
        <v>TEXAS</v>
      </c>
      <c r="P100" t="str">
        <f t="shared" si="30"/>
        <v>N A</v>
      </c>
      <c r="Q100" t="str">
        <f t="shared" si="31"/>
        <v>N/A</v>
      </c>
      <c r="R100" t="str">
        <f>"PGBW MARDR 02 MARD"</f>
        <v>PGBW MARDR 02 MARD</v>
      </c>
      <c r="S100" t="str">
        <f>"12/19/2019 9:48:16 PM"</f>
        <v>12/19/2019 9:48:16 PM</v>
      </c>
      <c r="T100" t="str">
        <f t="shared" si="43"/>
        <v>5</v>
      </c>
      <c r="U100" t="str">
        <f t="shared" si="32"/>
        <v>N/A</v>
      </c>
      <c r="V100" t="str">
        <f>"2.2000"</f>
        <v>2.2000</v>
      </c>
    </row>
    <row r="101" spans="1:22" x14ac:dyDescent="0.25">
      <c r="A101" s="1" t="str">
        <f t="shared" si="26"/>
        <v>556-1</v>
      </c>
      <c r="B101" s="1" t="str">
        <f t="shared" si="33"/>
        <v>556-1</v>
      </c>
      <c r="C101" s="1" t="str">
        <f>VLOOKUP(B101,'Master truck list'!D:E,2,0)</f>
        <v>556-18A</v>
      </c>
      <c r="D101" s="1" t="str">
        <f>VLOOKUP(C101,'Master truck list'!E:F,2,0)</f>
        <v>ACTIVE</v>
      </c>
      <c r="E101" s="1" t="str">
        <f>VLOOKUP(C101,'Master truck list'!E:M,9,0)</f>
        <v>BNK TRANSPORT INC</v>
      </c>
      <c r="F101" s="1" t="str">
        <f>VLOOKUP(C101,'Master truck list'!E:G,3,0)</f>
        <v>Company</v>
      </c>
      <c r="G101" s="1">
        <f>VLOOKUP(C101,'Master truck list'!E:R,14,0)</f>
        <v>1188</v>
      </c>
      <c r="H101" t="str">
        <f>"12/20/2019 7:00:30 AM"</f>
        <v>12/20/2019 7:00:30 AM</v>
      </c>
      <c r="I101" t="str">
        <f>""</f>
        <v/>
      </c>
      <c r="J101" t="str">
        <f t="shared" si="27"/>
        <v>Elite</v>
      </c>
      <c r="K101" t="str">
        <f t="shared" si="39"/>
        <v>Device</v>
      </c>
      <c r="L101" t="str">
        <f t="shared" si="46"/>
        <v>777184813</v>
      </c>
      <c r="M101" t="str">
        <f t="shared" si="47"/>
        <v>16499839</v>
      </c>
      <c r="N101" t="str">
        <f t="shared" si="48"/>
        <v>556-18A</v>
      </c>
      <c r="O101" t="str">
        <f t="shared" si="29"/>
        <v>TEXAS</v>
      </c>
      <c r="P101" t="str">
        <f t="shared" si="30"/>
        <v>N A</v>
      </c>
      <c r="Q101" t="str">
        <f t="shared" si="31"/>
        <v>N/A</v>
      </c>
      <c r="R101" t="str">
        <f>"130 MGCRP 11 305"</f>
        <v>130 MGCRP 11 305</v>
      </c>
      <c r="S101" t="str">
        <f>"12/19/2019 6:59:31 PM"</f>
        <v>12/19/2019 6:59:31 PM</v>
      </c>
      <c r="T101" t="str">
        <f t="shared" si="43"/>
        <v>5</v>
      </c>
      <c r="U101" t="str">
        <f t="shared" si="32"/>
        <v>N/A</v>
      </c>
      <c r="V101" t="str">
        <f>"5.5500"</f>
        <v>5.5500</v>
      </c>
    </row>
    <row r="102" spans="1:22" x14ac:dyDescent="0.25">
      <c r="A102" s="1" t="str">
        <f t="shared" si="26"/>
        <v>556-1</v>
      </c>
      <c r="B102" s="1" t="str">
        <f t="shared" si="33"/>
        <v>556-1</v>
      </c>
      <c r="C102" s="1" t="str">
        <f>VLOOKUP(B102,'Master truck list'!D:E,2,0)</f>
        <v>556-18A</v>
      </c>
      <c r="D102" s="1" t="str">
        <f>VLOOKUP(C102,'Master truck list'!E:F,2,0)</f>
        <v>ACTIVE</v>
      </c>
      <c r="E102" s="1" t="str">
        <f>VLOOKUP(C102,'Master truck list'!E:M,9,0)</f>
        <v>BNK TRANSPORT INC</v>
      </c>
      <c r="F102" s="1" t="str">
        <f>VLOOKUP(C102,'Master truck list'!E:G,3,0)</f>
        <v>Company</v>
      </c>
      <c r="G102" s="1">
        <f>VLOOKUP(C102,'Master truck list'!E:R,14,0)</f>
        <v>1188</v>
      </c>
      <c r="H102" t="str">
        <f>"12/20/2019 7:00:30 AM"</f>
        <v>12/20/2019 7:00:30 AM</v>
      </c>
      <c r="I102" t="str">
        <f>""</f>
        <v/>
      </c>
      <c r="J102" t="str">
        <f t="shared" si="27"/>
        <v>Elite</v>
      </c>
      <c r="K102" t="str">
        <f t="shared" si="39"/>
        <v>Device</v>
      </c>
      <c r="L102" t="str">
        <f t="shared" si="46"/>
        <v>777184813</v>
      </c>
      <c r="M102" t="str">
        <f t="shared" si="47"/>
        <v>16499839</v>
      </c>
      <c r="N102" t="str">
        <f t="shared" si="48"/>
        <v>556-18A</v>
      </c>
      <c r="O102" t="str">
        <f t="shared" si="29"/>
        <v>TEXAS</v>
      </c>
      <c r="P102" t="str">
        <f t="shared" si="30"/>
        <v>N A</v>
      </c>
      <c r="Q102" t="str">
        <f t="shared" si="31"/>
        <v>N/A</v>
      </c>
      <c r="R102" t="str">
        <f>"45SE MLPEB 02 611"</f>
        <v>45SE MLPEB 02 611</v>
      </c>
      <c r="S102" t="str">
        <f>"12/19/2019 6:20:52 PM"</f>
        <v>12/19/2019 6:20:52 PM</v>
      </c>
      <c r="T102" t="str">
        <f t="shared" si="43"/>
        <v>5</v>
      </c>
      <c r="U102" t="str">
        <f t="shared" si="32"/>
        <v>N/A</v>
      </c>
      <c r="V102" t="str">
        <f>"3.3000"</f>
        <v>3.3000</v>
      </c>
    </row>
    <row r="103" spans="1:22" x14ac:dyDescent="0.25">
      <c r="A103" s="1" t="str">
        <f t="shared" si="26"/>
        <v>556-1</v>
      </c>
      <c r="B103" s="1" t="str">
        <f t="shared" si="33"/>
        <v>556-1</v>
      </c>
      <c r="C103" s="1" t="str">
        <f>VLOOKUP(B103,'Master truck list'!D:E,2,0)</f>
        <v>556-18A</v>
      </c>
      <c r="D103" s="1" t="str">
        <f>VLOOKUP(C103,'Master truck list'!E:F,2,0)</f>
        <v>ACTIVE</v>
      </c>
      <c r="E103" s="1" t="str">
        <f>VLOOKUP(C103,'Master truck list'!E:M,9,0)</f>
        <v>BNK TRANSPORT INC</v>
      </c>
      <c r="F103" s="1" t="str">
        <f>VLOOKUP(C103,'Master truck list'!E:G,3,0)</f>
        <v>Company</v>
      </c>
      <c r="G103" s="1">
        <f>VLOOKUP(C103,'Master truck list'!E:R,14,0)</f>
        <v>1188</v>
      </c>
      <c r="H103" t="str">
        <f>"12/19/2019 7:00:35 AM"</f>
        <v>12/19/2019 7:00:35 AM</v>
      </c>
      <c r="I103" t="str">
        <f>""</f>
        <v/>
      </c>
      <c r="J103" t="str">
        <f t="shared" si="27"/>
        <v>Elite</v>
      </c>
      <c r="K103" t="str">
        <f t="shared" si="39"/>
        <v>Device</v>
      </c>
      <c r="L103" t="str">
        <f t="shared" si="46"/>
        <v>777184813</v>
      </c>
      <c r="M103" t="str">
        <f t="shared" si="47"/>
        <v>16499839</v>
      </c>
      <c r="N103" t="str">
        <f t="shared" si="48"/>
        <v>556-18A</v>
      </c>
      <c r="O103" t="str">
        <f t="shared" si="29"/>
        <v>TEXAS</v>
      </c>
      <c r="P103" t="str">
        <f t="shared" si="30"/>
        <v>N A</v>
      </c>
      <c r="Q103" t="str">
        <f t="shared" si="31"/>
        <v>N/A</v>
      </c>
      <c r="R103" t="str">
        <f>"130 MGCRP 06 305"</f>
        <v>130 MGCRP 06 305</v>
      </c>
      <c r="S103" t="str">
        <f>"12/18/2019 8:52:41 AM"</f>
        <v>12/18/2019 8:52:41 AM</v>
      </c>
      <c r="T103" t="str">
        <f t="shared" si="43"/>
        <v>5</v>
      </c>
      <c r="U103" t="str">
        <f t="shared" si="32"/>
        <v>N/A</v>
      </c>
      <c r="V103" t="str">
        <f>"5.5500"</f>
        <v>5.5500</v>
      </c>
    </row>
    <row r="104" spans="1:22" x14ac:dyDescent="0.25">
      <c r="A104" s="1" t="str">
        <f t="shared" si="26"/>
        <v>556-1</v>
      </c>
      <c r="B104" s="1" t="str">
        <f t="shared" si="33"/>
        <v>556-1</v>
      </c>
      <c r="C104" s="1" t="str">
        <f>VLOOKUP(B104,'Master truck list'!D:E,2,0)</f>
        <v>556-18A</v>
      </c>
      <c r="D104" s="1" t="str">
        <f>VLOOKUP(C104,'Master truck list'!E:F,2,0)</f>
        <v>ACTIVE</v>
      </c>
      <c r="E104" s="1" t="str">
        <f>VLOOKUP(C104,'Master truck list'!E:M,9,0)</f>
        <v>BNK TRANSPORT INC</v>
      </c>
      <c r="F104" s="1" t="str">
        <f>VLOOKUP(C104,'Master truck list'!E:G,3,0)</f>
        <v>Company</v>
      </c>
      <c r="G104" s="1">
        <f>VLOOKUP(C104,'Master truck list'!E:R,14,0)</f>
        <v>1188</v>
      </c>
      <c r="H104" t="str">
        <f>"12/19/2019 7:00:35 AM"</f>
        <v>12/19/2019 7:00:35 AM</v>
      </c>
      <c r="I104" t="str">
        <f>""</f>
        <v/>
      </c>
      <c r="J104" t="str">
        <f t="shared" si="27"/>
        <v>Elite</v>
      </c>
      <c r="K104" t="str">
        <f t="shared" si="39"/>
        <v>Device</v>
      </c>
      <c r="L104" t="str">
        <f t="shared" si="46"/>
        <v>777184813</v>
      </c>
      <c r="M104" t="str">
        <f t="shared" si="47"/>
        <v>16499839</v>
      </c>
      <c r="N104" t="str">
        <f t="shared" si="48"/>
        <v>556-18A</v>
      </c>
      <c r="O104" t="str">
        <f t="shared" si="29"/>
        <v>TEXAS</v>
      </c>
      <c r="P104" t="str">
        <f t="shared" si="30"/>
        <v>N A</v>
      </c>
      <c r="Q104" t="str">
        <f t="shared" si="31"/>
        <v>N/A</v>
      </c>
      <c r="R104" t="str">
        <f>"130 DKCRP 06 307"</f>
        <v>130 DKCRP 06 307</v>
      </c>
      <c r="S104" t="str">
        <f>"12/18/2019 9:13:35 AM"</f>
        <v>12/18/2019 9:13:35 AM</v>
      </c>
      <c r="T104" t="str">
        <f t="shared" si="43"/>
        <v>5</v>
      </c>
      <c r="U104" t="str">
        <f t="shared" si="32"/>
        <v>N/A</v>
      </c>
      <c r="V104" t="str">
        <f>"5.5500"</f>
        <v>5.5500</v>
      </c>
    </row>
    <row r="105" spans="1:22" x14ac:dyDescent="0.25">
      <c r="A105" s="1" t="str">
        <f t="shared" si="26"/>
        <v>556-1</v>
      </c>
      <c r="B105" s="1" t="str">
        <f t="shared" si="33"/>
        <v>556-1</v>
      </c>
      <c r="C105" s="1" t="str">
        <f>VLOOKUP(B105,'Master truck list'!D:E,2,0)</f>
        <v>556-18A</v>
      </c>
      <c r="D105" s="1" t="str">
        <f>VLOOKUP(C105,'Master truck list'!E:F,2,0)</f>
        <v>ACTIVE</v>
      </c>
      <c r="E105" s="1" t="str">
        <f>VLOOKUP(C105,'Master truck list'!E:M,9,0)</f>
        <v>BNK TRANSPORT INC</v>
      </c>
      <c r="F105" s="1" t="str">
        <f>VLOOKUP(C105,'Master truck list'!E:G,3,0)</f>
        <v>Company</v>
      </c>
      <c r="G105" s="1">
        <f>VLOOKUP(C105,'Master truck list'!E:R,14,0)</f>
        <v>1188</v>
      </c>
      <c r="H105" t="str">
        <f>"12/19/2019 7:00:35 AM"</f>
        <v>12/19/2019 7:00:35 AM</v>
      </c>
      <c r="I105" t="str">
        <f>""</f>
        <v/>
      </c>
      <c r="J105" t="str">
        <f t="shared" si="27"/>
        <v>Elite</v>
      </c>
      <c r="K105" t="str">
        <f t="shared" si="39"/>
        <v>Device</v>
      </c>
      <c r="L105" t="str">
        <f t="shared" si="46"/>
        <v>777184813</v>
      </c>
      <c r="M105" t="str">
        <f t="shared" si="47"/>
        <v>16499839</v>
      </c>
      <c r="N105" t="str">
        <f t="shared" si="48"/>
        <v>556-18A</v>
      </c>
      <c r="O105" t="str">
        <f t="shared" si="29"/>
        <v>TEXAS</v>
      </c>
      <c r="P105" t="str">
        <f t="shared" si="30"/>
        <v>N A</v>
      </c>
      <c r="Q105" t="str">
        <f t="shared" si="31"/>
        <v>N/A</v>
      </c>
      <c r="R105" t="str">
        <f>"45SE MLPWB 01 611"</f>
        <v>45SE MLPWB 01 611</v>
      </c>
      <c r="S105" t="str">
        <f>"12/18/2019 9:31:04 AM"</f>
        <v>12/18/2019 9:31:04 AM</v>
      </c>
      <c r="T105" t="str">
        <f t="shared" si="43"/>
        <v>5</v>
      </c>
      <c r="U105" t="str">
        <f t="shared" si="32"/>
        <v>N/A</v>
      </c>
      <c r="V105" t="str">
        <f>"3.3000"</f>
        <v>3.3000</v>
      </c>
    </row>
    <row r="106" spans="1:22" x14ac:dyDescent="0.25">
      <c r="A106" s="1" t="str">
        <f t="shared" si="26"/>
        <v>556-1</v>
      </c>
      <c r="B106" s="1" t="str">
        <f t="shared" si="33"/>
        <v>556-1</v>
      </c>
      <c r="C106" s="1" t="str">
        <f>VLOOKUP(B106,'Master truck list'!D:E,2,0)</f>
        <v>556-18A</v>
      </c>
      <c r="D106" s="1" t="str">
        <f>VLOOKUP(C106,'Master truck list'!E:F,2,0)</f>
        <v>ACTIVE</v>
      </c>
      <c r="E106" s="1" t="str">
        <f>VLOOKUP(C106,'Master truck list'!E:M,9,0)</f>
        <v>BNK TRANSPORT INC</v>
      </c>
      <c r="F106" s="1" t="str">
        <f>VLOOKUP(C106,'Master truck list'!E:G,3,0)</f>
        <v>Company</v>
      </c>
      <c r="G106" s="1">
        <f>VLOOKUP(C106,'Master truck list'!E:R,14,0)</f>
        <v>1188</v>
      </c>
      <c r="H106" t="str">
        <f>"12/20/2019 7:00:30 AM"</f>
        <v>12/20/2019 7:00:30 AM</v>
      </c>
      <c r="I106" t="str">
        <f>""</f>
        <v/>
      </c>
      <c r="J106" t="str">
        <f t="shared" si="27"/>
        <v>Elite</v>
      </c>
      <c r="K106" t="str">
        <f t="shared" si="39"/>
        <v>Device</v>
      </c>
      <c r="L106" t="str">
        <f t="shared" si="46"/>
        <v>777184813</v>
      </c>
      <c r="M106" t="str">
        <f t="shared" si="47"/>
        <v>16499839</v>
      </c>
      <c r="N106" t="str">
        <f t="shared" si="48"/>
        <v>556-18A</v>
      </c>
      <c r="O106" t="str">
        <f t="shared" si="29"/>
        <v>TEXAS</v>
      </c>
      <c r="P106" t="str">
        <f t="shared" si="30"/>
        <v>N A</v>
      </c>
      <c r="Q106" t="str">
        <f t="shared" si="31"/>
        <v>N/A</v>
      </c>
      <c r="R106" t="str">
        <f>"130 ARPTP 09 308"</f>
        <v>130 ARPTP 09 308</v>
      </c>
      <c r="S106" t="str">
        <f>"12/19/2019 6:31:25 PM"</f>
        <v>12/19/2019 6:31:25 PM</v>
      </c>
      <c r="T106" t="str">
        <f t="shared" si="43"/>
        <v>5</v>
      </c>
      <c r="U106" t="str">
        <f t="shared" si="32"/>
        <v>N/A</v>
      </c>
      <c r="V106" t="str">
        <f>"5.5500"</f>
        <v>5.5500</v>
      </c>
    </row>
    <row r="107" spans="1:22" x14ac:dyDescent="0.25">
      <c r="A107" s="1" t="str">
        <f t="shared" si="26"/>
        <v>556-1</v>
      </c>
      <c r="B107" s="1" t="str">
        <f t="shared" si="33"/>
        <v>556-1</v>
      </c>
      <c r="C107" s="1" t="str">
        <f>VLOOKUP(B107,'Master truck list'!D:E,2,0)</f>
        <v>556-18A</v>
      </c>
      <c r="D107" s="1" t="str">
        <f>VLOOKUP(C107,'Master truck list'!E:F,2,0)</f>
        <v>ACTIVE</v>
      </c>
      <c r="E107" s="1" t="str">
        <f>VLOOKUP(C107,'Master truck list'!E:M,9,0)</f>
        <v>BNK TRANSPORT INC</v>
      </c>
      <c r="F107" s="1" t="str">
        <f>VLOOKUP(C107,'Master truck list'!E:G,3,0)</f>
        <v>Company</v>
      </c>
      <c r="G107" s="1">
        <f>VLOOKUP(C107,'Master truck list'!E:R,14,0)</f>
        <v>1188</v>
      </c>
      <c r="H107" t="str">
        <f>"12/20/2019 7:00:30 AM"</f>
        <v>12/20/2019 7:00:30 AM</v>
      </c>
      <c r="I107" t="str">
        <f>""</f>
        <v/>
      </c>
      <c r="J107" t="str">
        <f t="shared" si="27"/>
        <v>Elite</v>
      </c>
      <c r="K107" t="str">
        <f t="shared" si="39"/>
        <v>Device</v>
      </c>
      <c r="L107" t="str">
        <f t="shared" si="46"/>
        <v>777184813</v>
      </c>
      <c r="M107" t="str">
        <f t="shared" si="47"/>
        <v>16499839</v>
      </c>
      <c r="N107" t="str">
        <f t="shared" si="48"/>
        <v>556-18A</v>
      </c>
      <c r="O107" t="str">
        <f t="shared" si="29"/>
        <v>TEXAS</v>
      </c>
      <c r="P107" t="str">
        <f t="shared" si="30"/>
        <v>N A</v>
      </c>
      <c r="Q107" t="str">
        <f t="shared" si="31"/>
        <v>N/A</v>
      </c>
      <c r="R107" t="str">
        <f>"130 CMRNP 13 306"</f>
        <v>130 CMRNP 13 306</v>
      </c>
      <c r="S107" t="str">
        <f>"12/19/2019 6:48:31 PM"</f>
        <v>12/19/2019 6:48:31 PM</v>
      </c>
      <c r="T107" t="str">
        <f t="shared" si="43"/>
        <v>5</v>
      </c>
      <c r="U107" t="str">
        <f t="shared" si="32"/>
        <v>N/A</v>
      </c>
      <c r="V107" t="str">
        <f>"5.5500"</f>
        <v>5.5500</v>
      </c>
    </row>
    <row r="108" spans="1:22" x14ac:dyDescent="0.25">
      <c r="A108" s="1" t="str">
        <f t="shared" si="26"/>
        <v>556-1</v>
      </c>
      <c r="B108" s="1" t="str">
        <f t="shared" si="33"/>
        <v>556-1</v>
      </c>
      <c r="C108" s="1" t="str">
        <f>VLOOKUP(B108,'Master truck list'!D:E,2,0)</f>
        <v>556-18A</v>
      </c>
      <c r="D108" s="1" t="str">
        <f>VLOOKUP(C108,'Master truck list'!E:F,2,0)</f>
        <v>ACTIVE</v>
      </c>
      <c r="E108" s="1" t="str">
        <f>VLOOKUP(C108,'Master truck list'!E:M,9,0)</f>
        <v>BNK TRANSPORT INC</v>
      </c>
      <c r="F108" s="1" t="str">
        <f>VLOOKUP(C108,'Master truck list'!E:G,3,0)</f>
        <v>Company</v>
      </c>
      <c r="G108" s="1">
        <f>VLOOKUP(C108,'Master truck list'!E:R,14,0)</f>
        <v>1188</v>
      </c>
      <c r="H108" t="str">
        <f>"12/19/2019 7:00:35 AM"</f>
        <v>12/19/2019 7:00:35 AM</v>
      </c>
      <c r="I108" t="str">
        <f>""</f>
        <v/>
      </c>
      <c r="J108" t="str">
        <f t="shared" si="27"/>
        <v>Elite</v>
      </c>
      <c r="K108" t="str">
        <f t="shared" si="39"/>
        <v>Device</v>
      </c>
      <c r="L108" t="str">
        <f t="shared" si="46"/>
        <v>777184813</v>
      </c>
      <c r="M108" t="str">
        <f t="shared" si="47"/>
        <v>16499839</v>
      </c>
      <c r="N108" t="str">
        <f t="shared" si="48"/>
        <v>556-18A</v>
      </c>
      <c r="O108" t="str">
        <f t="shared" si="29"/>
        <v>TEXAS</v>
      </c>
      <c r="P108" t="str">
        <f t="shared" si="30"/>
        <v>N A</v>
      </c>
      <c r="Q108" t="str">
        <f t="shared" si="31"/>
        <v>N/A</v>
      </c>
      <c r="R108" t="str">
        <f>"130 ARPTP 04 308"</f>
        <v>130 ARPTP 04 308</v>
      </c>
      <c r="S108" t="str">
        <f>"12/18/2019 9:20:33 AM"</f>
        <v>12/18/2019 9:20:33 AM</v>
      </c>
      <c r="T108" t="str">
        <f t="shared" si="43"/>
        <v>5</v>
      </c>
      <c r="U108" t="str">
        <f t="shared" si="32"/>
        <v>N/A</v>
      </c>
      <c r="V108" t="str">
        <f>"5.5500"</f>
        <v>5.5500</v>
      </c>
    </row>
    <row r="109" spans="1:22" x14ac:dyDescent="0.25">
      <c r="A109" s="1" t="str">
        <f t="shared" si="26"/>
        <v>556-1</v>
      </c>
      <c r="B109" s="1" t="str">
        <f t="shared" si="33"/>
        <v>556-1</v>
      </c>
      <c r="C109" s="1" t="str">
        <f>VLOOKUP(B109,'Master truck list'!D:E,2,0)</f>
        <v>556-18A</v>
      </c>
      <c r="D109" s="1" t="str">
        <f>VLOOKUP(C109,'Master truck list'!E:F,2,0)</f>
        <v>ACTIVE</v>
      </c>
      <c r="E109" s="1" t="str">
        <f>VLOOKUP(C109,'Master truck list'!E:M,9,0)</f>
        <v>BNK TRANSPORT INC</v>
      </c>
      <c r="F109" s="1" t="str">
        <f>VLOOKUP(C109,'Master truck list'!E:G,3,0)</f>
        <v>Company</v>
      </c>
      <c r="G109" s="1">
        <f>VLOOKUP(C109,'Master truck list'!E:R,14,0)</f>
        <v>1188</v>
      </c>
      <c r="H109" t="str">
        <f>"12/19/2019 7:00:35 AM"</f>
        <v>12/19/2019 7:00:35 AM</v>
      </c>
      <c r="I109" t="str">
        <f>""</f>
        <v/>
      </c>
      <c r="J109" t="str">
        <f t="shared" si="27"/>
        <v>Elite</v>
      </c>
      <c r="K109" t="str">
        <f t="shared" si="39"/>
        <v>Device</v>
      </c>
      <c r="L109" t="str">
        <f t="shared" si="46"/>
        <v>777184813</v>
      </c>
      <c r="M109" t="str">
        <f t="shared" si="47"/>
        <v>16499839</v>
      </c>
      <c r="N109" t="str">
        <f t="shared" si="48"/>
        <v>556-18A</v>
      </c>
      <c r="O109" t="str">
        <f t="shared" si="29"/>
        <v>TEXAS</v>
      </c>
      <c r="P109" t="str">
        <f t="shared" si="30"/>
        <v>N A</v>
      </c>
      <c r="Q109" t="str">
        <f t="shared" si="31"/>
        <v>N/A</v>
      </c>
      <c r="R109" t="str">
        <f>"130 CMRNP 08 306"</f>
        <v>130 CMRNP 08 306</v>
      </c>
      <c r="S109" t="str">
        <f>"12/18/2019 9:03:39 AM"</f>
        <v>12/18/2019 9:03:39 AM</v>
      </c>
      <c r="T109" t="str">
        <f t="shared" si="43"/>
        <v>5</v>
      </c>
      <c r="U109" t="str">
        <f t="shared" si="32"/>
        <v>N/A</v>
      </c>
      <c r="V109" t="str">
        <f>"5.5500"</f>
        <v>5.5500</v>
      </c>
    </row>
    <row r="110" spans="1:22" x14ac:dyDescent="0.25">
      <c r="A110" s="1" t="str">
        <f t="shared" si="26"/>
        <v>556-1</v>
      </c>
      <c r="B110" s="1" t="str">
        <f t="shared" si="33"/>
        <v>556-1</v>
      </c>
      <c r="C110" s="1" t="str">
        <f>VLOOKUP(B110,'Master truck list'!D:E,2,0)</f>
        <v>556-18A</v>
      </c>
      <c r="D110" s="1" t="str">
        <f>VLOOKUP(C110,'Master truck list'!E:F,2,0)</f>
        <v>ACTIVE</v>
      </c>
      <c r="E110" s="1" t="str">
        <f>VLOOKUP(C110,'Master truck list'!E:M,9,0)</f>
        <v>BNK TRANSPORT INC</v>
      </c>
      <c r="F110" s="1" t="str">
        <f>VLOOKUP(C110,'Master truck list'!E:G,3,0)</f>
        <v>Company</v>
      </c>
      <c r="G110" s="1">
        <f>VLOOKUP(C110,'Master truck list'!E:R,14,0)</f>
        <v>1188</v>
      </c>
      <c r="H110" t="str">
        <f>"12/18/2019 7:00:28 AM"</f>
        <v>12/18/2019 7:00:28 AM</v>
      </c>
      <c r="I110" t="str">
        <f>""</f>
        <v/>
      </c>
      <c r="J110" t="str">
        <f t="shared" si="27"/>
        <v>Elite</v>
      </c>
      <c r="K110" t="str">
        <f t="shared" si="39"/>
        <v>Device</v>
      </c>
      <c r="L110" t="str">
        <f t="shared" si="46"/>
        <v>777184813</v>
      </c>
      <c r="M110" t="str">
        <f t="shared" si="47"/>
        <v>16499839</v>
      </c>
      <c r="N110" t="str">
        <f t="shared" si="48"/>
        <v>556-18A</v>
      </c>
      <c r="O110" t="str">
        <f t="shared" si="29"/>
        <v>TEXAS</v>
      </c>
      <c r="P110" t="str">
        <f t="shared" si="30"/>
        <v>N A</v>
      </c>
      <c r="Q110" t="str">
        <f t="shared" si="31"/>
        <v>N/A</v>
      </c>
      <c r="R110" t="str">
        <f>"130 MGCRP 11 305"</f>
        <v>130 MGCRP 11 305</v>
      </c>
      <c r="S110" t="str">
        <f>"12/17/2019 3:58:51 PM"</f>
        <v>12/17/2019 3:58:51 PM</v>
      </c>
      <c r="T110" t="str">
        <f t="shared" si="43"/>
        <v>5</v>
      </c>
      <c r="U110" t="str">
        <f t="shared" si="32"/>
        <v>N/A</v>
      </c>
      <c r="V110" t="str">
        <f>"5.5500"</f>
        <v>5.5500</v>
      </c>
    </row>
    <row r="111" spans="1:22" x14ac:dyDescent="0.25">
      <c r="A111" s="1" t="str">
        <f t="shared" si="26"/>
        <v>556-1</v>
      </c>
      <c r="B111" s="1" t="str">
        <f t="shared" si="33"/>
        <v>556-1</v>
      </c>
      <c r="C111" s="1" t="str">
        <f>VLOOKUP(B111,'Master truck list'!D:E,2,0)</f>
        <v>556-18A</v>
      </c>
      <c r="D111" s="1" t="str">
        <f>VLOOKUP(C111,'Master truck list'!E:F,2,0)</f>
        <v>ACTIVE</v>
      </c>
      <c r="E111" s="1" t="str">
        <f>VLOOKUP(C111,'Master truck list'!E:M,9,0)</f>
        <v>BNK TRANSPORT INC</v>
      </c>
      <c r="F111" s="1" t="str">
        <f>VLOOKUP(C111,'Master truck list'!E:G,3,0)</f>
        <v>Company</v>
      </c>
      <c r="G111" s="1">
        <f>VLOOKUP(C111,'Master truck list'!E:R,14,0)</f>
        <v>1188</v>
      </c>
      <c r="H111" t="str">
        <f>"12/18/2019 7:00:28 AM"</f>
        <v>12/18/2019 7:00:28 AM</v>
      </c>
      <c r="I111" t="str">
        <f>""</f>
        <v/>
      </c>
      <c r="J111" t="str">
        <f t="shared" si="27"/>
        <v>Elite</v>
      </c>
      <c r="K111" t="str">
        <f t="shared" si="39"/>
        <v>Device</v>
      </c>
      <c r="L111" t="str">
        <f t="shared" si="46"/>
        <v>777184813</v>
      </c>
      <c r="M111" t="str">
        <f t="shared" si="47"/>
        <v>16499839</v>
      </c>
      <c r="N111" t="str">
        <f t="shared" si="48"/>
        <v>556-18A</v>
      </c>
      <c r="O111" t="str">
        <f t="shared" si="29"/>
        <v>TEXAS</v>
      </c>
      <c r="P111" t="str">
        <f t="shared" si="30"/>
        <v>N A</v>
      </c>
      <c r="Q111" t="str">
        <f t="shared" si="31"/>
        <v>N/A</v>
      </c>
      <c r="R111" t="str">
        <f>"45SE MLPEB 02 611"</f>
        <v>45SE MLPEB 02 611</v>
      </c>
      <c r="S111" t="str">
        <f>"12/17/2019 3:20:04 PM"</f>
        <v>12/17/2019 3:20:04 PM</v>
      </c>
      <c r="T111" t="str">
        <f t="shared" si="43"/>
        <v>5</v>
      </c>
      <c r="U111" t="str">
        <f t="shared" si="32"/>
        <v>N/A</v>
      </c>
      <c r="V111" t="str">
        <f>"3.3000"</f>
        <v>3.3000</v>
      </c>
    </row>
    <row r="112" spans="1:22" x14ac:dyDescent="0.25">
      <c r="A112" s="1" t="str">
        <f t="shared" si="26"/>
        <v>556-1</v>
      </c>
      <c r="B112" s="1" t="str">
        <f t="shared" si="33"/>
        <v>556-1</v>
      </c>
      <c r="C112" s="1" t="str">
        <f>VLOOKUP(B112,'Master truck list'!D:E,2,0)</f>
        <v>556-18A</v>
      </c>
      <c r="D112" s="1" t="str">
        <f>VLOOKUP(C112,'Master truck list'!E:F,2,0)</f>
        <v>ACTIVE</v>
      </c>
      <c r="E112" s="1" t="str">
        <f>VLOOKUP(C112,'Master truck list'!E:M,9,0)</f>
        <v>BNK TRANSPORT INC</v>
      </c>
      <c r="F112" s="1" t="str">
        <f>VLOOKUP(C112,'Master truck list'!E:G,3,0)</f>
        <v>Company</v>
      </c>
      <c r="G112" s="1">
        <f>VLOOKUP(C112,'Master truck list'!E:R,14,0)</f>
        <v>1188</v>
      </c>
      <c r="H112" t="str">
        <f>"12/18/2019 7:00:28 AM"</f>
        <v>12/18/2019 7:00:28 AM</v>
      </c>
      <c r="I112" t="str">
        <f>""</f>
        <v/>
      </c>
      <c r="J112" t="str">
        <f t="shared" si="27"/>
        <v>Elite</v>
      </c>
      <c r="K112" t="str">
        <f t="shared" si="39"/>
        <v>Device</v>
      </c>
      <c r="L112" t="str">
        <f t="shared" si="46"/>
        <v>777184813</v>
      </c>
      <c r="M112" t="str">
        <f t="shared" si="47"/>
        <v>16499839</v>
      </c>
      <c r="N112" t="str">
        <f t="shared" si="48"/>
        <v>556-18A</v>
      </c>
      <c r="O112" t="str">
        <f t="shared" si="29"/>
        <v>TEXAS</v>
      </c>
      <c r="P112" t="str">
        <f t="shared" si="30"/>
        <v>N A</v>
      </c>
      <c r="Q112" t="str">
        <f t="shared" si="31"/>
        <v>N/A</v>
      </c>
      <c r="R112" t="str">
        <f>"130 DKCRP 11 307"</f>
        <v>130 DKCRP 11 307</v>
      </c>
      <c r="S112" t="str">
        <f>"12/17/2019 3:37:36 PM"</f>
        <v>12/17/2019 3:37:36 PM</v>
      </c>
      <c r="T112" t="str">
        <f t="shared" si="43"/>
        <v>5</v>
      </c>
      <c r="U112" t="str">
        <f t="shared" si="32"/>
        <v>N/A</v>
      </c>
      <c r="V112" t="str">
        <f t="shared" ref="V112:V120" si="49">"5.5500"</f>
        <v>5.5500</v>
      </c>
    </row>
    <row r="113" spans="1:22" x14ac:dyDescent="0.25">
      <c r="A113" s="1" t="str">
        <f t="shared" si="26"/>
        <v>556-1</v>
      </c>
      <c r="B113" s="1" t="str">
        <f t="shared" si="33"/>
        <v>556-1</v>
      </c>
      <c r="C113" s="1" t="str">
        <f>VLOOKUP(B113,'Master truck list'!D:E,2,0)</f>
        <v>556-18A</v>
      </c>
      <c r="D113" s="1" t="str">
        <f>VLOOKUP(C113,'Master truck list'!E:F,2,0)</f>
        <v>ACTIVE</v>
      </c>
      <c r="E113" s="1" t="str">
        <f>VLOOKUP(C113,'Master truck list'!E:M,9,0)</f>
        <v>BNK TRANSPORT INC</v>
      </c>
      <c r="F113" s="1" t="str">
        <f>VLOOKUP(C113,'Master truck list'!E:G,3,0)</f>
        <v>Company</v>
      </c>
      <c r="G113" s="1">
        <f>VLOOKUP(C113,'Master truck list'!E:R,14,0)</f>
        <v>1188</v>
      </c>
      <c r="H113" t="str">
        <f>"12/18/2019 7:00:28 AM"</f>
        <v>12/18/2019 7:00:28 AM</v>
      </c>
      <c r="I113" t="str">
        <f>""</f>
        <v/>
      </c>
      <c r="J113" t="str">
        <f t="shared" si="27"/>
        <v>Elite</v>
      </c>
      <c r="K113" t="str">
        <f t="shared" si="39"/>
        <v>Device</v>
      </c>
      <c r="L113" t="str">
        <f t="shared" si="46"/>
        <v>777184813</v>
      </c>
      <c r="M113" t="str">
        <f t="shared" si="47"/>
        <v>16499839</v>
      </c>
      <c r="N113" t="str">
        <f t="shared" si="48"/>
        <v>556-18A</v>
      </c>
      <c r="O113" t="str">
        <f t="shared" si="29"/>
        <v>TEXAS</v>
      </c>
      <c r="P113" t="str">
        <f t="shared" si="30"/>
        <v>N A</v>
      </c>
      <c r="Q113" t="str">
        <f t="shared" si="31"/>
        <v>N/A</v>
      </c>
      <c r="R113" t="str">
        <f>"130 CMRNP 13 306"</f>
        <v>130 CMRNP 13 306</v>
      </c>
      <c r="S113" t="str">
        <f>"12/17/2019 3:47:48 PM"</f>
        <v>12/17/2019 3:47:48 PM</v>
      </c>
      <c r="T113" t="str">
        <f t="shared" si="43"/>
        <v>5</v>
      </c>
      <c r="U113" t="str">
        <f t="shared" si="32"/>
        <v>N/A</v>
      </c>
      <c r="V113" t="str">
        <f t="shared" si="49"/>
        <v>5.5500</v>
      </c>
    </row>
    <row r="114" spans="1:22" x14ac:dyDescent="0.25">
      <c r="A114" s="1" t="str">
        <f t="shared" si="26"/>
        <v>556-1</v>
      </c>
      <c r="B114" s="1" t="str">
        <f t="shared" si="33"/>
        <v>556-1</v>
      </c>
      <c r="C114" s="1" t="str">
        <f>VLOOKUP(B114,'Master truck list'!D:E,2,0)</f>
        <v>556-18A</v>
      </c>
      <c r="D114" s="1" t="str">
        <f>VLOOKUP(C114,'Master truck list'!E:F,2,0)</f>
        <v>ACTIVE</v>
      </c>
      <c r="E114" s="1" t="str">
        <f>VLOOKUP(C114,'Master truck list'!E:M,9,0)</f>
        <v>BNK TRANSPORT INC</v>
      </c>
      <c r="F114" s="1" t="str">
        <f>VLOOKUP(C114,'Master truck list'!E:G,3,0)</f>
        <v>Company</v>
      </c>
      <c r="G114" s="1">
        <f>VLOOKUP(C114,'Master truck list'!E:R,14,0)</f>
        <v>1188</v>
      </c>
      <c r="H114" t="str">
        <f>"12/18/2019 7:00:28 AM"</f>
        <v>12/18/2019 7:00:28 AM</v>
      </c>
      <c r="I114" t="str">
        <f>""</f>
        <v/>
      </c>
      <c r="J114" t="str">
        <f t="shared" si="27"/>
        <v>Elite</v>
      </c>
      <c r="K114" t="str">
        <f t="shared" si="39"/>
        <v>Device</v>
      </c>
      <c r="L114" t="str">
        <f t="shared" si="46"/>
        <v>777184813</v>
      </c>
      <c r="M114" t="str">
        <f t="shared" si="47"/>
        <v>16499839</v>
      </c>
      <c r="N114" t="str">
        <f t="shared" si="48"/>
        <v>556-18A</v>
      </c>
      <c r="O114" t="str">
        <f t="shared" si="29"/>
        <v>TEXAS</v>
      </c>
      <c r="P114" t="str">
        <f t="shared" si="30"/>
        <v>N A</v>
      </c>
      <c r="Q114" t="str">
        <f t="shared" si="31"/>
        <v>N/A</v>
      </c>
      <c r="R114" t="str">
        <f>"130 ARPTP 09 308"</f>
        <v>130 ARPTP 09 308</v>
      </c>
      <c r="S114" t="str">
        <f>"12/17/2019 3:30:40 PM"</f>
        <v>12/17/2019 3:30:40 PM</v>
      </c>
      <c r="T114" t="str">
        <f t="shared" si="43"/>
        <v>5</v>
      </c>
      <c r="U114" t="str">
        <f t="shared" si="32"/>
        <v>N/A</v>
      </c>
      <c r="V114" t="str">
        <f t="shared" si="49"/>
        <v>5.5500</v>
      </c>
    </row>
    <row r="115" spans="1:22" x14ac:dyDescent="0.25">
      <c r="A115" s="1" t="str">
        <f t="shared" si="26"/>
        <v>549-1</v>
      </c>
      <c r="B115" s="1" t="str">
        <f t="shared" si="33"/>
        <v>549-1</v>
      </c>
      <c r="C115" s="1" t="str">
        <f>VLOOKUP(B115,'Master truck list'!D:E,2,0)</f>
        <v>549-18A</v>
      </c>
      <c r="D115" s="1" t="str">
        <f>VLOOKUP(C115,'Master truck list'!E:F,2,0)</f>
        <v>ACTIVE</v>
      </c>
      <c r="E115" s="1" t="str">
        <f>VLOOKUP(C115,'Master truck list'!E:M,9,0)</f>
        <v>BNK TRANSPORT INC</v>
      </c>
      <c r="F115" s="1" t="str">
        <f>VLOOKUP(C115,'Master truck list'!E:G,3,0)</f>
        <v>Company</v>
      </c>
      <c r="G115" s="1">
        <f>VLOOKUP(C115,'Master truck list'!E:R,14,0)</f>
        <v>1137</v>
      </c>
      <c r="H115" t="str">
        <f t="shared" ref="H115:H124" si="50">"12/17/2019 7:00:33 AM"</f>
        <v>12/17/2019 7:00:33 AM</v>
      </c>
      <c r="I115" t="str">
        <f>""</f>
        <v/>
      </c>
      <c r="J115" t="str">
        <f t="shared" si="27"/>
        <v>Elite</v>
      </c>
      <c r="K115" t="str">
        <f t="shared" si="39"/>
        <v>Device</v>
      </c>
      <c r="L115" t="str">
        <f t="shared" ref="L115:L124" si="51">"777184828"</f>
        <v>777184828</v>
      </c>
      <c r="M115" t="str">
        <f t="shared" ref="M115:M124" si="52">"16499854"</f>
        <v>16499854</v>
      </c>
      <c r="N115" t="str">
        <f t="shared" ref="N115:N124" si="53">"549-18A"</f>
        <v>549-18A</v>
      </c>
      <c r="O115" t="str">
        <f t="shared" si="29"/>
        <v>TEXAS</v>
      </c>
      <c r="P115" t="str">
        <f t="shared" si="30"/>
        <v>N A</v>
      </c>
      <c r="Q115" t="str">
        <f t="shared" si="31"/>
        <v>N/A</v>
      </c>
      <c r="R115" t="str">
        <f>"130 DKCRP 06 307"</f>
        <v>130 DKCRP 06 307</v>
      </c>
      <c r="S115" t="str">
        <f>"12/16/2019 12:43:28 AM"</f>
        <v>12/16/2019 12:43:28 AM</v>
      </c>
      <c r="T115" t="str">
        <f t="shared" si="43"/>
        <v>5</v>
      </c>
      <c r="U115" t="str">
        <f t="shared" si="32"/>
        <v>N/A</v>
      </c>
      <c r="V115" t="str">
        <f t="shared" si="49"/>
        <v>5.5500</v>
      </c>
    </row>
    <row r="116" spans="1:22" x14ac:dyDescent="0.25">
      <c r="A116" s="1" t="str">
        <f t="shared" si="26"/>
        <v>549-1</v>
      </c>
      <c r="B116" s="1" t="str">
        <f t="shared" si="33"/>
        <v>549-1</v>
      </c>
      <c r="C116" s="1" t="str">
        <f>VLOOKUP(B116,'Master truck list'!D:E,2,0)</f>
        <v>549-18A</v>
      </c>
      <c r="D116" s="1" t="str">
        <f>VLOOKUP(C116,'Master truck list'!E:F,2,0)</f>
        <v>ACTIVE</v>
      </c>
      <c r="E116" s="1" t="str">
        <f>VLOOKUP(C116,'Master truck list'!E:M,9,0)</f>
        <v>BNK TRANSPORT INC</v>
      </c>
      <c r="F116" s="1" t="str">
        <f>VLOOKUP(C116,'Master truck list'!E:G,3,0)</f>
        <v>Company</v>
      </c>
      <c r="G116" s="1">
        <f>VLOOKUP(C116,'Master truck list'!E:R,14,0)</f>
        <v>1137</v>
      </c>
      <c r="H116" t="str">
        <f t="shared" si="50"/>
        <v>12/17/2019 7:00:33 AM</v>
      </c>
      <c r="I116" t="str">
        <f>""</f>
        <v/>
      </c>
      <c r="J116" t="str">
        <f t="shared" si="27"/>
        <v>Elite</v>
      </c>
      <c r="K116" t="str">
        <f t="shared" si="39"/>
        <v>Device</v>
      </c>
      <c r="L116" t="str">
        <f t="shared" si="51"/>
        <v>777184828</v>
      </c>
      <c r="M116" t="str">
        <f t="shared" si="52"/>
        <v>16499854</v>
      </c>
      <c r="N116" t="str">
        <f t="shared" si="53"/>
        <v>549-18A</v>
      </c>
      <c r="O116" t="str">
        <f t="shared" si="29"/>
        <v>TEXAS</v>
      </c>
      <c r="P116" t="str">
        <f t="shared" si="30"/>
        <v>N A</v>
      </c>
      <c r="Q116" t="str">
        <f t="shared" si="31"/>
        <v>N/A</v>
      </c>
      <c r="R116" t="str">
        <f>"130 MGCRP 06 305"</f>
        <v>130 MGCRP 06 305</v>
      </c>
      <c r="S116" t="str">
        <f>"12/16/2019 12:22:33 AM"</f>
        <v>12/16/2019 12:22:33 AM</v>
      </c>
      <c r="T116" t="str">
        <f t="shared" si="43"/>
        <v>5</v>
      </c>
      <c r="U116" t="str">
        <f t="shared" si="32"/>
        <v>N/A</v>
      </c>
      <c r="V116" t="str">
        <f t="shared" si="49"/>
        <v>5.5500</v>
      </c>
    </row>
    <row r="117" spans="1:22" x14ac:dyDescent="0.25">
      <c r="A117" s="1" t="str">
        <f t="shared" si="26"/>
        <v>549-1</v>
      </c>
      <c r="B117" s="1" t="str">
        <f t="shared" si="33"/>
        <v>549-1</v>
      </c>
      <c r="C117" s="1" t="str">
        <f>VLOOKUP(B117,'Master truck list'!D:E,2,0)</f>
        <v>549-18A</v>
      </c>
      <c r="D117" s="1" t="str">
        <f>VLOOKUP(C117,'Master truck list'!E:F,2,0)</f>
        <v>ACTIVE</v>
      </c>
      <c r="E117" s="1" t="str">
        <f>VLOOKUP(C117,'Master truck list'!E:M,9,0)</f>
        <v>BNK TRANSPORT INC</v>
      </c>
      <c r="F117" s="1" t="str">
        <f>VLOOKUP(C117,'Master truck list'!E:G,3,0)</f>
        <v>Company</v>
      </c>
      <c r="G117" s="1">
        <f>VLOOKUP(C117,'Master truck list'!E:R,14,0)</f>
        <v>1137</v>
      </c>
      <c r="H117" t="str">
        <f t="shared" si="50"/>
        <v>12/17/2019 7:00:33 AM</v>
      </c>
      <c r="I117" t="str">
        <f>""</f>
        <v/>
      </c>
      <c r="J117" t="str">
        <f t="shared" si="27"/>
        <v>Elite</v>
      </c>
      <c r="K117" t="str">
        <f t="shared" si="39"/>
        <v>Device</v>
      </c>
      <c r="L117" t="str">
        <f t="shared" si="51"/>
        <v>777184828</v>
      </c>
      <c r="M117" t="str">
        <f t="shared" si="52"/>
        <v>16499854</v>
      </c>
      <c r="N117" t="str">
        <f t="shared" si="53"/>
        <v>549-18A</v>
      </c>
      <c r="O117" t="str">
        <f t="shared" si="29"/>
        <v>TEXAS</v>
      </c>
      <c r="P117" t="str">
        <f t="shared" si="30"/>
        <v>N A</v>
      </c>
      <c r="Q117" t="str">
        <f t="shared" si="31"/>
        <v>N/A</v>
      </c>
      <c r="R117" t="str">
        <f>"130 DKCRP 11 307"</f>
        <v>130 DKCRP 11 307</v>
      </c>
      <c r="S117" t="str">
        <f>"12/16/2019 7:31:09 PM"</f>
        <v>12/16/2019 7:31:09 PM</v>
      </c>
      <c r="T117" t="str">
        <f t="shared" si="43"/>
        <v>5</v>
      </c>
      <c r="U117" t="str">
        <f t="shared" si="32"/>
        <v>N/A</v>
      </c>
      <c r="V117" t="str">
        <f t="shared" si="49"/>
        <v>5.5500</v>
      </c>
    </row>
    <row r="118" spans="1:22" x14ac:dyDescent="0.25">
      <c r="A118" s="1" t="str">
        <f t="shared" si="26"/>
        <v>549-1</v>
      </c>
      <c r="B118" s="1" t="str">
        <f t="shared" si="33"/>
        <v>549-1</v>
      </c>
      <c r="C118" s="1" t="str">
        <f>VLOOKUP(B118,'Master truck list'!D:E,2,0)</f>
        <v>549-18A</v>
      </c>
      <c r="D118" s="1" t="str">
        <f>VLOOKUP(C118,'Master truck list'!E:F,2,0)</f>
        <v>ACTIVE</v>
      </c>
      <c r="E118" s="1" t="str">
        <f>VLOOKUP(C118,'Master truck list'!E:M,9,0)</f>
        <v>BNK TRANSPORT INC</v>
      </c>
      <c r="F118" s="1" t="str">
        <f>VLOOKUP(C118,'Master truck list'!E:G,3,0)</f>
        <v>Company</v>
      </c>
      <c r="G118" s="1">
        <f>VLOOKUP(C118,'Master truck list'!E:R,14,0)</f>
        <v>1137</v>
      </c>
      <c r="H118" t="str">
        <f t="shared" si="50"/>
        <v>12/17/2019 7:00:33 AM</v>
      </c>
      <c r="I118" t="str">
        <f>""</f>
        <v/>
      </c>
      <c r="J118" t="str">
        <f t="shared" si="27"/>
        <v>Elite</v>
      </c>
      <c r="K118" t="str">
        <f t="shared" si="39"/>
        <v>Device</v>
      </c>
      <c r="L118" t="str">
        <f t="shared" si="51"/>
        <v>777184828</v>
      </c>
      <c r="M118" t="str">
        <f t="shared" si="52"/>
        <v>16499854</v>
      </c>
      <c r="N118" t="str">
        <f t="shared" si="53"/>
        <v>549-18A</v>
      </c>
      <c r="O118" t="str">
        <f t="shared" si="29"/>
        <v>TEXAS</v>
      </c>
      <c r="P118" t="str">
        <f t="shared" si="30"/>
        <v>N A</v>
      </c>
      <c r="Q118" t="str">
        <f t="shared" si="31"/>
        <v>N/A</v>
      </c>
      <c r="R118" t="str">
        <f>"130 ARPTP 04 308"</f>
        <v>130 ARPTP 04 308</v>
      </c>
      <c r="S118" t="str">
        <f>"12/16/2019 12:50:25 AM"</f>
        <v>12/16/2019 12:50:25 AM</v>
      </c>
      <c r="T118" t="str">
        <f t="shared" si="43"/>
        <v>5</v>
      </c>
      <c r="U118" t="str">
        <f t="shared" si="32"/>
        <v>N/A</v>
      </c>
      <c r="V118" t="str">
        <f t="shared" si="49"/>
        <v>5.5500</v>
      </c>
    </row>
    <row r="119" spans="1:22" x14ac:dyDescent="0.25">
      <c r="A119" s="1" t="str">
        <f t="shared" si="26"/>
        <v>549-1</v>
      </c>
      <c r="B119" s="1" t="str">
        <f t="shared" si="33"/>
        <v>549-1</v>
      </c>
      <c r="C119" s="1" t="str">
        <f>VLOOKUP(B119,'Master truck list'!D:E,2,0)</f>
        <v>549-18A</v>
      </c>
      <c r="D119" s="1" t="str">
        <f>VLOOKUP(C119,'Master truck list'!E:F,2,0)</f>
        <v>ACTIVE</v>
      </c>
      <c r="E119" s="1" t="str">
        <f>VLOOKUP(C119,'Master truck list'!E:M,9,0)</f>
        <v>BNK TRANSPORT INC</v>
      </c>
      <c r="F119" s="1" t="str">
        <f>VLOOKUP(C119,'Master truck list'!E:G,3,0)</f>
        <v>Company</v>
      </c>
      <c r="G119" s="1">
        <f>VLOOKUP(C119,'Master truck list'!E:R,14,0)</f>
        <v>1137</v>
      </c>
      <c r="H119" t="str">
        <f t="shared" si="50"/>
        <v>12/17/2019 7:00:33 AM</v>
      </c>
      <c r="I119" t="str">
        <f>""</f>
        <v/>
      </c>
      <c r="J119" t="str">
        <f t="shared" si="27"/>
        <v>Elite</v>
      </c>
      <c r="K119" t="str">
        <f t="shared" si="39"/>
        <v>Device</v>
      </c>
      <c r="L119" t="str">
        <f t="shared" si="51"/>
        <v>777184828</v>
      </c>
      <c r="M119" t="str">
        <f t="shared" si="52"/>
        <v>16499854</v>
      </c>
      <c r="N119" t="str">
        <f t="shared" si="53"/>
        <v>549-18A</v>
      </c>
      <c r="O119" t="str">
        <f t="shared" si="29"/>
        <v>TEXAS</v>
      </c>
      <c r="P119" t="str">
        <f t="shared" si="30"/>
        <v>N A</v>
      </c>
      <c r="Q119" t="str">
        <f t="shared" si="31"/>
        <v>N/A</v>
      </c>
      <c r="R119" t="str">
        <f>"130 CMRNP 13 306"</f>
        <v>130 CMRNP 13 306</v>
      </c>
      <c r="S119" t="str">
        <f>"12/16/2019 7:41:11 PM"</f>
        <v>12/16/2019 7:41:11 PM</v>
      </c>
      <c r="T119" t="str">
        <f t="shared" si="43"/>
        <v>5</v>
      </c>
      <c r="U119" t="str">
        <f t="shared" si="32"/>
        <v>N/A</v>
      </c>
      <c r="V119" t="str">
        <f t="shared" si="49"/>
        <v>5.5500</v>
      </c>
    </row>
    <row r="120" spans="1:22" x14ac:dyDescent="0.25">
      <c r="A120" s="1" t="str">
        <f t="shared" si="26"/>
        <v>549-1</v>
      </c>
      <c r="B120" s="1" t="str">
        <f t="shared" si="33"/>
        <v>549-1</v>
      </c>
      <c r="C120" s="1" t="str">
        <f>VLOOKUP(B120,'Master truck list'!D:E,2,0)</f>
        <v>549-18A</v>
      </c>
      <c r="D120" s="1" t="str">
        <f>VLOOKUP(C120,'Master truck list'!E:F,2,0)</f>
        <v>ACTIVE</v>
      </c>
      <c r="E120" s="1" t="str">
        <f>VLOOKUP(C120,'Master truck list'!E:M,9,0)</f>
        <v>BNK TRANSPORT INC</v>
      </c>
      <c r="F120" s="1" t="str">
        <f>VLOOKUP(C120,'Master truck list'!E:G,3,0)</f>
        <v>Company</v>
      </c>
      <c r="G120" s="1">
        <f>VLOOKUP(C120,'Master truck list'!E:R,14,0)</f>
        <v>1137</v>
      </c>
      <c r="H120" t="str">
        <f t="shared" si="50"/>
        <v>12/17/2019 7:00:33 AM</v>
      </c>
      <c r="I120" t="str">
        <f>""</f>
        <v/>
      </c>
      <c r="J120" t="str">
        <f t="shared" si="27"/>
        <v>Elite</v>
      </c>
      <c r="K120" t="str">
        <f t="shared" si="39"/>
        <v>Device</v>
      </c>
      <c r="L120" t="str">
        <f t="shared" si="51"/>
        <v>777184828</v>
      </c>
      <c r="M120" t="str">
        <f t="shared" si="52"/>
        <v>16499854</v>
      </c>
      <c r="N120" t="str">
        <f t="shared" si="53"/>
        <v>549-18A</v>
      </c>
      <c r="O120" t="str">
        <f t="shared" si="29"/>
        <v>TEXAS</v>
      </c>
      <c r="P120" t="str">
        <f t="shared" si="30"/>
        <v>N A</v>
      </c>
      <c r="Q120" t="str">
        <f t="shared" si="31"/>
        <v>N/A</v>
      </c>
      <c r="R120" t="str">
        <f>"130 ARPTP 09 308"</f>
        <v>130 ARPTP 09 308</v>
      </c>
      <c r="S120" t="str">
        <f>"12/16/2019 7:24:09 PM"</f>
        <v>12/16/2019 7:24:09 PM</v>
      </c>
      <c r="T120" t="str">
        <f t="shared" si="43"/>
        <v>5</v>
      </c>
      <c r="U120" t="str">
        <f t="shared" si="32"/>
        <v>N/A</v>
      </c>
      <c r="V120" t="str">
        <f t="shared" si="49"/>
        <v>5.5500</v>
      </c>
    </row>
    <row r="121" spans="1:22" x14ac:dyDescent="0.25">
      <c r="A121" s="1" t="str">
        <f t="shared" si="26"/>
        <v>549-1</v>
      </c>
      <c r="B121" s="1" t="str">
        <f t="shared" si="33"/>
        <v>549-1</v>
      </c>
      <c r="C121" s="1" t="str">
        <f>VLOOKUP(B121,'Master truck list'!D:E,2,0)</f>
        <v>549-18A</v>
      </c>
      <c r="D121" s="1" t="str">
        <f>VLOOKUP(C121,'Master truck list'!E:F,2,0)</f>
        <v>ACTIVE</v>
      </c>
      <c r="E121" s="1" t="str">
        <f>VLOOKUP(C121,'Master truck list'!E:M,9,0)</f>
        <v>BNK TRANSPORT INC</v>
      </c>
      <c r="F121" s="1" t="str">
        <f>VLOOKUP(C121,'Master truck list'!E:G,3,0)</f>
        <v>Company</v>
      </c>
      <c r="G121" s="1">
        <f>VLOOKUP(C121,'Master truck list'!E:R,14,0)</f>
        <v>1137</v>
      </c>
      <c r="H121" t="str">
        <f t="shared" si="50"/>
        <v>12/17/2019 7:00:33 AM</v>
      </c>
      <c r="I121" t="str">
        <f>""</f>
        <v/>
      </c>
      <c r="J121" t="str">
        <f t="shared" si="27"/>
        <v>Elite</v>
      </c>
      <c r="K121" t="str">
        <f t="shared" si="39"/>
        <v>Device</v>
      </c>
      <c r="L121" t="str">
        <f t="shared" si="51"/>
        <v>777184828</v>
      </c>
      <c r="M121" t="str">
        <f t="shared" si="52"/>
        <v>16499854</v>
      </c>
      <c r="N121" t="str">
        <f t="shared" si="53"/>
        <v>549-18A</v>
      </c>
      <c r="O121" t="str">
        <f t="shared" si="29"/>
        <v>TEXAS</v>
      </c>
      <c r="P121" t="str">
        <f t="shared" si="30"/>
        <v>N A</v>
      </c>
      <c r="Q121" t="str">
        <f t="shared" si="31"/>
        <v>N/A</v>
      </c>
      <c r="R121" t="str">
        <f>"45SE MLPWB 01 611"</f>
        <v>45SE MLPWB 01 611</v>
      </c>
      <c r="S121" t="str">
        <f>"12/16/2019 1:01:04 AM"</f>
        <v>12/16/2019 1:01:04 AM</v>
      </c>
      <c r="T121" t="str">
        <f t="shared" si="43"/>
        <v>5</v>
      </c>
      <c r="U121" t="str">
        <f t="shared" si="32"/>
        <v>N/A</v>
      </c>
      <c r="V121" t="str">
        <f>"3.3000"</f>
        <v>3.3000</v>
      </c>
    </row>
    <row r="122" spans="1:22" x14ac:dyDescent="0.25">
      <c r="A122" s="1" t="str">
        <f t="shared" si="26"/>
        <v>549-1</v>
      </c>
      <c r="B122" s="1" t="str">
        <f t="shared" si="33"/>
        <v>549-1</v>
      </c>
      <c r="C122" s="1" t="str">
        <f>VLOOKUP(B122,'Master truck list'!D:E,2,0)</f>
        <v>549-18A</v>
      </c>
      <c r="D122" s="1" t="str">
        <f>VLOOKUP(C122,'Master truck list'!E:F,2,0)</f>
        <v>ACTIVE</v>
      </c>
      <c r="E122" s="1" t="str">
        <f>VLOOKUP(C122,'Master truck list'!E:M,9,0)</f>
        <v>BNK TRANSPORT INC</v>
      </c>
      <c r="F122" s="1" t="str">
        <f>VLOOKUP(C122,'Master truck list'!E:G,3,0)</f>
        <v>Company</v>
      </c>
      <c r="G122" s="1">
        <f>VLOOKUP(C122,'Master truck list'!E:R,14,0)</f>
        <v>1137</v>
      </c>
      <c r="H122" t="str">
        <f t="shared" si="50"/>
        <v>12/17/2019 7:00:33 AM</v>
      </c>
      <c r="I122" t="str">
        <f>""</f>
        <v/>
      </c>
      <c r="J122" t="str">
        <f t="shared" si="27"/>
        <v>Elite</v>
      </c>
      <c r="K122" t="str">
        <f t="shared" si="39"/>
        <v>Device</v>
      </c>
      <c r="L122" t="str">
        <f t="shared" si="51"/>
        <v>777184828</v>
      </c>
      <c r="M122" t="str">
        <f t="shared" si="52"/>
        <v>16499854</v>
      </c>
      <c r="N122" t="str">
        <f t="shared" si="53"/>
        <v>549-18A</v>
      </c>
      <c r="O122" t="str">
        <f t="shared" si="29"/>
        <v>TEXAS</v>
      </c>
      <c r="P122" t="str">
        <f t="shared" si="30"/>
        <v>N A</v>
      </c>
      <c r="Q122" t="str">
        <f t="shared" si="31"/>
        <v>N/A</v>
      </c>
      <c r="R122" t="str">
        <f>"130 CMRNP 08 306"</f>
        <v>130 CMRNP 08 306</v>
      </c>
      <c r="S122" t="str">
        <f>"12/16/2019 12:33:31 AM"</f>
        <v>12/16/2019 12:33:31 AM</v>
      </c>
      <c r="T122" t="str">
        <f t="shared" si="43"/>
        <v>5</v>
      </c>
      <c r="U122" t="str">
        <f t="shared" si="32"/>
        <v>N/A</v>
      </c>
      <c r="V122" t="str">
        <f>"5.5500"</f>
        <v>5.5500</v>
      </c>
    </row>
    <row r="123" spans="1:22" x14ac:dyDescent="0.25">
      <c r="A123" s="1" t="str">
        <f t="shared" si="26"/>
        <v>549-1</v>
      </c>
      <c r="B123" s="1" t="str">
        <f t="shared" si="33"/>
        <v>549-1</v>
      </c>
      <c r="C123" s="1" t="str">
        <f>VLOOKUP(B123,'Master truck list'!D:E,2,0)</f>
        <v>549-18A</v>
      </c>
      <c r="D123" s="1" t="str">
        <f>VLOOKUP(C123,'Master truck list'!E:F,2,0)</f>
        <v>ACTIVE</v>
      </c>
      <c r="E123" s="1" t="str">
        <f>VLOOKUP(C123,'Master truck list'!E:M,9,0)</f>
        <v>BNK TRANSPORT INC</v>
      </c>
      <c r="F123" s="1" t="str">
        <f>VLOOKUP(C123,'Master truck list'!E:G,3,0)</f>
        <v>Company</v>
      </c>
      <c r="G123" s="1">
        <f>VLOOKUP(C123,'Master truck list'!E:R,14,0)</f>
        <v>1137</v>
      </c>
      <c r="H123" t="str">
        <f t="shared" si="50"/>
        <v>12/17/2019 7:00:33 AM</v>
      </c>
      <c r="I123" t="str">
        <f>""</f>
        <v/>
      </c>
      <c r="J123" t="str">
        <f t="shared" si="27"/>
        <v>Elite</v>
      </c>
      <c r="K123" t="str">
        <f t="shared" si="39"/>
        <v>Device</v>
      </c>
      <c r="L123" t="str">
        <f t="shared" si="51"/>
        <v>777184828</v>
      </c>
      <c r="M123" t="str">
        <f t="shared" si="52"/>
        <v>16499854</v>
      </c>
      <c r="N123" t="str">
        <f t="shared" si="53"/>
        <v>549-18A</v>
      </c>
      <c r="O123" t="str">
        <f t="shared" si="29"/>
        <v>TEXAS</v>
      </c>
      <c r="P123" t="str">
        <f t="shared" si="30"/>
        <v>N A</v>
      </c>
      <c r="Q123" t="str">
        <f t="shared" si="31"/>
        <v>N/A</v>
      </c>
      <c r="R123" t="str">
        <f>"130 MGCRP 11 305"</f>
        <v>130 MGCRP 11 305</v>
      </c>
      <c r="S123" t="str">
        <f>"12/16/2019 7:52:11 PM"</f>
        <v>12/16/2019 7:52:11 PM</v>
      </c>
      <c r="T123" t="str">
        <f t="shared" si="43"/>
        <v>5</v>
      </c>
      <c r="U123" t="str">
        <f t="shared" si="32"/>
        <v>N/A</v>
      </c>
      <c r="V123" t="str">
        <f>"5.5500"</f>
        <v>5.5500</v>
      </c>
    </row>
    <row r="124" spans="1:22" x14ac:dyDescent="0.25">
      <c r="A124" s="1" t="str">
        <f t="shared" si="26"/>
        <v>549-1</v>
      </c>
      <c r="B124" s="1" t="str">
        <f t="shared" si="33"/>
        <v>549-1</v>
      </c>
      <c r="C124" s="1" t="str">
        <f>VLOOKUP(B124,'Master truck list'!D:E,2,0)</f>
        <v>549-18A</v>
      </c>
      <c r="D124" s="1" t="str">
        <f>VLOOKUP(C124,'Master truck list'!E:F,2,0)</f>
        <v>ACTIVE</v>
      </c>
      <c r="E124" s="1" t="str">
        <f>VLOOKUP(C124,'Master truck list'!E:M,9,0)</f>
        <v>BNK TRANSPORT INC</v>
      </c>
      <c r="F124" s="1" t="str">
        <f>VLOOKUP(C124,'Master truck list'!E:G,3,0)</f>
        <v>Company</v>
      </c>
      <c r="G124" s="1">
        <f>VLOOKUP(C124,'Master truck list'!E:R,14,0)</f>
        <v>1137</v>
      </c>
      <c r="H124" t="str">
        <f t="shared" si="50"/>
        <v>12/17/2019 7:00:33 AM</v>
      </c>
      <c r="I124" t="str">
        <f>""</f>
        <v/>
      </c>
      <c r="J124" t="str">
        <f t="shared" si="27"/>
        <v>Elite</v>
      </c>
      <c r="K124" t="str">
        <f t="shared" si="39"/>
        <v>Device</v>
      </c>
      <c r="L124" t="str">
        <f t="shared" si="51"/>
        <v>777184828</v>
      </c>
      <c r="M124" t="str">
        <f t="shared" si="52"/>
        <v>16499854</v>
      </c>
      <c r="N124" t="str">
        <f t="shared" si="53"/>
        <v>549-18A</v>
      </c>
      <c r="O124" t="str">
        <f t="shared" si="29"/>
        <v>TEXAS</v>
      </c>
      <c r="P124" t="str">
        <f t="shared" si="30"/>
        <v>N A</v>
      </c>
      <c r="Q124" t="str">
        <f t="shared" si="31"/>
        <v>N/A</v>
      </c>
      <c r="R124" t="str">
        <f>"45SE MLPEB 02 611"</f>
        <v>45SE MLPEB 02 611</v>
      </c>
      <c r="S124" t="str">
        <f>"12/16/2019 7:13:35 PM"</f>
        <v>12/16/2019 7:13:35 PM</v>
      </c>
      <c r="T124" t="str">
        <f t="shared" si="43"/>
        <v>5</v>
      </c>
      <c r="U124" t="str">
        <f t="shared" si="32"/>
        <v>N/A</v>
      </c>
      <c r="V124" t="str">
        <f>"3.3000"</f>
        <v>3.3000</v>
      </c>
    </row>
    <row r="125" spans="1:22" x14ac:dyDescent="0.25">
      <c r="A125" s="1" t="str">
        <f t="shared" si="26"/>
        <v>572-1</v>
      </c>
      <c r="B125" s="1" t="str">
        <f t="shared" si="33"/>
        <v>572-1</v>
      </c>
      <c r="C125" s="1" t="str">
        <f>VLOOKUP(B125,'Master truck list'!D:E,2,0)</f>
        <v>572-18A</v>
      </c>
      <c r="D125" s="1" t="str">
        <f>VLOOKUP(C125,'Master truck list'!E:F,2,0)</f>
        <v>ACTIVE</v>
      </c>
      <c r="E125" s="1" t="str">
        <f>VLOOKUP(C125,'Master truck list'!E:M,9,0)</f>
        <v>BNK TRANSPORT INC</v>
      </c>
      <c r="F125" s="1" t="str">
        <f>VLOOKUP(C125,'Master truck list'!E:G,3,0)</f>
        <v>Company</v>
      </c>
      <c r="G125" s="1">
        <f>VLOOKUP(C125,'Master truck list'!E:R,14,0)</f>
        <v>1230</v>
      </c>
      <c r="H125" t="str">
        <f>"12/19/2019 7:00:35 AM"</f>
        <v>12/19/2019 7:00:35 AM</v>
      </c>
      <c r="I125" t="str">
        <f>""</f>
        <v/>
      </c>
      <c r="J125" t="str">
        <f t="shared" si="27"/>
        <v>Elite</v>
      </c>
      <c r="K125" t="str">
        <f t="shared" si="39"/>
        <v>Device</v>
      </c>
      <c r="L125" t="str">
        <f t="shared" ref="L125:L134" si="54">"777174179"</f>
        <v>777174179</v>
      </c>
      <c r="M125" t="str">
        <f t="shared" ref="M125:M134" si="55">"16483905"</f>
        <v>16483905</v>
      </c>
      <c r="N125" t="str">
        <f t="shared" ref="N125:N134" si="56">"572-18A"</f>
        <v>572-18A</v>
      </c>
      <c r="O125" t="str">
        <f t="shared" si="29"/>
        <v>TEXAS</v>
      </c>
      <c r="P125" t="str">
        <f t="shared" si="30"/>
        <v>N A</v>
      </c>
      <c r="Q125" t="str">
        <f t="shared" si="31"/>
        <v>N/A</v>
      </c>
      <c r="R125" t="str">
        <f>"130 CMRNP 08 306"</f>
        <v>130 CMRNP 08 306</v>
      </c>
      <c r="S125" t="str">
        <f>"12/18/2019 11:59:01 AM"</f>
        <v>12/18/2019 11:59:01 AM</v>
      </c>
      <c r="T125" t="str">
        <f t="shared" si="43"/>
        <v>5</v>
      </c>
      <c r="U125" t="str">
        <f t="shared" si="32"/>
        <v>N/A</v>
      </c>
      <c r="V125" t="str">
        <f>"5.5500"</f>
        <v>5.5500</v>
      </c>
    </row>
    <row r="126" spans="1:22" x14ac:dyDescent="0.25">
      <c r="A126" s="1" t="str">
        <f t="shared" si="26"/>
        <v>572-1</v>
      </c>
      <c r="B126" s="1" t="str">
        <f t="shared" si="33"/>
        <v>572-1</v>
      </c>
      <c r="C126" s="1" t="str">
        <f>VLOOKUP(B126,'Master truck list'!D:E,2,0)</f>
        <v>572-18A</v>
      </c>
      <c r="D126" s="1" t="str">
        <f>VLOOKUP(C126,'Master truck list'!E:F,2,0)</f>
        <v>ACTIVE</v>
      </c>
      <c r="E126" s="1" t="str">
        <f>VLOOKUP(C126,'Master truck list'!E:M,9,0)</f>
        <v>BNK TRANSPORT INC</v>
      </c>
      <c r="F126" s="1" t="str">
        <f>VLOOKUP(C126,'Master truck list'!E:G,3,0)</f>
        <v>Company</v>
      </c>
      <c r="G126" s="1">
        <f>VLOOKUP(C126,'Master truck list'!E:R,14,0)</f>
        <v>1230</v>
      </c>
      <c r="H126" t="str">
        <f>"12/19/2019 7:00:35 AM"</f>
        <v>12/19/2019 7:00:35 AM</v>
      </c>
      <c r="I126" t="str">
        <f>""</f>
        <v/>
      </c>
      <c r="J126" t="str">
        <f t="shared" si="27"/>
        <v>Elite</v>
      </c>
      <c r="K126" t="str">
        <f t="shared" si="39"/>
        <v>Device</v>
      </c>
      <c r="L126" t="str">
        <f t="shared" si="54"/>
        <v>777174179</v>
      </c>
      <c r="M126" t="str">
        <f t="shared" si="55"/>
        <v>16483905</v>
      </c>
      <c r="N126" t="str">
        <f t="shared" si="56"/>
        <v>572-18A</v>
      </c>
      <c r="O126" t="str">
        <f t="shared" si="29"/>
        <v>TEXAS</v>
      </c>
      <c r="P126" t="str">
        <f t="shared" si="30"/>
        <v>N A</v>
      </c>
      <c r="Q126" t="str">
        <f t="shared" si="31"/>
        <v>N/A</v>
      </c>
      <c r="R126" t="str">
        <f>"130 ARPTP 04 308"</f>
        <v>130 ARPTP 04 308</v>
      </c>
      <c r="S126" t="str">
        <f>"12/18/2019 12:16:07 PM"</f>
        <v>12/18/2019 12:16:07 PM</v>
      </c>
      <c r="T126" t="str">
        <f t="shared" si="43"/>
        <v>5</v>
      </c>
      <c r="U126" t="str">
        <f t="shared" si="32"/>
        <v>N/A</v>
      </c>
      <c r="V126" t="str">
        <f>"5.5500"</f>
        <v>5.5500</v>
      </c>
    </row>
    <row r="127" spans="1:22" x14ac:dyDescent="0.25">
      <c r="A127" s="1" t="str">
        <f t="shared" si="26"/>
        <v>572-1</v>
      </c>
      <c r="B127" s="1" t="str">
        <f t="shared" si="33"/>
        <v>572-1</v>
      </c>
      <c r="C127" s="1" t="str">
        <f>VLOOKUP(B127,'Master truck list'!D:E,2,0)</f>
        <v>572-18A</v>
      </c>
      <c r="D127" s="1" t="str">
        <f>VLOOKUP(C127,'Master truck list'!E:F,2,0)</f>
        <v>ACTIVE</v>
      </c>
      <c r="E127" s="1" t="str">
        <f>VLOOKUP(C127,'Master truck list'!E:M,9,0)</f>
        <v>BNK TRANSPORT INC</v>
      </c>
      <c r="F127" s="1" t="str">
        <f>VLOOKUP(C127,'Master truck list'!E:G,3,0)</f>
        <v>Company</v>
      </c>
      <c r="G127" s="1">
        <f>VLOOKUP(C127,'Master truck list'!E:R,14,0)</f>
        <v>1230</v>
      </c>
      <c r="H127" t="str">
        <f>"12/19/2019 7:00:35 AM"</f>
        <v>12/19/2019 7:00:35 AM</v>
      </c>
      <c r="I127" t="str">
        <f>""</f>
        <v/>
      </c>
      <c r="J127" t="str">
        <f t="shared" si="27"/>
        <v>Elite</v>
      </c>
      <c r="K127" t="str">
        <f t="shared" si="39"/>
        <v>Device</v>
      </c>
      <c r="L127" t="str">
        <f t="shared" si="54"/>
        <v>777174179</v>
      </c>
      <c r="M127" t="str">
        <f t="shared" si="55"/>
        <v>16483905</v>
      </c>
      <c r="N127" t="str">
        <f t="shared" si="56"/>
        <v>572-18A</v>
      </c>
      <c r="O127" t="str">
        <f t="shared" si="29"/>
        <v>TEXAS</v>
      </c>
      <c r="P127" t="str">
        <f t="shared" si="30"/>
        <v>N A</v>
      </c>
      <c r="Q127" t="str">
        <f t="shared" si="31"/>
        <v>N/A</v>
      </c>
      <c r="R127" t="str">
        <f>"45SE MLPWB 01 611"</f>
        <v>45SE MLPWB 01 611</v>
      </c>
      <c r="S127" t="str">
        <f>"12/18/2019 12:26:45 PM"</f>
        <v>12/18/2019 12:26:45 PM</v>
      </c>
      <c r="T127" t="str">
        <f t="shared" si="43"/>
        <v>5</v>
      </c>
      <c r="U127" t="str">
        <f t="shared" si="32"/>
        <v>N/A</v>
      </c>
      <c r="V127" t="str">
        <f>"3.3000"</f>
        <v>3.3000</v>
      </c>
    </row>
    <row r="128" spans="1:22" x14ac:dyDescent="0.25">
      <c r="A128" s="1" t="str">
        <f t="shared" si="26"/>
        <v>572-1</v>
      </c>
      <c r="B128" s="1" t="str">
        <f t="shared" si="33"/>
        <v>572-1</v>
      </c>
      <c r="C128" s="1" t="str">
        <f>VLOOKUP(B128,'Master truck list'!D:E,2,0)</f>
        <v>572-18A</v>
      </c>
      <c r="D128" s="1" t="str">
        <f>VLOOKUP(C128,'Master truck list'!E:F,2,0)</f>
        <v>ACTIVE</v>
      </c>
      <c r="E128" s="1" t="str">
        <f>VLOOKUP(C128,'Master truck list'!E:M,9,0)</f>
        <v>BNK TRANSPORT INC</v>
      </c>
      <c r="F128" s="1" t="str">
        <f>VLOOKUP(C128,'Master truck list'!E:G,3,0)</f>
        <v>Company</v>
      </c>
      <c r="G128" s="1">
        <f>VLOOKUP(C128,'Master truck list'!E:R,14,0)</f>
        <v>1230</v>
      </c>
      <c r="H128" t="str">
        <f>"12/19/2019 7:00:35 AM"</f>
        <v>12/19/2019 7:00:35 AM</v>
      </c>
      <c r="I128" t="str">
        <f>""</f>
        <v/>
      </c>
      <c r="J128" t="str">
        <f t="shared" si="27"/>
        <v>Elite</v>
      </c>
      <c r="K128" t="str">
        <f t="shared" si="39"/>
        <v>Device</v>
      </c>
      <c r="L128" t="str">
        <f t="shared" si="54"/>
        <v>777174179</v>
      </c>
      <c r="M128" t="str">
        <f t="shared" si="55"/>
        <v>16483905</v>
      </c>
      <c r="N128" t="str">
        <f t="shared" si="56"/>
        <v>572-18A</v>
      </c>
      <c r="O128" t="str">
        <f t="shared" si="29"/>
        <v>TEXAS</v>
      </c>
      <c r="P128" t="str">
        <f t="shared" si="30"/>
        <v>N A</v>
      </c>
      <c r="Q128" t="str">
        <f t="shared" si="31"/>
        <v>N/A</v>
      </c>
      <c r="R128" t="str">
        <f>"130 DKCRP 06 307"</f>
        <v>130 DKCRP 06 307</v>
      </c>
      <c r="S128" t="str">
        <f>"12/18/2019 12:09:08 PM"</f>
        <v>12/18/2019 12:09:08 PM</v>
      </c>
      <c r="T128" t="str">
        <f t="shared" si="43"/>
        <v>5</v>
      </c>
      <c r="U128" t="str">
        <f t="shared" si="32"/>
        <v>N/A</v>
      </c>
      <c r="V128" t="str">
        <f t="shared" ref="V128:V133" si="57">"5.5500"</f>
        <v>5.5500</v>
      </c>
    </row>
    <row r="129" spans="1:22" x14ac:dyDescent="0.25">
      <c r="A129" s="1" t="str">
        <f t="shared" si="26"/>
        <v>572-1</v>
      </c>
      <c r="B129" s="1" t="str">
        <f t="shared" si="33"/>
        <v>572-1</v>
      </c>
      <c r="C129" s="1" t="str">
        <f>VLOOKUP(B129,'Master truck list'!D:E,2,0)</f>
        <v>572-18A</v>
      </c>
      <c r="D129" s="1" t="str">
        <f>VLOOKUP(C129,'Master truck list'!E:F,2,0)</f>
        <v>ACTIVE</v>
      </c>
      <c r="E129" s="1" t="str">
        <f>VLOOKUP(C129,'Master truck list'!E:M,9,0)</f>
        <v>BNK TRANSPORT INC</v>
      </c>
      <c r="F129" s="1" t="str">
        <f>VLOOKUP(C129,'Master truck list'!E:G,3,0)</f>
        <v>Company</v>
      </c>
      <c r="G129" s="1">
        <f>VLOOKUP(C129,'Master truck list'!E:R,14,0)</f>
        <v>1230</v>
      </c>
      <c r="H129" t="str">
        <f>"12/19/2019 7:00:35 AM"</f>
        <v>12/19/2019 7:00:35 AM</v>
      </c>
      <c r="I129" t="str">
        <f>""</f>
        <v/>
      </c>
      <c r="J129" t="str">
        <f t="shared" si="27"/>
        <v>Elite</v>
      </c>
      <c r="K129" t="str">
        <f t="shared" si="39"/>
        <v>Device</v>
      </c>
      <c r="L129" t="str">
        <f t="shared" si="54"/>
        <v>777174179</v>
      </c>
      <c r="M129" t="str">
        <f t="shared" si="55"/>
        <v>16483905</v>
      </c>
      <c r="N129" t="str">
        <f t="shared" si="56"/>
        <v>572-18A</v>
      </c>
      <c r="O129" t="str">
        <f t="shared" si="29"/>
        <v>TEXAS</v>
      </c>
      <c r="P129" t="str">
        <f t="shared" si="30"/>
        <v>N A</v>
      </c>
      <c r="Q129" t="str">
        <f t="shared" si="31"/>
        <v>N/A</v>
      </c>
      <c r="R129" t="str">
        <f>"130 MGCRP 06 305"</f>
        <v>130 MGCRP 06 305</v>
      </c>
      <c r="S129" t="str">
        <f>"12/18/2019 11:47:56 AM"</f>
        <v>12/18/2019 11:47:56 AM</v>
      </c>
      <c r="T129" t="str">
        <f t="shared" si="43"/>
        <v>5</v>
      </c>
      <c r="U129" t="str">
        <f t="shared" si="32"/>
        <v>N/A</v>
      </c>
      <c r="V129" t="str">
        <f t="shared" si="57"/>
        <v>5.5500</v>
      </c>
    </row>
    <row r="130" spans="1:22" x14ac:dyDescent="0.25">
      <c r="A130" s="1" t="str">
        <f t="shared" ref="A130:A193" si="58">LEFT(N130,5)</f>
        <v>572-1</v>
      </c>
      <c r="B130" s="1" t="str">
        <f t="shared" si="33"/>
        <v>572-1</v>
      </c>
      <c r="C130" s="1" t="str">
        <f>VLOOKUP(B130,'Master truck list'!D:E,2,0)</f>
        <v>572-18A</v>
      </c>
      <c r="D130" s="1" t="str">
        <f>VLOOKUP(C130,'Master truck list'!E:F,2,0)</f>
        <v>ACTIVE</v>
      </c>
      <c r="E130" s="1" t="str">
        <f>VLOOKUP(C130,'Master truck list'!E:M,9,0)</f>
        <v>BNK TRANSPORT INC</v>
      </c>
      <c r="F130" s="1" t="str">
        <f>VLOOKUP(C130,'Master truck list'!E:G,3,0)</f>
        <v>Company</v>
      </c>
      <c r="G130" s="1">
        <f>VLOOKUP(C130,'Master truck list'!E:R,14,0)</f>
        <v>1230</v>
      </c>
      <c r="H130" t="str">
        <f t="shared" ref="H130:H138" si="59">"12/21/2019 7:00:28 AM"</f>
        <v>12/21/2019 7:00:28 AM</v>
      </c>
      <c r="I130" t="str">
        <f>""</f>
        <v/>
      </c>
      <c r="J130" t="str">
        <f t="shared" ref="J130:J193" si="60">"Elite"</f>
        <v>Elite</v>
      </c>
      <c r="K130" t="str">
        <f t="shared" si="39"/>
        <v>Device</v>
      </c>
      <c r="L130" t="str">
        <f t="shared" si="54"/>
        <v>777174179</v>
      </c>
      <c r="M130" t="str">
        <f t="shared" si="55"/>
        <v>16483905</v>
      </c>
      <c r="N130" t="str">
        <f t="shared" si="56"/>
        <v>572-18A</v>
      </c>
      <c r="O130" t="str">
        <f t="shared" ref="O130:O193" si="61">"TEXAS"</f>
        <v>TEXAS</v>
      </c>
      <c r="P130" t="str">
        <f t="shared" ref="P130:P193" si="62">"N A"</f>
        <v>N A</v>
      </c>
      <c r="Q130" t="str">
        <f t="shared" ref="Q130:Q193" si="63">"N/A"</f>
        <v>N/A</v>
      </c>
      <c r="R130" t="str">
        <f>"130 MGCRP 10 305"</f>
        <v>130 MGCRP 10 305</v>
      </c>
      <c r="S130" t="str">
        <f>"12/20/2019 6:44:39 PM"</f>
        <v>12/20/2019 6:44:39 PM</v>
      </c>
      <c r="T130" t="str">
        <f t="shared" si="43"/>
        <v>5</v>
      </c>
      <c r="U130" t="str">
        <f t="shared" ref="U130:U193" si="64">"N/A"</f>
        <v>N/A</v>
      </c>
      <c r="V130" t="str">
        <f t="shared" si="57"/>
        <v>5.5500</v>
      </c>
    </row>
    <row r="131" spans="1:22" x14ac:dyDescent="0.25">
      <c r="A131" s="1" t="str">
        <f t="shared" si="58"/>
        <v>572-1</v>
      </c>
      <c r="B131" s="1" t="str">
        <f t="shared" ref="B131:B194" si="65">SUBSTITUTE(A131," ","")</f>
        <v>572-1</v>
      </c>
      <c r="C131" s="1" t="str">
        <f>VLOOKUP(B131,'Master truck list'!D:E,2,0)</f>
        <v>572-18A</v>
      </c>
      <c r="D131" s="1" t="str">
        <f>VLOOKUP(C131,'Master truck list'!E:F,2,0)</f>
        <v>ACTIVE</v>
      </c>
      <c r="E131" s="1" t="str">
        <f>VLOOKUP(C131,'Master truck list'!E:M,9,0)</f>
        <v>BNK TRANSPORT INC</v>
      </c>
      <c r="F131" s="1" t="str">
        <f>VLOOKUP(C131,'Master truck list'!E:G,3,0)</f>
        <v>Company</v>
      </c>
      <c r="G131" s="1">
        <f>VLOOKUP(C131,'Master truck list'!E:R,14,0)</f>
        <v>1230</v>
      </c>
      <c r="H131" t="str">
        <f t="shared" si="59"/>
        <v>12/21/2019 7:00:28 AM</v>
      </c>
      <c r="I131" t="str">
        <f>""</f>
        <v/>
      </c>
      <c r="J131" t="str">
        <f t="shared" si="60"/>
        <v>Elite</v>
      </c>
      <c r="K131" t="str">
        <f t="shared" si="39"/>
        <v>Device</v>
      </c>
      <c r="L131" t="str">
        <f t="shared" si="54"/>
        <v>777174179</v>
      </c>
      <c r="M131" t="str">
        <f t="shared" si="55"/>
        <v>16483905</v>
      </c>
      <c r="N131" t="str">
        <f t="shared" si="56"/>
        <v>572-18A</v>
      </c>
      <c r="O131" t="str">
        <f t="shared" si="61"/>
        <v>TEXAS</v>
      </c>
      <c r="P131" t="str">
        <f t="shared" si="62"/>
        <v>N A</v>
      </c>
      <c r="Q131" t="str">
        <f t="shared" si="63"/>
        <v>N/A</v>
      </c>
      <c r="R131" t="str">
        <f>"130 CMRNP 13 306"</f>
        <v>130 CMRNP 13 306</v>
      </c>
      <c r="S131" t="str">
        <f>"12/20/2019 6:32:02 PM"</f>
        <v>12/20/2019 6:32:02 PM</v>
      </c>
      <c r="T131" t="str">
        <f t="shared" si="43"/>
        <v>5</v>
      </c>
      <c r="U131" t="str">
        <f t="shared" si="64"/>
        <v>N/A</v>
      </c>
      <c r="V131" t="str">
        <f t="shared" si="57"/>
        <v>5.5500</v>
      </c>
    </row>
    <row r="132" spans="1:22" x14ac:dyDescent="0.25">
      <c r="A132" s="1" t="str">
        <f t="shared" si="58"/>
        <v>572-1</v>
      </c>
      <c r="B132" s="1" t="str">
        <f t="shared" si="65"/>
        <v>572-1</v>
      </c>
      <c r="C132" s="1" t="str">
        <f>VLOOKUP(B132,'Master truck list'!D:E,2,0)</f>
        <v>572-18A</v>
      </c>
      <c r="D132" s="1" t="str">
        <f>VLOOKUP(C132,'Master truck list'!E:F,2,0)</f>
        <v>ACTIVE</v>
      </c>
      <c r="E132" s="1" t="str">
        <f>VLOOKUP(C132,'Master truck list'!E:M,9,0)</f>
        <v>BNK TRANSPORT INC</v>
      </c>
      <c r="F132" s="1" t="str">
        <f>VLOOKUP(C132,'Master truck list'!E:G,3,0)</f>
        <v>Company</v>
      </c>
      <c r="G132" s="1">
        <f>VLOOKUP(C132,'Master truck list'!E:R,14,0)</f>
        <v>1230</v>
      </c>
      <c r="H132" t="str">
        <f t="shared" si="59"/>
        <v>12/21/2019 7:00:28 AM</v>
      </c>
      <c r="I132" t="str">
        <f>""</f>
        <v/>
      </c>
      <c r="J132" t="str">
        <f t="shared" si="60"/>
        <v>Elite</v>
      </c>
      <c r="K132" t="str">
        <f t="shared" si="39"/>
        <v>Device</v>
      </c>
      <c r="L132" t="str">
        <f t="shared" si="54"/>
        <v>777174179</v>
      </c>
      <c r="M132" t="str">
        <f t="shared" si="55"/>
        <v>16483905</v>
      </c>
      <c r="N132" t="str">
        <f t="shared" si="56"/>
        <v>572-18A</v>
      </c>
      <c r="O132" t="str">
        <f t="shared" si="61"/>
        <v>TEXAS</v>
      </c>
      <c r="P132" t="str">
        <f t="shared" si="62"/>
        <v>N A</v>
      </c>
      <c r="Q132" t="str">
        <f t="shared" si="63"/>
        <v>N/A</v>
      </c>
      <c r="R132" t="str">
        <f>"130 ARPTP 09 308"</f>
        <v>130 ARPTP 09 308</v>
      </c>
      <c r="S132" t="str">
        <f>"12/20/2019 6:14:33 PM"</f>
        <v>12/20/2019 6:14:33 PM</v>
      </c>
      <c r="T132" t="str">
        <f t="shared" si="43"/>
        <v>5</v>
      </c>
      <c r="U132" t="str">
        <f t="shared" si="64"/>
        <v>N/A</v>
      </c>
      <c r="V132" t="str">
        <f t="shared" si="57"/>
        <v>5.5500</v>
      </c>
    </row>
    <row r="133" spans="1:22" x14ac:dyDescent="0.25">
      <c r="A133" s="1" t="str">
        <f t="shared" si="58"/>
        <v>572-1</v>
      </c>
      <c r="B133" s="1" t="str">
        <f t="shared" si="65"/>
        <v>572-1</v>
      </c>
      <c r="C133" s="1" t="str">
        <f>VLOOKUP(B133,'Master truck list'!D:E,2,0)</f>
        <v>572-18A</v>
      </c>
      <c r="D133" s="1" t="str">
        <f>VLOOKUP(C133,'Master truck list'!E:F,2,0)</f>
        <v>ACTIVE</v>
      </c>
      <c r="E133" s="1" t="str">
        <f>VLOOKUP(C133,'Master truck list'!E:M,9,0)</f>
        <v>BNK TRANSPORT INC</v>
      </c>
      <c r="F133" s="1" t="str">
        <f>VLOOKUP(C133,'Master truck list'!E:G,3,0)</f>
        <v>Company</v>
      </c>
      <c r="G133" s="1">
        <f>VLOOKUP(C133,'Master truck list'!E:R,14,0)</f>
        <v>1230</v>
      </c>
      <c r="H133" t="str">
        <f t="shared" si="59"/>
        <v>12/21/2019 7:00:28 AM</v>
      </c>
      <c r="I133" t="str">
        <f>""</f>
        <v/>
      </c>
      <c r="J133" t="str">
        <f t="shared" si="60"/>
        <v>Elite</v>
      </c>
      <c r="K133" t="str">
        <f t="shared" si="39"/>
        <v>Device</v>
      </c>
      <c r="L133" t="str">
        <f t="shared" si="54"/>
        <v>777174179</v>
      </c>
      <c r="M133" t="str">
        <f t="shared" si="55"/>
        <v>16483905</v>
      </c>
      <c r="N133" t="str">
        <f t="shared" si="56"/>
        <v>572-18A</v>
      </c>
      <c r="O133" t="str">
        <f t="shared" si="61"/>
        <v>TEXAS</v>
      </c>
      <c r="P133" t="str">
        <f t="shared" si="62"/>
        <v>N A</v>
      </c>
      <c r="Q133" t="str">
        <f t="shared" si="63"/>
        <v>N/A</v>
      </c>
      <c r="R133" t="str">
        <f>"130 DKCRP 11 307"</f>
        <v>130 DKCRP 11 307</v>
      </c>
      <c r="S133" t="str">
        <f>"12/20/2019 6:21:51 PM"</f>
        <v>12/20/2019 6:21:51 PM</v>
      </c>
      <c r="T133" t="str">
        <f t="shared" si="43"/>
        <v>5</v>
      </c>
      <c r="U133" t="str">
        <f t="shared" si="64"/>
        <v>N/A</v>
      </c>
      <c r="V133" t="str">
        <f t="shared" si="57"/>
        <v>5.5500</v>
      </c>
    </row>
    <row r="134" spans="1:22" x14ac:dyDescent="0.25">
      <c r="A134" s="1" t="str">
        <f t="shared" si="58"/>
        <v>572-1</v>
      </c>
      <c r="B134" s="1" t="str">
        <f t="shared" si="65"/>
        <v>572-1</v>
      </c>
      <c r="C134" s="1" t="str">
        <f>VLOOKUP(B134,'Master truck list'!D:E,2,0)</f>
        <v>572-18A</v>
      </c>
      <c r="D134" s="1" t="str">
        <f>VLOOKUP(C134,'Master truck list'!E:F,2,0)</f>
        <v>ACTIVE</v>
      </c>
      <c r="E134" s="1" t="str">
        <f>VLOOKUP(C134,'Master truck list'!E:M,9,0)</f>
        <v>BNK TRANSPORT INC</v>
      </c>
      <c r="F134" s="1" t="str">
        <f>VLOOKUP(C134,'Master truck list'!E:G,3,0)</f>
        <v>Company</v>
      </c>
      <c r="G134" s="1">
        <f>VLOOKUP(C134,'Master truck list'!E:R,14,0)</f>
        <v>1230</v>
      </c>
      <c r="H134" t="str">
        <f t="shared" si="59"/>
        <v>12/21/2019 7:00:28 AM</v>
      </c>
      <c r="I134" t="str">
        <f>""</f>
        <v/>
      </c>
      <c r="J134" t="str">
        <f t="shared" si="60"/>
        <v>Elite</v>
      </c>
      <c r="K134" t="str">
        <f t="shared" si="39"/>
        <v>Device</v>
      </c>
      <c r="L134" t="str">
        <f t="shared" si="54"/>
        <v>777174179</v>
      </c>
      <c r="M134" t="str">
        <f t="shared" si="55"/>
        <v>16483905</v>
      </c>
      <c r="N134" t="str">
        <f t="shared" si="56"/>
        <v>572-18A</v>
      </c>
      <c r="O134" t="str">
        <f t="shared" si="61"/>
        <v>TEXAS</v>
      </c>
      <c r="P134" t="str">
        <f t="shared" si="62"/>
        <v>N A</v>
      </c>
      <c r="Q134" t="str">
        <f t="shared" si="63"/>
        <v>N/A</v>
      </c>
      <c r="R134" t="str">
        <f>"45SE MLPEB 02 611"</f>
        <v>45SE MLPEB 02 611</v>
      </c>
      <c r="S134" t="str">
        <f>"12/20/2019 6:03:57 PM"</f>
        <v>12/20/2019 6:03:57 PM</v>
      </c>
      <c r="T134" t="str">
        <f t="shared" si="43"/>
        <v>5</v>
      </c>
      <c r="U134" t="str">
        <f t="shared" si="64"/>
        <v>N/A</v>
      </c>
      <c r="V134" t="str">
        <f>"3.3000"</f>
        <v>3.3000</v>
      </c>
    </row>
    <row r="135" spans="1:22" x14ac:dyDescent="0.25">
      <c r="A135" s="1" t="str">
        <f t="shared" si="58"/>
        <v>545-1</v>
      </c>
      <c r="B135" s="1" t="str">
        <f t="shared" si="65"/>
        <v>545-1</v>
      </c>
      <c r="C135" s="1" t="str">
        <f>VLOOKUP(B135,'Master truck list'!D:E,2,0)</f>
        <v>545-18ATL</v>
      </c>
      <c r="D135" s="1" t="str">
        <f>VLOOKUP(C135,'Master truck list'!E:F,2,0)</f>
        <v>ACTIVE</v>
      </c>
      <c r="E135" s="1" t="str">
        <f>VLOOKUP(C135,'Master truck list'!E:M,9,0)</f>
        <v>BNK TRANSPORT INC</v>
      </c>
      <c r="F135" s="1" t="str">
        <f>VLOOKUP(C135,'Master truck list'!E:G,3,0)</f>
        <v>Owner Operator</v>
      </c>
      <c r="G135" s="1">
        <f>VLOOKUP(C135,'Master truck list'!E:R,14,0)</f>
        <v>1067</v>
      </c>
      <c r="H135" t="str">
        <f t="shared" si="59"/>
        <v>12/21/2019 7:00:28 AM</v>
      </c>
      <c r="I135" t="str">
        <f>""</f>
        <v/>
      </c>
      <c r="J135" t="str">
        <f t="shared" si="60"/>
        <v>Elite</v>
      </c>
      <c r="K135" t="str">
        <f t="shared" si="39"/>
        <v>Device</v>
      </c>
      <c r="L135" t="str">
        <f>"777174173"</f>
        <v>777174173</v>
      </c>
      <c r="M135" t="str">
        <f>"16483899"</f>
        <v>16483899</v>
      </c>
      <c r="N135" t="str">
        <f>"545-18AT"</f>
        <v>545-18AT</v>
      </c>
      <c r="O135" t="str">
        <f t="shared" si="61"/>
        <v>TEXAS</v>
      </c>
      <c r="P135" t="str">
        <f t="shared" si="62"/>
        <v>N A</v>
      </c>
      <c r="Q135" t="str">
        <f t="shared" si="63"/>
        <v>N/A</v>
      </c>
      <c r="R135" t="str">
        <f>"130 CMRNP 08 306"</f>
        <v>130 CMRNP 08 306</v>
      </c>
      <c r="S135" t="str">
        <f>"12/20/2019 3:49:52 PM"</f>
        <v>12/20/2019 3:49:52 PM</v>
      </c>
      <c r="T135" t="str">
        <f t="shared" si="43"/>
        <v>5</v>
      </c>
      <c r="U135" t="str">
        <f t="shared" si="64"/>
        <v>N/A</v>
      </c>
      <c r="V135" t="str">
        <f t="shared" ref="V135:V140" si="66">"5.5500"</f>
        <v>5.5500</v>
      </c>
    </row>
    <row r="136" spans="1:22" x14ac:dyDescent="0.25">
      <c r="A136" s="1" t="str">
        <f t="shared" si="58"/>
        <v>545-1</v>
      </c>
      <c r="B136" s="1" t="str">
        <f t="shared" si="65"/>
        <v>545-1</v>
      </c>
      <c r="C136" s="1" t="str">
        <f>VLOOKUP(B136,'Master truck list'!D:E,2,0)</f>
        <v>545-18ATL</v>
      </c>
      <c r="D136" s="1" t="str">
        <f>VLOOKUP(C136,'Master truck list'!E:F,2,0)</f>
        <v>ACTIVE</v>
      </c>
      <c r="E136" s="1" t="str">
        <f>VLOOKUP(C136,'Master truck list'!E:M,9,0)</f>
        <v>BNK TRANSPORT INC</v>
      </c>
      <c r="F136" s="1" t="str">
        <f>VLOOKUP(C136,'Master truck list'!E:G,3,0)</f>
        <v>Owner Operator</v>
      </c>
      <c r="G136" s="1">
        <f>VLOOKUP(C136,'Master truck list'!E:R,14,0)</f>
        <v>1067</v>
      </c>
      <c r="H136" t="str">
        <f t="shared" si="59"/>
        <v>12/21/2019 7:00:28 AM</v>
      </c>
      <c r="I136" t="str">
        <f>""</f>
        <v/>
      </c>
      <c r="J136" t="str">
        <f t="shared" si="60"/>
        <v>Elite</v>
      </c>
      <c r="K136" t="str">
        <f t="shared" si="39"/>
        <v>Device</v>
      </c>
      <c r="L136" t="str">
        <f>"777174173"</f>
        <v>777174173</v>
      </c>
      <c r="M136" t="str">
        <f>"16483899"</f>
        <v>16483899</v>
      </c>
      <c r="N136" t="str">
        <f>"545-18AT"</f>
        <v>545-18AT</v>
      </c>
      <c r="O136" t="str">
        <f t="shared" si="61"/>
        <v>TEXAS</v>
      </c>
      <c r="P136" t="str">
        <f t="shared" si="62"/>
        <v>N A</v>
      </c>
      <c r="Q136" t="str">
        <f t="shared" si="63"/>
        <v>N/A</v>
      </c>
      <c r="R136" t="str">
        <f>"130 MGCRP 07 305"</f>
        <v>130 MGCRP 07 305</v>
      </c>
      <c r="S136" t="str">
        <f>"12/20/2019 3:38:55 PM"</f>
        <v>12/20/2019 3:38:55 PM</v>
      </c>
      <c r="T136" t="str">
        <f t="shared" si="43"/>
        <v>5</v>
      </c>
      <c r="U136" t="str">
        <f t="shared" si="64"/>
        <v>N/A</v>
      </c>
      <c r="V136" t="str">
        <f t="shared" si="66"/>
        <v>5.5500</v>
      </c>
    </row>
    <row r="137" spans="1:22" x14ac:dyDescent="0.25">
      <c r="A137" s="1" t="str">
        <f t="shared" si="58"/>
        <v>545-1</v>
      </c>
      <c r="B137" s="1" t="str">
        <f t="shared" si="65"/>
        <v>545-1</v>
      </c>
      <c r="C137" s="1" t="str">
        <f>VLOOKUP(B137,'Master truck list'!D:E,2,0)</f>
        <v>545-18ATL</v>
      </c>
      <c r="D137" s="1" t="str">
        <f>VLOOKUP(C137,'Master truck list'!E:F,2,0)</f>
        <v>ACTIVE</v>
      </c>
      <c r="E137" s="1" t="str">
        <f>VLOOKUP(C137,'Master truck list'!E:M,9,0)</f>
        <v>BNK TRANSPORT INC</v>
      </c>
      <c r="F137" s="1" t="str">
        <f>VLOOKUP(C137,'Master truck list'!E:G,3,0)</f>
        <v>Owner Operator</v>
      </c>
      <c r="G137" s="1">
        <f>VLOOKUP(C137,'Master truck list'!E:R,14,0)</f>
        <v>1067</v>
      </c>
      <c r="H137" t="str">
        <f t="shared" si="59"/>
        <v>12/21/2019 7:00:28 AM</v>
      </c>
      <c r="I137" t="str">
        <f>""</f>
        <v/>
      </c>
      <c r="J137" t="str">
        <f t="shared" si="60"/>
        <v>Elite</v>
      </c>
      <c r="K137" t="str">
        <f t="shared" si="39"/>
        <v>Device</v>
      </c>
      <c r="L137" t="str">
        <f>"777174173"</f>
        <v>777174173</v>
      </c>
      <c r="M137" t="str">
        <f>"16483899"</f>
        <v>16483899</v>
      </c>
      <c r="N137" t="str">
        <f>"545-18AT"</f>
        <v>545-18AT</v>
      </c>
      <c r="O137" t="str">
        <f t="shared" si="61"/>
        <v>TEXAS</v>
      </c>
      <c r="P137" t="str">
        <f t="shared" si="62"/>
        <v>N A</v>
      </c>
      <c r="Q137" t="str">
        <f t="shared" si="63"/>
        <v>N/A</v>
      </c>
      <c r="R137" t="str">
        <f>"130 DKCRP 06 307"</f>
        <v>130 DKCRP 06 307</v>
      </c>
      <c r="S137" t="str">
        <f>"12/20/2019 4:04:20 PM"</f>
        <v>12/20/2019 4:04:20 PM</v>
      </c>
      <c r="T137" t="str">
        <f t="shared" si="43"/>
        <v>5</v>
      </c>
      <c r="U137" t="str">
        <f t="shared" si="64"/>
        <v>N/A</v>
      </c>
      <c r="V137" t="str">
        <f t="shared" si="66"/>
        <v>5.5500</v>
      </c>
    </row>
    <row r="138" spans="1:22" x14ac:dyDescent="0.25">
      <c r="A138" s="1" t="str">
        <f t="shared" si="58"/>
        <v>545-1</v>
      </c>
      <c r="B138" s="1" t="str">
        <f t="shared" si="65"/>
        <v>545-1</v>
      </c>
      <c r="C138" s="1" t="str">
        <f>VLOOKUP(B138,'Master truck list'!D:E,2,0)</f>
        <v>545-18ATL</v>
      </c>
      <c r="D138" s="1" t="str">
        <f>VLOOKUP(C138,'Master truck list'!E:F,2,0)</f>
        <v>ACTIVE</v>
      </c>
      <c r="E138" s="1" t="str">
        <f>VLOOKUP(C138,'Master truck list'!E:M,9,0)</f>
        <v>BNK TRANSPORT INC</v>
      </c>
      <c r="F138" s="1" t="str">
        <f>VLOOKUP(C138,'Master truck list'!E:G,3,0)</f>
        <v>Owner Operator</v>
      </c>
      <c r="G138" s="1">
        <f>VLOOKUP(C138,'Master truck list'!E:R,14,0)</f>
        <v>1067</v>
      </c>
      <c r="H138" t="str">
        <f t="shared" si="59"/>
        <v>12/21/2019 7:00:28 AM</v>
      </c>
      <c r="I138" t="str">
        <f>""</f>
        <v/>
      </c>
      <c r="J138" t="str">
        <f t="shared" si="60"/>
        <v>Elite</v>
      </c>
      <c r="K138" t="str">
        <f t="shared" si="39"/>
        <v>Device</v>
      </c>
      <c r="L138" t="str">
        <f>"777174173"</f>
        <v>777174173</v>
      </c>
      <c r="M138" t="str">
        <f>"16483899"</f>
        <v>16483899</v>
      </c>
      <c r="N138" t="str">
        <f>"545-18AT"</f>
        <v>545-18AT</v>
      </c>
      <c r="O138" t="str">
        <f t="shared" si="61"/>
        <v>TEXAS</v>
      </c>
      <c r="P138" t="str">
        <f t="shared" si="62"/>
        <v>N A</v>
      </c>
      <c r="Q138" t="str">
        <f t="shared" si="63"/>
        <v>N/A</v>
      </c>
      <c r="R138" t="str">
        <f>"130 ARPTP 04 308"</f>
        <v>130 ARPTP 04 308</v>
      </c>
      <c r="S138" t="str">
        <f>"12/20/2019 4:16:19 PM"</f>
        <v>12/20/2019 4:16:19 PM</v>
      </c>
      <c r="T138" t="str">
        <f t="shared" si="43"/>
        <v>5</v>
      </c>
      <c r="U138" t="str">
        <f t="shared" si="64"/>
        <v>N/A</v>
      </c>
      <c r="V138" t="str">
        <f t="shared" si="66"/>
        <v>5.5500</v>
      </c>
    </row>
    <row r="139" spans="1:22" x14ac:dyDescent="0.25">
      <c r="A139" s="1" t="str">
        <f t="shared" si="58"/>
        <v>551-1</v>
      </c>
      <c r="B139" s="1" t="str">
        <f t="shared" si="65"/>
        <v>551-1</v>
      </c>
      <c r="C139" s="1" t="str">
        <f>VLOOKUP(B139,'Master truck list'!D:E,2,0)</f>
        <v>551-18AL</v>
      </c>
      <c r="D139" s="1" t="str">
        <f>VLOOKUP(C139,'Master truck list'!E:F,2,0)</f>
        <v>ACTIVE</v>
      </c>
      <c r="E139" s="1" t="str">
        <f>VLOOKUP(C139,'Master truck list'!E:M,9,0)</f>
        <v>BNK TRANSPORT INC</v>
      </c>
      <c r="F139" s="1" t="str">
        <f>VLOOKUP(C139,'Master truck list'!E:G,3,0)</f>
        <v>Owner Operator</v>
      </c>
      <c r="G139" s="1">
        <f>VLOOKUP(C139,'Master truck list'!E:R,14,0)</f>
        <v>1143</v>
      </c>
      <c r="H139" t="str">
        <f t="shared" ref="H139:H148" si="67">"12/20/2019 7:00:30 AM"</f>
        <v>12/20/2019 7:00:30 AM</v>
      </c>
      <c r="I139" t="str">
        <f>""</f>
        <v/>
      </c>
      <c r="J139" t="str">
        <f t="shared" si="60"/>
        <v>Elite</v>
      </c>
      <c r="K139" t="str">
        <f t="shared" si="39"/>
        <v>Device</v>
      </c>
      <c r="L139" t="str">
        <f>"777174183"</f>
        <v>777174183</v>
      </c>
      <c r="M139" t="str">
        <f>"16483909"</f>
        <v>16483909</v>
      </c>
      <c r="N139" t="str">
        <f>"551-18A"</f>
        <v>551-18A</v>
      </c>
      <c r="O139" t="str">
        <f t="shared" si="61"/>
        <v>TEXAS</v>
      </c>
      <c r="P139" t="str">
        <f t="shared" si="62"/>
        <v>N A</v>
      </c>
      <c r="Q139" t="str">
        <f t="shared" si="63"/>
        <v>N/A</v>
      </c>
      <c r="R139" t="str">
        <f>"130 DKCRP 06 307"</f>
        <v>130 DKCRP 06 307</v>
      </c>
      <c r="S139" t="str">
        <f>"12/19/2019 12:40:07 PM"</f>
        <v>12/19/2019 12:40:07 PM</v>
      </c>
      <c r="T139" t="str">
        <f t="shared" si="43"/>
        <v>5</v>
      </c>
      <c r="U139" t="str">
        <f t="shared" si="64"/>
        <v>N/A</v>
      </c>
      <c r="V139" t="str">
        <f t="shared" si="66"/>
        <v>5.5500</v>
      </c>
    </row>
    <row r="140" spans="1:22" x14ac:dyDescent="0.25">
      <c r="A140" s="1" t="str">
        <f t="shared" si="58"/>
        <v>551-1</v>
      </c>
      <c r="B140" s="1" t="str">
        <f t="shared" si="65"/>
        <v>551-1</v>
      </c>
      <c r="C140" s="1" t="str">
        <f>VLOOKUP(B140,'Master truck list'!D:E,2,0)</f>
        <v>551-18AL</v>
      </c>
      <c r="D140" s="1" t="str">
        <f>VLOOKUP(C140,'Master truck list'!E:F,2,0)</f>
        <v>ACTIVE</v>
      </c>
      <c r="E140" s="1" t="str">
        <f>VLOOKUP(C140,'Master truck list'!E:M,9,0)</f>
        <v>BNK TRANSPORT INC</v>
      </c>
      <c r="F140" s="1" t="str">
        <f>VLOOKUP(C140,'Master truck list'!E:G,3,0)</f>
        <v>Owner Operator</v>
      </c>
      <c r="G140" s="1">
        <f>VLOOKUP(C140,'Master truck list'!E:R,14,0)</f>
        <v>1143</v>
      </c>
      <c r="H140" t="str">
        <f t="shared" si="67"/>
        <v>12/20/2019 7:00:30 AM</v>
      </c>
      <c r="I140" t="str">
        <f>""</f>
        <v/>
      </c>
      <c r="J140" t="str">
        <f t="shared" si="60"/>
        <v>Elite</v>
      </c>
      <c r="K140" t="str">
        <f t="shared" si="39"/>
        <v>Device</v>
      </c>
      <c r="L140" t="str">
        <f>"777174183"</f>
        <v>777174183</v>
      </c>
      <c r="M140" t="str">
        <f>"16483909"</f>
        <v>16483909</v>
      </c>
      <c r="N140" t="str">
        <f>"551-18A"</f>
        <v>551-18A</v>
      </c>
      <c r="O140" t="str">
        <f t="shared" si="61"/>
        <v>TEXAS</v>
      </c>
      <c r="P140" t="str">
        <f t="shared" si="62"/>
        <v>N A</v>
      </c>
      <c r="Q140" t="str">
        <f t="shared" si="63"/>
        <v>N/A</v>
      </c>
      <c r="R140" t="str">
        <f>"130 MGCRP 06 305"</f>
        <v>130 MGCRP 06 305</v>
      </c>
      <c r="S140" t="str">
        <f>"12/19/2019 12:19:10 PM"</f>
        <v>12/19/2019 12:19:10 PM</v>
      </c>
      <c r="T140" t="str">
        <f t="shared" si="43"/>
        <v>5</v>
      </c>
      <c r="U140" t="str">
        <f t="shared" si="64"/>
        <v>N/A</v>
      </c>
      <c r="V140" t="str">
        <f t="shared" si="66"/>
        <v>5.5500</v>
      </c>
    </row>
    <row r="141" spans="1:22" x14ac:dyDescent="0.25">
      <c r="A141" s="1" t="str">
        <f t="shared" si="58"/>
        <v>551-1</v>
      </c>
      <c r="B141" s="1" t="str">
        <f t="shared" si="65"/>
        <v>551-1</v>
      </c>
      <c r="C141" s="1" t="str">
        <f>VLOOKUP(B141,'Master truck list'!D:E,2,0)</f>
        <v>551-18AL</v>
      </c>
      <c r="D141" s="1" t="str">
        <f>VLOOKUP(C141,'Master truck list'!E:F,2,0)</f>
        <v>ACTIVE</v>
      </c>
      <c r="E141" s="1" t="str">
        <f>VLOOKUP(C141,'Master truck list'!E:M,9,0)</f>
        <v>BNK TRANSPORT INC</v>
      </c>
      <c r="F141" s="1" t="str">
        <f>VLOOKUP(C141,'Master truck list'!E:G,3,0)</f>
        <v>Owner Operator</v>
      </c>
      <c r="G141" s="1">
        <f>VLOOKUP(C141,'Master truck list'!E:R,14,0)</f>
        <v>1143</v>
      </c>
      <c r="H141" t="str">
        <f t="shared" si="67"/>
        <v>12/20/2019 7:00:30 AM</v>
      </c>
      <c r="I141" t="str">
        <f>""</f>
        <v/>
      </c>
      <c r="J141" t="str">
        <f t="shared" si="60"/>
        <v>Elite</v>
      </c>
      <c r="K141" t="str">
        <f t="shared" si="39"/>
        <v>Device</v>
      </c>
      <c r="L141" t="str">
        <f>"777174183"</f>
        <v>777174183</v>
      </c>
      <c r="M141" t="str">
        <f>"16483909"</f>
        <v>16483909</v>
      </c>
      <c r="N141" t="str">
        <f>"551-18A"</f>
        <v>551-18A</v>
      </c>
      <c r="O141" t="str">
        <f t="shared" si="61"/>
        <v>TEXAS</v>
      </c>
      <c r="P141" t="str">
        <f t="shared" si="62"/>
        <v>N A</v>
      </c>
      <c r="Q141" t="str">
        <f t="shared" si="63"/>
        <v>N/A</v>
      </c>
      <c r="R141" t="str">
        <f>"45SE MLPWB 01 611"</f>
        <v>45SE MLPWB 01 611</v>
      </c>
      <c r="S141" t="str">
        <f>"12/19/2019 12:57:36 PM"</f>
        <v>12/19/2019 12:57:36 PM</v>
      </c>
      <c r="T141" t="str">
        <f t="shared" si="43"/>
        <v>5</v>
      </c>
      <c r="U141" t="str">
        <f t="shared" si="64"/>
        <v>N/A</v>
      </c>
      <c r="V141" t="str">
        <f>"3.3000"</f>
        <v>3.3000</v>
      </c>
    </row>
    <row r="142" spans="1:22" x14ac:dyDescent="0.25">
      <c r="A142" s="1" t="str">
        <f t="shared" si="58"/>
        <v>551-1</v>
      </c>
      <c r="B142" s="1" t="str">
        <f t="shared" si="65"/>
        <v>551-1</v>
      </c>
      <c r="C142" s="1" t="str">
        <f>VLOOKUP(B142,'Master truck list'!D:E,2,0)</f>
        <v>551-18AL</v>
      </c>
      <c r="D142" s="1" t="str">
        <f>VLOOKUP(C142,'Master truck list'!E:F,2,0)</f>
        <v>ACTIVE</v>
      </c>
      <c r="E142" s="1" t="str">
        <f>VLOOKUP(C142,'Master truck list'!E:M,9,0)</f>
        <v>BNK TRANSPORT INC</v>
      </c>
      <c r="F142" s="1" t="str">
        <f>VLOOKUP(C142,'Master truck list'!E:G,3,0)</f>
        <v>Owner Operator</v>
      </c>
      <c r="G142" s="1">
        <f>VLOOKUP(C142,'Master truck list'!E:R,14,0)</f>
        <v>1143</v>
      </c>
      <c r="H142" t="str">
        <f t="shared" si="67"/>
        <v>12/20/2019 7:00:30 AM</v>
      </c>
      <c r="I142" t="str">
        <f>""</f>
        <v/>
      </c>
      <c r="J142" t="str">
        <f t="shared" si="60"/>
        <v>Elite</v>
      </c>
      <c r="K142" t="str">
        <f t="shared" si="39"/>
        <v>Device</v>
      </c>
      <c r="L142" t="str">
        <f>"777174183"</f>
        <v>777174183</v>
      </c>
      <c r="M142" t="str">
        <f>"16483909"</f>
        <v>16483909</v>
      </c>
      <c r="N142" t="str">
        <f>"551-18A"</f>
        <v>551-18A</v>
      </c>
      <c r="O142" t="str">
        <f t="shared" si="61"/>
        <v>TEXAS</v>
      </c>
      <c r="P142" t="str">
        <f t="shared" si="62"/>
        <v>N A</v>
      </c>
      <c r="Q142" t="str">
        <f t="shared" si="63"/>
        <v>N/A</v>
      </c>
      <c r="R142" t="str">
        <f>"130 CMRNP 08 306"</f>
        <v>130 CMRNP 08 306</v>
      </c>
      <c r="S142" t="str">
        <f>"12/19/2019 12:30:06 PM"</f>
        <v>12/19/2019 12:30:06 PM</v>
      </c>
      <c r="T142" t="str">
        <f t="shared" si="43"/>
        <v>5</v>
      </c>
      <c r="U142" t="str">
        <f t="shared" si="64"/>
        <v>N/A</v>
      </c>
      <c r="V142" t="str">
        <f>"5.5500"</f>
        <v>5.5500</v>
      </c>
    </row>
    <row r="143" spans="1:22" x14ac:dyDescent="0.25">
      <c r="A143" s="1" t="str">
        <f t="shared" si="58"/>
        <v>551-1</v>
      </c>
      <c r="B143" s="1" t="str">
        <f t="shared" si="65"/>
        <v>551-1</v>
      </c>
      <c r="C143" s="1" t="str">
        <f>VLOOKUP(B143,'Master truck list'!D:E,2,0)</f>
        <v>551-18AL</v>
      </c>
      <c r="D143" s="1" t="str">
        <f>VLOOKUP(C143,'Master truck list'!E:F,2,0)</f>
        <v>ACTIVE</v>
      </c>
      <c r="E143" s="1" t="str">
        <f>VLOOKUP(C143,'Master truck list'!E:M,9,0)</f>
        <v>BNK TRANSPORT INC</v>
      </c>
      <c r="F143" s="1" t="str">
        <f>VLOOKUP(C143,'Master truck list'!E:G,3,0)</f>
        <v>Owner Operator</v>
      </c>
      <c r="G143" s="1">
        <f>VLOOKUP(C143,'Master truck list'!E:R,14,0)</f>
        <v>1143</v>
      </c>
      <c r="H143" t="str">
        <f t="shared" si="67"/>
        <v>12/20/2019 7:00:30 AM</v>
      </c>
      <c r="I143" t="str">
        <f>""</f>
        <v/>
      </c>
      <c r="J143" t="str">
        <f t="shared" si="60"/>
        <v>Elite</v>
      </c>
      <c r="K143" t="str">
        <f t="shared" ref="K143:K206" si="68">"Device"</f>
        <v>Device</v>
      </c>
      <c r="L143" t="str">
        <f>"777174183"</f>
        <v>777174183</v>
      </c>
      <c r="M143" t="str">
        <f>"16483909"</f>
        <v>16483909</v>
      </c>
      <c r="N143" t="str">
        <f>"551-18A"</f>
        <v>551-18A</v>
      </c>
      <c r="O143" t="str">
        <f t="shared" si="61"/>
        <v>TEXAS</v>
      </c>
      <c r="P143" t="str">
        <f t="shared" si="62"/>
        <v>N A</v>
      </c>
      <c r="Q143" t="str">
        <f t="shared" si="63"/>
        <v>N/A</v>
      </c>
      <c r="R143" t="str">
        <f>"130 ARPTP 05 308"</f>
        <v>130 ARPTP 05 308</v>
      </c>
      <c r="S143" t="str">
        <f>"12/19/2019 12:47:05 PM"</f>
        <v>12/19/2019 12:47:05 PM</v>
      </c>
      <c r="T143" t="str">
        <f t="shared" si="43"/>
        <v>5</v>
      </c>
      <c r="U143" t="str">
        <f t="shared" si="64"/>
        <v>N/A</v>
      </c>
      <c r="V143" t="str">
        <f>"5.5500"</f>
        <v>5.5500</v>
      </c>
    </row>
    <row r="144" spans="1:22" x14ac:dyDescent="0.25">
      <c r="A144" s="1" t="str">
        <f t="shared" si="58"/>
        <v>561-1</v>
      </c>
      <c r="B144" s="1" t="str">
        <f t="shared" si="65"/>
        <v>561-1</v>
      </c>
      <c r="C144" s="1" t="str">
        <f>VLOOKUP(B144,'Master truck list'!D:E,2,0)</f>
        <v>561-18A</v>
      </c>
      <c r="D144" s="1" t="str">
        <f>VLOOKUP(C144,'Master truck list'!E:F,2,0)</f>
        <v>ACTIVE</v>
      </c>
      <c r="E144" s="1" t="str">
        <f>VLOOKUP(C144,'Master truck list'!E:M,9,0)</f>
        <v>BNK TRANSPORT INC</v>
      </c>
      <c r="F144" s="1" t="str">
        <f>VLOOKUP(C144,'Master truck list'!E:G,3,0)</f>
        <v>Company</v>
      </c>
      <c r="G144" s="1">
        <f>VLOOKUP(C144,'Master truck list'!E:R,14,0)</f>
        <v>1214</v>
      </c>
      <c r="H144" t="str">
        <f t="shared" si="67"/>
        <v>12/20/2019 7:00:30 AM</v>
      </c>
      <c r="I144" t="str">
        <f>""</f>
        <v/>
      </c>
      <c r="J144" t="str">
        <f t="shared" si="60"/>
        <v>Elite</v>
      </c>
      <c r="K144" t="str">
        <f t="shared" si="68"/>
        <v>Device</v>
      </c>
      <c r="L144" t="str">
        <f>"777174176"</f>
        <v>777174176</v>
      </c>
      <c r="M144" t="str">
        <f>"16483902"</f>
        <v>16483902</v>
      </c>
      <c r="N144" t="str">
        <f>"561-18A"</f>
        <v>561-18A</v>
      </c>
      <c r="O144" t="str">
        <f t="shared" si="61"/>
        <v>TEXAS</v>
      </c>
      <c r="P144" t="str">
        <f t="shared" si="62"/>
        <v>N A</v>
      </c>
      <c r="Q144" t="str">
        <f t="shared" si="63"/>
        <v>N/A</v>
      </c>
      <c r="R144" t="str">
        <f>"130 ARPTP 04 308"</f>
        <v>130 ARPTP 04 308</v>
      </c>
      <c r="S144" t="str">
        <f>"12/19/2019 12:59:27 PM"</f>
        <v>12/19/2019 12:59:27 PM</v>
      </c>
      <c r="T144" t="str">
        <f t="shared" si="43"/>
        <v>5</v>
      </c>
      <c r="U144" t="str">
        <f t="shared" si="64"/>
        <v>N/A</v>
      </c>
      <c r="V144" t="str">
        <f>"5.5500"</f>
        <v>5.5500</v>
      </c>
    </row>
    <row r="145" spans="1:22" x14ac:dyDescent="0.25">
      <c r="A145" s="1" t="str">
        <f t="shared" si="58"/>
        <v>561-1</v>
      </c>
      <c r="B145" s="1" t="str">
        <f t="shared" si="65"/>
        <v>561-1</v>
      </c>
      <c r="C145" s="1" t="str">
        <f>VLOOKUP(B145,'Master truck list'!D:E,2,0)</f>
        <v>561-18A</v>
      </c>
      <c r="D145" s="1" t="str">
        <f>VLOOKUP(C145,'Master truck list'!E:F,2,0)</f>
        <v>ACTIVE</v>
      </c>
      <c r="E145" s="1" t="str">
        <f>VLOOKUP(C145,'Master truck list'!E:M,9,0)</f>
        <v>BNK TRANSPORT INC</v>
      </c>
      <c r="F145" s="1" t="str">
        <f>VLOOKUP(C145,'Master truck list'!E:G,3,0)</f>
        <v>Company</v>
      </c>
      <c r="G145" s="1">
        <f>VLOOKUP(C145,'Master truck list'!E:R,14,0)</f>
        <v>1214</v>
      </c>
      <c r="H145" t="str">
        <f t="shared" si="67"/>
        <v>12/20/2019 7:00:30 AM</v>
      </c>
      <c r="I145" t="str">
        <f>""</f>
        <v/>
      </c>
      <c r="J145" t="str">
        <f t="shared" si="60"/>
        <v>Elite</v>
      </c>
      <c r="K145" t="str">
        <f t="shared" si="68"/>
        <v>Device</v>
      </c>
      <c r="L145" t="str">
        <f>"777174176"</f>
        <v>777174176</v>
      </c>
      <c r="M145" t="str">
        <f>"16483902"</f>
        <v>16483902</v>
      </c>
      <c r="N145" t="str">
        <f>"561-18A"</f>
        <v>561-18A</v>
      </c>
      <c r="O145" t="str">
        <f t="shared" si="61"/>
        <v>TEXAS</v>
      </c>
      <c r="P145" t="str">
        <f t="shared" si="62"/>
        <v>N A</v>
      </c>
      <c r="Q145" t="str">
        <f t="shared" si="63"/>
        <v>N/A</v>
      </c>
      <c r="R145" t="str">
        <f>"130 CMRNP 08 306"</f>
        <v>130 CMRNP 08 306</v>
      </c>
      <c r="S145" t="str">
        <f>"12/19/2019 12:42:17 PM"</f>
        <v>12/19/2019 12:42:17 PM</v>
      </c>
      <c r="T145" t="str">
        <f t="shared" ref="T145:T146" si="69">"5"</f>
        <v>5</v>
      </c>
      <c r="U145" t="str">
        <f t="shared" si="64"/>
        <v>N/A</v>
      </c>
      <c r="V145" t="str">
        <f>"5.5500"</f>
        <v>5.5500</v>
      </c>
    </row>
    <row r="146" spans="1:22" x14ac:dyDescent="0.25">
      <c r="A146" s="1" t="str">
        <f t="shared" si="58"/>
        <v>561-1</v>
      </c>
      <c r="B146" s="1" t="str">
        <f t="shared" si="65"/>
        <v>561-1</v>
      </c>
      <c r="C146" s="1" t="str">
        <f>VLOOKUP(B146,'Master truck list'!D:E,2,0)</f>
        <v>561-18A</v>
      </c>
      <c r="D146" s="1" t="str">
        <f>VLOOKUP(C146,'Master truck list'!E:F,2,0)</f>
        <v>ACTIVE</v>
      </c>
      <c r="E146" s="1" t="str">
        <f>VLOOKUP(C146,'Master truck list'!E:M,9,0)</f>
        <v>BNK TRANSPORT INC</v>
      </c>
      <c r="F146" s="1" t="str">
        <f>VLOOKUP(C146,'Master truck list'!E:G,3,0)</f>
        <v>Company</v>
      </c>
      <c r="G146" s="1">
        <f>VLOOKUP(C146,'Master truck list'!E:R,14,0)</f>
        <v>1214</v>
      </c>
      <c r="H146" t="str">
        <f t="shared" si="67"/>
        <v>12/20/2019 7:00:30 AM</v>
      </c>
      <c r="I146" t="str">
        <f>""</f>
        <v/>
      </c>
      <c r="J146" t="str">
        <f t="shared" si="60"/>
        <v>Elite</v>
      </c>
      <c r="K146" t="str">
        <f t="shared" si="68"/>
        <v>Device</v>
      </c>
      <c r="L146" t="str">
        <f>"777174176"</f>
        <v>777174176</v>
      </c>
      <c r="M146" t="str">
        <f>"16483902"</f>
        <v>16483902</v>
      </c>
      <c r="N146" t="str">
        <f>"561-18A"</f>
        <v>561-18A</v>
      </c>
      <c r="O146" t="str">
        <f t="shared" si="61"/>
        <v>TEXAS</v>
      </c>
      <c r="P146" t="str">
        <f t="shared" si="62"/>
        <v>N A</v>
      </c>
      <c r="Q146" t="str">
        <f t="shared" si="63"/>
        <v>N/A</v>
      </c>
      <c r="R146" t="str">
        <f>"45SE MLPWB 01 611"</f>
        <v>45SE MLPWB 01 611</v>
      </c>
      <c r="S146" t="str">
        <f>"12/19/2019 1:10:05 PM"</f>
        <v>12/19/2019 1:10:05 PM</v>
      </c>
      <c r="T146" t="str">
        <f t="shared" si="69"/>
        <v>5</v>
      </c>
      <c r="U146" t="str">
        <f t="shared" si="64"/>
        <v>N/A</v>
      </c>
      <c r="V146" t="str">
        <f>"3.3000"</f>
        <v>3.3000</v>
      </c>
    </row>
    <row r="147" spans="1:22" x14ac:dyDescent="0.25">
      <c r="A147" s="1" t="str">
        <f t="shared" si="58"/>
        <v>561-1</v>
      </c>
      <c r="B147" s="1" t="str">
        <f t="shared" si="65"/>
        <v>561-1</v>
      </c>
      <c r="C147" s="1" t="str">
        <f>VLOOKUP(B147,'Master truck list'!D:E,2,0)</f>
        <v>561-18A</v>
      </c>
      <c r="D147" s="1" t="str">
        <f>VLOOKUP(C147,'Master truck list'!E:F,2,0)</f>
        <v>ACTIVE</v>
      </c>
      <c r="E147" s="1" t="str">
        <f>VLOOKUP(C147,'Master truck list'!E:M,9,0)</f>
        <v>BNK TRANSPORT INC</v>
      </c>
      <c r="F147" s="1" t="str">
        <f>VLOOKUP(C147,'Master truck list'!E:G,3,0)</f>
        <v>Company</v>
      </c>
      <c r="G147" s="1">
        <f>VLOOKUP(C147,'Master truck list'!E:R,14,0)</f>
        <v>1214</v>
      </c>
      <c r="H147" t="str">
        <f t="shared" si="67"/>
        <v>12/20/2019 7:00:30 AM</v>
      </c>
      <c r="I147" t="str">
        <f>""</f>
        <v/>
      </c>
      <c r="J147" t="str">
        <f t="shared" si="60"/>
        <v>Elite</v>
      </c>
      <c r="K147" t="str">
        <f t="shared" si="68"/>
        <v>Device</v>
      </c>
      <c r="L147" t="str">
        <f>"777174176"</f>
        <v>777174176</v>
      </c>
      <c r="M147" t="str">
        <f>"16483902"</f>
        <v>16483902</v>
      </c>
      <c r="N147" t="str">
        <f>"561-18A"</f>
        <v>561-18A</v>
      </c>
      <c r="O147" t="str">
        <f t="shared" si="61"/>
        <v>TEXAS</v>
      </c>
      <c r="P147" t="str">
        <f t="shared" si="62"/>
        <v>N A</v>
      </c>
      <c r="Q147" t="str">
        <f t="shared" si="63"/>
        <v>N/A</v>
      </c>
      <c r="R147" t="str">
        <f>"130 MGCRP 06 305"</f>
        <v>130 MGCRP 06 305</v>
      </c>
      <c r="S147" t="str">
        <f>"12/19/2019 12:31:15 PM"</f>
        <v>12/19/2019 12:31:15 PM</v>
      </c>
      <c r="T147" t="str">
        <f>"2"</f>
        <v>2</v>
      </c>
      <c r="U147" t="str">
        <f t="shared" si="64"/>
        <v>N/A</v>
      </c>
      <c r="V147" t="str">
        <f>"1.8500"</f>
        <v>1.8500</v>
      </c>
    </row>
    <row r="148" spans="1:22" x14ac:dyDescent="0.25">
      <c r="A148" s="1" t="str">
        <f t="shared" si="58"/>
        <v>561-1</v>
      </c>
      <c r="B148" s="1" t="str">
        <f t="shared" si="65"/>
        <v>561-1</v>
      </c>
      <c r="C148" s="1" t="str">
        <f>VLOOKUP(B148,'Master truck list'!D:E,2,0)</f>
        <v>561-18A</v>
      </c>
      <c r="D148" s="1" t="str">
        <f>VLOOKUP(C148,'Master truck list'!E:F,2,0)</f>
        <v>ACTIVE</v>
      </c>
      <c r="E148" s="1" t="str">
        <f>VLOOKUP(C148,'Master truck list'!E:M,9,0)</f>
        <v>BNK TRANSPORT INC</v>
      </c>
      <c r="F148" s="1" t="str">
        <f>VLOOKUP(C148,'Master truck list'!E:G,3,0)</f>
        <v>Company</v>
      </c>
      <c r="G148" s="1">
        <f>VLOOKUP(C148,'Master truck list'!E:R,14,0)</f>
        <v>1214</v>
      </c>
      <c r="H148" t="str">
        <f t="shared" si="67"/>
        <v>12/20/2019 7:00:30 AM</v>
      </c>
      <c r="I148" t="str">
        <f>""</f>
        <v/>
      </c>
      <c r="J148" t="str">
        <f t="shared" si="60"/>
        <v>Elite</v>
      </c>
      <c r="K148" t="str">
        <f t="shared" si="68"/>
        <v>Device</v>
      </c>
      <c r="L148" t="str">
        <f>"777174176"</f>
        <v>777174176</v>
      </c>
      <c r="M148" t="str">
        <f>"16483902"</f>
        <v>16483902</v>
      </c>
      <c r="N148" t="str">
        <f>"561-18A"</f>
        <v>561-18A</v>
      </c>
      <c r="O148" t="str">
        <f t="shared" si="61"/>
        <v>TEXAS</v>
      </c>
      <c r="P148" t="str">
        <f t="shared" si="62"/>
        <v>N A</v>
      </c>
      <c r="Q148" t="str">
        <f t="shared" si="63"/>
        <v>N/A</v>
      </c>
      <c r="R148" t="str">
        <f>"130 DKCRP 06 307"</f>
        <v>130 DKCRP 06 307</v>
      </c>
      <c r="S148" t="str">
        <f>"12/19/2019 12:52:25 PM"</f>
        <v>12/19/2019 12:52:25 PM</v>
      </c>
      <c r="T148" t="str">
        <f t="shared" ref="T148:T211" si="70">"5"</f>
        <v>5</v>
      </c>
      <c r="U148" t="str">
        <f t="shared" si="64"/>
        <v>N/A</v>
      </c>
      <c r="V148" t="str">
        <f>"5.5500"</f>
        <v>5.5500</v>
      </c>
    </row>
    <row r="149" spans="1:22" x14ac:dyDescent="0.25">
      <c r="A149" s="1" t="str">
        <f t="shared" si="58"/>
        <v>19250</v>
      </c>
      <c r="B149" s="1" t="str">
        <f t="shared" si="65"/>
        <v>19250</v>
      </c>
      <c r="C149" s="1" t="str">
        <f>VLOOKUP(B149,'Master truck list'!D:E,2,0)</f>
        <v>19250-19</v>
      </c>
      <c r="D149" s="1" t="str">
        <f>VLOOKUP(C149,'Master truck list'!E:F,2,0)</f>
        <v>OUT OF SERVICE</v>
      </c>
      <c r="E149" s="1" t="str">
        <f>VLOOKUP(C149,'Master truck list'!E:M,9,0)</f>
        <v>BKFS LOGISTICS</v>
      </c>
      <c r="F149" s="1" t="str">
        <f>VLOOKUP(C149,'Master truck list'!E:G,3,0)</f>
        <v>Company</v>
      </c>
      <c r="G149" s="1">
        <f>VLOOKUP(C149,'Master truck list'!E:R,14,0)</f>
        <v>2186</v>
      </c>
      <c r="H149" t="str">
        <f>"12/19/2019 7:00:35 AM"</f>
        <v>12/19/2019 7:00:35 AM</v>
      </c>
      <c r="I149" t="str">
        <f>""</f>
        <v/>
      </c>
      <c r="J149" t="str">
        <f t="shared" si="60"/>
        <v>Elite</v>
      </c>
      <c r="K149" t="str">
        <f t="shared" si="68"/>
        <v>Device</v>
      </c>
      <c r="L149" t="str">
        <f>"777168248"</f>
        <v>777168248</v>
      </c>
      <c r="M149" t="str">
        <f>"16427323"</f>
        <v>16427323</v>
      </c>
      <c r="N149" t="str">
        <f>"19250-19"</f>
        <v>19250-19</v>
      </c>
      <c r="O149" t="str">
        <f t="shared" si="61"/>
        <v>TEXAS</v>
      </c>
      <c r="P149" t="str">
        <f t="shared" si="62"/>
        <v>N A</v>
      </c>
      <c r="Q149" t="str">
        <f t="shared" si="63"/>
        <v>N/A</v>
      </c>
      <c r="R149" t="str">
        <f>"130 DKCRP 06 307"</f>
        <v>130 DKCRP 06 307</v>
      </c>
      <c r="S149" t="str">
        <f>"12/18/2019 5:52:31 PM"</f>
        <v>12/18/2019 5:52:31 PM</v>
      </c>
      <c r="T149" t="str">
        <f t="shared" si="70"/>
        <v>5</v>
      </c>
      <c r="U149" t="str">
        <f t="shared" si="64"/>
        <v>N/A</v>
      </c>
      <c r="V149" t="str">
        <f>"5.5500"</f>
        <v>5.5500</v>
      </c>
    </row>
    <row r="150" spans="1:22" x14ac:dyDescent="0.25">
      <c r="A150" s="1" t="str">
        <f t="shared" si="58"/>
        <v>19250</v>
      </c>
      <c r="B150" s="1" t="str">
        <f t="shared" si="65"/>
        <v>19250</v>
      </c>
      <c r="C150" s="1" t="str">
        <f>VLOOKUP(B150,'Master truck list'!D:E,2,0)</f>
        <v>19250-19</v>
      </c>
      <c r="D150" s="1" t="str">
        <f>VLOOKUP(C150,'Master truck list'!E:F,2,0)</f>
        <v>OUT OF SERVICE</v>
      </c>
      <c r="E150" s="1" t="str">
        <f>VLOOKUP(C150,'Master truck list'!E:M,9,0)</f>
        <v>BKFS LOGISTICS</v>
      </c>
      <c r="F150" s="1" t="str">
        <f>VLOOKUP(C150,'Master truck list'!E:G,3,0)</f>
        <v>Company</v>
      </c>
      <c r="G150" s="1">
        <f>VLOOKUP(C150,'Master truck list'!E:R,14,0)</f>
        <v>2186</v>
      </c>
      <c r="H150" t="str">
        <f>"12/19/2019 7:00:35 AM"</f>
        <v>12/19/2019 7:00:35 AM</v>
      </c>
      <c r="I150" t="str">
        <f>""</f>
        <v/>
      </c>
      <c r="J150" t="str">
        <f t="shared" si="60"/>
        <v>Elite</v>
      </c>
      <c r="K150" t="str">
        <f t="shared" si="68"/>
        <v>Device</v>
      </c>
      <c r="L150" t="str">
        <f>"777168248"</f>
        <v>777168248</v>
      </c>
      <c r="M150" t="str">
        <f>"16427323"</f>
        <v>16427323</v>
      </c>
      <c r="N150" t="str">
        <f>"19250-19"</f>
        <v>19250-19</v>
      </c>
      <c r="O150" t="str">
        <f t="shared" si="61"/>
        <v>TEXAS</v>
      </c>
      <c r="P150" t="str">
        <f t="shared" si="62"/>
        <v>N A</v>
      </c>
      <c r="Q150" t="str">
        <f t="shared" si="63"/>
        <v>N/A</v>
      </c>
      <c r="R150" t="str">
        <f>"130 ARPTP 04 308"</f>
        <v>130 ARPTP 04 308</v>
      </c>
      <c r="S150" t="str">
        <f>"12/18/2019 6:01:04 PM"</f>
        <v>12/18/2019 6:01:04 PM</v>
      </c>
      <c r="T150" t="str">
        <f t="shared" si="70"/>
        <v>5</v>
      </c>
      <c r="U150" t="str">
        <f t="shared" si="64"/>
        <v>N/A</v>
      </c>
      <c r="V150" t="str">
        <f>"5.5500"</f>
        <v>5.5500</v>
      </c>
    </row>
    <row r="151" spans="1:22" x14ac:dyDescent="0.25">
      <c r="A151" s="1" t="str">
        <f t="shared" si="58"/>
        <v>19250</v>
      </c>
      <c r="B151" s="1" t="str">
        <f t="shared" si="65"/>
        <v>19250</v>
      </c>
      <c r="C151" s="1" t="str">
        <f>VLOOKUP(B151,'Master truck list'!D:E,2,0)</f>
        <v>19250-19</v>
      </c>
      <c r="D151" s="1" t="str">
        <f>VLOOKUP(C151,'Master truck list'!E:F,2,0)</f>
        <v>OUT OF SERVICE</v>
      </c>
      <c r="E151" s="1" t="str">
        <f>VLOOKUP(C151,'Master truck list'!E:M,9,0)</f>
        <v>BKFS LOGISTICS</v>
      </c>
      <c r="F151" s="1" t="str">
        <f>VLOOKUP(C151,'Master truck list'!E:G,3,0)</f>
        <v>Company</v>
      </c>
      <c r="G151" s="1">
        <f>VLOOKUP(C151,'Master truck list'!E:R,14,0)</f>
        <v>2186</v>
      </c>
      <c r="H151" t="str">
        <f>"12/19/2019 7:00:35 AM"</f>
        <v>12/19/2019 7:00:35 AM</v>
      </c>
      <c r="I151" t="str">
        <f>""</f>
        <v/>
      </c>
      <c r="J151" t="str">
        <f t="shared" si="60"/>
        <v>Elite</v>
      </c>
      <c r="K151" t="str">
        <f t="shared" si="68"/>
        <v>Device</v>
      </c>
      <c r="L151" t="str">
        <f>"777168248"</f>
        <v>777168248</v>
      </c>
      <c r="M151" t="str">
        <f>"16427323"</f>
        <v>16427323</v>
      </c>
      <c r="N151" t="str">
        <f>"19250-19"</f>
        <v>19250-19</v>
      </c>
      <c r="O151" t="str">
        <f t="shared" si="61"/>
        <v>TEXAS</v>
      </c>
      <c r="P151" t="str">
        <f t="shared" si="62"/>
        <v>N A</v>
      </c>
      <c r="Q151" t="str">
        <f t="shared" si="63"/>
        <v>N/A</v>
      </c>
      <c r="R151" t="str">
        <f>"130 CMRNP 08 306"</f>
        <v>130 CMRNP 08 306</v>
      </c>
      <c r="S151" t="str">
        <f>"12/18/2019 5:39:42 PM"</f>
        <v>12/18/2019 5:39:42 PM</v>
      </c>
      <c r="T151" t="str">
        <f t="shared" si="70"/>
        <v>5</v>
      </c>
      <c r="U151" t="str">
        <f t="shared" si="64"/>
        <v>N/A</v>
      </c>
      <c r="V151" t="str">
        <f>"5.5500"</f>
        <v>5.5500</v>
      </c>
    </row>
    <row r="152" spans="1:22" x14ac:dyDescent="0.25">
      <c r="A152" s="1" t="str">
        <f t="shared" si="58"/>
        <v>1443-</v>
      </c>
      <c r="B152" s="1" t="str">
        <f t="shared" si="65"/>
        <v>1443-</v>
      </c>
      <c r="C152" s="1" t="str">
        <f>VLOOKUP(B152,'Master truck list'!D:E,2,0)</f>
        <v>1443-19SH</v>
      </c>
      <c r="D152" s="1" t="str">
        <f>VLOOKUP(C152,'Master truck list'!E:F,2,0)</f>
        <v>ACTIVE</v>
      </c>
      <c r="E152" s="1" t="str">
        <f>VLOOKUP(C152,'Master truck list'!E:M,9,0)</f>
        <v>CHARGER LOGISTICS INC</v>
      </c>
      <c r="F152" s="1" t="str">
        <f>VLOOKUP(C152,'Master truck list'!E:G,3,0)</f>
        <v>Company</v>
      </c>
      <c r="G152" s="1">
        <f>VLOOKUP(C152,'Master truck list'!E:R,14,0)</f>
        <v>1741</v>
      </c>
      <c r="H152" t="str">
        <f t="shared" ref="H152:H161" si="71">"12/17/2019 7:00:33 AM"</f>
        <v>12/17/2019 7:00:33 AM</v>
      </c>
      <c r="I152" t="str">
        <f>""</f>
        <v/>
      </c>
      <c r="J152" t="str">
        <f t="shared" si="60"/>
        <v>Elite</v>
      </c>
      <c r="K152" t="str">
        <f t="shared" si="68"/>
        <v>Device</v>
      </c>
      <c r="L152" t="str">
        <f>"777168263"</f>
        <v>777168263</v>
      </c>
      <c r="M152" t="str">
        <f>"16427338"</f>
        <v>16427338</v>
      </c>
      <c r="N152" t="str">
        <f>"1443-19S"</f>
        <v>1443-19S</v>
      </c>
      <c r="O152" t="str">
        <f t="shared" si="61"/>
        <v>TEXAS</v>
      </c>
      <c r="P152" t="str">
        <f t="shared" si="62"/>
        <v>N A</v>
      </c>
      <c r="Q152" t="str">
        <f t="shared" si="63"/>
        <v>N/A</v>
      </c>
      <c r="R152" t="str">
        <f>"45SE MLPEB 02 611"</f>
        <v>45SE MLPEB 02 611</v>
      </c>
      <c r="S152" t="str">
        <f>"12/16/2019 2:52:38 PM"</f>
        <v>12/16/2019 2:52:38 PM</v>
      </c>
      <c r="T152" t="str">
        <f t="shared" si="70"/>
        <v>5</v>
      </c>
      <c r="U152" t="str">
        <f t="shared" si="64"/>
        <v>N/A</v>
      </c>
      <c r="V152" t="str">
        <f>"3.3000"</f>
        <v>3.3000</v>
      </c>
    </row>
    <row r="153" spans="1:22" x14ac:dyDescent="0.25">
      <c r="A153" s="1" t="str">
        <f t="shared" si="58"/>
        <v>1443-</v>
      </c>
      <c r="B153" s="1" t="str">
        <f t="shared" si="65"/>
        <v>1443-</v>
      </c>
      <c r="C153" s="1" t="str">
        <f>VLOOKUP(B153,'Master truck list'!D:E,2,0)</f>
        <v>1443-19SH</v>
      </c>
      <c r="D153" s="1" t="str">
        <f>VLOOKUP(C153,'Master truck list'!E:F,2,0)</f>
        <v>ACTIVE</v>
      </c>
      <c r="E153" s="1" t="str">
        <f>VLOOKUP(C153,'Master truck list'!E:M,9,0)</f>
        <v>CHARGER LOGISTICS INC</v>
      </c>
      <c r="F153" s="1" t="str">
        <f>VLOOKUP(C153,'Master truck list'!E:G,3,0)</f>
        <v>Company</v>
      </c>
      <c r="G153" s="1">
        <f>VLOOKUP(C153,'Master truck list'!E:R,14,0)</f>
        <v>1741</v>
      </c>
      <c r="H153" t="str">
        <f t="shared" si="71"/>
        <v>12/17/2019 7:00:33 AM</v>
      </c>
      <c r="I153" t="str">
        <f>""</f>
        <v/>
      </c>
      <c r="J153" t="str">
        <f t="shared" si="60"/>
        <v>Elite</v>
      </c>
      <c r="K153" t="str">
        <f t="shared" si="68"/>
        <v>Device</v>
      </c>
      <c r="L153" t="str">
        <f>"777168263"</f>
        <v>777168263</v>
      </c>
      <c r="M153" t="str">
        <f>"16427338"</f>
        <v>16427338</v>
      </c>
      <c r="N153" t="str">
        <f>"1443-19S"</f>
        <v>1443-19S</v>
      </c>
      <c r="O153" t="str">
        <f t="shared" si="61"/>
        <v>TEXAS</v>
      </c>
      <c r="P153" t="str">
        <f t="shared" si="62"/>
        <v>N A</v>
      </c>
      <c r="Q153" t="str">
        <f t="shared" si="63"/>
        <v>N/A</v>
      </c>
      <c r="R153" t="str">
        <f>"130 MGCRP 11 305"</f>
        <v>130 MGCRP 11 305</v>
      </c>
      <c r="S153" t="str">
        <f>"12/16/2019 3:32:12 PM"</f>
        <v>12/16/2019 3:32:12 PM</v>
      </c>
      <c r="T153" t="str">
        <f t="shared" si="70"/>
        <v>5</v>
      </c>
      <c r="U153" t="str">
        <f t="shared" si="64"/>
        <v>N/A</v>
      </c>
      <c r="V153" t="str">
        <f t="shared" ref="V153:V160" si="72">"5.5500"</f>
        <v>5.5500</v>
      </c>
    </row>
    <row r="154" spans="1:22" x14ac:dyDescent="0.25">
      <c r="A154" s="1" t="str">
        <f t="shared" si="58"/>
        <v>1443-</v>
      </c>
      <c r="B154" s="1" t="str">
        <f t="shared" si="65"/>
        <v>1443-</v>
      </c>
      <c r="C154" s="1" t="str">
        <f>VLOOKUP(B154,'Master truck list'!D:E,2,0)</f>
        <v>1443-19SH</v>
      </c>
      <c r="D154" s="1" t="str">
        <f>VLOOKUP(C154,'Master truck list'!E:F,2,0)</f>
        <v>ACTIVE</v>
      </c>
      <c r="E154" s="1" t="str">
        <f>VLOOKUP(C154,'Master truck list'!E:M,9,0)</f>
        <v>CHARGER LOGISTICS INC</v>
      </c>
      <c r="F154" s="1" t="str">
        <f>VLOOKUP(C154,'Master truck list'!E:G,3,0)</f>
        <v>Company</v>
      </c>
      <c r="G154" s="1">
        <f>VLOOKUP(C154,'Master truck list'!E:R,14,0)</f>
        <v>1741</v>
      </c>
      <c r="H154" t="str">
        <f t="shared" si="71"/>
        <v>12/17/2019 7:00:33 AM</v>
      </c>
      <c r="I154" t="str">
        <f>""</f>
        <v/>
      </c>
      <c r="J154" t="str">
        <f t="shared" si="60"/>
        <v>Elite</v>
      </c>
      <c r="K154" t="str">
        <f t="shared" si="68"/>
        <v>Device</v>
      </c>
      <c r="L154" t="str">
        <f>"777168263"</f>
        <v>777168263</v>
      </c>
      <c r="M154" t="str">
        <f>"16427338"</f>
        <v>16427338</v>
      </c>
      <c r="N154" t="str">
        <f>"1443-19S"</f>
        <v>1443-19S</v>
      </c>
      <c r="O154" t="str">
        <f t="shared" si="61"/>
        <v>TEXAS</v>
      </c>
      <c r="P154" t="str">
        <f t="shared" si="62"/>
        <v>N A</v>
      </c>
      <c r="Q154" t="str">
        <f t="shared" si="63"/>
        <v>N/A</v>
      </c>
      <c r="R154" t="str">
        <f>"130 ARPTP 09 308"</f>
        <v>130 ARPTP 09 308</v>
      </c>
      <c r="S154" t="str">
        <f>"12/16/2019 3:03:27 PM"</f>
        <v>12/16/2019 3:03:27 PM</v>
      </c>
      <c r="T154" t="str">
        <f t="shared" si="70"/>
        <v>5</v>
      </c>
      <c r="U154" t="str">
        <f t="shared" si="64"/>
        <v>N/A</v>
      </c>
      <c r="V154" t="str">
        <f t="shared" si="72"/>
        <v>5.5500</v>
      </c>
    </row>
    <row r="155" spans="1:22" x14ac:dyDescent="0.25">
      <c r="A155" s="1" t="str">
        <f t="shared" si="58"/>
        <v>1443-</v>
      </c>
      <c r="B155" s="1" t="str">
        <f t="shared" si="65"/>
        <v>1443-</v>
      </c>
      <c r="C155" s="1" t="str">
        <f>VLOOKUP(B155,'Master truck list'!D:E,2,0)</f>
        <v>1443-19SH</v>
      </c>
      <c r="D155" s="1" t="str">
        <f>VLOOKUP(C155,'Master truck list'!E:F,2,0)</f>
        <v>ACTIVE</v>
      </c>
      <c r="E155" s="1" t="str">
        <f>VLOOKUP(C155,'Master truck list'!E:M,9,0)</f>
        <v>CHARGER LOGISTICS INC</v>
      </c>
      <c r="F155" s="1" t="str">
        <f>VLOOKUP(C155,'Master truck list'!E:G,3,0)</f>
        <v>Company</v>
      </c>
      <c r="G155" s="1">
        <f>VLOOKUP(C155,'Master truck list'!E:R,14,0)</f>
        <v>1741</v>
      </c>
      <c r="H155" t="str">
        <f t="shared" si="71"/>
        <v>12/17/2019 7:00:33 AM</v>
      </c>
      <c r="I155" t="str">
        <f>""</f>
        <v/>
      </c>
      <c r="J155" t="str">
        <f t="shared" si="60"/>
        <v>Elite</v>
      </c>
      <c r="K155" t="str">
        <f t="shared" si="68"/>
        <v>Device</v>
      </c>
      <c r="L155" t="str">
        <f>"777168263"</f>
        <v>777168263</v>
      </c>
      <c r="M155" t="str">
        <f>"16427338"</f>
        <v>16427338</v>
      </c>
      <c r="N155" t="str">
        <f>"1443-19S"</f>
        <v>1443-19S</v>
      </c>
      <c r="O155" t="str">
        <f t="shared" si="61"/>
        <v>TEXAS</v>
      </c>
      <c r="P155" t="str">
        <f t="shared" si="62"/>
        <v>N A</v>
      </c>
      <c r="Q155" t="str">
        <f t="shared" si="63"/>
        <v>N/A</v>
      </c>
      <c r="R155" t="str">
        <f>"130 CMRNP 13 306"</f>
        <v>130 CMRNP 13 306</v>
      </c>
      <c r="S155" t="str">
        <f>"12/16/2019 3:20:56 PM"</f>
        <v>12/16/2019 3:20:56 PM</v>
      </c>
      <c r="T155" t="str">
        <f t="shared" si="70"/>
        <v>5</v>
      </c>
      <c r="U155" t="str">
        <f t="shared" si="64"/>
        <v>N/A</v>
      </c>
      <c r="V155" t="str">
        <f t="shared" si="72"/>
        <v>5.5500</v>
      </c>
    </row>
    <row r="156" spans="1:22" x14ac:dyDescent="0.25">
      <c r="A156" s="1" t="str">
        <f t="shared" si="58"/>
        <v>1443-</v>
      </c>
      <c r="B156" s="1" t="str">
        <f t="shared" si="65"/>
        <v>1443-</v>
      </c>
      <c r="C156" s="1" t="str">
        <f>VLOOKUP(B156,'Master truck list'!D:E,2,0)</f>
        <v>1443-19SH</v>
      </c>
      <c r="D156" s="1" t="str">
        <f>VLOOKUP(C156,'Master truck list'!E:F,2,0)</f>
        <v>ACTIVE</v>
      </c>
      <c r="E156" s="1" t="str">
        <f>VLOOKUP(C156,'Master truck list'!E:M,9,0)</f>
        <v>CHARGER LOGISTICS INC</v>
      </c>
      <c r="F156" s="1" t="str">
        <f>VLOOKUP(C156,'Master truck list'!E:G,3,0)</f>
        <v>Company</v>
      </c>
      <c r="G156" s="1">
        <f>VLOOKUP(C156,'Master truck list'!E:R,14,0)</f>
        <v>1741</v>
      </c>
      <c r="H156" t="str">
        <f t="shared" si="71"/>
        <v>12/17/2019 7:00:33 AM</v>
      </c>
      <c r="I156" t="str">
        <f>""</f>
        <v/>
      </c>
      <c r="J156" t="str">
        <f t="shared" si="60"/>
        <v>Elite</v>
      </c>
      <c r="K156" t="str">
        <f t="shared" si="68"/>
        <v>Device</v>
      </c>
      <c r="L156" t="str">
        <f>"777168263"</f>
        <v>777168263</v>
      </c>
      <c r="M156" t="str">
        <f>"16427338"</f>
        <v>16427338</v>
      </c>
      <c r="N156" t="str">
        <f>"1443-19S"</f>
        <v>1443-19S</v>
      </c>
      <c r="O156" t="str">
        <f t="shared" si="61"/>
        <v>TEXAS</v>
      </c>
      <c r="P156" t="str">
        <f t="shared" si="62"/>
        <v>N A</v>
      </c>
      <c r="Q156" t="str">
        <f t="shared" si="63"/>
        <v>N/A</v>
      </c>
      <c r="R156" t="str">
        <f>"130 DKCRP 11 307"</f>
        <v>130 DKCRP 11 307</v>
      </c>
      <c r="S156" t="str">
        <f>"12/16/2019 3:10:33 PM"</f>
        <v>12/16/2019 3:10:33 PM</v>
      </c>
      <c r="T156" t="str">
        <f t="shared" si="70"/>
        <v>5</v>
      </c>
      <c r="U156" t="str">
        <f t="shared" si="64"/>
        <v>N/A</v>
      </c>
      <c r="V156" t="str">
        <f t="shared" si="72"/>
        <v>5.5500</v>
      </c>
    </row>
    <row r="157" spans="1:22" x14ac:dyDescent="0.25">
      <c r="A157" s="1" t="str">
        <f t="shared" si="58"/>
        <v>2550-</v>
      </c>
      <c r="B157" s="1" t="str">
        <f t="shared" si="65"/>
        <v>2550-</v>
      </c>
      <c r="C157" s="1" t="str">
        <f>VLOOKUP(B157,'Master truck list'!D:E,2,0)</f>
        <v>2550-19</v>
      </c>
      <c r="D157" s="1" t="str">
        <f>VLOOKUP(C157,'Master truck list'!E:F,2,0)</f>
        <v>ACTIVE</v>
      </c>
      <c r="E157" s="1" t="str">
        <f>VLOOKUP(C157,'Master truck list'!E:M,9,0)</f>
        <v>CHARGER LOGISTICS USA INC</v>
      </c>
      <c r="F157" s="1" t="str">
        <f>VLOOKUP(C157,'Master truck list'!E:G,3,0)</f>
        <v>Company</v>
      </c>
      <c r="G157" s="1">
        <f>VLOOKUP(C157,'Master truck list'!E:R,14,0)</f>
        <v>2213</v>
      </c>
      <c r="H157" t="str">
        <f t="shared" si="71"/>
        <v>12/17/2019 7:00:33 AM</v>
      </c>
      <c r="I157" t="str">
        <f>""</f>
        <v/>
      </c>
      <c r="J157" t="str">
        <f t="shared" si="60"/>
        <v>Elite</v>
      </c>
      <c r="K157" t="str">
        <f t="shared" si="68"/>
        <v>Device</v>
      </c>
      <c r="L157" t="str">
        <f>"777167433"</f>
        <v>777167433</v>
      </c>
      <c r="M157" t="str">
        <f>"16426508"</f>
        <v>16426508</v>
      </c>
      <c r="N157" t="str">
        <f>"2550-19"</f>
        <v>2550-19</v>
      </c>
      <c r="O157" t="str">
        <f t="shared" si="61"/>
        <v>TEXAS</v>
      </c>
      <c r="P157" t="str">
        <f t="shared" si="62"/>
        <v>N A</v>
      </c>
      <c r="Q157" t="str">
        <f t="shared" si="63"/>
        <v>N/A</v>
      </c>
      <c r="R157" t="str">
        <f>"130 DKCRP 06 307"</f>
        <v>130 DKCRP 06 307</v>
      </c>
      <c r="S157" t="str">
        <f>"12/16/2019 5:52:17 PM"</f>
        <v>12/16/2019 5:52:17 PM</v>
      </c>
      <c r="T157" t="str">
        <f t="shared" si="70"/>
        <v>5</v>
      </c>
      <c r="U157" t="str">
        <f t="shared" si="64"/>
        <v>N/A</v>
      </c>
      <c r="V157" t="str">
        <f t="shared" si="72"/>
        <v>5.5500</v>
      </c>
    </row>
    <row r="158" spans="1:22" x14ac:dyDescent="0.25">
      <c r="A158" s="1" t="str">
        <f t="shared" si="58"/>
        <v>2550-</v>
      </c>
      <c r="B158" s="1" t="str">
        <f t="shared" si="65"/>
        <v>2550-</v>
      </c>
      <c r="C158" s="1" t="str">
        <f>VLOOKUP(B158,'Master truck list'!D:E,2,0)</f>
        <v>2550-19</v>
      </c>
      <c r="D158" s="1" t="str">
        <f>VLOOKUP(C158,'Master truck list'!E:F,2,0)</f>
        <v>ACTIVE</v>
      </c>
      <c r="E158" s="1" t="str">
        <f>VLOOKUP(C158,'Master truck list'!E:M,9,0)</f>
        <v>CHARGER LOGISTICS USA INC</v>
      </c>
      <c r="F158" s="1" t="str">
        <f>VLOOKUP(C158,'Master truck list'!E:G,3,0)</f>
        <v>Company</v>
      </c>
      <c r="G158" s="1">
        <f>VLOOKUP(C158,'Master truck list'!E:R,14,0)</f>
        <v>2213</v>
      </c>
      <c r="H158" t="str">
        <f t="shared" si="71"/>
        <v>12/17/2019 7:00:33 AM</v>
      </c>
      <c r="I158" t="str">
        <f>""</f>
        <v/>
      </c>
      <c r="J158" t="str">
        <f t="shared" si="60"/>
        <v>Elite</v>
      </c>
      <c r="K158" t="str">
        <f t="shared" si="68"/>
        <v>Device</v>
      </c>
      <c r="L158" t="str">
        <f>"777167433"</f>
        <v>777167433</v>
      </c>
      <c r="M158" t="str">
        <f>"16426508"</f>
        <v>16426508</v>
      </c>
      <c r="N158" t="str">
        <f>"2550-19"</f>
        <v>2550-19</v>
      </c>
      <c r="O158" t="str">
        <f t="shared" si="61"/>
        <v>TEXAS</v>
      </c>
      <c r="P158" t="str">
        <f t="shared" si="62"/>
        <v>N A</v>
      </c>
      <c r="Q158" t="str">
        <f t="shared" si="63"/>
        <v>N/A</v>
      </c>
      <c r="R158" t="str">
        <f>"130 CMRNP 08 306"</f>
        <v>130 CMRNP 08 306</v>
      </c>
      <c r="S158" t="str">
        <f>"12/16/2019 5:42:03 PM"</f>
        <v>12/16/2019 5:42:03 PM</v>
      </c>
      <c r="T158" t="str">
        <f t="shared" si="70"/>
        <v>5</v>
      </c>
      <c r="U158" t="str">
        <f t="shared" si="64"/>
        <v>N/A</v>
      </c>
      <c r="V158" t="str">
        <f t="shared" si="72"/>
        <v>5.5500</v>
      </c>
    </row>
    <row r="159" spans="1:22" x14ac:dyDescent="0.25">
      <c r="A159" s="1" t="str">
        <f t="shared" si="58"/>
        <v>2550-</v>
      </c>
      <c r="B159" s="1" t="str">
        <f t="shared" si="65"/>
        <v>2550-</v>
      </c>
      <c r="C159" s="1" t="str">
        <f>VLOOKUP(B159,'Master truck list'!D:E,2,0)</f>
        <v>2550-19</v>
      </c>
      <c r="D159" s="1" t="str">
        <f>VLOOKUP(C159,'Master truck list'!E:F,2,0)</f>
        <v>ACTIVE</v>
      </c>
      <c r="E159" s="1" t="str">
        <f>VLOOKUP(C159,'Master truck list'!E:M,9,0)</f>
        <v>CHARGER LOGISTICS USA INC</v>
      </c>
      <c r="F159" s="1" t="str">
        <f>VLOOKUP(C159,'Master truck list'!E:G,3,0)</f>
        <v>Company</v>
      </c>
      <c r="G159" s="1">
        <f>VLOOKUP(C159,'Master truck list'!E:R,14,0)</f>
        <v>2213</v>
      </c>
      <c r="H159" t="str">
        <f t="shared" si="71"/>
        <v>12/17/2019 7:00:33 AM</v>
      </c>
      <c r="I159" t="str">
        <f>""</f>
        <v/>
      </c>
      <c r="J159" t="str">
        <f t="shared" si="60"/>
        <v>Elite</v>
      </c>
      <c r="K159" t="str">
        <f t="shared" si="68"/>
        <v>Device</v>
      </c>
      <c r="L159" t="str">
        <f>"777167433"</f>
        <v>777167433</v>
      </c>
      <c r="M159" t="str">
        <f>"16426508"</f>
        <v>16426508</v>
      </c>
      <c r="N159" t="str">
        <f>"2550-19"</f>
        <v>2550-19</v>
      </c>
      <c r="O159" t="str">
        <f t="shared" si="61"/>
        <v>TEXAS</v>
      </c>
      <c r="P159" t="str">
        <f t="shared" si="62"/>
        <v>N A</v>
      </c>
      <c r="Q159" t="str">
        <f t="shared" si="63"/>
        <v>N/A</v>
      </c>
      <c r="R159" t="str">
        <f>"130 ARPTP 04 308"</f>
        <v>130 ARPTP 04 308</v>
      </c>
      <c r="S159" t="str">
        <f>"12/16/2019 6:01:00 PM"</f>
        <v>12/16/2019 6:01:00 PM</v>
      </c>
      <c r="T159" t="str">
        <f t="shared" si="70"/>
        <v>5</v>
      </c>
      <c r="U159" t="str">
        <f t="shared" si="64"/>
        <v>N/A</v>
      </c>
      <c r="V159" t="str">
        <f t="shared" si="72"/>
        <v>5.5500</v>
      </c>
    </row>
    <row r="160" spans="1:22" x14ac:dyDescent="0.25">
      <c r="A160" s="1" t="str">
        <f t="shared" si="58"/>
        <v>2550-</v>
      </c>
      <c r="B160" s="1" t="str">
        <f t="shared" si="65"/>
        <v>2550-</v>
      </c>
      <c r="C160" s="1" t="str">
        <f>VLOOKUP(B160,'Master truck list'!D:E,2,0)</f>
        <v>2550-19</v>
      </c>
      <c r="D160" s="1" t="str">
        <f>VLOOKUP(C160,'Master truck list'!E:F,2,0)</f>
        <v>ACTIVE</v>
      </c>
      <c r="E160" s="1" t="str">
        <f>VLOOKUP(C160,'Master truck list'!E:M,9,0)</f>
        <v>CHARGER LOGISTICS USA INC</v>
      </c>
      <c r="F160" s="1" t="str">
        <f>VLOOKUP(C160,'Master truck list'!E:G,3,0)</f>
        <v>Company</v>
      </c>
      <c r="G160" s="1">
        <f>VLOOKUP(C160,'Master truck list'!E:R,14,0)</f>
        <v>2213</v>
      </c>
      <c r="H160" t="str">
        <f t="shared" si="71"/>
        <v>12/17/2019 7:00:33 AM</v>
      </c>
      <c r="I160" t="str">
        <f>""</f>
        <v/>
      </c>
      <c r="J160" t="str">
        <f t="shared" si="60"/>
        <v>Elite</v>
      </c>
      <c r="K160" t="str">
        <f t="shared" si="68"/>
        <v>Device</v>
      </c>
      <c r="L160" t="str">
        <f>"777167433"</f>
        <v>777167433</v>
      </c>
      <c r="M160" t="str">
        <f>"16426508"</f>
        <v>16426508</v>
      </c>
      <c r="N160" t="str">
        <f>"2550-19"</f>
        <v>2550-19</v>
      </c>
      <c r="O160" t="str">
        <f t="shared" si="61"/>
        <v>TEXAS</v>
      </c>
      <c r="P160" t="str">
        <f t="shared" si="62"/>
        <v>N A</v>
      </c>
      <c r="Q160" t="str">
        <f t="shared" si="63"/>
        <v>N/A</v>
      </c>
      <c r="R160" t="str">
        <f>"130 MGCRP 06 305"</f>
        <v>130 MGCRP 06 305</v>
      </c>
      <c r="S160" t="str">
        <f>"12/16/2019 5:30:59 PM"</f>
        <v>12/16/2019 5:30:59 PM</v>
      </c>
      <c r="T160" t="str">
        <f t="shared" si="70"/>
        <v>5</v>
      </c>
      <c r="U160" t="str">
        <f t="shared" si="64"/>
        <v>N/A</v>
      </c>
      <c r="V160" t="str">
        <f t="shared" si="72"/>
        <v>5.5500</v>
      </c>
    </row>
    <row r="161" spans="1:22" x14ac:dyDescent="0.25">
      <c r="A161" s="1" t="str">
        <f t="shared" si="58"/>
        <v>2550-</v>
      </c>
      <c r="B161" s="1" t="str">
        <f t="shared" si="65"/>
        <v>2550-</v>
      </c>
      <c r="C161" s="1" t="str">
        <f>VLOOKUP(B161,'Master truck list'!D:E,2,0)</f>
        <v>2550-19</v>
      </c>
      <c r="D161" s="1" t="str">
        <f>VLOOKUP(C161,'Master truck list'!E:F,2,0)</f>
        <v>ACTIVE</v>
      </c>
      <c r="E161" s="1" t="str">
        <f>VLOOKUP(C161,'Master truck list'!E:M,9,0)</f>
        <v>CHARGER LOGISTICS USA INC</v>
      </c>
      <c r="F161" s="1" t="str">
        <f>VLOOKUP(C161,'Master truck list'!E:G,3,0)</f>
        <v>Company</v>
      </c>
      <c r="G161" s="1">
        <f>VLOOKUP(C161,'Master truck list'!E:R,14,0)</f>
        <v>2213</v>
      </c>
      <c r="H161" t="str">
        <f t="shared" si="71"/>
        <v>12/17/2019 7:00:33 AM</v>
      </c>
      <c r="I161" t="str">
        <f>""</f>
        <v/>
      </c>
      <c r="J161" t="str">
        <f t="shared" si="60"/>
        <v>Elite</v>
      </c>
      <c r="K161" t="str">
        <f t="shared" si="68"/>
        <v>Device</v>
      </c>
      <c r="L161" t="str">
        <f>"777167433"</f>
        <v>777167433</v>
      </c>
      <c r="M161" t="str">
        <f>"16426508"</f>
        <v>16426508</v>
      </c>
      <c r="N161" t="str">
        <f>"2550-19"</f>
        <v>2550-19</v>
      </c>
      <c r="O161" t="str">
        <f t="shared" si="61"/>
        <v>TEXAS</v>
      </c>
      <c r="P161" t="str">
        <f t="shared" si="62"/>
        <v>N A</v>
      </c>
      <c r="Q161" t="str">
        <f t="shared" si="63"/>
        <v>N/A</v>
      </c>
      <c r="R161" t="str">
        <f>"45SE MLPWB 01 611"</f>
        <v>45SE MLPWB 01 611</v>
      </c>
      <c r="S161" t="str">
        <f>"12/16/2019 6:11:39 PM"</f>
        <v>12/16/2019 6:11:39 PM</v>
      </c>
      <c r="T161" t="str">
        <f t="shared" si="70"/>
        <v>5</v>
      </c>
      <c r="U161" t="str">
        <f t="shared" si="64"/>
        <v>N/A</v>
      </c>
      <c r="V161" t="str">
        <f>"3.3000"</f>
        <v>3.3000</v>
      </c>
    </row>
    <row r="162" spans="1:22" x14ac:dyDescent="0.25">
      <c r="A162" s="1" t="str">
        <f t="shared" si="58"/>
        <v>2549-</v>
      </c>
      <c r="B162" s="1" t="str">
        <f t="shared" si="65"/>
        <v>2549-</v>
      </c>
      <c r="C162" s="1" t="str">
        <f>VLOOKUP(B162,'Master truck list'!D:E,2,0)</f>
        <v>2549-19</v>
      </c>
      <c r="D162" s="1" t="str">
        <f>VLOOKUP(C162,'Master truck list'!E:F,2,0)</f>
        <v>ACTIVE</v>
      </c>
      <c r="E162" s="1" t="str">
        <f>VLOOKUP(C162,'Master truck list'!E:M,9,0)</f>
        <v>CHARGER LOGISTICS USA INC</v>
      </c>
      <c r="F162" s="1" t="str">
        <f>VLOOKUP(C162,'Master truck list'!E:G,3,0)</f>
        <v>Company</v>
      </c>
      <c r="G162" s="1">
        <f>VLOOKUP(C162,'Master truck list'!E:R,14,0)</f>
        <v>2212</v>
      </c>
      <c r="H162" t="str">
        <f>"12/20/2019 7:00:30 AM"</f>
        <v>12/20/2019 7:00:30 AM</v>
      </c>
      <c r="I162" t="str">
        <f>""</f>
        <v/>
      </c>
      <c r="J162" t="str">
        <f t="shared" si="60"/>
        <v>Elite</v>
      </c>
      <c r="K162" t="str">
        <f t="shared" si="68"/>
        <v>Device</v>
      </c>
      <c r="L162" t="str">
        <f>"777166914"</f>
        <v>777166914</v>
      </c>
      <c r="M162" t="str">
        <f>"16425989"</f>
        <v>16425989</v>
      </c>
      <c r="N162" t="str">
        <f>"2549-19"</f>
        <v>2549-19</v>
      </c>
      <c r="O162" t="str">
        <f t="shared" si="61"/>
        <v>TEXAS</v>
      </c>
      <c r="P162" t="str">
        <f t="shared" si="62"/>
        <v>N A</v>
      </c>
      <c r="Q162" t="str">
        <f t="shared" si="63"/>
        <v>N/A</v>
      </c>
      <c r="R162" t="str">
        <f>"PGBW PIOPY 02 PIOP"</f>
        <v>PGBW PIOPY 02 PIOP</v>
      </c>
      <c r="S162" t="str">
        <f>"12/19/2019 7:31:28 PM"</f>
        <v>12/19/2019 7:31:28 PM</v>
      </c>
      <c r="T162" t="str">
        <f t="shared" si="70"/>
        <v>5</v>
      </c>
      <c r="U162" t="str">
        <f t="shared" si="64"/>
        <v>N/A</v>
      </c>
      <c r="V162" t="str">
        <f>"2.8000"</f>
        <v>2.8000</v>
      </c>
    </row>
    <row r="163" spans="1:22" x14ac:dyDescent="0.25">
      <c r="A163" s="1" t="str">
        <f t="shared" si="58"/>
        <v>2549-</v>
      </c>
      <c r="B163" s="1" t="str">
        <f t="shared" si="65"/>
        <v>2549-</v>
      </c>
      <c r="C163" s="1" t="str">
        <f>VLOOKUP(B163,'Master truck list'!D:E,2,0)</f>
        <v>2549-19</v>
      </c>
      <c r="D163" s="1" t="str">
        <f>VLOOKUP(C163,'Master truck list'!E:F,2,0)</f>
        <v>ACTIVE</v>
      </c>
      <c r="E163" s="1" t="str">
        <f>VLOOKUP(C163,'Master truck list'!E:M,9,0)</f>
        <v>CHARGER LOGISTICS USA INC</v>
      </c>
      <c r="F163" s="1" t="str">
        <f>VLOOKUP(C163,'Master truck list'!E:G,3,0)</f>
        <v>Company</v>
      </c>
      <c r="G163" s="1">
        <f>VLOOKUP(C163,'Master truck list'!E:R,14,0)</f>
        <v>2212</v>
      </c>
      <c r="H163" t="str">
        <f>"12/20/2019 7:00:30 AM"</f>
        <v>12/20/2019 7:00:30 AM</v>
      </c>
      <c r="I163" t="str">
        <f>""</f>
        <v/>
      </c>
      <c r="J163" t="str">
        <f t="shared" si="60"/>
        <v>Elite</v>
      </c>
      <c r="K163" t="str">
        <f t="shared" si="68"/>
        <v>Device</v>
      </c>
      <c r="L163" t="str">
        <f>"777166914"</f>
        <v>777166914</v>
      </c>
      <c r="M163" t="str">
        <f>"16425989"</f>
        <v>16425989</v>
      </c>
      <c r="N163" t="str">
        <f>"2549-19"</f>
        <v>2549-19</v>
      </c>
      <c r="O163" t="str">
        <f t="shared" si="61"/>
        <v>TEXAS</v>
      </c>
      <c r="P163" t="str">
        <f t="shared" si="62"/>
        <v>N A</v>
      </c>
      <c r="Q163" t="str">
        <f t="shared" si="63"/>
        <v>N/A</v>
      </c>
      <c r="R163" t="str">
        <f>"PGBW MLG11 03 MLG1"</f>
        <v>PGBW MLG11 03 MLG1</v>
      </c>
      <c r="S163" t="str">
        <f>"12/19/2019 7:27:06 PM"</f>
        <v>12/19/2019 7:27:06 PM</v>
      </c>
      <c r="T163" t="str">
        <f t="shared" si="70"/>
        <v>5</v>
      </c>
      <c r="U163" t="str">
        <f t="shared" si="64"/>
        <v>N/A</v>
      </c>
      <c r="V163" t="str">
        <f>"4.4000"</f>
        <v>4.4000</v>
      </c>
    </row>
    <row r="164" spans="1:22" x14ac:dyDescent="0.25">
      <c r="A164" s="1" t="str">
        <f t="shared" si="58"/>
        <v>2549-</v>
      </c>
      <c r="B164" s="1" t="str">
        <f t="shared" si="65"/>
        <v>2549-</v>
      </c>
      <c r="C164" s="1" t="str">
        <f>VLOOKUP(B164,'Master truck list'!D:E,2,0)</f>
        <v>2549-19</v>
      </c>
      <c r="D164" s="1" t="str">
        <f>VLOOKUP(C164,'Master truck list'!E:F,2,0)</f>
        <v>ACTIVE</v>
      </c>
      <c r="E164" s="1" t="str">
        <f>VLOOKUP(C164,'Master truck list'!E:M,9,0)</f>
        <v>CHARGER LOGISTICS USA INC</v>
      </c>
      <c r="F164" s="1" t="str">
        <f>VLOOKUP(C164,'Master truck list'!E:G,3,0)</f>
        <v>Company</v>
      </c>
      <c r="G164" s="1">
        <f>VLOOKUP(C164,'Master truck list'!E:R,14,0)</f>
        <v>2212</v>
      </c>
      <c r="H164" t="str">
        <f>"12/20/2019 7:00:30 AM"</f>
        <v>12/20/2019 7:00:30 AM</v>
      </c>
      <c r="I164" t="str">
        <f>""</f>
        <v/>
      </c>
      <c r="J164" t="str">
        <f t="shared" si="60"/>
        <v>Elite</v>
      </c>
      <c r="K164" t="str">
        <f t="shared" si="68"/>
        <v>Device</v>
      </c>
      <c r="L164" t="str">
        <f>"777166914"</f>
        <v>777166914</v>
      </c>
      <c r="M164" t="str">
        <f>"16425989"</f>
        <v>16425989</v>
      </c>
      <c r="N164" t="str">
        <f>"2549-19"</f>
        <v>2549-19</v>
      </c>
      <c r="O164" t="str">
        <f t="shared" si="61"/>
        <v>TEXAS</v>
      </c>
      <c r="P164" t="str">
        <f t="shared" si="62"/>
        <v>N A</v>
      </c>
      <c r="Q164" t="str">
        <f t="shared" si="63"/>
        <v>N/A</v>
      </c>
      <c r="R164" t="str">
        <f>"PGBW MLG12 02 MLG1"</f>
        <v>PGBW MLG12 02 MLG1</v>
      </c>
      <c r="S164" t="str">
        <f>"12/19/2019 7:34:09 PM"</f>
        <v>12/19/2019 7:34:09 PM</v>
      </c>
      <c r="T164" t="str">
        <f t="shared" si="70"/>
        <v>5</v>
      </c>
      <c r="U164" t="str">
        <f t="shared" si="64"/>
        <v>N/A</v>
      </c>
      <c r="V164" t="str">
        <f>"4.6400"</f>
        <v>4.6400</v>
      </c>
    </row>
    <row r="165" spans="1:22" x14ac:dyDescent="0.25">
      <c r="A165" s="1" t="str">
        <f t="shared" si="58"/>
        <v>2549-</v>
      </c>
      <c r="B165" s="1" t="str">
        <f t="shared" si="65"/>
        <v>2549-</v>
      </c>
      <c r="C165" s="1" t="str">
        <f>VLOOKUP(B165,'Master truck list'!D:E,2,0)</f>
        <v>2549-19</v>
      </c>
      <c r="D165" s="1" t="str">
        <f>VLOOKUP(C165,'Master truck list'!E:F,2,0)</f>
        <v>ACTIVE</v>
      </c>
      <c r="E165" s="1" t="str">
        <f>VLOOKUP(C165,'Master truck list'!E:M,9,0)</f>
        <v>CHARGER LOGISTICS USA INC</v>
      </c>
      <c r="F165" s="1" t="str">
        <f>VLOOKUP(C165,'Master truck list'!E:G,3,0)</f>
        <v>Company</v>
      </c>
      <c r="G165" s="1">
        <f>VLOOKUP(C165,'Master truck list'!E:R,14,0)</f>
        <v>2212</v>
      </c>
      <c r="H165" t="str">
        <f>"12/21/2019 7:00:28 AM"</f>
        <v>12/21/2019 7:00:28 AM</v>
      </c>
      <c r="I165" t="str">
        <f>""</f>
        <v/>
      </c>
      <c r="J165" t="str">
        <f t="shared" si="60"/>
        <v>Elite</v>
      </c>
      <c r="K165" t="str">
        <f t="shared" si="68"/>
        <v>Device</v>
      </c>
      <c r="L165" t="str">
        <f>"777166914"</f>
        <v>777166914</v>
      </c>
      <c r="M165" t="str">
        <f>"16425989"</f>
        <v>16425989</v>
      </c>
      <c r="N165" t="str">
        <f>"2549-19"</f>
        <v>2549-19</v>
      </c>
      <c r="O165" t="str">
        <f t="shared" si="61"/>
        <v>TEXAS</v>
      </c>
      <c r="P165" t="str">
        <f t="shared" si="62"/>
        <v>N A</v>
      </c>
      <c r="Q165" t="str">
        <f t="shared" si="63"/>
        <v>N/A</v>
      </c>
      <c r="R165" t="str">
        <f>"PGBW MLG11 03 MLG1"</f>
        <v>PGBW MLG11 03 MLG1</v>
      </c>
      <c r="S165" t="str">
        <f>"12/20/2019 2:53:54 AM"</f>
        <v>12/20/2019 2:53:54 AM</v>
      </c>
      <c r="T165" t="str">
        <f t="shared" si="70"/>
        <v>5</v>
      </c>
      <c r="U165" t="str">
        <f t="shared" si="64"/>
        <v>N/A</v>
      </c>
      <c r="V165" t="str">
        <f>"4.4000"</f>
        <v>4.4000</v>
      </c>
    </row>
    <row r="166" spans="1:22" x14ac:dyDescent="0.25">
      <c r="A166" s="1" t="str">
        <f t="shared" si="58"/>
        <v>2549-</v>
      </c>
      <c r="B166" s="1" t="str">
        <f t="shared" si="65"/>
        <v>2549-</v>
      </c>
      <c r="C166" s="1" t="str">
        <f>VLOOKUP(B166,'Master truck list'!D:E,2,0)</f>
        <v>2549-19</v>
      </c>
      <c r="D166" s="1" t="str">
        <f>VLOOKUP(C166,'Master truck list'!E:F,2,0)</f>
        <v>ACTIVE</v>
      </c>
      <c r="E166" s="1" t="str">
        <f>VLOOKUP(C166,'Master truck list'!E:M,9,0)</f>
        <v>CHARGER LOGISTICS USA INC</v>
      </c>
      <c r="F166" s="1" t="str">
        <f>VLOOKUP(C166,'Master truck list'!E:G,3,0)</f>
        <v>Company</v>
      </c>
      <c r="G166" s="1">
        <f>VLOOKUP(C166,'Master truck list'!E:R,14,0)</f>
        <v>2212</v>
      </c>
      <c r="H166" t="str">
        <f>"12/21/2019 7:00:28 AM"</f>
        <v>12/21/2019 7:00:28 AM</v>
      </c>
      <c r="I166" t="str">
        <f>""</f>
        <v/>
      </c>
      <c r="J166" t="str">
        <f t="shared" si="60"/>
        <v>Elite</v>
      </c>
      <c r="K166" t="str">
        <f t="shared" si="68"/>
        <v>Device</v>
      </c>
      <c r="L166" t="str">
        <f>"777166914"</f>
        <v>777166914</v>
      </c>
      <c r="M166" t="str">
        <f>"16425989"</f>
        <v>16425989</v>
      </c>
      <c r="N166" t="str">
        <f>"2549-19"</f>
        <v>2549-19</v>
      </c>
      <c r="O166" t="str">
        <f t="shared" si="61"/>
        <v>TEXAS</v>
      </c>
      <c r="P166" t="str">
        <f t="shared" si="62"/>
        <v>N A</v>
      </c>
      <c r="Q166" t="str">
        <f t="shared" si="63"/>
        <v>N/A</v>
      </c>
      <c r="R166" t="str">
        <f>"PGBW MLG12 02 MLG1"</f>
        <v>PGBW MLG12 02 MLG1</v>
      </c>
      <c r="S166" t="str">
        <f>"12/20/2019 2:59:05 AM"</f>
        <v>12/20/2019 2:59:05 AM</v>
      </c>
      <c r="T166" t="str">
        <f t="shared" si="70"/>
        <v>5</v>
      </c>
      <c r="U166" t="str">
        <f t="shared" si="64"/>
        <v>N/A</v>
      </c>
      <c r="V166" t="str">
        <f>"4.6400"</f>
        <v>4.6400</v>
      </c>
    </row>
    <row r="167" spans="1:22" x14ac:dyDescent="0.25">
      <c r="A167" s="1" t="str">
        <f t="shared" si="58"/>
        <v>2551-</v>
      </c>
      <c r="B167" s="1" t="str">
        <f t="shared" si="65"/>
        <v>2551-</v>
      </c>
      <c r="C167" s="1" t="str">
        <f>VLOOKUP(B167,'Master truck list'!D:E,2,0)</f>
        <v>2551-19</v>
      </c>
      <c r="D167" s="1" t="str">
        <f>VLOOKUP(C167,'Master truck list'!E:F,2,0)</f>
        <v>ACTIVE</v>
      </c>
      <c r="E167" s="1" t="str">
        <f>VLOOKUP(C167,'Master truck list'!E:M,9,0)</f>
        <v>CHARGER LOGISTICS USA INC</v>
      </c>
      <c r="F167" s="1" t="str">
        <f>VLOOKUP(C167,'Master truck list'!E:G,3,0)</f>
        <v>Company</v>
      </c>
      <c r="G167" s="1">
        <f>VLOOKUP(C167,'Master truck list'!E:R,14,0)</f>
        <v>2214</v>
      </c>
      <c r="H167" t="str">
        <f>"12/19/2019 7:00:35 AM"</f>
        <v>12/19/2019 7:00:35 AM</v>
      </c>
      <c r="I167" t="str">
        <f>""</f>
        <v/>
      </c>
      <c r="J167" t="str">
        <f t="shared" si="60"/>
        <v>Elite</v>
      </c>
      <c r="K167" t="str">
        <f t="shared" si="68"/>
        <v>Device</v>
      </c>
      <c r="L167" t="str">
        <f>"777167431"</f>
        <v>777167431</v>
      </c>
      <c r="M167" t="str">
        <f>"16426506"</f>
        <v>16426506</v>
      </c>
      <c r="N167" t="str">
        <f>"2551-19"</f>
        <v>2551-19</v>
      </c>
      <c r="O167" t="str">
        <f t="shared" si="61"/>
        <v>TEXAS</v>
      </c>
      <c r="P167" t="str">
        <f t="shared" si="62"/>
        <v>N A</v>
      </c>
      <c r="Q167" t="str">
        <f t="shared" si="63"/>
        <v>N/A</v>
      </c>
      <c r="R167" t="str">
        <f>"130 DKCRP 11 307"</f>
        <v>130 DKCRP 11 307</v>
      </c>
      <c r="S167" t="str">
        <f>"12/18/2019 8:23:58 PM"</f>
        <v>12/18/2019 8:23:58 PM</v>
      </c>
      <c r="T167" t="str">
        <f t="shared" si="70"/>
        <v>5</v>
      </c>
      <c r="U167" t="str">
        <f t="shared" si="64"/>
        <v>N/A</v>
      </c>
      <c r="V167" t="str">
        <f>"5.5500"</f>
        <v>5.5500</v>
      </c>
    </row>
    <row r="168" spans="1:22" x14ac:dyDescent="0.25">
      <c r="A168" s="1" t="str">
        <f t="shared" si="58"/>
        <v>2551-</v>
      </c>
      <c r="B168" s="1" t="str">
        <f t="shared" si="65"/>
        <v>2551-</v>
      </c>
      <c r="C168" s="1" t="str">
        <f>VLOOKUP(B168,'Master truck list'!D:E,2,0)</f>
        <v>2551-19</v>
      </c>
      <c r="D168" s="1" t="str">
        <f>VLOOKUP(C168,'Master truck list'!E:F,2,0)</f>
        <v>ACTIVE</v>
      </c>
      <c r="E168" s="1" t="str">
        <f>VLOOKUP(C168,'Master truck list'!E:M,9,0)</f>
        <v>CHARGER LOGISTICS USA INC</v>
      </c>
      <c r="F168" s="1" t="str">
        <f>VLOOKUP(C168,'Master truck list'!E:G,3,0)</f>
        <v>Company</v>
      </c>
      <c r="G168" s="1">
        <f>VLOOKUP(C168,'Master truck list'!E:R,14,0)</f>
        <v>2214</v>
      </c>
      <c r="H168" t="str">
        <f>"12/19/2019 7:00:35 AM"</f>
        <v>12/19/2019 7:00:35 AM</v>
      </c>
      <c r="I168" t="str">
        <f>""</f>
        <v/>
      </c>
      <c r="J168" t="str">
        <f t="shared" si="60"/>
        <v>Elite</v>
      </c>
      <c r="K168" t="str">
        <f t="shared" si="68"/>
        <v>Device</v>
      </c>
      <c r="L168" t="str">
        <f>"777167431"</f>
        <v>777167431</v>
      </c>
      <c r="M168" t="str">
        <f>"16426506"</f>
        <v>16426506</v>
      </c>
      <c r="N168" t="str">
        <f>"2551-19"</f>
        <v>2551-19</v>
      </c>
      <c r="O168" t="str">
        <f t="shared" si="61"/>
        <v>TEXAS</v>
      </c>
      <c r="P168" t="str">
        <f t="shared" si="62"/>
        <v>N A</v>
      </c>
      <c r="Q168" t="str">
        <f t="shared" si="63"/>
        <v>N/A</v>
      </c>
      <c r="R168" t="str">
        <f>"45SE MLPEB 02 611"</f>
        <v>45SE MLPEB 02 611</v>
      </c>
      <c r="S168" t="str">
        <f>"12/18/2019 8:06:25 PM"</f>
        <v>12/18/2019 8:06:25 PM</v>
      </c>
      <c r="T168" t="str">
        <f t="shared" si="70"/>
        <v>5</v>
      </c>
      <c r="U168" t="str">
        <f t="shared" si="64"/>
        <v>N/A</v>
      </c>
      <c r="V168" t="str">
        <f>"3.3000"</f>
        <v>3.3000</v>
      </c>
    </row>
    <row r="169" spans="1:22" x14ac:dyDescent="0.25">
      <c r="A169" s="1" t="str">
        <f t="shared" si="58"/>
        <v>2551-</v>
      </c>
      <c r="B169" s="1" t="str">
        <f t="shared" si="65"/>
        <v>2551-</v>
      </c>
      <c r="C169" s="1" t="str">
        <f>VLOOKUP(B169,'Master truck list'!D:E,2,0)</f>
        <v>2551-19</v>
      </c>
      <c r="D169" s="1" t="str">
        <f>VLOOKUP(C169,'Master truck list'!E:F,2,0)</f>
        <v>ACTIVE</v>
      </c>
      <c r="E169" s="1" t="str">
        <f>VLOOKUP(C169,'Master truck list'!E:M,9,0)</f>
        <v>CHARGER LOGISTICS USA INC</v>
      </c>
      <c r="F169" s="1" t="str">
        <f>VLOOKUP(C169,'Master truck list'!E:G,3,0)</f>
        <v>Company</v>
      </c>
      <c r="G169" s="1">
        <f>VLOOKUP(C169,'Master truck list'!E:R,14,0)</f>
        <v>2214</v>
      </c>
      <c r="H169" t="str">
        <f>"12/19/2019 7:00:35 AM"</f>
        <v>12/19/2019 7:00:35 AM</v>
      </c>
      <c r="I169" t="str">
        <f>""</f>
        <v/>
      </c>
      <c r="J169" t="str">
        <f t="shared" si="60"/>
        <v>Elite</v>
      </c>
      <c r="K169" t="str">
        <f t="shared" si="68"/>
        <v>Device</v>
      </c>
      <c r="L169" t="str">
        <f>"777167431"</f>
        <v>777167431</v>
      </c>
      <c r="M169" t="str">
        <f>"16426506"</f>
        <v>16426506</v>
      </c>
      <c r="N169" t="str">
        <f>"2551-19"</f>
        <v>2551-19</v>
      </c>
      <c r="O169" t="str">
        <f t="shared" si="61"/>
        <v>TEXAS</v>
      </c>
      <c r="P169" t="str">
        <f t="shared" si="62"/>
        <v>N A</v>
      </c>
      <c r="Q169" t="str">
        <f t="shared" si="63"/>
        <v>N/A</v>
      </c>
      <c r="R169" t="str">
        <f>"130 MGCRP 11 305"</f>
        <v>130 MGCRP 11 305</v>
      </c>
      <c r="S169" t="str">
        <f>"12/18/2019 8:45:03 PM"</f>
        <v>12/18/2019 8:45:03 PM</v>
      </c>
      <c r="T169" t="str">
        <f t="shared" si="70"/>
        <v>5</v>
      </c>
      <c r="U169" t="str">
        <f t="shared" si="64"/>
        <v>N/A</v>
      </c>
      <c r="V169" t="str">
        <f>"5.5500"</f>
        <v>5.5500</v>
      </c>
    </row>
    <row r="170" spans="1:22" x14ac:dyDescent="0.25">
      <c r="A170" s="1" t="str">
        <f t="shared" si="58"/>
        <v>2551-</v>
      </c>
      <c r="B170" s="1" t="str">
        <f t="shared" si="65"/>
        <v>2551-</v>
      </c>
      <c r="C170" s="1" t="str">
        <f>VLOOKUP(B170,'Master truck list'!D:E,2,0)</f>
        <v>2551-19</v>
      </c>
      <c r="D170" s="1" t="str">
        <f>VLOOKUP(C170,'Master truck list'!E:F,2,0)</f>
        <v>ACTIVE</v>
      </c>
      <c r="E170" s="1" t="str">
        <f>VLOOKUP(C170,'Master truck list'!E:M,9,0)</f>
        <v>CHARGER LOGISTICS USA INC</v>
      </c>
      <c r="F170" s="1" t="str">
        <f>VLOOKUP(C170,'Master truck list'!E:G,3,0)</f>
        <v>Company</v>
      </c>
      <c r="G170" s="1">
        <f>VLOOKUP(C170,'Master truck list'!E:R,14,0)</f>
        <v>2214</v>
      </c>
      <c r="H170" t="str">
        <f>"12/19/2019 7:00:35 AM"</f>
        <v>12/19/2019 7:00:35 AM</v>
      </c>
      <c r="I170" t="str">
        <f>""</f>
        <v/>
      </c>
      <c r="J170" t="str">
        <f t="shared" si="60"/>
        <v>Elite</v>
      </c>
      <c r="K170" t="str">
        <f t="shared" si="68"/>
        <v>Device</v>
      </c>
      <c r="L170" t="str">
        <f>"777167431"</f>
        <v>777167431</v>
      </c>
      <c r="M170" t="str">
        <f>"16426506"</f>
        <v>16426506</v>
      </c>
      <c r="N170" t="str">
        <f>"2551-19"</f>
        <v>2551-19</v>
      </c>
      <c r="O170" t="str">
        <f t="shared" si="61"/>
        <v>TEXAS</v>
      </c>
      <c r="P170" t="str">
        <f t="shared" si="62"/>
        <v>N A</v>
      </c>
      <c r="Q170" t="str">
        <f t="shared" si="63"/>
        <v>N/A</v>
      </c>
      <c r="R170" t="str">
        <f>"130 CMRNP 13 306"</f>
        <v>130 CMRNP 13 306</v>
      </c>
      <c r="S170" t="str">
        <f>"12/18/2019 8:34:02 PM"</f>
        <v>12/18/2019 8:34:02 PM</v>
      </c>
      <c r="T170" t="str">
        <f t="shared" si="70"/>
        <v>5</v>
      </c>
      <c r="U170" t="str">
        <f t="shared" si="64"/>
        <v>N/A</v>
      </c>
      <c r="V170" t="str">
        <f>"5.5500"</f>
        <v>5.5500</v>
      </c>
    </row>
    <row r="171" spans="1:22" x14ac:dyDescent="0.25">
      <c r="A171" s="1" t="str">
        <f t="shared" si="58"/>
        <v>2551-</v>
      </c>
      <c r="B171" s="1" t="str">
        <f t="shared" si="65"/>
        <v>2551-</v>
      </c>
      <c r="C171" s="1" t="str">
        <f>VLOOKUP(B171,'Master truck list'!D:E,2,0)</f>
        <v>2551-19</v>
      </c>
      <c r="D171" s="1" t="str">
        <f>VLOOKUP(C171,'Master truck list'!E:F,2,0)</f>
        <v>ACTIVE</v>
      </c>
      <c r="E171" s="1" t="str">
        <f>VLOOKUP(C171,'Master truck list'!E:M,9,0)</f>
        <v>CHARGER LOGISTICS USA INC</v>
      </c>
      <c r="F171" s="1" t="str">
        <f>VLOOKUP(C171,'Master truck list'!E:G,3,0)</f>
        <v>Company</v>
      </c>
      <c r="G171" s="1">
        <f>VLOOKUP(C171,'Master truck list'!E:R,14,0)</f>
        <v>2214</v>
      </c>
      <c r="H171" t="str">
        <f>"12/19/2019 7:00:35 AM"</f>
        <v>12/19/2019 7:00:35 AM</v>
      </c>
      <c r="I171" t="str">
        <f>""</f>
        <v/>
      </c>
      <c r="J171" t="str">
        <f t="shared" si="60"/>
        <v>Elite</v>
      </c>
      <c r="K171" t="str">
        <f t="shared" si="68"/>
        <v>Device</v>
      </c>
      <c r="L171" t="str">
        <f>"777167431"</f>
        <v>777167431</v>
      </c>
      <c r="M171" t="str">
        <f>"16426506"</f>
        <v>16426506</v>
      </c>
      <c r="N171" t="str">
        <f>"2551-19"</f>
        <v>2551-19</v>
      </c>
      <c r="O171" t="str">
        <f t="shared" si="61"/>
        <v>TEXAS</v>
      </c>
      <c r="P171" t="str">
        <f t="shared" si="62"/>
        <v>N A</v>
      </c>
      <c r="Q171" t="str">
        <f t="shared" si="63"/>
        <v>N/A</v>
      </c>
      <c r="R171" t="str">
        <f>"130 ARPTP 09 308"</f>
        <v>130 ARPTP 09 308</v>
      </c>
      <c r="S171" t="str">
        <f>"12/18/2019 8:17:01 PM"</f>
        <v>12/18/2019 8:17:01 PM</v>
      </c>
      <c r="T171" t="str">
        <f t="shared" si="70"/>
        <v>5</v>
      </c>
      <c r="U171" t="str">
        <f t="shared" si="64"/>
        <v>N/A</v>
      </c>
      <c r="V171" t="str">
        <f>"5.5500"</f>
        <v>5.5500</v>
      </c>
    </row>
    <row r="172" spans="1:22" x14ac:dyDescent="0.25">
      <c r="A172" s="1" t="str">
        <f t="shared" si="58"/>
        <v>2553-</v>
      </c>
      <c r="B172" s="1" t="str">
        <f t="shared" si="65"/>
        <v>2553-</v>
      </c>
      <c r="C172" s="1" t="str">
        <f>VLOOKUP(B172,'Master truck list'!D:E,2,0)</f>
        <v>2553-19</v>
      </c>
      <c r="D172" s="1" t="str">
        <f>VLOOKUP(C172,'Master truck list'!E:F,2,0)</f>
        <v>ACTIVE</v>
      </c>
      <c r="E172" s="1" t="str">
        <f>VLOOKUP(C172,'Master truck list'!E:M,9,0)</f>
        <v>CHARGER LOGISTICS USA INC</v>
      </c>
      <c r="F172" s="1" t="str">
        <f>VLOOKUP(C172,'Master truck list'!E:G,3,0)</f>
        <v>Company</v>
      </c>
      <c r="G172" s="1">
        <f>VLOOKUP(C172,'Master truck list'!E:R,14,0)</f>
        <v>2216</v>
      </c>
      <c r="H172" t="str">
        <f t="shared" ref="H172:H181" si="73">"12/18/2019 7:00:28 AM"</f>
        <v>12/18/2019 7:00:28 AM</v>
      </c>
      <c r="I172" t="str">
        <f>""</f>
        <v/>
      </c>
      <c r="J172" t="str">
        <f t="shared" si="60"/>
        <v>Elite</v>
      </c>
      <c r="K172" t="str">
        <f t="shared" si="68"/>
        <v>Device</v>
      </c>
      <c r="L172" t="str">
        <f t="shared" ref="L172:L186" si="74">"777166915"</f>
        <v>777166915</v>
      </c>
      <c r="M172" t="str">
        <f t="shared" ref="M172:M186" si="75">"16425990"</f>
        <v>16425990</v>
      </c>
      <c r="N172" t="str">
        <f t="shared" ref="N172:N186" si="76">"2553-19"</f>
        <v>2553-19</v>
      </c>
      <c r="O172" t="str">
        <f t="shared" si="61"/>
        <v>TEXAS</v>
      </c>
      <c r="P172" t="str">
        <f t="shared" si="62"/>
        <v>N A</v>
      </c>
      <c r="Q172" t="str">
        <f t="shared" si="63"/>
        <v>N/A</v>
      </c>
      <c r="R172" t="str">
        <f>"130 DKCRP 11 307"</f>
        <v>130 DKCRP 11 307</v>
      </c>
      <c r="S172" t="str">
        <f>"12/17/2019 5:43:29 PM"</f>
        <v>12/17/2019 5:43:29 PM</v>
      </c>
      <c r="T172" t="str">
        <f t="shared" si="70"/>
        <v>5</v>
      </c>
      <c r="U172" t="str">
        <f t="shared" si="64"/>
        <v>N/A</v>
      </c>
      <c r="V172" t="str">
        <f>"5.5500"</f>
        <v>5.5500</v>
      </c>
    </row>
    <row r="173" spans="1:22" x14ac:dyDescent="0.25">
      <c r="A173" s="1" t="str">
        <f t="shared" si="58"/>
        <v>2553-</v>
      </c>
      <c r="B173" s="1" t="str">
        <f t="shared" si="65"/>
        <v>2553-</v>
      </c>
      <c r="C173" s="1" t="str">
        <f>VLOOKUP(B173,'Master truck list'!D:E,2,0)</f>
        <v>2553-19</v>
      </c>
      <c r="D173" s="1" t="str">
        <f>VLOOKUP(C173,'Master truck list'!E:F,2,0)</f>
        <v>ACTIVE</v>
      </c>
      <c r="E173" s="1" t="str">
        <f>VLOOKUP(C173,'Master truck list'!E:M,9,0)</f>
        <v>CHARGER LOGISTICS USA INC</v>
      </c>
      <c r="F173" s="1" t="str">
        <f>VLOOKUP(C173,'Master truck list'!E:G,3,0)</f>
        <v>Company</v>
      </c>
      <c r="G173" s="1">
        <f>VLOOKUP(C173,'Master truck list'!E:R,14,0)</f>
        <v>2216</v>
      </c>
      <c r="H173" t="str">
        <f t="shared" si="73"/>
        <v>12/18/2019 7:00:28 AM</v>
      </c>
      <c r="I173" t="str">
        <f>""</f>
        <v/>
      </c>
      <c r="J173" t="str">
        <f t="shared" si="60"/>
        <v>Elite</v>
      </c>
      <c r="K173" t="str">
        <f t="shared" si="68"/>
        <v>Device</v>
      </c>
      <c r="L173" t="str">
        <f t="shared" si="74"/>
        <v>777166915</v>
      </c>
      <c r="M173" t="str">
        <f t="shared" si="75"/>
        <v>16425990</v>
      </c>
      <c r="N173" t="str">
        <f t="shared" si="76"/>
        <v>2553-19</v>
      </c>
      <c r="O173" t="str">
        <f t="shared" si="61"/>
        <v>TEXAS</v>
      </c>
      <c r="P173" t="str">
        <f t="shared" si="62"/>
        <v>N A</v>
      </c>
      <c r="Q173" t="str">
        <f t="shared" si="63"/>
        <v>N/A</v>
      </c>
      <c r="R173" t="str">
        <f>"45SE MLPEB 02 611"</f>
        <v>45SE MLPEB 02 611</v>
      </c>
      <c r="S173" t="str">
        <f>"12/17/2019 5:25:14 PM"</f>
        <v>12/17/2019 5:25:14 PM</v>
      </c>
      <c r="T173" t="str">
        <f t="shared" si="70"/>
        <v>5</v>
      </c>
      <c r="U173" t="str">
        <f t="shared" si="64"/>
        <v>N/A</v>
      </c>
      <c r="V173" t="str">
        <f>"3.3000"</f>
        <v>3.3000</v>
      </c>
    </row>
    <row r="174" spans="1:22" x14ac:dyDescent="0.25">
      <c r="A174" s="1" t="str">
        <f t="shared" si="58"/>
        <v>2553-</v>
      </c>
      <c r="B174" s="1" t="str">
        <f t="shared" si="65"/>
        <v>2553-</v>
      </c>
      <c r="C174" s="1" t="str">
        <f>VLOOKUP(B174,'Master truck list'!D:E,2,0)</f>
        <v>2553-19</v>
      </c>
      <c r="D174" s="1" t="str">
        <f>VLOOKUP(C174,'Master truck list'!E:F,2,0)</f>
        <v>ACTIVE</v>
      </c>
      <c r="E174" s="1" t="str">
        <f>VLOOKUP(C174,'Master truck list'!E:M,9,0)</f>
        <v>CHARGER LOGISTICS USA INC</v>
      </c>
      <c r="F174" s="1" t="str">
        <f>VLOOKUP(C174,'Master truck list'!E:G,3,0)</f>
        <v>Company</v>
      </c>
      <c r="G174" s="1">
        <f>VLOOKUP(C174,'Master truck list'!E:R,14,0)</f>
        <v>2216</v>
      </c>
      <c r="H174" t="str">
        <f t="shared" si="73"/>
        <v>12/18/2019 7:00:28 AM</v>
      </c>
      <c r="I174" t="str">
        <f>""</f>
        <v/>
      </c>
      <c r="J174" t="str">
        <f t="shared" si="60"/>
        <v>Elite</v>
      </c>
      <c r="K174" t="str">
        <f t="shared" si="68"/>
        <v>Device</v>
      </c>
      <c r="L174" t="str">
        <f t="shared" si="74"/>
        <v>777166915</v>
      </c>
      <c r="M174" t="str">
        <f t="shared" si="75"/>
        <v>16425990</v>
      </c>
      <c r="N174" t="str">
        <f t="shared" si="76"/>
        <v>2553-19</v>
      </c>
      <c r="O174" t="str">
        <f t="shared" si="61"/>
        <v>TEXAS</v>
      </c>
      <c r="P174" t="str">
        <f t="shared" si="62"/>
        <v>N A</v>
      </c>
      <c r="Q174" t="str">
        <f t="shared" si="63"/>
        <v>N/A</v>
      </c>
      <c r="R174" t="str">
        <f>"130 MGCRP 11 305"</f>
        <v>130 MGCRP 11 305</v>
      </c>
      <c r="S174" t="str">
        <f>"12/17/2019 6:10:31 PM"</f>
        <v>12/17/2019 6:10:31 PM</v>
      </c>
      <c r="T174" t="str">
        <f t="shared" si="70"/>
        <v>5</v>
      </c>
      <c r="U174" t="str">
        <f t="shared" si="64"/>
        <v>N/A</v>
      </c>
      <c r="V174" t="str">
        <f>"5.5500"</f>
        <v>5.5500</v>
      </c>
    </row>
    <row r="175" spans="1:22" x14ac:dyDescent="0.25">
      <c r="A175" s="1" t="str">
        <f t="shared" si="58"/>
        <v>2553-</v>
      </c>
      <c r="B175" s="1" t="str">
        <f t="shared" si="65"/>
        <v>2553-</v>
      </c>
      <c r="C175" s="1" t="str">
        <f>VLOOKUP(B175,'Master truck list'!D:E,2,0)</f>
        <v>2553-19</v>
      </c>
      <c r="D175" s="1" t="str">
        <f>VLOOKUP(C175,'Master truck list'!E:F,2,0)</f>
        <v>ACTIVE</v>
      </c>
      <c r="E175" s="1" t="str">
        <f>VLOOKUP(C175,'Master truck list'!E:M,9,0)</f>
        <v>CHARGER LOGISTICS USA INC</v>
      </c>
      <c r="F175" s="1" t="str">
        <f>VLOOKUP(C175,'Master truck list'!E:G,3,0)</f>
        <v>Company</v>
      </c>
      <c r="G175" s="1">
        <f>VLOOKUP(C175,'Master truck list'!E:R,14,0)</f>
        <v>2216</v>
      </c>
      <c r="H175" t="str">
        <f t="shared" si="73"/>
        <v>12/18/2019 7:00:28 AM</v>
      </c>
      <c r="I175" t="str">
        <f>""</f>
        <v/>
      </c>
      <c r="J175" t="str">
        <f t="shared" si="60"/>
        <v>Elite</v>
      </c>
      <c r="K175" t="str">
        <f t="shared" si="68"/>
        <v>Device</v>
      </c>
      <c r="L175" t="str">
        <f t="shared" si="74"/>
        <v>777166915</v>
      </c>
      <c r="M175" t="str">
        <f t="shared" si="75"/>
        <v>16425990</v>
      </c>
      <c r="N175" t="str">
        <f t="shared" si="76"/>
        <v>2553-19</v>
      </c>
      <c r="O175" t="str">
        <f t="shared" si="61"/>
        <v>TEXAS</v>
      </c>
      <c r="P175" t="str">
        <f t="shared" si="62"/>
        <v>N A</v>
      </c>
      <c r="Q175" t="str">
        <f t="shared" si="63"/>
        <v>N/A</v>
      </c>
      <c r="R175" t="str">
        <f>"130 CMRNP 12 306"</f>
        <v>130 CMRNP 12 306</v>
      </c>
      <c r="S175" t="str">
        <f>"12/17/2019 5:59:14 PM"</f>
        <v>12/17/2019 5:59:14 PM</v>
      </c>
      <c r="T175" t="str">
        <f t="shared" si="70"/>
        <v>5</v>
      </c>
      <c r="U175" t="str">
        <f t="shared" si="64"/>
        <v>N/A</v>
      </c>
      <c r="V175" t="str">
        <f>"5.5500"</f>
        <v>5.5500</v>
      </c>
    </row>
    <row r="176" spans="1:22" x14ac:dyDescent="0.25">
      <c r="A176" s="1" t="str">
        <f t="shared" si="58"/>
        <v>2553-</v>
      </c>
      <c r="B176" s="1" t="str">
        <f t="shared" si="65"/>
        <v>2553-</v>
      </c>
      <c r="C176" s="1" t="str">
        <f>VLOOKUP(B176,'Master truck list'!D:E,2,0)</f>
        <v>2553-19</v>
      </c>
      <c r="D176" s="1" t="str">
        <f>VLOOKUP(C176,'Master truck list'!E:F,2,0)</f>
        <v>ACTIVE</v>
      </c>
      <c r="E176" s="1" t="str">
        <f>VLOOKUP(C176,'Master truck list'!E:M,9,0)</f>
        <v>CHARGER LOGISTICS USA INC</v>
      </c>
      <c r="F176" s="1" t="str">
        <f>VLOOKUP(C176,'Master truck list'!E:G,3,0)</f>
        <v>Company</v>
      </c>
      <c r="G176" s="1">
        <f>VLOOKUP(C176,'Master truck list'!E:R,14,0)</f>
        <v>2216</v>
      </c>
      <c r="H176" t="str">
        <f t="shared" si="73"/>
        <v>12/18/2019 7:00:28 AM</v>
      </c>
      <c r="I176" t="str">
        <f>""</f>
        <v/>
      </c>
      <c r="J176" t="str">
        <f t="shared" si="60"/>
        <v>Elite</v>
      </c>
      <c r="K176" t="str">
        <f t="shared" si="68"/>
        <v>Device</v>
      </c>
      <c r="L176" t="str">
        <f t="shared" si="74"/>
        <v>777166915</v>
      </c>
      <c r="M176" t="str">
        <f t="shared" si="75"/>
        <v>16425990</v>
      </c>
      <c r="N176" t="str">
        <f t="shared" si="76"/>
        <v>2553-19</v>
      </c>
      <c r="O176" t="str">
        <f t="shared" si="61"/>
        <v>TEXAS</v>
      </c>
      <c r="P176" t="str">
        <f t="shared" si="62"/>
        <v>N A</v>
      </c>
      <c r="Q176" t="str">
        <f t="shared" si="63"/>
        <v>N/A</v>
      </c>
      <c r="R176" t="str">
        <f>"130 ARPTP 04 308"</f>
        <v>130 ARPTP 04 308</v>
      </c>
      <c r="S176" t="str">
        <f>"12/16/2019 10:47:06 PM"</f>
        <v>12/16/2019 10:47:06 PM</v>
      </c>
      <c r="T176" t="str">
        <f t="shared" si="70"/>
        <v>5</v>
      </c>
      <c r="U176" t="str">
        <f t="shared" si="64"/>
        <v>N/A</v>
      </c>
      <c r="V176" t="str">
        <f>"5.5500"</f>
        <v>5.5500</v>
      </c>
    </row>
    <row r="177" spans="1:22" x14ac:dyDescent="0.25">
      <c r="A177" s="1" t="str">
        <f t="shared" si="58"/>
        <v>2553-</v>
      </c>
      <c r="B177" s="1" t="str">
        <f t="shared" si="65"/>
        <v>2553-</v>
      </c>
      <c r="C177" s="1" t="str">
        <f>VLOOKUP(B177,'Master truck list'!D:E,2,0)</f>
        <v>2553-19</v>
      </c>
      <c r="D177" s="1" t="str">
        <f>VLOOKUP(C177,'Master truck list'!E:F,2,0)</f>
        <v>ACTIVE</v>
      </c>
      <c r="E177" s="1" t="str">
        <f>VLOOKUP(C177,'Master truck list'!E:M,9,0)</f>
        <v>CHARGER LOGISTICS USA INC</v>
      </c>
      <c r="F177" s="1" t="str">
        <f>VLOOKUP(C177,'Master truck list'!E:G,3,0)</f>
        <v>Company</v>
      </c>
      <c r="G177" s="1">
        <f>VLOOKUP(C177,'Master truck list'!E:R,14,0)</f>
        <v>2216</v>
      </c>
      <c r="H177" t="str">
        <f t="shared" si="73"/>
        <v>12/18/2019 7:00:28 AM</v>
      </c>
      <c r="I177" t="str">
        <f>""</f>
        <v/>
      </c>
      <c r="J177" t="str">
        <f t="shared" si="60"/>
        <v>Elite</v>
      </c>
      <c r="K177" t="str">
        <f t="shared" si="68"/>
        <v>Device</v>
      </c>
      <c r="L177" t="str">
        <f t="shared" si="74"/>
        <v>777166915</v>
      </c>
      <c r="M177" t="str">
        <f t="shared" si="75"/>
        <v>16425990</v>
      </c>
      <c r="N177" t="str">
        <f t="shared" si="76"/>
        <v>2553-19</v>
      </c>
      <c r="O177" t="str">
        <f t="shared" si="61"/>
        <v>TEXAS</v>
      </c>
      <c r="P177" t="str">
        <f t="shared" si="62"/>
        <v>N A</v>
      </c>
      <c r="Q177" t="str">
        <f t="shared" si="63"/>
        <v>N/A</v>
      </c>
      <c r="R177" t="str">
        <f>"130 CMRNP 08 306"</f>
        <v>130 CMRNP 08 306</v>
      </c>
      <c r="S177" t="str">
        <f>"12/16/2019 10:30:04 PM"</f>
        <v>12/16/2019 10:30:04 PM</v>
      </c>
      <c r="T177" t="str">
        <f t="shared" si="70"/>
        <v>5</v>
      </c>
      <c r="U177" t="str">
        <f t="shared" si="64"/>
        <v>N/A</v>
      </c>
      <c r="V177" t="str">
        <f>"5.5500"</f>
        <v>5.5500</v>
      </c>
    </row>
    <row r="178" spans="1:22" x14ac:dyDescent="0.25">
      <c r="A178" s="1" t="str">
        <f t="shared" si="58"/>
        <v>2553-</v>
      </c>
      <c r="B178" s="1" t="str">
        <f t="shared" si="65"/>
        <v>2553-</v>
      </c>
      <c r="C178" s="1" t="str">
        <f>VLOOKUP(B178,'Master truck list'!D:E,2,0)</f>
        <v>2553-19</v>
      </c>
      <c r="D178" s="1" t="str">
        <f>VLOOKUP(C178,'Master truck list'!E:F,2,0)</f>
        <v>ACTIVE</v>
      </c>
      <c r="E178" s="1" t="str">
        <f>VLOOKUP(C178,'Master truck list'!E:M,9,0)</f>
        <v>CHARGER LOGISTICS USA INC</v>
      </c>
      <c r="F178" s="1" t="str">
        <f>VLOOKUP(C178,'Master truck list'!E:G,3,0)</f>
        <v>Company</v>
      </c>
      <c r="G178" s="1">
        <f>VLOOKUP(C178,'Master truck list'!E:R,14,0)</f>
        <v>2216</v>
      </c>
      <c r="H178" t="str">
        <f t="shared" si="73"/>
        <v>12/18/2019 7:00:28 AM</v>
      </c>
      <c r="I178" t="str">
        <f>""</f>
        <v/>
      </c>
      <c r="J178" t="str">
        <f t="shared" si="60"/>
        <v>Elite</v>
      </c>
      <c r="K178" t="str">
        <f t="shared" si="68"/>
        <v>Device</v>
      </c>
      <c r="L178" t="str">
        <f t="shared" si="74"/>
        <v>777166915</v>
      </c>
      <c r="M178" t="str">
        <f t="shared" si="75"/>
        <v>16425990</v>
      </c>
      <c r="N178" t="str">
        <f t="shared" si="76"/>
        <v>2553-19</v>
      </c>
      <c r="O178" t="str">
        <f t="shared" si="61"/>
        <v>TEXAS</v>
      </c>
      <c r="P178" t="str">
        <f t="shared" si="62"/>
        <v>N A</v>
      </c>
      <c r="Q178" t="str">
        <f t="shared" si="63"/>
        <v>N/A</v>
      </c>
      <c r="R178" t="str">
        <f>"45SE MLPWB 01 611"</f>
        <v>45SE MLPWB 01 611</v>
      </c>
      <c r="S178" t="str">
        <f>"12/16/2019 10:57:46 PM"</f>
        <v>12/16/2019 10:57:46 PM</v>
      </c>
      <c r="T178" t="str">
        <f t="shared" si="70"/>
        <v>5</v>
      </c>
      <c r="U178" t="str">
        <f t="shared" si="64"/>
        <v>N/A</v>
      </c>
      <c r="V178" t="str">
        <f>"3.3000"</f>
        <v>3.3000</v>
      </c>
    </row>
    <row r="179" spans="1:22" x14ac:dyDescent="0.25">
      <c r="A179" s="1" t="str">
        <f t="shared" si="58"/>
        <v>2553-</v>
      </c>
      <c r="B179" s="1" t="str">
        <f t="shared" si="65"/>
        <v>2553-</v>
      </c>
      <c r="C179" s="1" t="str">
        <f>VLOOKUP(B179,'Master truck list'!D:E,2,0)</f>
        <v>2553-19</v>
      </c>
      <c r="D179" s="1" t="str">
        <f>VLOOKUP(C179,'Master truck list'!E:F,2,0)</f>
        <v>ACTIVE</v>
      </c>
      <c r="E179" s="1" t="str">
        <f>VLOOKUP(C179,'Master truck list'!E:M,9,0)</f>
        <v>CHARGER LOGISTICS USA INC</v>
      </c>
      <c r="F179" s="1" t="str">
        <f>VLOOKUP(C179,'Master truck list'!E:G,3,0)</f>
        <v>Company</v>
      </c>
      <c r="G179" s="1">
        <f>VLOOKUP(C179,'Master truck list'!E:R,14,0)</f>
        <v>2216</v>
      </c>
      <c r="H179" t="str">
        <f t="shared" si="73"/>
        <v>12/18/2019 7:00:28 AM</v>
      </c>
      <c r="I179" t="str">
        <f>""</f>
        <v/>
      </c>
      <c r="J179" t="str">
        <f t="shared" si="60"/>
        <v>Elite</v>
      </c>
      <c r="K179" t="str">
        <f t="shared" si="68"/>
        <v>Device</v>
      </c>
      <c r="L179" t="str">
        <f t="shared" si="74"/>
        <v>777166915</v>
      </c>
      <c r="M179" t="str">
        <f t="shared" si="75"/>
        <v>16425990</v>
      </c>
      <c r="N179" t="str">
        <f t="shared" si="76"/>
        <v>2553-19</v>
      </c>
      <c r="O179" t="str">
        <f t="shared" si="61"/>
        <v>TEXAS</v>
      </c>
      <c r="P179" t="str">
        <f t="shared" si="62"/>
        <v>N A</v>
      </c>
      <c r="Q179" t="str">
        <f t="shared" si="63"/>
        <v>N/A</v>
      </c>
      <c r="R179" t="str">
        <f>"130 MGCRP 06 305"</f>
        <v>130 MGCRP 06 305</v>
      </c>
      <c r="S179" t="str">
        <f>"12/16/2019 10:19:01 PM"</f>
        <v>12/16/2019 10:19:01 PM</v>
      </c>
      <c r="T179" t="str">
        <f t="shared" si="70"/>
        <v>5</v>
      </c>
      <c r="U179" t="str">
        <f t="shared" si="64"/>
        <v>N/A</v>
      </c>
      <c r="V179" t="str">
        <f t="shared" ref="V179:V184" si="77">"5.5500"</f>
        <v>5.5500</v>
      </c>
    </row>
    <row r="180" spans="1:22" x14ac:dyDescent="0.25">
      <c r="A180" s="1" t="str">
        <f t="shared" si="58"/>
        <v>2553-</v>
      </c>
      <c r="B180" s="1" t="str">
        <f t="shared" si="65"/>
        <v>2553-</v>
      </c>
      <c r="C180" s="1" t="str">
        <f>VLOOKUP(B180,'Master truck list'!D:E,2,0)</f>
        <v>2553-19</v>
      </c>
      <c r="D180" s="1" t="str">
        <f>VLOOKUP(C180,'Master truck list'!E:F,2,0)</f>
        <v>ACTIVE</v>
      </c>
      <c r="E180" s="1" t="str">
        <f>VLOOKUP(C180,'Master truck list'!E:M,9,0)</f>
        <v>CHARGER LOGISTICS USA INC</v>
      </c>
      <c r="F180" s="1" t="str">
        <f>VLOOKUP(C180,'Master truck list'!E:G,3,0)</f>
        <v>Company</v>
      </c>
      <c r="G180" s="1">
        <f>VLOOKUP(C180,'Master truck list'!E:R,14,0)</f>
        <v>2216</v>
      </c>
      <c r="H180" t="str">
        <f t="shared" si="73"/>
        <v>12/18/2019 7:00:28 AM</v>
      </c>
      <c r="I180" t="str">
        <f>""</f>
        <v/>
      </c>
      <c r="J180" t="str">
        <f t="shared" si="60"/>
        <v>Elite</v>
      </c>
      <c r="K180" t="str">
        <f t="shared" si="68"/>
        <v>Device</v>
      </c>
      <c r="L180" t="str">
        <f t="shared" si="74"/>
        <v>777166915</v>
      </c>
      <c r="M180" t="str">
        <f t="shared" si="75"/>
        <v>16425990</v>
      </c>
      <c r="N180" t="str">
        <f t="shared" si="76"/>
        <v>2553-19</v>
      </c>
      <c r="O180" t="str">
        <f t="shared" si="61"/>
        <v>TEXAS</v>
      </c>
      <c r="P180" t="str">
        <f t="shared" si="62"/>
        <v>N A</v>
      </c>
      <c r="Q180" t="str">
        <f t="shared" si="63"/>
        <v>N/A</v>
      </c>
      <c r="R180" t="str">
        <f>"130 ARPTP 09 308"</f>
        <v>130 ARPTP 09 308</v>
      </c>
      <c r="S180" t="str">
        <f>"12/17/2019 5:36:14 PM"</f>
        <v>12/17/2019 5:36:14 PM</v>
      </c>
      <c r="T180" t="str">
        <f t="shared" si="70"/>
        <v>5</v>
      </c>
      <c r="U180" t="str">
        <f t="shared" si="64"/>
        <v>N/A</v>
      </c>
      <c r="V180" t="str">
        <f t="shared" si="77"/>
        <v>5.5500</v>
      </c>
    </row>
    <row r="181" spans="1:22" x14ac:dyDescent="0.25">
      <c r="A181" s="1" t="str">
        <f t="shared" si="58"/>
        <v>2553-</v>
      </c>
      <c r="B181" s="1" t="str">
        <f t="shared" si="65"/>
        <v>2553-</v>
      </c>
      <c r="C181" s="1" t="str">
        <f>VLOOKUP(B181,'Master truck list'!D:E,2,0)</f>
        <v>2553-19</v>
      </c>
      <c r="D181" s="1" t="str">
        <f>VLOOKUP(C181,'Master truck list'!E:F,2,0)</f>
        <v>ACTIVE</v>
      </c>
      <c r="E181" s="1" t="str">
        <f>VLOOKUP(C181,'Master truck list'!E:M,9,0)</f>
        <v>CHARGER LOGISTICS USA INC</v>
      </c>
      <c r="F181" s="1" t="str">
        <f>VLOOKUP(C181,'Master truck list'!E:G,3,0)</f>
        <v>Company</v>
      </c>
      <c r="G181" s="1">
        <f>VLOOKUP(C181,'Master truck list'!E:R,14,0)</f>
        <v>2216</v>
      </c>
      <c r="H181" t="str">
        <f t="shared" si="73"/>
        <v>12/18/2019 7:00:28 AM</v>
      </c>
      <c r="I181" t="str">
        <f>""</f>
        <v/>
      </c>
      <c r="J181" t="str">
        <f t="shared" si="60"/>
        <v>Elite</v>
      </c>
      <c r="K181" t="str">
        <f t="shared" si="68"/>
        <v>Device</v>
      </c>
      <c r="L181" t="str">
        <f t="shared" si="74"/>
        <v>777166915</v>
      </c>
      <c r="M181" t="str">
        <f t="shared" si="75"/>
        <v>16425990</v>
      </c>
      <c r="N181" t="str">
        <f t="shared" si="76"/>
        <v>2553-19</v>
      </c>
      <c r="O181" t="str">
        <f t="shared" si="61"/>
        <v>TEXAS</v>
      </c>
      <c r="P181" t="str">
        <f t="shared" si="62"/>
        <v>N A</v>
      </c>
      <c r="Q181" t="str">
        <f t="shared" si="63"/>
        <v>N/A</v>
      </c>
      <c r="R181" t="str">
        <f>"130 DKCRP 06 307"</f>
        <v>130 DKCRP 06 307</v>
      </c>
      <c r="S181" t="str">
        <f>"12/16/2019 10:40:06 PM"</f>
        <v>12/16/2019 10:40:06 PM</v>
      </c>
      <c r="T181" t="str">
        <f t="shared" si="70"/>
        <v>5</v>
      </c>
      <c r="U181" t="str">
        <f t="shared" si="64"/>
        <v>N/A</v>
      </c>
      <c r="V181" t="str">
        <f t="shared" si="77"/>
        <v>5.5500</v>
      </c>
    </row>
    <row r="182" spans="1:22" x14ac:dyDescent="0.25">
      <c r="A182" s="1" t="str">
        <f t="shared" si="58"/>
        <v>2553-</v>
      </c>
      <c r="B182" s="1" t="str">
        <f t="shared" si="65"/>
        <v>2553-</v>
      </c>
      <c r="C182" s="1" t="str">
        <f>VLOOKUP(B182,'Master truck list'!D:E,2,0)</f>
        <v>2553-19</v>
      </c>
      <c r="D182" s="1" t="str">
        <f>VLOOKUP(C182,'Master truck list'!E:F,2,0)</f>
        <v>ACTIVE</v>
      </c>
      <c r="E182" s="1" t="str">
        <f>VLOOKUP(C182,'Master truck list'!E:M,9,0)</f>
        <v>CHARGER LOGISTICS USA INC</v>
      </c>
      <c r="F182" s="1" t="str">
        <f>VLOOKUP(C182,'Master truck list'!E:G,3,0)</f>
        <v>Company</v>
      </c>
      <c r="G182" s="1">
        <f>VLOOKUP(C182,'Master truck list'!E:R,14,0)</f>
        <v>2216</v>
      </c>
      <c r="H182" t="str">
        <f>"12/20/2019 7:00:30 AM"</f>
        <v>12/20/2019 7:00:30 AM</v>
      </c>
      <c r="I182" t="str">
        <f>""</f>
        <v/>
      </c>
      <c r="J182" t="str">
        <f t="shared" si="60"/>
        <v>Elite</v>
      </c>
      <c r="K182" t="str">
        <f t="shared" si="68"/>
        <v>Device</v>
      </c>
      <c r="L182" t="str">
        <f t="shared" si="74"/>
        <v>777166915</v>
      </c>
      <c r="M182" t="str">
        <f t="shared" si="75"/>
        <v>16425990</v>
      </c>
      <c r="N182" t="str">
        <f t="shared" si="76"/>
        <v>2553-19</v>
      </c>
      <c r="O182" t="str">
        <f t="shared" si="61"/>
        <v>TEXAS</v>
      </c>
      <c r="P182" t="str">
        <f t="shared" si="62"/>
        <v>N A</v>
      </c>
      <c r="Q182" t="str">
        <f t="shared" si="63"/>
        <v>N/A</v>
      </c>
      <c r="R182" t="str">
        <f>"130 ARPTP 04 308"</f>
        <v>130 ARPTP 04 308</v>
      </c>
      <c r="S182" t="str">
        <f>"12/19/2019 5:49:15 PM"</f>
        <v>12/19/2019 5:49:15 PM</v>
      </c>
      <c r="T182" t="str">
        <f t="shared" si="70"/>
        <v>5</v>
      </c>
      <c r="U182" t="str">
        <f t="shared" si="64"/>
        <v>N/A</v>
      </c>
      <c r="V182" t="str">
        <f t="shared" si="77"/>
        <v>5.5500</v>
      </c>
    </row>
    <row r="183" spans="1:22" x14ac:dyDescent="0.25">
      <c r="A183" s="1" t="str">
        <f t="shared" si="58"/>
        <v>2553-</v>
      </c>
      <c r="B183" s="1" t="str">
        <f t="shared" si="65"/>
        <v>2553-</v>
      </c>
      <c r="C183" s="1" t="str">
        <f>VLOOKUP(B183,'Master truck list'!D:E,2,0)</f>
        <v>2553-19</v>
      </c>
      <c r="D183" s="1" t="str">
        <f>VLOOKUP(C183,'Master truck list'!E:F,2,0)</f>
        <v>ACTIVE</v>
      </c>
      <c r="E183" s="1" t="str">
        <f>VLOOKUP(C183,'Master truck list'!E:M,9,0)</f>
        <v>CHARGER LOGISTICS USA INC</v>
      </c>
      <c r="F183" s="1" t="str">
        <f>VLOOKUP(C183,'Master truck list'!E:G,3,0)</f>
        <v>Company</v>
      </c>
      <c r="G183" s="1">
        <f>VLOOKUP(C183,'Master truck list'!E:R,14,0)</f>
        <v>2216</v>
      </c>
      <c r="H183" t="str">
        <f>"12/20/2019 7:00:30 AM"</f>
        <v>12/20/2019 7:00:30 AM</v>
      </c>
      <c r="I183" t="str">
        <f>""</f>
        <v/>
      </c>
      <c r="J183" t="str">
        <f t="shared" si="60"/>
        <v>Elite</v>
      </c>
      <c r="K183" t="str">
        <f t="shared" si="68"/>
        <v>Device</v>
      </c>
      <c r="L183" t="str">
        <f t="shared" si="74"/>
        <v>777166915</v>
      </c>
      <c r="M183" t="str">
        <f t="shared" si="75"/>
        <v>16425990</v>
      </c>
      <c r="N183" t="str">
        <f t="shared" si="76"/>
        <v>2553-19</v>
      </c>
      <c r="O183" t="str">
        <f t="shared" si="61"/>
        <v>TEXAS</v>
      </c>
      <c r="P183" t="str">
        <f t="shared" si="62"/>
        <v>N A</v>
      </c>
      <c r="Q183" t="str">
        <f t="shared" si="63"/>
        <v>N/A</v>
      </c>
      <c r="R183" t="str">
        <f>"130 DKCRP 06 307"</f>
        <v>130 DKCRP 06 307</v>
      </c>
      <c r="S183" t="str">
        <f>"12/19/2019 5:38:05 PM"</f>
        <v>12/19/2019 5:38:05 PM</v>
      </c>
      <c r="T183" t="str">
        <f t="shared" si="70"/>
        <v>5</v>
      </c>
      <c r="U183" t="str">
        <f t="shared" si="64"/>
        <v>N/A</v>
      </c>
      <c r="V183" t="str">
        <f t="shared" si="77"/>
        <v>5.5500</v>
      </c>
    </row>
    <row r="184" spans="1:22" x14ac:dyDescent="0.25">
      <c r="A184" s="1" t="str">
        <f t="shared" si="58"/>
        <v>2553-</v>
      </c>
      <c r="B184" s="1" t="str">
        <f t="shared" si="65"/>
        <v>2553-</v>
      </c>
      <c r="C184" s="1" t="str">
        <f>VLOOKUP(B184,'Master truck list'!D:E,2,0)</f>
        <v>2553-19</v>
      </c>
      <c r="D184" s="1" t="str">
        <f>VLOOKUP(C184,'Master truck list'!E:F,2,0)</f>
        <v>ACTIVE</v>
      </c>
      <c r="E184" s="1" t="str">
        <f>VLOOKUP(C184,'Master truck list'!E:M,9,0)</f>
        <v>CHARGER LOGISTICS USA INC</v>
      </c>
      <c r="F184" s="1" t="str">
        <f>VLOOKUP(C184,'Master truck list'!E:G,3,0)</f>
        <v>Company</v>
      </c>
      <c r="G184" s="1">
        <f>VLOOKUP(C184,'Master truck list'!E:R,14,0)</f>
        <v>2216</v>
      </c>
      <c r="H184" t="str">
        <f>"12/20/2019 7:00:30 AM"</f>
        <v>12/20/2019 7:00:30 AM</v>
      </c>
      <c r="I184" t="str">
        <f>""</f>
        <v/>
      </c>
      <c r="J184" t="str">
        <f t="shared" si="60"/>
        <v>Elite</v>
      </c>
      <c r="K184" t="str">
        <f t="shared" si="68"/>
        <v>Device</v>
      </c>
      <c r="L184" t="str">
        <f t="shared" si="74"/>
        <v>777166915</v>
      </c>
      <c r="M184" t="str">
        <f t="shared" si="75"/>
        <v>16425990</v>
      </c>
      <c r="N184" t="str">
        <f t="shared" si="76"/>
        <v>2553-19</v>
      </c>
      <c r="O184" t="str">
        <f t="shared" si="61"/>
        <v>TEXAS</v>
      </c>
      <c r="P184" t="str">
        <f t="shared" si="62"/>
        <v>N A</v>
      </c>
      <c r="Q184" t="str">
        <f t="shared" si="63"/>
        <v>N/A</v>
      </c>
      <c r="R184" t="str">
        <f>"130 MGCRP 06 305"</f>
        <v>130 MGCRP 06 305</v>
      </c>
      <c r="S184" t="str">
        <f>"12/19/2019 4:57:26 PM"</f>
        <v>12/19/2019 4:57:26 PM</v>
      </c>
      <c r="T184" t="str">
        <f t="shared" si="70"/>
        <v>5</v>
      </c>
      <c r="U184" t="str">
        <f t="shared" si="64"/>
        <v>N/A</v>
      </c>
      <c r="V184" t="str">
        <f t="shared" si="77"/>
        <v>5.5500</v>
      </c>
    </row>
    <row r="185" spans="1:22" x14ac:dyDescent="0.25">
      <c r="A185" s="1" t="str">
        <f t="shared" si="58"/>
        <v>2553-</v>
      </c>
      <c r="B185" s="1" t="str">
        <f t="shared" si="65"/>
        <v>2553-</v>
      </c>
      <c r="C185" s="1" t="str">
        <f>VLOOKUP(B185,'Master truck list'!D:E,2,0)</f>
        <v>2553-19</v>
      </c>
      <c r="D185" s="1" t="str">
        <f>VLOOKUP(C185,'Master truck list'!E:F,2,0)</f>
        <v>ACTIVE</v>
      </c>
      <c r="E185" s="1" t="str">
        <f>VLOOKUP(C185,'Master truck list'!E:M,9,0)</f>
        <v>CHARGER LOGISTICS USA INC</v>
      </c>
      <c r="F185" s="1" t="str">
        <f>VLOOKUP(C185,'Master truck list'!E:G,3,0)</f>
        <v>Company</v>
      </c>
      <c r="G185" s="1">
        <f>VLOOKUP(C185,'Master truck list'!E:R,14,0)</f>
        <v>2216</v>
      </c>
      <c r="H185" t="str">
        <f>"12/20/2019 7:00:30 AM"</f>
        <v>12/20/2019 7:00:30 AM</v>
      </c>
      <c r="I185" t="str">
        <f>""</f>
        <v/>
      </c>
      <c r="J185" t="str">
        <f t="shared" si="60"/>
        <v>Elite</v>
      </c>
      <c r="K185" t="str">
        <f t="shared" si="68"/>
        <v>Device</v>
      </c>
      <c r="L185" t="str">
        <f t="shared" si="74"/>
        <v>777166915</v>
      </c>
      <c r="M185" t="str">
        <f t="shared" si="75"/>
        <v>16425990</v>
      </c>
      <c r="N185" t="str">
        <f t="shared" si="76"/>
        <v>2553-19</v>
      </c>
      <c r="O185" t="str">
        <f t="shared" si="61"/>
        <v>TEXAS</v>
      </c>
      <c r="P185" t="str">
        <f t="shared" si="62"/>
        <v>N A</v>
      </c>
      <c r="Q185" t="str">
        <f t="shared" si="63"/>
        <v>N/A</v>
      </c>
      <c r="R185" t="str">
        <f>"45SE MLPWB 01 611"</f>
        <v>45SE MLPWB 01 611</v>
      </c>
      <c r="S185" t="str">
        <f>"12/19/2019 5:59:54 PM"</f>
        <v>12/19/2019 5:59:54 PM</v>
      </c>
      <c r="T185" t="str">
        <f t="shared" si="70"/>
        <v>5</v>
      </c>
      <c r="U185" t="str">
        <f t="shared" si="64"/>
        <v>N/A</v>
      </c>
      <c r="V185" t="str">
        <f>"3.3000"</f>
        <v>3.3000</v>
      </c>
    </row>
    <row r="186" spans="1:22" x14ac:dyDescent="0.25">
      <c r="A186" s="1" t="str">
        <f t="shared" si="58"/>
        <v>2553-</v>
      </c>
      <c r="B186" s="1" t="str">
        <f t="shared" si="65"/>
        <v>2553-</v>
      </c>
      <c r="C186" s="1" t="str">
        <f>VLOOKUP(B186,'Master truck list'!D:E,2,0)</f>
        <v>2553-19</v>
      </c>
      <c r="D186" s="1" t="str">
        <f>VLOOKUP(C186,'Master truck list'!E:F,2,0)</f>
        <v>ACTIVE</v>
      </c>
      <c r="E186" s="1" t="str">
        <f>VLOOKUP(C186,'Master truck list'!E:M,9,0)</f>
        <v>CHARGER LOGISTICS USA INC</v>
      </c>
      <c r="F186" s="1" t="str">
        <f>VLOOKUP(C186,'Master truck list'!E:G,3,0)</f>
        <v>Company</v>
      </c>
      <c r="G186" s="1">
        <f>VLOOKUP(C186,'Master truck list'!E:R,14,0)</f>
        <v>2216</v>
      </c>
      <c r="H186" t="str">
        <f>"12/20/2019 7:00:30 AM"</f>
        <v>12/20/2019 7:00:30 AM</v>
      </c>
      <c r="I186" t="str">
        <f>""</f>
        <v/>
      </c>
      <c r="J186" t="str">
        <f t="shared" si="60"/>
        <v>Elite</v>
      </c>
      <c r="K186" t="str">
        <f t="shared" si="68"/>
        <v>Device</v>
      </c>
      <c r="L186" t="str">
        <f t="shared" si="74"/>
        <v>777166915</v>
      </c>
      <c r="M186" t="str">
        <f t="shared" si="75"/>
        <v>16425990</v>
      </c>
      <c r="N186" t="str">
        <f t="shared" si="76"/>
        <v>2553-19</v>
      </c>
      <c r="O186" t="str">
        <f t="shared" si="61"/>
        <v>TEXAS</v>
      </c>
      <c r="P186" t="str">
        <f t="shared" si="62"/>
        <v>N A</v>
      </c>
      <c r="Q186" t="str">
        <f t="shared" si="63"/>
        <v>N/A</v>
      </c>
      <c r="R186" t="str">
        <f>"130 CMRNP 08 306"</f>
        <v>130 CMRNP 08 306</v>
      </c>
      <c r="S186" t="str">
        <f>"12/19/2019 5:08:30 PM"</f>
        <v>12/19/2019 5:08:30 PM</v>
      </c>
      <c r="T186" t="str">
        <f t="shared" si="70"/>
        <v>5</v>
      </c>
      <c r="U186" t="str">
        <f t="shared" si="64"/>
        <v>N/A</v>
      </c>
      <c r="V186" t="str">
        <f>"5.5500"</f>
        <v>5.5500</v>
      </c>
    </row>
    <row r="187" spans="1:22" x14ac:dyDescent="0.25">
      <c r="A187" s="1" t="str">
        <f t="shared" si="58"/>
        <v>19286</v>
      </c>
      <c r="B187" s="1" t="str">
        <f t="shared" si="65"/>
        <v>19286</v>
      </c>
      <c r="C187" s="1" t="str">
        <f>VLOOKUP(B187,'Master truck list'!D:E,2,0)</f>
        <v>19286-20</v>
      </c>
      <c r="D187" s="1" t="str">
        <f>VLOOKUP(C187,'Master truck list'!E:F,2,0)</f>
        <v>ACTIVE</v>
      </c>
      <c r="E187" s="1" t="str">
        <f>VLOOKUP(C187,'Master truck list'!E:M,9,0)</f>
        <v>BKFS LOGISTICS</v>
      </c>
      <c r="F187" s="1" t="str">
        <f>VLOOKUP(C187,'Master truck list'!E:G,3,0)</f>
        <v>Company</v>
      </c>
      <c r="G187" s="1">
        <f>VLOOKUP(C187,'Master truck list'!E:R,14,0)</f>
        <v>2273</v>
      </c>
      <c r="H187" t="str">
        <f>"12/17/2019 7:00:33 AM"</f>
        <v>12/17/2019 7:00:33 AM</v>
      </c>
      <c r="I187" t="str">
        <f>""</f>
        <v/>
      </c>
      <c r="J187" t="str">
        <f t="shared" si="60"/>
        <v>Elite</v>
      </c>
      <c r="K187" t="str">
        <f t="shared" si="68"/>
        <v>Device</v>
      </c>
      <c r="L187" t="str">
        <f>"777193213"</f>
        <v>777193213</v>
      </c>
      <c r="M187" t="str">
        <f>"16518239"</f>
        <v>16518239</v>
      </c>
      <c r="N187" t="str">
        <f>"19286-20"</f>
        <v>19286-20</v>
      </c>
      <c r="O187" t="str">
        <f t="shared" si="61"/>
        <v>TEXAS</v>
      </c>
      <c r="P187" t="str">
        <f t="shared" si="62"/>
        <v>N A</v>
      </c>
      <c r="Q187" t="str">
        <f t="shared" si="63"/>
        <v>N/A</v>
      </c>
      <c r="R187" t="str">
        <f>"130 DKCRP 11 307"</f>
        <v>130 DKCRP 11 307</v>
      </c>
      <c r="S187" t="str">
        <f>"12/16/2019 3:25:39 PM"</f>
        <v>12/16/2019 3:25:39 PM</v>
      </c>
      <c r="T187" t="str">
        <f t="shared" si="70"/>
        <v>5</v>
      </c>
      <c r="U187" t="str">
        <f t="shared" si="64"/>
        <v>N/A</v>
      </c>
      <c r="V187" t="str">
        <f>"5.5500"</f>
        <v>5.5500</v>
      </c>
    </row>
    <row r="188" spans="1:22" x14ac:dyDescent="0.25">
      <c r="A188" s="1" t="str">
        <f t="shared" si="58"/>
        <v>19286</v>
      </c>
      <c r="B188" s="1" t="str">
        <f t="shared" si="65"/>
        <v>19286</v>
      </c>
      <c r="C188" s="1" t="str">
        <f>VLOOKUP(B188,'Master truck list'!D:E,2,0)</f>
        <v>19286-20</v>
      </c>
      <c r="D188" s="1" t="str">
        <f>VLOOKUP(C188,'Master truck list'!E:F,2,0)</f>
        <v>ACTIVE</v>
      </c>
      <c r="E188" s="1" t="str">
        <f>VLOOKUP(C188,'Master truck list'!E:M,9,0)</f>
        <v>BKFS LOGISTICS</v>
      </c>
      <c r="F188" s="1" t="str">
        <f>VLOOKUP(C188,'Master truck list'!E:G,3,0)</f>
        <v>Company</v>
      </c>
      <c r="G188" s="1">
        <f>VLOOKUP(C188,'Master truck list'!E:R,14,0)</f>
        <v>2273</v>
      </c>
      <c r="H188" t="str">
        <f>"12/17/2019 7:00:33 AM"</f>
        <v>12/17/2019 7:00:33 AM</v>
      </c>
      <c r="I188" t="str">
        <f>""</f>
        <v/>
      </c>
      <c r="J188" t="str">
        <f t="shared" si="60"/>
        <v>Elite</v>
      </c>
      <c r="K188" t="str">
        <f t="shared" si="68"/>
        <v>Device</v>
      </c>
      <c r="L188" t="str">
        <f>"777193213"</f>
        <v>777193213</v>
      </c>
      <c r="M188" t="str">
        <f>"16518239"</f>
        <v>16518239</v>
      </c>
      <c r="N188" t="str">
        <f>"19286-20"</f>
        <v>19286-20</v>
      </c>
      <c r="O188" t="str">
        <f t="shared" si="61"/>
        <v>TEXAS</v>
      </c>
      <c r="P188" t="str">
        <f t="shared" si="62"/>
        <v>N A</v>
      </c>
      <c r="Q188" t="str">
        <f t="shared" si="63"/>
        <v>N/A</v>
      </c>
      <c r="R188" t="str">
        <f>"45SE MLPEB 02 611"</f>
        <v>45SE MLPEB 02 611</v>
      </c>
      <c r="S188" t="str">
        <f>"12/16/2019 3:07:20 PM"</f>
        <v>12/16/2019 3:07:20 PM</v>
      </c>
      <c r="T188" t="str">
        <f t="shared" si="70"/>
        <v>5</v>
      </c>
      <c r="U188" t="str">
        <f t="shared" si="64"/>
        <v>N/A</v>
      </c>
      <c r="V188" t="str">
        <f>"3.3000"</f>
        <v>3.3000</v>
      </c>
    </row>
    <row r="189" spans="1:22" x14ac:dyDescent="0.25">
      <c r="A189" s="1" t="str">
        <f t="shared" si="58"/>
        <v>19286</v>
      </c>
      <c r="B189" s="1" t="str">
        <f t="shared" si="65"/>
        <v>19286</v>
      </c>
      <c r="C189" s="1" t="str">
        <f>VLOOKUP(B189,'Master truck list'!D:E,2,0)</f>
        <v>19286-20</v>
      </c>
      <c r="D189" s="1" t="str">
        <f>VLOOKUP(C189,'Master truck list'!E:F,2,0)</f>
        <v>ACTIVE</v>
      </c>
      <c r="E189" s="1" t="str">
        <f>VLOOKUP(C189,'Master truck list'!E:M,9,0)</f>
        <v>BKFS LOGISTICS</v>
      </c>
      <c r="F189" s="1" t="str">
        <f>VLOOKUP(C189,'Master truck list'!E:G,3,0)</f>
        <v>Company</v>
      </c>
      <c r="G189" s="1">
        <f>VLOOKUP(C189,'Master truck list'!E:R,14,0)</f>
        <v>2273</v>
      </c>
      <c r="H189" t="str">
        <f>"12/17/2019 7:00:33 AM"</f>
        <v>12/17/2019 7:00:33 AM</v>
      </c>
      <c r="I189" t="str">
        <f>""</f>
        <v/>
      </c>
      <c r="J189" t="str">
        <f t="shared" si="60"/>
        <v>Elite</v>
      </c>
      <c r="K189" t="str">
        <f t="shared" si="68"/>
        <v>Device</v>
      </c>
      <c r="L189" t="str">
        <f>"777193213"</f>
        <v>777193213</v>
      </c>
      <c r="M189" t="str">
        <f>"16518239"</f>
        <v>16518239</v>
      </c>
      <c r="N189" t="str">
        <f>"19286-20"</f>
        <v>19286-20</v>
      </c>
      <c r="O189" t="str">
        <f t="shared" si="61"/>
        <v>TEXAS</v>
      </c>
      <c r="P189" t="str">
        <f t="shared" si="62"/>
        <v>N A</v>
      </c>
      <c r="Q189" t="str">
        <f t="shared" si="63"/>
        <v>N/A</v>
      </c>
      <c r="R189" t="str">
        <f>"130 MGCRP 11 305"</f>
        <v>130 MGCRP 11 305</v>
      </c>
      <c r="S189" t="str">
        <f>"12/16/2019 3:47:40 PM"</f>
        <v>12/16/2019 3:47:40 PM</v>
      </c>
      <c r="T189" t="str">
        <f t="shared" si="70"/>
        <v>5</v>
      </c>
      <c r="U189" t="str">
        <f t="shared" si="64"/>
        <v>N/A</v>
      </c>
      <c r="V189" t="str">
        <f t="shared" ref="V189:V194" si="78">"5.5500"</f>
        <v>5.5500</v>
      </c>
    </row>
    <row r="190" spans="1:22" x14ac:dyDescent="0.25">
      <c r="A190" s="1" t="str">
        <f t="shared" si="58"/>
        <v>19286</v>
      </c>
      <c r="B190" s="1" t="str">
        <f t="shared" si="65"/>
        <v>19286</v>
      </c>
      <c r="C190" s="1" t="str">
        <f>VLOOKUP(B190,'Master truck list'!D:E,2,0)</f>
        <v>19286-20</v>
      </c>
      <c r="D190" s="1" t="str">
        <f>VLOOKUP(C190,'Master truck list'!E:F,2,0)</f>
        <v>ACTIVE</v>
      </c>
      <c r="E190" s="1" t="str">
        <f>VLOOKUP(C190,'Master truck list'!E:M,9,0)</f>
        <v>BKFS LOGISTICS</v>
      </c>
      <c r="F190" s="1" t="str">
        <f>VLOOKUP(C190,'Master truck list'!E:G,3,0)</f>
        <v>Company</v>
      </c>
      <c r="G190" s="1">
        <f>VLOOKUP(C190,'Master truck list'!E:R,14,0)</f>
        <v>2273</v>
      </c>
      <c r="H190" t="str">
        <f>"12/17/2019 7:00:33 AM"</f>
        <v>12/17/2019 7:00:33 AM</v>
      </c>
      <c r="I190" t="str">
        <f>""</f>
        <v/>
      </c>
      <c r="J190" t="str">
        <f t="shared" si="60"/>
        <v>Elite</v>
      </c>
      <c r="K190" t="str">
        <f t="shared" si="68"/>
        <v>Device</v>
      </c>
      <c r="L190" t="str">
        <f>"777193213"</f>
        <v>777193213</v>
      </c>
      <c r="M190" t="str">
        <f>"16518239"</f>
        <v>16518239</v>
      </c>
      <c r="N190" t="str">
        <f>"19286-20"</f>
        <v>19286-20</v>
      </c>
      <c r="O190" t="str">
        <f t="shared" si="61"/>
        <v>TEXAS</v>
      </c>
      <c r="P190" t="str">
        <f t="shared" si="62"/>
        <v>N A</v>
      </c>
      <c r="Q190" t="str">
        <f t="shared" si="63"/>
        <v>N/A</v>
      </c>
      <c r="R190" t="str">
        <f>"130 ARPTP 09 308"</f>
        <v>130 ARPTP 09 308</v>
      </c>
      <c r="S190" t="str">
        <f>"12/16/2019 3:18:21 PM"</f>
        <v>12/16/2019 3:18:21 PM</v>
      </c>
      <c r="T190" t="str">
        <f t="shared" si="70"/>
        <v>5</v>
      </c>
      <c r="U190" t="str">
        <f t="shared" si="64"/>
        <v>N/A</v>
      </c>
      <c r="V190" t="str">
        <f t="shared" si="78"/>
        <v>5.5500</v>
      </c>
    </row>
    <row r="191" spans="1:22" x14ac:dyDescent="0.25">
      <c r="A191" s="1" t="str">
        <f t="shared" si="58"/>
        <v>19286</v>
      </c>
      <c r="B191" s="1" t="str">
        <f t="shared" si="65"/>
        <v>19286</v>
      </c>
      <c r="C191" s="1" t="str">
        <f>VLOOKUP(B191,'Master truck list'!D:E,2,0)</f>
        <v>19286-20</v>
      </c>
      <c r="D191" s="1" t="str">
        <f>VLOOKUP(C191,'Master truck list'!E:F,2,0)</f>
        <v>ACTIVE</v>
      </c>
      <c r="E191" s="1" t="str">
        <f>VLOOKUP(C191,'Master truck list'!E:M,9,0)</f>
        <v>BKFS LOGISTICS</v>
      </c>
      <c r="F191" s="1" t="str">
        <f>VLOOKUP(C191,'Master truck list'!E:G,3,0)</f>
        <v>Company</v>
      </c>
      <c r="G191" s="1">
        <f>VLOOKUP(C191,'Master truck list'!E:R,14,0)</f>
        <v>2273</v>
      </c>
      <c r="H191" t="str">
        <f>"12/17/2019 7:00:33 AM"</f>
        <v>12/17/2019 7:00:33 AM</v>
      </c>
      <c r="I191" t="str">
        <f>""</f>
        <v/>
      </c>
      <c r="J191" t="str">
        <f t="shared" si="60"/>
        <v>Elite</v>
      </c>
      <c r="K191" t="str">
        <f t="shared" si="68"/>
        <v>Device</v>
      </c>
      <c r="L191" t="str">
        <f>"777193213"</f>
        <v>777193213</v>
      </c>
      <c r="M191" t="str">
        <f>"16518239"</f>
        <v>16518239</v>
      </c>
      <c r="N191" t="str">
        <f>"19286-20"</f>
        <v>19286-20</v>
      </c>
      <c r="O191" t="str">
        <f t="shared" si="61"/>
        <v>TEXAS</v>
      </c>
      <c r="P191" t="str">
        <f t="shared" si="62"/>
        <v>N A</v>
      </c>
      <c r="Q191" t="str">
        <f t="shared" si="63"/>
        <v>N/A</v>
      </c>
      <c r="R191" t="str">
        <f>"130 CMRNP 13 306"</f>
        <v>130 CMRNP 13 306</v>
      </c>
      <c r="S191" t="str">
        <f>"12/16/2019 3:36:13 PM"</f>
        <v>12/16/2019 3:36:13 PM</v>
      </c>
      <c r="T191" t="str">
        <f t="shared" si="70"/>
        <v>5</v>
      </c>
      <c r="U191" t="str">
        <f t="shared" si="64"/>
        <v>N/A</v>
      </c>
      <c r="V191" t="str">
        <f t="shared" si="78"/>
        <v>5.5500</v>
      </c>
    </row>
    <row r="192" spans="1:22" x14ac:dyDescent="0.25">
      <c r="A192" s="1" t="str">
        <f t="shared" si="58"/>
        <v>19288</v>
      </c>
      <c r="B192" s="1" t="str">
        <f t="shared" si="65"/>
        <v>19288</v>
      </c>
      <c r="C192" s="1" t="str">
        <f>VLOOKUP(B192,'Master truck list'!D:E,2,0)</f>
        <v>19288-20</v>
      </c>
      <c r="D192" s="1" t="str">
        <f>VLOOKUP(C192,'Master truck list'!E:F,2,0)</f>
        <v>ACTIVE</v>
      </c>
      <c r="E192" s="1" t="str">
        <f>VLOOKUP(C192,'Master truck list'!E:M,9,0)</f>
        <v>BKFS LOGISTICS</v>
      </c>
      <c r="F192" s="1" t="str">
        <f>VLOOKUP(C192,'Master truck list'!E:G,3,0)</f>
        <v>Company</v>
      </c>
      <c r="G192" s="1">
        <f>VLOOKUP(C192,'Master truck list'!E:R,14,0)</f>
        <v>2275</v>
      </c>
      <c r="H192" t="str">
        <f>"12/18/2019 7:00:28 AM"</f>
        <v>12/18/2019 7:00:28 AM</v>
      </c>
      <c r="I192" t="str">
        <f>""</f>
        <v/>
      </c>
      <c r="J192" t="str">
        <f t="shared" si="60"/>
        <v>Elite</v>
      </c>
      <c r="K192" t="str">
        <f t="shared" si="68"/>
        <v>Device</v>
      </c>
      <c r="L192" t="str">
        <f>"777211564"</f>
        <v>777211564</v>
      </c>
      <c r="M192" t="str">
        <f>"16546686"</f>
        <v>16546686</v>
      </c>
      <c r="N192" t="str">
        <f>"19288-20"</f>
        <v>19288-20</v>
      </c>
      <c r="O192" t="str">
        <f t="shared" si="61"/>
        <v>TEXAS</v>
      </c>
      <c r="P192" t="str">
        <f t="shared" si="62"/>
        <v>N A</v>
      </c>
      <c r="Q192" t="str">
        <f t="shared" si="63"/>
        <v>N/A</v>
      </c>
      <c r="R192" t="str">
        <f>"130 ARPTP 09 308"</f>
        <v>130 ARPTP 09 308</v>
      </c>
      <c r="S192" t="str">
        <f>"12/17/2019 3:33:12 PM"</f>
        <v>12/17/2019 3:33:12 PM</v>
      </c>
      <c r="T192" t="str">
        <f t="shared" si="70"/>
        <v>5</v>
      </c>
      <c r="U192" t="str">
        <f t="shared" si="64"/>
        <v>N/A</v>
      </c>
      <c r="V192" t="str">
        <f t="shared" si="78"/>
        <v>5.5500</v>
      </c>
    </row>
    <row r="193" spans="1:22" x14ac:dyDescent="0.25">
      <c r="A193" s="1" t="str">
        <f t="shared" si="58"/>
        <v>19288</v>
      </c>
      <c r="B193" s="1" t="str">
        <f t="shared" si="65"/>
        <v>19288</v>
      </c>
      <c r="C193" s="1" t="str">
        <f>VLOOKUP(B193,'Master truck list'!D:E,2,0)</f>
        <v>19288-20</v>
      </c>
      <c r="D193" s="1" t="str">
        <f>VLOOKUP(C193,'Master truck list'!E:F,2,0)</f>
        <v>ACTIVE</v>
      </c>
      <c r="E193" s="1" t="str">
        <f>VLOOKUP(C193,'Master truck list'!E:M,9,0)</f>
        <v>BKFS LOGISTICS</v>
      </c>
      <c r="F193" s="1" t="str">
        <f>VLOOKUP(C193,'Master truck list'!E:G,3,0)</f>
        <v>Company</v>
      </c>
      <c r="G193" s="1">
        <f>VLOOKUP(C193,'Master truck list'!E:R,14,0)</f>
        <v>2275</v>
      </c>
      <c r="H193" t="str">
        <f>"12/18/2019 7:00:28 AM"</f>
        <v>12/18/2019 7:00:28 AM</v>
      </c>
      <c r="I193" t="str">
        <f>""</f>
        <v/>
      </c>
      <c r="J193" t="str">
        <f t="shared" si="60"/>
        <v>Elite</v>
      </c>
      <c r="K193" t="str">
        <f t="shared" si="68"/>
        <v>Device</v>
      </c>
      <c r="L193" t="str">
        <f>"777211564"</f>
        <v>777211564</v>
      </c>
      <c r="M193" t="str">
        <f>"16546686"</f>
        <v>16546686</v>
      </c>
      <c r="N193" t="str">
        <f>"19288-20"</f>
        <v>19288-20</v>
      </c>
      <c r="O193" t="str">
        <f t="shared" si="61"/>
        <v>TEXAS</v>
      </c>
      <c r="P193" t="str">
        <f t="shared" si="62"/>
        <v>N A</v>
      </c>
      <c r="Q193" t="str">
        <f t="shared" si="63"/>
        <v>N/A</v>
      </c>
      <c r="R193" t="str">
        <f>"130 CMRNP 13 306"</f>
        <v>130 CMRNP 13 306</v>
      </c>
      <c r="S193" t="str">
        <f>"12/17/2019 3:50:49 PM"</f>
        <v>12/17/2019 3:50:49 PM</v>
      </c>
      <c r="T193" t="str">
        <f t="shared" si="70"/>
        <v>5</v>
      </c>
      <c r="U193" t="str">
        <f t="shared" si="64"/>
        <v>N/A</v>
      </c>
      <c r="V193" t="str">
        <f t="shared" si="78"/>
        <v>5.5500</v>
      </c>
    </row>
    <row r="194" spans="1:22" x14ac:dyDescent="0.25">
      <c r="A194" s="1" t="str">
        <f t="shared" ref="A194:A257" si="79">LEFT(N194,5)</f>
        <v>19288</v>
      </c>
      <c r="B194" s="1" t="str">
        <f t="shared" si="65"/>
        <v>19288</v>
      </c>
      <c r="C194" s="1" t="str">
        <f>VLOOKUP(B194,'Master truck list'!D:E,2,0)</f>
        <v>19288-20</v>
      </c>
      <c r="D194" s="1" t="str">
        <f>VLOOKUP(C194,'Master truck list'!E:F,2,0)</f>
        <v>ACTIVE</v>
      </c>
      <c r="E194" s="1" t="str">
        <f>VLOOKUP(C194,'Master truck list'!E:M,9,0)</f>
        <v>BKFS LOGISTICS</v>
      </c>
      <c r="F194" s="1" t="str">
        <f>VLOOKUP(C194,'Master truck list'!E:G,3,0)</f>
        <v>Company</v>
      </c>
      <c r="G194" s="1">
        <f>VLOOKUP(C194,'Master truck list'!E:R,14,0)</f>
        <v>2275</v>
      </c>
      <c r="H194" t="str">
        <f>"12/18/2019 7:00:28 AM"</f>
        <v>12/18/2019 7:00:28 AM</v>
      </c>
      <c r="I194" t="str">
        <f>""</f>
        <v/>
      </c>
      <c r="J194" t="str">
        <f t="shared" ref="J194:J257" si="80">"Elite"</f>
        <v>Elite</v>
      </c>
      <c r="K194" t="str">
        <f t="shared" si="68"/>
        <v>Device</v>
      </c>
      <c r="L194" t="str">
        <f>"777211564"</f>
        <v>777211564</v>
      </c>
      <c r="M194" t="str">
        <f>"16546686"</f>
        <v>16546686</v>
      </c>
      <c r="N194" t="str">
        <f>"19288-20"</f>
        <v>19288-20</v>
      </c>
      <c r="O194" t="str">
        <f t="shared" ref="O194:O257" si="81">"TEXAS"</f>
        <v>TEXAS</v>
      </c>
      <c r="P194" t="str">
        <f t="shared" ref="P194:P257" si="82">"N A"</f>
        <v>N A</v>
      </c>
      <c r="Q194" t="str">
        <f t="shared" ref="Q194:Q257" si="83">"N/A"</f>
        <v>N/A</v>
      </c>
      <c r="R194" t="str">
        <f>"130 MGCRP 11 305"</f>
        <v>130 MGCRP 11 305</v>
      </c>
      <c r="S194" t="str">
        <f>"12/17/2019 4:02:11 PM"</f>
        <v>12/17/2019 4:02:11 PM</v>
      </c>
      <c r="T194" t="str">
        <f t="shared" si="70"/>
        <v>5</v>
      </c>
      <c r="U194" t="str">
        <f t="shared" ref="U194:U257" si="84">"N/A"</f>
        <v>N/A</v>
      </c>
      <c r="V194" t="str">
        <f t="shared" si="78"/>
        <v>5.5500</v>
      </c>
    </row>
    <row r="195" spans="1:22" x14ac:dyDescent="0.25">
      <c r="A195" s="1" t="str">
        <f t="shared" si="79"/>
        <v>19288</v>
      </c>
      <c r="B195" s="1" t="str">
        <f t="shared" ref="B195:B258" si="85">SUBSTITUTE(A195," ","")</f>
        <v>19288</v>
      </c>
      <c r="C195" s="1" t="str">
        <f>VLOOKUP(B195,'Master truck list'!D:E,2,0)</f>
        <v>19288-20</v>
      </c>
      <c r="D195" s="1" t="str">
        <f>VLOOKUP(C195,'Master truck list'!E:F,2,0)</f>
        <v>ACTIVE</v>
      </c>
      <c r="E195" s="1" t="str">
        <f>VLOOKUP(C195,'Master truck list'!E:M,9,0)</f>
        <v>BKFS LOGISTICS</v>
      </c>
      <c r="F195" s="1" t="str">
        <f>VLOOKUP(C195,'Master truck list'!E:G,3,0)</f>
        <v>Company</v>
      </c>
      <c r="G195" s="1">
        <f>VLOOKUP(C195,'Master truck list'!E:R,14,0)</f>
        <v>2275</v>
      </c>
      <c r="H195" t="str">
        <f>"12/18/2019 7:00:28 AM"</f>
        <v>12/18/2019 7:00:28 AM</v>
      </c>
      <c r="I195" t="str">
        <f>""</f>
        <v/>
      </c>
      <c r="J195" t="str">
        <f t="shared" si="80"/>
        <v>Elite</v>
      </c>
      <c r="K195" t="str">
        <f t="shared" si="68"/>
        <v>Device</v>
      </c>
      <c r="L195" t="str">
        <f>"777211564"</f>
        <v>777211564</v>
      </c>
      <c r="M195" t="str">
        <f>"16546686"</f>
        <v>16546686</v>
      </c>
      <c r="N195" t="str">
        <f>"19288-20"</f>
        <v>19288-20</v>
      </c>
      <c r="O195" t="str">
        <f t="shared" si="81"/>
        <v>TEXAS</v>
      </c>
      <c r="P195" t="str">
        <f t="shared" si="82"/>
        <v>N A</v>
      </c>
      <c r="Q195" t="str">
        <f t="shared" si="83"/>
        <v>N/A</v>
      </c>
      <c r="R195" t="str">
        <f>"45SE MLPEB 02 611"</f>
        <v>45SE MLPEB 02 611</v>
      </c>
      <c r="S195" t="str">
        <f>"12/17/2019 3:22:29 PM"</f>
        <v>12/17/2019 3:22:29 PM</v>
      </c>
      <c r="T195" t="str">
        <f t="shared" si="70"/>
        <v>5</v>
      </c>
      <c r="U195" t="str">
        <f t="shared" si="84"/>
        <v>N/A</v>
      </c>
      <c r="V195" t="str">
        <f>"3.3000"</f>
        <v>3.3000</v>
      </c>
    </row>
    <row r="196" spans="1:22" x14ac:dyDescent="0.25">
      <c r="A196" s="1" t="str">
        <f t="shared" si="79"/>
        <v>19288</v>
      </c>
      <c r="B196" s="1" t="str">
        <f t="shared" si="85"/>
        <v>19288</v>
      </c>
      <c r="C196" s="1" t="str">
        <f>VLOOKUP(B196,'Master truck list'!D:E,2,0)</f>
        <v>19288-20</v>
      </c>
      <c r="D196" s="1" t="str">
        <f>VLOOKUP(C196,'Master truck list'!E:F,2,0)</f>
        <v>ACTIVE</v>
      </c>
      <c r="E196" s="1" t="str">
        <f>VLOOKUP(C196,'Master truck list'!E:M,9,0)</f>
        <v>BKFS LOGISTICS</v>
      </c>
      <c r="F196" s="1" t="str">
        <f>VLOOKUP(C196,'Master truck list'!E:G,3,0)</f>
        <v>Company</v>
      </c>
      <c r="G196" s="1">
        <f>VLOOKUP(C196,'Master truck list'!E:R,14,0)</f>
        <v>2275</v>
      </c>
      <c r="H196" t="str">
        <f>"12/18/2019 7:00:28 AM"</f>
        <v>12/18/2019 7:00:28 AM</v>
      </c>
      <c r="I196" t="str">
        <f>""</f>
        <v/>
      </c>
      <c r="J196" t="str">
        <f t="shared" si="80"/>
        <v>Elite</v>
      </c>
      <c r="K196" t="str">
        <f t="shared" si="68"/>
        <v>Device</v>
      </c>
      <c r="L196" t="str">
        <f>"777211564"</f>
        <v>777211564</v>
      </c>
      <c r="M196" t="str">
        <f>"16546686"</f>
        <v>16546686</v>
      </c>
      <c r="N196" t="str">
        <f>"19288-20"</f>
        <v>19288-20</v>
      </c>
      <c r="O196" t="str">
        <f t="shared" si="81"/>
        <v>TEXAS</v>
      </c>
      <c r="P196" t="str">
        <f t="shared" si="82"/>
        <v>N A</v>
      </c>
      <c r="Q196" t="str">
        <f t="shared" si="83"/>
        <v>N/A</v>
      </c>
      <c r="R196" t="str">
        <f>"130 DKCRP 11 307"</f>
        <v>130 DKCRP 11 307</v>
      </c>
      <c r="S196" t="str">
        <f>"12/17/2019 3:40:29 PM"</f>
        <v>12/17/2019 3:40:29 PM</v>
      </c>
      <c r="T196" t="str">
        <f t="shared" si="70"/>
        <v>5</v>
      </c>
      <c r="U196" t="str">
        <f t="shared" si="84"/>
        <v>N/A</v>
      </c>
      <c r="V196" t="str">
        <f>"5.5500"</f>
        <v>5.5500</v>
      </c>
    </row>
    <row r="197" spans="1:22" x14ac:dyDescent="0.25">
      <c r="A197" s="1" t="str">
        <f t="shared" si="79"/>
        <v>5047-</v>
      </c>
      <c r="B197" s="1" t="str">
        <f t="shared" si="85"/>
        <v>5047-</v>
      </c>
      <c r="C197" s="1" t="str">
        <f>VLOOKUP(B197,'Master truck list'!D:E,2,0)</f>
        <v>5047-20</v>
      </c>
      <c r="D197" s="1" t="str">
        <f>VLOOKUP(C197,'Master truck list'!E:F,2,0)</f>
        <v>ACTIVE</v>
      </c>
      <c r="E197" s="1" t="str">
        <f>VLOOKUP(C197,'Master truck list'!E:M,9,0)</f>
        <v>BNK TRANSPORT INC</v>
      </c>
      <c r="F197" s="1" t="str">
        <f>VLOOKUP(C197,'Master truck list'!E:G,3,0)</f>
        <v>Company</v>
      </c>
      <c r="G197" s="1">
        <f>VLOOKUP(C197,'Master truck list'!E:R,14,0)</f>
        <v>2311</v>
      </c>
      <c r="H197" t="str">
        <f>"12/19/2019 7:00:35 AM"</f>
        <v>12/19/2019 7:00:35 AM</v>
      </c>
      <c r="I197" t="str">
        <f>""</f>
        <v/>
      </c>
      <c r="J197" t="str">
        <f t="shared" si="80"/>
        <v>Elite</v>
      </c>
      <c r="K197" t="str">
        <f t="shared" si="68"/>
        <v>Device</v>
      </c>
      <c r="L197" t="str">
        <f t="shared" ref="L197:L206" si="86">"777174198"</f>
        <v>777174198</v>
      </c>
      <c r="M197" t="str">
        <f t="shared" ref="M197:M206" si="87">"16483924"</f>
        <v>16483924</v>
      </c>
      <c r="N197" t="str">
        <f t="shared" ref="N197:N206" si="88">"5047-20"</f>
        <v>5047-20</v>
      </c>
      <c r="O197" t="str">
        <f t="shared" si="81"/>
        <v>TEXAS</v>
      </c>
      <c r="P197" t="str">
        <f t="shared" si="82"/>
        <v>N A</v>
      </c>
      <c r="Q197" t="str">
        <f t="shared" si="83"/>
        <v>N/A</v>
      </c>
      <c r="R197" t="str">
        <f>"130 CMRNP 08 306"</f>
        <v>130 CMRNP 08 306</v>
      </c>
      <c r="S197" t="str">
        <f>"12/18/2019 2:55:35 PM"</f>
        <v>12/18/2019 2:55:35 PM</v>
      </c>
      <c r="T197" t="str">
        <f t="shared" si="70"/>
        <v>5</v>
      </c>
      <c r="U197" t="str">
        <f t="shared" si="84"/>
        <v>N/A</v>
      </c>
      <c r="V197" t="str">
        <f>"5.5500"</f>
        <v>5.5500</v>
      </c>
    </row>
    <row r="198" spans="1:22" x14ac:dyDescent="0.25">
      <c r="A198" s="1" t="str">
        <f t="shared" si="79"/>
        <v>5047-</v>
      </c>
      <c r="B198" s="1" t="str">
        <f t="shared" si="85"/>
        <v>5047-</v>
      </c>
      <c r="C198" s="1" t="str">
        <f>VLOOKUP(B198,'Master truck list'!D:E,2,0)</f>
        <v>5047-20</v>
      </c>
      <c r="D198" s="1" t="str">
        <f>VLOOKUP(C198,'Master truck list'!E:F,2,0)</f>
        <v>ACTIVE</v>
      </c>
      <c r="E198" s="1" t="str">
        <f>VLOOKUP(C198,'Master truck list'!E:M,9,0)</f>
        <v>BNK TRANSPORT INC</v>
      </c>
      <c r="F198" s="1" t="str">
        <f>VLOOKUP(C198,'Master truck list'!E:G,3,0)</f>
        <v>Company</v>
      </c>
      <c r="G198" s="1">
        <f>VLOOKUP(C198,'Master truck list'!E:R,14,0)</f>
        <v>2311</v>
      </c>
      <c r="H198" t="str">
        <f>"12/19/2019 7:00:35 AM"</f>
        <v>12/19/2019 7:00:35 AM</v>
      </c>
      <c r="I198" t="str">
        <f>""</f>
        <v/>
      </c>
      <c r="J198" t="str">
        <f t="shared" si="80"/>
        <v>Elite</v>
      </c>
      <c r="K198" t="str">
        <f t="shared" si="68"/>
        <v>Device</v>
      </c>
      <c r="L198" t="str">
        <f t="shared" si="86"/>
        <v>777174198</v>
      </c>
      <c r="M198" t="str">
        <f t="shared" si="87"/>
        <v>16483924</v>
      </c>
      <c r="N198" t="str">
        <f t="shared" si="88"/>
        <v>5047-20</v>
      </c>
      <c r="O198" t="str">
        <f t="shared" si="81"/>
        <v>TEXAS</v>
      </c>
      <c r="P198" t="str">
        <f t="shared" si="82"/>
        <v>N A</v>
      </c>
      <c r="Q198" t="str">
        <f t="shared" si="83"/>
        <v>N/A</v>
      </c>
      <c r="R198" t="str">
        <f>"130 ARPTP 04 308"</f>
        <v>130 ARPTP 04 308</v>
      </c>
      <c r="S198" t="str">
        <f>"12/18/2019 3:12:45 PM"</f>
        <v>12/18/2019 3:12:45 PM</v>
      </c>
      <c r="T198" t="str">
        <f t="shared" si="70"/>
        <v>5</v>
      </c>
      <c r="U198" t="str">
        <f t="shared" si="84"/>
        <v>N/A</v>
      </c>
      <c r="V198" t="str">
        <f>"5.5500"</f>
        <v>5.5500</v>
      </c>
    </row>
    <row r="199" spans="1:22" x14ac:dyDescent="0.25">
      <c r="A199" s="1" t="str">
        <f t="shared" si="79"/>
        <v>5047-</v>
      </c>
      <c r="B199" s="1" t="str">
        <f t="shared" si="85"/>
        <v>5047-</v>
      </c>
      <c r="C199" s="1" t="str">
        <f>VLOOKUP(B199,'Master truck list'!D:E,2,0)</f>
        <v>5047-20</v>
      </c>
      <c r="D199" s="1" t="str">
        <f>VLOOKUP(C199,'Master truck list'!E:F,2,0)</f>
        <v>ACTIVE</v>
      </c>
      <c r="E199" s="1" t="str">
        <f>VLOOKUP(C199,'Master truck list'!E:M,9,0)</f>
        <v>BNK TRANSPORT INC</v>
      </c>
      <c r="F199" s="1" t="str">
        <f>VLOOKUP(C199,'Master truck list'!E:G,3,0)</f>
        <v>Company</v>
      </c>
      <c r="G199" s="1">
        <f>VLOOKUP(C199,'Master truck list'!E:R,14,0)</f>
        <v>2311</v>
      </c>
      <c r="H199" t="str">
        <f>"12/20/2019 7:00:30 AM"</f>
        <v>12/20/2019 7:00:30 AM</v>
      </c>
      <c r="I199" t="str">
        <f>""</f>
        <v/>
      </c>
      <c r="J199" t="str">
        <f t="shared" si="80"/>
        <v>Elite</v>
      </c>
      <c r="K199" t="str">
        <f t="shared" si="68"/>
        <v>Device</v>
      </c>
      <c r="L199" t="str">
        <f t="shared" si="86"/>
        <v>777174198</v>
      </c>
      <c r="M199" t="str">
        <f t="shared" si="87"/>
        <v>16483924</v>
      </c>
      <c r="N199" t="str">
        <f t="shared" si="88"/>
        <v>5047-20</v>
      </c>
      <c r="O199" t="str">
        <f t="shared" si="81"/>
        <v>TEXAS</v>
      </c>
      <c r="P199" t="str">
        <f t="shared" si="82"/>
        <v>N A</v>
      </c>
      <c r="Q199" t="str">
        <f t="shared" si="83"/>
        <v>N/A</v>
      </c>
      <c r="R199" t="str">
        <f>"130 MGCRP 11 305"</f>
        <v>130 MGCRP 11 305</v>
      </c>
      <c r="S199" t="str">
        <f>"12/19/2019 5:25:01 PM"</f>
        <v>12/19/2019 5:25:01 PM</v>
      </c>
      <c r="T199" t="str">
        <f t="shared" si="70"/>
        <v>5</v>
      </c>
      <c r="U199" t="str">
        <f t="shared" si="84"/>
        <v>N/A</v>
      </c>
      <c r="V199" t="str">
        <f>"5.5500"</f>
        <v>5.5500</v>
      </c>
    </row>
    <row r="200" spans="1:22" x14ac:dyDescent="0.25">
      <c r="A200" s="1" t="str">
        <f t="shared" si="79"/>
        <v>5047-</v>
      </c>
      <c r="B200" s="1" t="str">
        <f t="shared" si="85"/>
        <v>5047-</v>
      </c>
      <c r="C200" s="1" t="str">
        <f>VLOOKUP(B200,'Master truck list'!D:E,2,0)</f>
        <v>5047-20</v>
      </c>
      <c r="D200" s="1" t="str">
        <f>VLOOKUP(C200,'Master truck list'!E:F,2,0)</f>
        <v>ACTIVE</v>
      </c>
      <c r="E200" s="1" t="str">
        <f>VLOOKUP(C200,'Master truck list'!E:M,9,0)</f>
        <v>BNK TRANSPORT INC</v>
      </c>
      <c r="F200" s="1" t="str">
        <f>VLOOKUP(C200,'Master truck list'!E:G,3,0)</f>
        <v>Company</v>
      </c>
      <c r="G200" s="1">
        <f>VLOOKUP(C200,'Master truck list'!E:R,14,0)</f>
        <v>2311</v>
      </c>
      <c r="H200" t="str">
        <f>"12/20/2019 7:00:30 AM"</f>
        <v>12/20/2019 7:00:30 AM</v>
      </c>
      <c r="I200" t="str">
        <f>""</f>
        <v/>
      </c>
      <c r="J200" t="str">
        <f t="shared" si="80"/>
        <v>Elite</v>
      </c>
      <c r="K200" t="str">
        <f t="shared" si="68"/>
        <v>Device</v>
      </c>
      <c r="L200" t="str">
        <f t="shared" si="86"/>
        <v>777174198</v>
      </c>
      <c r="M200" t="str">
        <f t="shared" si="87"/>
        <v>16483924</v>
      </c>
      <c r="N200" t="str">
        <f t="shared" si="88"/>
        <v>5047-20</v>
      </c>
      <c r="O200" t="str">
        <f t="shared" si="81"/>
        <v>TEXAS</v>
      </c>
      <c r="P200" t="str">
        <f t="shared" si="82"/>
        <v>N A</v>
      </c>
      <c r="Q200" t="str">
        <f t="shared" si="83"/>
        <v>N/A</v>
      </c>
      <c r="R200" t="str">
        <f>"130 DKCRP 11 307"</f>
        <v>130 DKCRP 11 307</v>
      </c>
      <c r="S200" t="str">
        <f>"12/19/2019 4:51:58 PM"</f>
        <v>12/19/2019 4:51:58 PM</v>
      </c>
      <c r="T200" t="str">
        <f t="shared" si="70"/>
        <v>5</v>
      </c>
      <c r="U200" t="str">
        <f t="shared" si="84"/>
        <v>N/A</v>
      </c>
      <c r="V200" t="str">
        <f>"5.5500"</f>
        <v>5.5500</v>
      </c>
    </row>
    <row r="201" spans="1:22" x14ac:dyDescent="0.25">
      <c r="A201" s="1" t="str">
        <f t="shared" si="79"/>
        <v>5047-</v>
      </c>
      <c r="B201" s="1" t="str">
        <f t="shared" si="85"/>
        <v>5047-</v>
      </c>
      <c r="C201" s="1" t="str">
        <f>VLOOKUP(B201,'Master truck list'!D:E,2,0)</f>
        <v>5047-20</v>
      </c>
      <c r="D201" s="1" t="str">
        <f>VLOOKUP(C201,'Master truck list'!E:F,2,0)</f>
        <v>ACTIVE</v>
      </c>
      <c r="E201" s="1" t="str">
        <f>VLOOKUP(C201,'Master truck list'!E:M,9,0)</f>
        <v>BNK TRANSPORT INC</v>
      </c>
      <c r="F201" s="1" t="str">
        <f>VLOOKUP(C201,'Master truck list'!E:G,3,0)</f>
        <v>Company</v>
      </c>
      <c r="G201" s="1">
        <f>VLOOKUP(C201,'Master truck list'!E:R,14,0)</f>
        <v>2311</v>
      </c>
      <c r="H201" t="str">
        <f>"12/20/2019 7:00:30 AM"</f>
        <v>12/20/2019 7:00:30 AM</v>
      </c>
      <c r="I201" t="str">
        <f>""</f>
        <v/>
      </c>
      <c r="J201" t="str">
        <f t="shared" si="80"/>
        <v>Elite</v>
      </c>
      <c r="K201" t="str">
        <f t="shared" si="68"/>
        <v>Device</v>
      </c>
      <c r="L201" t="str">
        <f t="shared" si="86"/>
        <v>777174198</v>
      </c>
      <c r="M201" t="str">
        <f t="shared" si="87"/>
        <v>16483924</v>
      </c>
      <c r="N201" t="str">
        <f t="shared" si="88"/>
        <v>5047-20</v>
      </c>
      <c r="O201" t="str">
        <f t="shared" si="81"/>
        <v>TEXAS</v>
      </c>
      <c r="P201" t="str">
        <f t="shared" si="82"/>
        <v>N A</v>
      </c>
      <c r="Q201" t="str">
        <f t="shared" si="83"/>
        <v>N/A</v>
      </c>
      <c r="R201" t="str">
        <f>"45SE MLPEB 02 611"</f>
        <v>45SE MLPEB 02 611</v>
      </c>
      <c r="S201" t="str">
        <f>"12/19/2019 4:33:44 PM"</f>
        <v>12/19/2019 4:33:44 PM</v>
      </c>
      <c r="T201" t="str">
        <f t="shared" si="70"/>
        <v>5</v>
      </c>
      <c r="U201" t="str">
        <f t="shared" si="84"/>
        <v>N/A</v>
      </c>
      <c r="V201" t="str">
        <f>"3.3000"</f>
        <v>3.3000</v>
      </c>
    </row>
    <row r="202" spans="1:22" x14ac:dyDescent="0.25">
      <c r="A202" s="1" t="str">
        <f t="shared" si="79"/>
        <v>5047-</v>
      </c>
      <c r="B202" s="1" t="str">
        <f t="shared" si="85"/>
        <v>5047-</v>
      </c>
      <c r="C202" s="1" t="str">
        <f>VLOOKUP(B202,'Master truck list'!D:E,2,0)</f>
        <v>5047-20</v>
      </c>
      <c r="D202" s="1" t="str">
        <f>VLOOKUP(C202,'Master truck list'!E:F,2,0)</f>
        <v>ACTIVE</v>
      </c>
      <c r="E202" s="1" t="str">
        <f>VLOOKUP(C202,'Master truck list'!E:M,9,0)</f>
        <v>BNK TRANSPORT INC</v>
      </c>
      <c r="F202" s="1" t="str">
        <f>VLOOKUP(C202,'Master truck list'!E:G,3,0)</f>
        <v>Company</v>
      </c>
      <c r="G202" s="1">
        <f>VLOOKUP(C202,'Master truck list'!E:R,14,0)</f>
        <v>2311</v>
      </c>
      <c r="H202" t="str">
        <f>"12/20/2019 7:00:30 AM"</f>
        <v>12/20/2019 7:00:30 AM</v>
      </c>
      <c r="I202" t="str">
        <f>""</f>
        <v/>
      </c>
      <c r="J202" t="str">
        <f t="shared" si="80"/>
        <v>Elite</v>
      </c>
      <c r="K202" t="str">
        <f t="shared" si="68"/>
        <v>Device</v>
      </c>
      <c r="L202" t="str">
        <f t="shared" si="86"/>
        <v>777174198</v>
      </c>
      <c r="M202" t="str">
        <f t="shared" si="87"/>
        <v>16483924</v>
      </c>
      <c r="N202" t="str">
        <f t="shared" si="88"/>
        <v>5047-20</v>
      </c>
      <c r="O202" t="str">
        <f t="shared" si="81"/>
        <v>TEXAS</v>
      </c>
      <c r="P202" t="str">
        <f t="shared" si="82"/>
        <v>N A</v>
      </c>
      <c r="Q202" t="str">
        <f t="shared" si="83"/>
        <v>N/A</v>
      </c>
      <c r="R202" t="str">
        <f>"130 ARPTP 09 308"</f>
        <v>130 ARPTP 09 308</v>
      </c>
      <c r="S202" t="str">
        <f>"12/19/2019 4:44:24 PM"</f>
        <v>12/19/2019 4:44:24 PM</v>
      </c>
      <c r="T202" t="str">
        <f t="shared" si="70"/>
        <v>5</v>
      </c>
      <c r="U202" t="str">
        <f t="shared" si="84"/>
        <v>N/A</v>
      </c>
      <c r="V202" t="str">
        <f>"5.5500"</f>
        <v>5.5500</v>
      </c>
    </row>
    <row r="203" spans="1:22" x14ac:dyDescent="0.25">
      <c r="A203" s="1" t="str">
        <f t="shared" si="79"/>
        <v>5047-</v>
      </c>
      <c r="B203" s="1" t="str">
        <f t="shared" si="85"/>
        <v>5047-</v>
      </c>
      <c r="C203" s="1" t="str">
        <f>VLOOKUP(B203,'Master truck list'!D:E,2,0)</f>
        <v>5047-20</v>
      </c>
      <c r="D203" s="1" t="str">
        <f>VLOOKUP(C203,'Master truck list'!E:F,2,0)</f>
        <v>ACTIVE</v>
      </c>
      <c r="E203" s="1" t="str">
        <f>VLOOKUP(C203,'Master truck list'!E:M,9,0)</f>
        <v>BNK TRANSPORT INC</v>
      </c>
      <c r="F203" s="1" t="str">
        <f>VLOOKUP(C203,'Master truck list'!E:G,3,0)</f>
        <v>Company</v>
      </c>
      <c r="G203" s="1">
        <f>VLOOKUP(C203,'Master truck list'!E:R,14,0)</f>
        <v>2311</v>
      </c>
      <c r="H203" t="str">
        <f>"12/20/2019 7:00:30 AM"</f>
        <v>12/20/2019 7:00:30 AM</v>
      </c>
      <c r="I203" t="str">
        <f>""</f>
        <v/>
      </c>
      <c r="J203" t="str">
        <f t="shared" si="80"/>
        <v>Elite</v>
      </c>
      <c r="K203" t="str">
        <f t="shared" si="68"/>
        <v>Device</v>
      </c>
      <c r="L203" t="str">
        <f t="shared" si="86"/>
        <v>777174198</v>
      </c>
      <c r="M203" t="str">
        <f t="shared" si="87"/>
        <v>16483924</v>
      </c>
      <c r="N203" t="str">
        <f t="shared" si="88"/>
        <v>5047-20</v>
      </c>
      <c r="O203" t="str">
        <f t="shared" si="81"/>
        <v>TEXAS</v>
      </c>
      <c r="P203" t="str">
        <f t="shared" si="82"/>
        <v>N A</v>
      </c>
      <c r="Q203" t="str">
        <f t="shared" si="83"/>
        <v>N/A</v>
      </c>
      <c r="R203" t="str">
        <f>"130 CMRNP 13 306"</f>
        <v>130 CMRNP 13 306</v>
      </c>
      <c r="S203" t="str">
        <f>"12/19/2019 5:11:52 PM"</f>
        <v>12/19/2019 5:11:52 PM</v>
      </c>
      <c r="T203" t="str">
        <f t="shared" si="70"/>
        <v>5</v>
      </c>
      <c r="U203" t="str">
        <f t="shared" si="84"/>
        <v>N/A</v>
      </c>
      <c r="V203" t="str">
        <f>"5.5500"</f>
        <v>5.5500</v>
      </c>
    </row>
    <row r="204" spans="1:22" x14ac:dyDescent="0.25">
      <c r="A204" s="1" t="str">
        <f t="shared" si="79"/>
        <v>5047-</v>
      </c>
      <c r="B204" s="1" t="str">
        <f t="shared" si="85"/>
        <v>5047-</v>
      </c>
      <c r="C204" s="1" t="str">
        <f>VLOOKUP(B204,'Master truck list'!D:E,2,0)</f>
        <v>5047-20</v>
      </c>
      <c r="D204" s="1" t="str">
        <f>VLOOKUP(C204,'Master truck list'!E:F,2,0)</f>
        <v>ACTIVE</v>
      </c>
      <c r="E204" s="1" t="str">
        <f>VLOOKUP(C204,'Master truck list'!E:M,9,0)</f>
        <v>BNK TRANSPORT INC</v>
      </c>
      <c r="F204" s="1" t="str">
        <f>VLOOKUP(C204,'Master truck list'!E:G,3,0)</f>
        <v>Company</v>
      </c>
      <c r="G204" s="1">
        <f>VLOOKUP(C204,'Master truck list'!E:R,14,0)</f>
        <v>2311</v>
      </c>
      <c r="H204" t="str">
        <f t="shared" ref="H204:H212" si="89">"12/19/2019 7:00:35 AM"</f>
        <v>12/19/2019 7:00:35 AM</v>
      </c>
      <c r="I204" t="str">
        <f>""</f>
        <v/>
      </c>
      <c r="J204" t="str">
        <f t="shared" si="80"/>
        <v>Elite</v>
      </c>
      <c r="K204" t="str">
        <f t="shared" si="68"/>
        <v>Device</v>
      </c>
      <c r="L204" t="str">
        <f t="shared" si="86"/>
        <v>777174198</v>
      </c>
      <c r="M204" t="str">
        <f t="shared" si="87"/>
        <v>16483924</v>
      </c>
      <c r="N204" t="str">
        <f t="shared" si="88"/>
        <v>5047-20</v>
      </c>
      <c r="O204" t="str">
        <f t="shared" si="81"/>
        <v>TEXAS</v>
      </c>
      <c r="P204" t="str">
        <f t="shared" si="82"/>
        <v>N A</v>
      </c>
      <c r="Q204" t="str">
        <f t="shared" si="83"/>
        <v>N/A</v>
      </c>
      <c r="R204" t="str">
        <f>"130 MGCRP 07 305"</f>
        <v>130 MGCRP 07 305</v>
      </c>
      <c r="S204" t="str">
        <f>"12/18/2019 2:44:32 PM"</f>
        <v>12/18/2019 2:44:32 PM</v>
      </c>
      <c r="T204" t="str">
        <f t="shared" si="70"/>
        <v>5</v>
      </c>
      <c r="U204" t="str">
        <f t="shared" si="84"/>
        <v>N/A</v>
      </c>
      <c r="V204" t="str">
        <f>"5.5500"</f>
        <v>5.5500</v>
      </c>
    </row>
    <row r="205" spans="1:22" x14ac:dyDescent="0.25">
      <c r="A205" s="1" t="str">
        <f t="shared" si="79"/>
        <v>5047-</v>
      </c>
      <c r="B205" s="1" t="str">
        <f t="shared" si="85"/>
        <v>5047-</v>
      </c>
      <c r="C205" s="1" t="str">
        <f>VLOOKUP(B205,'Master truck list'!D:E,2,0)</f>
        <v>5047-20</v>
      </c>
      <c r="D205" s="1" t="str">
        <f>VLOOKUP(C205,'Master truck list'!E:F,2,0)</f>
        <v>ACTIVE</v>
      </c>
      <c r="E205" s="1" t="str">
        <f>VLOOKUP(C205,'Master truck list'!E:M,9,0)</f>
        <v>BNK TRANSPORT INC</v>
      </c>
      <c r="F205" s="1" t="str">
        <f>VLOOKUP(C205,'Master truck list'!E:G,3,0)</f>
        <v>Company</v>
      </c>
      <c r="G205" s="1">
        <f>VLOOKUP(C205,'Master truck list'!E:R,14,0)</f>
        <v>2311</v>
      </c>
      <c r="H205" t="str">
        <f t="shared" si="89"/>
        <v>12/19/2019 7:00:35 AM</v>
      </c>
      <c r="I205" t="str">
        <f>""</f>
        <v/>
      </c>
      <c r="J205" t="str">
        <f t="shared" si="80"/>
        <v>Elite</v>
      </c>
      <c r="K205" t="str">
        <f t="shared" si="68"/>
        <v>Device</v>
      </c>
      <c r="L205" t="str">
        <f t="shared" si="86"/>
        <v>777174198</v>
      </c>
      <c r="M205" t="str">
        <f t="shared" si="87"/>
        <v>16483924</v>
      </c>
      <c r="N205" t="str">
        <f t="shared" si="88"/>
        <v>5047-20</v>
      </c>
      <c r="O205" t="str">
        <f t="shared" si="81"/>
        <v>TEXAS</v>
      </c>
      <c r="P205" t="str">
        <f t="shared" si="82"/>
        <v>N A</v>
      </c>
      <c r="Q205" t="str">
        <f t="shared" si="83"/>
        <v>N/A</v>
      </c>
      <c r="R205" t="str">
        <f>"45SE MLPWB 01 611"</f>
        <v>45SE MLPWB 01 611</v>
      </c>
      <c r="S205" t="str">
        <f>"12/18/2019 3:23:27 PM"</f>
        <v>12/18/2019 3:23:27 PM</v>
      </c>
      <c r="T205" t="str">
        <f t="shared" si="70"/>
        <v>5</v>
      </c>
      <c r="U205" t="str">
        <f t="shared" si="84"/>
        <v>N/A</v>
      </c>
      <c r="V205" t="str">
        <f>"3.3000"</f>
        <v>3.3000</v>
      </c>
    </row>
    <row r="206" spans="1:22" x14ac:dyDescent="0.25">
      <c r="A206" s="1" t="str">
        <f t="shared" si="79"/>
        <v>5047-</v>
      </c>
      <c r="B206" s="1" t="str">
        <f t="shared" si="85"/>
        <v>5047-</v>
      </c>
      <c r="C206" s="1" t="str">
        <f>VLOOKUP(B206,'Master truck list'!D:E,2,0)</f>
        <v>5047-20</v>
      </c>
      <c r="D206" s="1" t="str">
        <f>VLOOKUP(C206,'Master truck list'!E:F,2,0)</f>
        <v>ACTIVE</v>
      </c>
      <c r="E206" s="1" t="str">
        <f>VLOOKUP(C206,'Master truck list'!E:M,9,0)</f>
        <v>BNK TRANSPORT INC</v>
      </c>
      <c r="F206" s="1" t="str">
        <f>VLOOKUP(C206,'Master truck list'!E:G,3,0)</f>
        <v>Company</v>
      </c>
      <c r="G206" s="1">
        <f>VLOOKUP(C206,'Master truck list'!E:R,14,0)</f>
        <v>2311</v>
      </c>
      <c r="H206" t="str">
        <f t="shared" si="89"/>
        <v>12/19/2019 7:00:35 AM</v>
      </c>
      <c r="I206" t="str">
        <f>""</f>
        <v/>
      </c>
      <c r="J206" t="str">
        <f t="shared" si="80"/>
        <v>Elite</v>
      </c>
      <c r="K206" t="str">
        <f t="shared" si="68"/>
        <v>Device</v>
      </c>
      <c r="L206" t="str">
        <f t="shared" si="86"/>
        <v>777174198</v>
      </c>
      <c r="M206" t="str">
        <f t="shared" si="87"/>
        <v>16483924</v>
      </c>
      <c r="N206" t="str">
        <f t="shared" si="88"/>
        <v>5047-20</v>
      </c>
      <c r="O206" t="str">
        <f t="shared" si="81"/>
        <v>TEXAS</v>
      </c>
      <c r="P206" t="str">
        <f t="shared" si="82"/>
        <v>N A</v>
      </c>
      <c r="Q206" t="str">
        <f t="shared" si="83"/>
        <v>N/A</v>
      </c>
      <c r="R206" t="str">
        <f>"130 DKCRP 06 307"</f>
        <v>130 DKCRP 06 307</v>
      </c>
      <c r="S206" t="str">
        <f>"12/18/2019 3:05:39 PM"</f>
        <v>12/18/2019 3:05:39 PM</v>
      </c>
      <c r="T206" t="str">
        <f t="shared" si="70"/>
        <v>5</v>
      </c>
      <c r="U206" t="str">
        <f t="shared" si="84"/>
        <v>N/A</v>
      </c>
      <c r="V206" t="str">
        <f>"5.5500"</f>
        <v>5.5500</v>
      </c>
    </row>
    <row r="207" spans="1:22" x14ac:dyDescent="0.25">
      <c r="A207" s="1" t="str">
        <f t="shared" si="79"/>
        <v>5043-</v>
      </c>
      <c r="B207" s="1" t="str">
        <f t="shared" si="85"/>
        <v>5043-</v>
      </c>
      <c r="C207" s="1" t="str">
        <f>VLOOKUP(B207,'Master truck list'!D:E,2,0)</f>
        <v>5043-20</v>
      </c>
      <c r="D207" s="1" t="str">
        <f>VLOOKUP(C207,'Master truck list'!E:F,2,0)</f>
        <v>ACTIVE</v>
      </c>
      <c r="E207" s="1" t="str">
        <f>VLOOKUP(C207,'Master truck list'!E:M,9,0)</f>
        <v>BNK TRANSPORT INC</v>
      </c>
      <c r="F207" s="1" t="str">
        <f>VLOOKUP(C207,'Master truck list'!E:G,3,0)</f>
        <v>Company</v>
      </c>
      <c r="G207" s="1">
        <f>VLOOKUP(C207,'Master truck list'!E:R,14,0)</f>
        <v>2307</v>
      </c>
      <c r="H207" t="str">
        <f t="shared" si="89"/>
        <v>12/19/2019 7:00:35 AM</v>
      </c>
      <c r="I207" t="str">
        <f>""</f>
        <v/>
      </c>
      <c r="J207" t="str">
        <f t="shared" si="80"/>
        <v>Elite</v>
      </c>
      <c r="K207" t="str">
        <f t="shared" ref="K207:K270" si="90">"Device"</f>
        <v>Device</v>
      </c>
      <c r="L207" t="str">
        <f t="shared" ref="L207:L226" si="91">"777173820"</f>
        <v>777173820</v>
      </c>
      <c r="M207" t="str">
        <f t="shared" ref="M207:M226" si="92">"16483546"</f>
        <v>16483546</v>
      </c>
      <c r="N207" t="str">
        <f t="shared" ref="N207:N226" si="93">"5043-20"</f>
        <v>5043-20</v>
      </c>
      <c r="O207" t="str">
        <f t="shared" si="81"/>
        <v>TEXAS</v>
      </c>
      <c r="P207" t="str">
        <f t="shared" si="82"/>
        <v>N A</v>
      </c>
      <c r="Q207" t="str">
        <f t="shared" si="83"/>
        <v>N/A</v>
      </c>
      <c r="R207" t="str">
        <f>"130 DKCRP 06 307"</f>
        <v>130 DKCRP 06 307</v>
      </c>
      <c r="S207" t="str">
        <f>"12/18/2019 6:34:50 AM"</f>
        <v>12/18/2019 6:34:50 AM</v>
      </c>
      <c r="T207" t="str">
        <f t="shared" si="70"/>
        <v>5</v>
      </c>
      <c r="U207" t="str">
        <f t="shared" si="84"/>
        <v>N/A</v>
      </c>
      <c r="V207" t="str">
        <f>"5.5500"</f>
        <v>5.5500</v>
      </c>
    </row>
    <row r="208" spans="1:22" x14ac:dyDescent="0.25">
      <c r="A208" s="1" t="str">
        <f t="shared" si="79"/>
        <v>5043-</v>
      </c>
      <c r="B208" s="1" t="str">
        <f t="shared" si="85"/>
        <v>5043-</v>
      </c>
      <c r="C208" s="1" t="str">
        <f>VLOOKUP(B208,'Master truck list'!D:E,2,0)</f>
        <v>5043-20</v>
      </c>
      <c r="D208" s="1" t="str">
        <f>VLOOKUP(C208,'Master truck list'!E:F,2,0)</f>
        <v>ACTIVE</v>
      </c>
      <c r="E208" s="1" t="str">
        <f>VLOOKUP(C208,'Master truck list'!E:M,9,0)</f>
        <v>BNK TRANSPORT INC</v>
      </c>
      <c r="F208" s="1" t="str">
        <f>VLOOKUP(C208,'Master truck list'!E:G,3,0)</f>
        <v>Company</v>
      </c>
      <c r="G208" s="1">
        <f>VLOOKUP(C208,'Master truck list'!E:R,14,0)</f>
        <v>2307</v>
      </c>
      <c r="H208" t="str">
        <f t="shared" si="89"/>
        <v>12/19/2019 7:00:35 AM</v>
      </c>
      <c r="I208" t="str">
        <f>""</f>
        <v/>
      </c>
      <c r="J208" t="str">
        <f t="shared" si="80"/>
        <v>Elite</v>
      </c>
      <c r="K208" t="str">
        <f t="shared" si="90"/>
        <v>Device</v>
      </c>
      <c r="L208" t="str">
        <f t="shared" si="91"/>
        <v>777173820</v>
      </c>
      <c r="M208" t="str">
        <f t="shared" si="92"/>
        <v>16483546</v>
      </c>
      <c r="N208" t="str">
        <f t="shared" si="93"/>
        <v>5043-20</v>
      </c>
      <c r="O208" t="str">
        <f t="shared" si="81"/>
        <v>TEXAS</v>
      </c>
      <c r="P208" t="str">
        <f t="shared" si="82"/>
        <v>N A</v>
      </c>
      <c r="Q208" t="str">
        <f t="shared" si="83"/>
        <v>N/A</v>
      </c>
      <c r="R208" t="str">
        <f>"130 DKCRP 11 307"</f>
        <v>130 DKCRP 11 307</v>
      </c>
      <c r="S208" t="str">
        <f>"12/18/2019 6:27:07 PM"</f>
        <v>12/18/2019 6:27:07 PM</v>
      </c>
      <c r="T208" t="str">
        <f t="shared" si="70"/>
        <v>5</v>
      </c>
      <c r="U208" t="str">
        <f t="shared" si="84"/>
        <v>N/A</v>
      </c>
      <c r="V208" t="str">
        <f>"5.5500"</f>
        <v>5.5500</v>
      </c>
    </row>
    <row r="209" spans="1:22" x14ac:dyDescent="0.25">
      <c r="A209" s="1" t="str">
        <f t="shared" si="79"/>
        <v>5043-</v>
      </c>
      <c r="B209" s="1" t="str">
        <f t="shared" si="85"/>
        <v>5043-</v>
      </c>
      <c r="C209" s="1" t="str">
        <f>VLOOKUP(B209,'Master truck list'!D:E,2,0)</f>
        <v>5043-20</v>
      </c>
      <c r="D209" s="1" t="str">
        <f>VLOOKUP(C209,'Master truck list'!E:F,2,0)</f>
        <v>ACTIVE</v>
      </c>
      <c r="E209" s="1" t="str">
        <f>VLOOKUP(C209,'Master truck list'!E:M,9,0)</f>
        <v>BNK TRANSPORT INC</v>
      </c>
      <c r="F209" s="1" t="str">
        <f>VLOOKUP(C209,'Master truck list'!E:G,3,0)</f>
        <v>Company</v>
      </c>
      <c r="G209" s="1">
        <f>VLOOKUP(C209,'Master truck list'!E:R,14,0)</f>
        <v>2307</v>
      </c>
      <c r="H209" t="str">
        <f t="shared" si="89"/>
        <v>12/19/2019 7:00:35 AM</v>
      </c>
      <c r="I209" t="str">
        <f>""</f>
        <v/>
      </c>
      <c r="J209" t="str">
        <f t="shared" si="80"/>
        <v>Elite</v>
      </c>
      <c r="K209" t="str">
        <f t="shared" si="90"/>
        <v>Device</v>
      </c>
      <c r="L209" t="str">
        <f t="shared" si="91"/>
        <v>777173820</v>
      </c>
      <c r="M209" t="str">
        <f t="shared" si="92"/>
        <v>16483546</v>
      </c>
      <c r="N209" t="str">
        <f t="shared" si="93"/>
        <v>5043-20</v>
      </c>
      <c r="O209" t="str">
        <f t="shared" si="81"/>
        <v>TEXAS</v>
      </c>
      <c r="P209" t="str">
        <f t="shared" si="82"/>
        <v>N A</v>
      </c>
      <c r="Q209" t="str">
        <f t="shared" si="83"/>
        <v>N/A</v>
      </c>
      <c r="R209" t="str">
        <f>"130 MGCRP 06 305"</f>
        <v>130 MGCRP 06 305</v>
      </c>
      <c r="S209" t="str">
        <f>"12/18/2019 6:13:45 AM"</f>
        <v>12/18/2019 6:13:45 AM</v>
      </c>
      <c r="T209" t="str">
        <f t="shared" si="70"/>
        <v>5</v>
      </c>
      <c r="U209" t="str">
        <f t="shared" si="84"/>
        <v>N/A</v>
      </c>
      <c r="V209" t="str">
        <f>"5.5500"</f>
        <v>5.5500</v>
      </c>
    </row>
    <row r="210" spans="1:22" x14ac:dyDescent="0.25">
      <c r="A210" s="1" t="str">
        <f t="shared" si="79"/>
        <v>5043-</v>
      </c>
      <c r="B210" s="1" t="str">
        <f t="shared" si="85"/>
        <v>5043-</v>
      </c>
      <c r="C210" s="1" t="str">
        <f>VLOOKUP(B210,'Master truck list'!D:E,2,0)</f>
        <v>5043-20</v>
      </c>
      <c r="D210" s="1" t="str">
        <f>VLOOKUP(C210,'Master truck list'!E:F,2,0)</f>
        <v>ACTIVE</v>
      </c>
      <c r="E210" s="1" t="str">
        <f>VLOOKUP(C210,'Master truck list'!E:M,9,0)</f>
        <v>BNK TRANSPORT INC</v>
      </c>
      <c r="F210" s="1" t="str">
        <f>VLOOKUP(C210,'Master truck list'!E:G,3,0)</f>
        <v>Company</v>
      </c>
      <c r="G210" s="1">
        <f>VLOOKUP(C210,'Master truck list'!E:R,14,0)</f>
        <v>2307</v>
      </c>
      <c r="H210" t="str">
        <f t="shared" si="89"/>
        <v>12/19/2019 7:00:35 AM</v>
      </c>
      <c r="I210" t="str">
        <f>""</f>
        <v/>
      </c>
      <c r="J210" t="str">
        <f t="shared" si="80"/>
        <v>Elite</v>
      </c>
      <c r="K210" t="str">
        <f t="shared" si="90"/>
        <v>Device</v>
      </c>
      <c r="L210" t="str">
        <f t="shared" si="91"/>
        <v>777173820</v>
      </c>
      <c r="M210" t="str">
        <f t="shared" si="92"/>
        <v>16483546</v>
      </c>
      <c r="N210" t="str">
        <f t="shared" si="93"/>
        <v>5043-20</v>
      </c>
      <c r="O210" t="str">
        <f t="shared" si="81"/>
        <v>TEXAS</v>
      </c>
      <c r="P210" t="str">
        <f t="shared" si="82"/>
        <v>N A</v>
      </c>
      <c r="Q210" t="str">
        <f t="shared" si="83"/>
        <v>N/A</v>
      </c>
      <c r="R210" t="str">
        <f>"45SE MLPWB 01 611"</f>
        <v>45SE MLPWB 01 611</v>
      </c>
      <c r="S210" t="str">
        <f>"12/18/2019 6:53:16 AM"</f>
        <v>12/18/2019 6:53:16 AM</v>
      </c>
      <c r="T210" t="str">
        <f t="shared" si="70"/>
        <v>5</v>
      </c>
      <c r="U210" t="str">
        <f t="shared" si="84"/>
        <v>N/A</v>
      </c>
      <c r="V210" t="str">
        <f>"3.3000"</f>
        <v>3.3000</v>
      </c>
    </row>
    <row r="211" spans="1:22" x14ac:dyDescent="0.25">
      <c r="A211" s="1" t="str">
        <f t="shared" si="79"/>
        <v>5043-</v>
      </c>
      <c r="B211" s="1" t="str">
        <f t="shared" si="85"/>
        <v>5043-</v>
      </c>
      <c r="C211" s="1" t="str">
        <f>VLOOKUP(B211,'Master truck list'!D:E,2,0)</f>
        <v>5043-20</v>
      </c>
      <c r="D211" s="1" t="str">
        <f>VLOOKUP(C211,'Master truck list'!E:F,2,0)</f>
        <v>ACTIVE</v>
      </c>
      <c r="E211" s="1" t="str">
        <f>VLOOKUP(C211,'Master truck list'!E:M,9,0)</f>
        <v>BNK TRANSPORT INC</v>
      </c>
      <c r="F211" s="1" t="str">
        <f>VLOOKUP(C211,'Master truck list'!E:G,3,0)</f>
        <v>Company</v>
      </c>
      <c r="G211" s="1">
        <f>VLOOKUP(C211,'Master truck list'!E:R,14,0)</f>
        <v>2307</v>
      </c>
      <c r="H211" t="str">
        <f t="shared" si="89"/>
        <v>12/19/2019 7:00:35 AM</v>
      </c>
      <c r="I211" t="str">
        <f>""</f>
        <v/>
      </c>
      <c r="J211" t="str">
        <f t="shared" si="80"/>
        <v>Elite</v>
      </c>
      <c r="K211" t="str">
        <f t="shared" si="90"/>
        <v>Device</v>
      </c>
      <c r="L211" t="str">
        <f t="shared" si="91"/>
        <v>777173820</v>
      </c>
      <c r="M211" t="str">
        <f t="shared" si="92"/>
        <v>16483546</v>
      </c>
      <c r="N211" t="str">
        <f t="shared" si="93"/>
        <v>5043-20</v>
      </c>
      <c r="O211" t="str">
        <f t="shared" si="81"/>
        <v>TEXAS</v>
      </c>
      <c r="P211" t="str">
        <f t="shared" si="82"/>
        <v>N A</v>
      </c>
      <c r="Q211" t="str">
        <f t="shared" si="83"/>
        <v>N/A</v>
      </c>
      <c r="R211" t="str">
        <f>"130 MGCRP 11 305"</f>
        <v>130 MGCRP 11 305</v>
      </c>
      <c r="S211" t="str">
        <f>"12/18/2019 6:48:23 PM"</f>
        <v>12/18/2019 6:48:23 PM</v>
      </c>
      <c r="T211" t="str">
        <f t="shared" si="70"/>
        <v>5</v>
      </c>
      <c r="U211" t="str">
        <f t="shared" si="84"/>
        <v>N/A</v>
      </c>
      <c r="V211" t="str">
        <f>"5.5500"</f>
        <v>5.5500</v>
      </c>
    </row>
    <row r="212" spans="1:22" x14ac:dyDescent="0.25">
      <c r="A212" s="1" t="str">
        <f t="shared" si="79"/>
        <v>5043-</v>
      </c>
      <c r="B212" s="1" t="str">
        <f t="shared" si="85"/>
        <v>5043-</v>
      </c>
      <c r="C212" s="1" t="str">
        <f>VLOOKUP(B212,'Master truck list'!D:E,2,0)</f>
        <v>5043-20</v>
      </c>
      <c r="D212" s="1" t="str">
        <f>VLOOKUP(C212,'Master truck list'!E:F,2,0)</f>
        <v>ACTIVE</v>
      </c>
      <c r="E212" s="1" t="str">
        <f>VLOOKUP(C212,'Master truck list'!E:M,9,0)</f>
        <v>BNK TRANSPORT INC</v>
      </c>
      <c r="F212" s="1" t="str">
        <f>VLOOKUP(C212,'Master truck list'!E:G,3,0)</f>
        <v>Company</v>
      </c>
      <c r="G212" s="1">
        <f>VLOOKUP(C212,'Master truck list'!E:R,14,0)</f>
        <v>2307</v>
      </c>
      <c r="H212" t="str">
        <f t="shared" si="89"/>
        <v>12/19/2019 7:00:35 AM</v>
      </c>
      <c r="I212" t="str">
        <f>""</f>
        <v/>
      </c>
      <c r="J212" t="str">
        <f t="shared" si="80"/>
        <v>Elite</v>
      </c>
      <c r="K212" t="str">
        <f t="shared" si="90"/>
        <v>Device</v>
      </c>
      <c r="L212" t="str">
        <f t="shared" si="91"/>
        <v>777173820</v>
      </c>
      <c r="M212" t="str">
        <f t="shared" si="92"/>
        <v>16483546</v>
      </c>
      <c r="N212" t="str">
        <f t="shared" si="93"/>
        <v>5043-20</v>
      </c>
      <c r="O212" t="str">
        <f t="shared" si="81"/>
        <v>TEXAS</v>
      </c>
      <c r="P212" t="str">
        <f t="shared" si="82"/>
        <v>N A</v>
      </c>
      <c r="Q212" t="str">
        <f t="shared" si="83"/>
        <v>N/A</v>
      </c>
      <c r="R212" t="str">
        <f>"45SE MLPEB 02 611"</f>
        <v>45SE MLPEB 02 611</v>
      </c>
      <c r="S212" t="str">
        <f>"12/18/2019 6:09:31 PM"</f>
        <v>12/18/2019 6:09:31 PM</v>
      </c>
      <c r="T212" t="str">
        <f t="shared" ref="T212:T226" si="94">"5"</f>
        <v>5</v>
      </c>
      <c r="U212" t="str">
        <f t="shared" si="84"/>
        <v>N/A</v>
      </c>
      <c r="V212" t="str">
        <f>"3.3000"</f>
        <v>3.3000</v>
      </c>
    </row>
    <row r="213" spans="1:22" x14ac:dyDescent="0.25">
      <c r="A213" s="1" t="str">
        <f t="shared" si="79"/>
        <v>5043-</v>
      </c>
      <c r="B213" s="1" t="str">
        <f t="shared" si="85"/>
        <v>5043-</v>
      </c>
      <c r="C213" s="1" t="str">
        <f>VLOOKUP(B213,'Master truck list'!D:E,2,0)</f>
        <v>5043-20</v>
      </c>
      <c r="D213" s="1" t="str">
        <f>VLOOKUP(C213,'Master truck list'!E:F,2,0)</f>
        <v>ACTIVE</v>
      </c>
      <c r="E213" s="1" t="str">
        <f>VLOOKUP(C213,'Master truck list'!E:M,9,0)</f>
        <v>BNK TRANSPORT INC</v>
      </c>
      <c r="F213" s="1" t="str">
        <f>VLOOKUP(C213,'Master truck list'!E:G,3,0)</f>
        <v>Company</v>
      </c>
      <c r="G213" s="1">
        <f>VLOOKUP(C213,'Master truck list'!E:R,14,0)</f>
        <v>2307</v>
      </c>
      <c r="H213" t="str">
        <f>"12/21/2019 7:00:28 AM"</f>
        <v>12/21/2019 7:00:28 AM</v>
      </c>
      <c r="I213" t="str">
        <f>""</f>
        <v/>
      </c>
      <c r="J213" t="str">
        <f t="shared" si="80"/>
        <v>Elite</v>
      </c>
      <c r="K213" t="str">
        <f t="shared" si="90"/>
        <v>Device</v>
      </c>
      <c r="L213" t="str">
        <f t="shared" si="91"/>
        <v>777173820</v>
      </c>
      <c r="M213" t="str">
        <f t="shared" si="92"/>
        <v>16483546</v>
      </c>
      <c r="N213" t="str">
        <f t="shared" si="93"/>
        <v>5043-20</v>
      </c>
      <c r="O213" t="str">
        <f t="shared" si="81"/>
        <v>TEXAS</v>
      </c>
      <c r="P213" t="str">
        <f t="shared" si="82"/>
        <v>N A</v>
      </c>
      <c r="Q213" t="str">
        <f t="shared" si="83"/>
        <v>N/A</v>
      </c>
      <c r="R213" t="str">
        <f>"130 ARPTP 04 308"</f>
        <v>130 ARPTP 04 308</v>
      </c>
      <c r="S213" t="str">
        <f>"12/20/2019 8:09:37 AM"</f>
        <v>12/20/2019 8:09:37 AM</v>
      </c>
      <c r="T213" t="str">
        <f t="shared" si="94"/>
        <v>5</v>
      </c>
      <c r="U213" t="str">
        <f t="shared" si="84"/>
        <v>N/A</v>
      </c>
      <c r="V213" t="str">
        <f t="shared" ref="V213:V222" si="95">"5.5500"</f>
        <v>5.5500</v>
      </c>
    </row>
    <row r="214" spans="1:22" x14ac:dyDescent="0.25">
      <c r="A214" s="1" t="str">
        <f t="shared" si="79"/>
        <v>5043-</v>
      </c>
      <c r="B214" s="1" t="str">
        <f t="shared" si="85"/>
        <v>5043-</v>
      </c>
      <c r="C214" s="1" t="str">
        <f>VLOOKUP(B214,'Master truck list'!D:E,2,0)</f>
        <v>5043-20</v>
      </c>
      <c r="D214" s="1" t="str">
        <f>VLOOKUP(C214,'Master truck list'!E:F,2,0)</f>
        <v>ACTIVE</v>
      </c>
      <c r="E214" s="1" t="str">
        <f>VLOOKUP(C214,'Master truck list'!E:M,9,0)</f>
        <v>BNK TRANSPORT INC</v>
      </c>
      <c r="F214" s="1" t="str">
        <f>VLOOKUP(C214,'Master truck list'!E:G,3,0)</f>
        <v>Company</v>
      </c>
      <c r="G214" s="1">
        <f>VLOOKUP(C214,'Master truck list'!E:R,14,0)</f>
        <v>2307</v>
      </c>
      <c r="H214" t="str">
        <f>"12/21/2019 7:00:28 AM"</f>
        <v>12/21/2019 7:00:28 AM</v>
      </c>
      <c r="I214" t="str">
        <f>""</f>
        <v/>
      </c>
      <c r="J214" t="str">
        <f t="shared" si="80"/>
        <v>Elite</v>
      </c>
      <c r="K214" t="str">
        <f t="shared" si="90"/>
        <v>Device</v>
      </c>
      <c r="L214" t="str">
        <f t="shared" si="91"/>
        <v>777173820</v>
      </c>
      <c r="M214" t="str">
        <f t="shared" si="92"/>
        <v>16483546</v>
      </c>
      <c r="N214" t="str">
        <f t="shared" si="93"/>
        <v>5043-20</v>
      </c>
      <c r="O214" t="str">
        <f t="shared" si="81"/>
        <v>TEXAS</v>
      </c>
      <c r="P214" t="str">
        <f t="shared" si="82"/>
        <v>N A</v>
      </c>
      <c r="Q214" t="str">
        <f t="shared" si="83"/>
        <v>N/A</v>
      </c>
      <c r="R214" t="str">
        <f>"130 CMRNP 13 306"</f>
        <v>130 CMRNP 13 306</v>
      </c>
      <c r="S214" t="str">
        <f>"12/20/2019 8:45:01 PM"</f>
        <v>12/20/2019 8:45:01 PM</v>
      </c>
      <c r="T214" t="str">
        <f t="shared" si="94"/>
        <v>5</v>
      </c>
      <c r="U214" t="str">
        <f t="shared" si="84"/>
        <v>N/A</v>
      </c>
      <c r="V214" t="str">
        <f t="shared" si="95"/>
        <v>5.5500</v>
      </c>
    </row>
    <row r="215" spans="1:22" x14ac:dyDescent="0.25">
      <c r="A215" s="1" t="str">
        <f t="shared" si="79"/>
        <v>5043-</v>
      </c>
      <c r="B215" s="1" t="str">
        <f t="shared" si="85"/>
        <v>5043-</v>
      </c>
      <c r="C215" s="1" t="str">
        <f>VLOOKUP(B215,'Master truck list'!D:E,2,0)</f>
        <v>5043-20</v>
      </c>
      <c r="D215" s="1" t="str">
        <f>VLOOKUP(C215,'Master truck list'!E:F,2,0)</f>
        <v>ACTIVE</v>
      </c>
      <c r="E215" s="1" t="str">
        <f>VLOOKUP(C215,'Master truck list'!E:M,9,0)</f>
        <v>BNK TRANSPORT INC</v>
      </c>
      <c r="F215" s="1" t="str">
        <f>VLOOKUP(C215,'Master truck list'!E:G,3,0)</f>
        <v>Company</v>
      </c>
      <c r="G215" s="1">
        <f>VLOOKUP(C215,'Master truck list'!E:R,14,0)</f>
        <v>2307</v>
      </c>
      <c r="H215" t="str">
        <f>"12/21/2019 7:00:28 AM"</f>
        <v>12/21/2019 7:00:28 AM</v>
      </c>
      <c r="I215" t="str">
        <f>""</f>
        <v/>
      </c>
      <c r="J215" t="str">
        <f t="shared" si="80"/>
        <v>Elite</v>
      </c>
      <c r="K215" t="str">
        <f t="shared" si="90"/>
        <v>Device</v>
      </c>
      <c r="L215" t="str">
        <f t="shared" si="91"/>
        <v>777173820</v>
      </c>
      <c r="M215" t="str">
        <f t="shared" si="92"/>
        <v>16483546</v>
      </c>
      <c r="N215" t="str">
        <f t="shared" si="93"/>
        <v>5043-20</v>
      </c>
      <c r="O215" t="str">
        <f t="shared" si="81"/>
        <v>TEXAS</v>
      </c>
      <c r="P215" t="str">
        <f t="shared" si="82"/>
        <v>N A</v>
      </c>
      <c r="Q215" t="str">
        <f t="shared" si="83"/>
        <v>N/A</v>
      </c>
      <c r="R215" t="str">
        <f>"130 ARPTP 09 308"</f>
        <v>130 ARPTP 09 308</v>
      </c>
      <c r="S215" t="str">
        <f>"12/20/2019 8:27:45 PM"</f>
        <v>12/20/2019 8:27:45 PM</v>
      </c>
      <c r="T215" t="str">
        <f t="shared" si="94"/>
        <v>5</v>
      </c>
      <c r="U215" t="str">
        <f t="shared" si="84"/>
        <v>N/A</v>
      </c>
      <c r="V215" t="str">
        <f t="shared" si="95"/>
        <v>5.5500</v>
      </c>
    </row>
    <row r="216" spans="1:22" x14ac:dyDescent="0.25">
      <c r="A216" s="1" t="str">
        <f t="shared" si="79"/>
        <v>5043-</v>
      </c>
      <c r="B216" s="1" t="str">
        <f t="shared" si="85"/>
        <v>5043-</v>
      </c>
      <c r="C216" s="1" t="str">
        <f>VLOOKUP(B216,'Master truck list'!D:E,2,0)</f>
        <v>5043-20</v>
      </c>
      <c r="D216" s="1" t="str">
        <f>VLOOKUP(C216,'Master truck list'!E:F,2,0)</f>
        <v>ACTIVE</v>
      </c>
      <c r="E216" s="1" t="str">
        <f>VLOOKUP(C216,'Master truck list'!E:M,9,0)</f>
        <v>BNK TRANSPORT INC</v>
      </c>
      <c r="F216" s="1" t="str">
        <f>VLOOKUP(C216,'Master truck list'!E:G,3,0)</f>
        <v>Company</v>
      </c>
      <c r="G216" s="1">
        <f>VLOOKUP(C216,'Master truck list'!E:R,14,0)</f>
        <v>2307</v>
      </c>
      <c r="H216" t="str">
        <f>"12/19/2019 7:00:35 AM"</f>
        <v>12/19/2019 7:00:35 AM</v>
      </c>
      <c r="I216" t="str">
        <f>""</f>
        <v/>
      </c>
      <c r="J216" t="str">
        <f t="shared" si="80"/>
        <v>Elite</v>
      </c>
      <c r="K216" t="str">
        <f t="shared" si="90"/>
        <v>Device</v>
      </c>
      <c r="L216" t="str">
        <f t="shared" si="91"/>
        <v>777173820</v>
      </c>
      <c r="M216" t="str">
        <f t="shared" si="92"/>
        <v>16483546</v>
      </c>
      <c r="N216" t="str">
        <f t="shared" si="93"/>
        <v>5043-20</v>
      </c>
      <c r="O216" t="str">
        <f t="shared" si="81"/>
        <v>TEXAS</v>
      </c>
      <c r="P216" t="str">
        <f t="shared" si="82"/>
        <v>N A</v>
      </c>
      <c r="Q216" t="str">
        <f t="shared" si="83"/>
        <v>N/A</v>
      </c>
      <c r="R216" t="str">
        <f>"130 ARPTP 04 308"</f>
        <v>130 ARPTP 04 308</v>
      </c>
      <c r="S216" t="str">
        <f>"12/18/2019 6:41:54 AM"</f>
        <v>12/18/2019 6:41:54 AM</v>
      </c>
      <c r="T216" t="str">
        <f t="shared" si="94"/>
        <v>5</v>
      </c>
      <c r="U216" t="str">
        <f t="shared" si="84"/>
        <v>N/A</v>
      </c>
      <c r="V216" t="str">
        <f t="shared" si="95"/>
        <v>5.5500</v>
      </c>
    </row>
    <row r="217" spans="1:22" x14ac:dyDescent="0.25">
      <c r="A217" s="1" t="str">
        <f t="shared" si="79"/>
        <v>5043-</v>
      </c>
      <c r="B217" s="1" t="str">
        <f t="shared" si="85"/>
        <v>5043-</v>
      </c>
      <c r="C217" s="1" t="str">
        <f>VLOOKUP(B217,'Master truck list'!D:E,2,0)</f>
        <v>5043-20</v>
      </c>
      <c r="D217" s="1" t="str">
        <f>VLOOKUP(C217,'Master truck list'!E:F,2,0)</f>
        <v>ACTIVE</v>
      </c>
      <c r="E217" s="1" t="str">
        <f>VLOOKUP(C217,'Master truck list'!E:M,9,0)</f>
        <v>BNK TRANSPORT INC</v>
      </c>
      <c r="F217" s="1" t="str">
        <f>VLOOKUP(C217,'Master truck list'!E:G,3,0)</f>
        <v>Company</v>
      </c>
      <c r="G217" s="1">
        <f>VLOOKUP(C217,'Master truck list'!E:R,14,0)</f>
        <v>2307</v>
      </c>
      <c r="H217" t="str">
        <f>"12/19/2019 7:00:35 AM"</f>
        <v>12/19/2019 7:00:35 AM</v>
      </c>
      <c r="I217" t="str">
        <f>""</f>
        <v/>
      </c>
      <c r="J217" t="str">
        <f t="shared" si="80"/>
        <v>Elite</v>
      </c>
      <c r="K217" t="str">
        <f t="shared" si="90"/>
        <v>Device</v>
      </c>
      <c r="L217" t="str">
        <f t="shared" si="91"/>
        <v>777173820</v>
      </c>
      <c r="M217" t="str">
        <f t="shared" si="92"/>
        <v>16483546</v>
      </c>
      <c r="N217" t="str">
        <f t="shared" si="93"/>
        <v>5043-20</v>
      </c>
      <c r="O217" t="str">
        <f t="shared" si="81"/>
        <v>TEXAS</v>
      </c>
      <c r="P217" t="str">
        <f t="shared" si="82"/>
        <v>N A</v>
      </c>
      <c r="Q217" t="str">
        <f t="shared" si="83"/>
        <v>N/A</v>
      </c>
      <c r="R217" t="str">
        <f>"130 CMRNP 08 306"</f>
        <v>130 CMRNP 08 306</v>
      </c>
      <c r="S217" t="str">
        <f>"12/18/2019 6:24:49 AM"</f>
        <v>12/18/2019 6:24:49 AM</v>
      </c>
      <c r="T217" t="str">
        <f t="shared" si="94"/>
        <v>5</v>
      </c>
      <c r="U217" t="str">
        <f t="shared" si="84"/>
        <v>N/A</v>
      </c>
      <c r="V217" t="str">
        <f t="shared" si="95"/>
        <v>5.5500</v>
      </c>
    </row>
    <row r="218" spans="1:22" x14ac:dyDescent="0.25">
      <c r="A218" s="1" t="str">
        <f t="shared" si="79"/>
        <v>5043-</v>
      </c>
      <c r="B218" s="1" t="str">
        <f t="shared" si="85"/>
        <v>5043-</v>
      </c>
      <c r="C218" s="1" t="str">
        <f>VLOOKUP(B218,'Master truck list'!D:E,2,0)</f>
        <v>5043-20</v>
      </c>
      <c r="D218" s="1" t="str">
        <f>VLOOKUP(C218,'Master truck list'!E:F,2,0)</f>
        <v>ACTIVE</v>
      </c>
      <c r="E218" s="1" t="str">
        <f>VLOOKUP(C218,'Master truck list'!E:M,9,0)</f>
        <v>BNK TRANSPORT INC</v>
      </c>
      <c r="F218" s="1" t="str">
        <f>VLOOKUP(C218,'Master truck list'!E:G,3,0)</f>
        <v>Company</v>
      </c>
      <c r="G218" s="1">
        <f>VLOOKUP(C218,'Master truck list'!E:R,14,0)</f>
        <v>2307</v>
      </c>
      <c r="H218" t="str">
        <f>"12/19/2019 7:00:35 AM"</f>
        <v>12/19/2019 7:00:35 AM</v>
      </c>
      <c r="I218" t="str">
        <f>""</f>
        <v/>
      </c>
      <c r="J218" t="str">
        <f t="shared" si="80"/>
        <v>Elite</v>
      </c>
      <c r="K218" t="str">
        <f t="shared" si="90"/>
        <v>Device</v>
      </c>
      <c r="L218" t="str">
        <f t="shared" si="91"/>
        <v>777173820</v>
      </c>
      <c r="M218" t="str">
        <f t="shared" si="92"/>
        <v>16483546</v>
      </c>
      <c r="N218" t="str">
        <f t="shared" si="93"/>
        <v>5043-20</v>
      </c>
      <c r="O218" t="str">
        <f t="shared" si="81"/>
        <v>TEXAS</v>
      </c>
      <c r="P218" t="str">
        <f t="shared" si="82"/>
        <v>N A</v>
      </c>
      <c r="Q218" t="str">
        <f t="shared" si="83"/>
        <v>N/A</v>
      </c>
      <c r="R218" t="str">
        <f>"130 ARPTP 09 308"</f>
        <v>130 ARPTP 09 308</v>
      </c>
      <c r="S218" t="str">
        <f>"12/18/2019 6:20:09 PM"</f>
        <v>12/18/2019 6:20:09 PM</v>
      </c>
      <c r="T218" t="str">
        <f t="shared" si="94"/>
        <v>5</v>
      </c>
      <c r="U218" t="str">
        <f t="shared" si="84"/>
        <v>N/A</v>
      </c>
      <c r="V218" t="str">
        <f t="shared" si="95"/>
        <v>5.5500</v>
      </c>
    </row>
    <row r="219" spans="1:22" x14ac:dyDescent="0.25">
      <c r="A219" s="1" t="str">
        <f t="shared" si="79"/>
        <v>5043-</v>
      </c>
      <c r="B219" s="1" t="str">
        <f t="shared" si="85"/>
        <v>5043-</v>
      </c>
      <c r="C219" s="1" t="str">
        <f>VLOOKUP(B219,'Master truck list'!D:E,2,0)</f>
        <v>5043-20</v>
      </c>
      <c r="D219" s="1" t="str">
        <f>VLOOKUP(C219,'Master truck list'!E:F,2,0)</f>
        <v>ACTIVE</v>
      </c>
      <c r="E219" s="1" t="str">
        <f>VLOOKUP(C219,'Master truck list'!E:M,9,0)</f>
        <v>BNK TRANSPORT INC</v>
      </c>
      <c r="F219" s="1" t="str">
        <f>VLOOKUP(C219,'Master truck list'!E:G,3,0)</f>
        <v>Company</v>
      </c>
      <c r="G219" s="1">
        <f>VLOOKUP(C219,'Master truck list'!E:R,14,0)</f>
        <v>2307</v>
      </c>
      <c r="H219" t="str">
        <f>"12/19/2019 7:00:35 AM"</f>
        <v>12/19/2019 7:00:35 AM</v>
      </c>
      <c r="I219" t="str">
        <f>""</f>
        <v/>
      </c>
      <c r="J219" t="str">
        <f t="shared" si="80"/>
        <v>Elite</v>
      </c>
      <c r="K219" t="str">
        <f t="shared" si="90"/>
        <v>Device</v>
      </c>
      <c r="L219" t="str">
        <f t="shared" si="91"/>
        <v>777173820</v>
      </c>
      <c r="M219" t="str">
        <f t="shared" si="92"/>
        <v>16483546</v>
      </c>
      <c r="N219" t="str">
        <f t="shared" si="93"/>
        <v>5043-20</v>
      </c>
      <c r="O219" t="str">
        <f t="shared" si="81"/>
        <v>TEXAS</v>
      </c>
      <c r="P219" t="str">
        <f t="shared" si="82"/>
        <v>N A</v>
      </c>
      <c r="Q219" t="str">
        <f t="shared" si="83"/>
        <v>N/A</v>
      </c>
      <c r="R219" t="str">
        <f>"130 CMRNP 13 306"</f>
        <v>130 CMRNP 13 306</v>
      </c>
      <c r="S219" t="str">
        <f>"12/18/2019 6:37:20 PM"</f>
        <v>12/18/2019 6:37:20 PM</v>
      </c>
      <c r="T219" t="str">
        <f t="shared" si="94"/>
        <v>5</v>
      </c>
      <c r="U219" t="str">
        <f t="shared" si="84"/>
        <v>N/A</v>
      </c>
      <c r="V219" t="str">
        <f t="shared" si="95"/>
        <v>5.5500</v>
      </c>
    </row>
    <row r="220" spans="1:22" x14ac:dyDescent="0.25">
      <c r="A220" s="1" t="str">
        <f t="shared" si="79"/>
        <v>5043-</v>
      </c>
      <c r="B220" s="1" t="str">
        <f t="shared" si="85"/>
        <v>5043-</v>
      </c>
      <c r="C220" s="1" t="str">
        <f>VLOOKUP(B220,'Master truck list'!D:E,2,0)</f>
        <v>5043-20</v>
      </c>
      <c r="D220" s="1" t="str">
        <f>VLOOKUP(C220,'Master truck list'!E:F,2,0)</f>
        <v>ACTIVE</v>
      </c>
      <c r="E220" s="1" t="str">
        <f>VLOOKUP(C220,'Master truck list'!E:M,9,0)</f>
        <v>BNK TRANSPORT INC</v>
      </c>
      <c r="F220" s="1" t="str">
        <f>VLOOKUP(C220,'Master truck list'!E:G,3,0)</f>
        <v>Company</v>
      </c>
      <c r="G220" s="1">
        <f>VLOOKUP(C220,'Master truck list'!E:R,14,0)</f>
        <v>2307</v>
      </c>
      <c r="H220" t="str">
        <f t="shared" ref="H220:H226" si="96">"12/21/2019 7:00:28 AM"</f>
        <v>12/21/2019 7:00:28 AM</v>
      </c>
      <c r="I220" t="str">
        <f>""</f>
        <v/>
      </c>
      <c r="J220" t="str">
        <f t="shared" si="80"/>
        <v>Elite</v>
      </c>
      <c r="K220" t="str">
        <f t="shared" si="90"/>
        <v>Device</v>
      </c>
      <c r="L220" t="str">
        <f t="shared" si="91"/>
        <v>777173820</v>
      </c>
      <c r="M220" t="str">
        <f t="shared" si="92"/>
        <v>16483546</v>
      </c>
      <c r="N220" t="str">
        <f t="shared" si="93"/>
        <v>5043-20</v>
      </c>
      <c r="O220" t="str">
        <f t="shared" si="81"/>
        <v>TEXAS</v>
      </c>
      <c r="P220" t="str">
        <f t="shared" si="82"/>
        <v>N A</v>
      </c>
      <c r="Q220" t="str">
        <f t="shared" si="83"/>
        <v>N/A</v>
      </c>
      <c r="R220" t="str">
        <f>"130 DKCRP 06 307"</f>
        <v>130 DKCRP 06 307</v>
      </c>
      <c r="S220" t="str">
        <f>"12/20/2019 8:02:39 AM"</f>
        <v>12/20/2019 8:02:39 AM</v>
      </c>
      <c r="T220" t="str">
        <f t="shared" si="94"/>
        <v>5</v>
      </c>
      <c r="U220" t="str">
        <f t="shared" si="84"/>
        <v>N/A</v>
      </c>
      <c r="V220" t="str">
        <f t="shared" si="95"/>
        <v>5.5500</v>
      </c>
    </row>
    <row r="221" spans="1:22" x14ac:dyDescent="0.25">
      <c r="A221" s="1" t="str">
        <f t="shared" si="79"/>
        <v>5043-</v>
      </c>
      <c r="B221" s="1" t="str">
        <f t="shared" si="85"/>
        <v>5043-</v>
      </c>
      <c r="C221" s="1" t="str">
        <f>VLOOKUP(B221,'Master truck list'!D:E,2,0)</f>
        <v>5043-20</v>
      </c>
      <c r="D221" s="1" t="str">
        <f>VLOOKUP(C221,'Master truck list'!E:F,2,0)</f>
        <v>ACTIVE</v>
      </c>
      <c r="E221" s="1" t="str">
        <f>VLOOKUP(C221,'Master truck list'!E:M,9,0)</f>
        <v>BNK TRANSPORT INC</v>
      </c>
      <c r="F221" s="1" t="str">
        <f>VLOOKUP(C221,'Master truck list'!E:G,3,0)</f>
        <v>Company</v>
      </c>
      <c r="G221" s="1">
        <f>VLOOKUP(C221,'Master truck list'!E:R,14,0)</f>
        <v>2307</v>
      </c>
      <c r="H221" t="str">
        <f t="shared" si="96"/>
        <v>12/21/2019 7:00:28 AM</v>
      </c>
      <c r="I221" t="str">
        <f>""</f>
        <v/>
      </c>
      <c r="J221" t="str">
        <f t="shared" si="80"/>
        <v>Elite</v>
      </c>
      <c r="K221" t="str">
        <f t="shared" si="90"/>
        <v>Device</v>
      </c>
      <c r="L221" t="str">
        <f t="shared" si="91"/>
        <v>777173820</v>
      </c>
      <c r="M221" t="str">
        <f t="shared" si="92"/>
        <v>16483546</v>
      </c>
      <c r="N221" t="str">
        <f t="shared" si="93"/>
        <v>5043-20</v>
      </c>
      <c r="O221" t="str">
        <f t="shared" si="81"/>
        <v>TEXAS</v>
      </c>
      <c r="P221" t="str">
        <f t="shared" si="82"/>
        <v>N A</v>
      </c>
      <c r="Q221" t="str">
        <f t="shared" si="83"/>
        <v>N/A</v>
      </c>
      <c r="R221" t="str">
        <f>"130 DKCRP 11 307"</f>
        <v>130 DKCRP 11 307</v>
      </c>
      <c r="S221" t="str">
        <f>"12/20/2019 8:34:45 PM"</f>
        <v>12/20/2019 8:34:45 PM</v>
      </c>
      <c r="T221" t="str">
        <f t="shared" si="94"/>
        <v>5</v>
      </c>
      <c r="U221" t="str">
        <f t="shared" si="84"/>
        <v>N/A</v>
      </c>
      <c r="V221" t="str">
        <f t="shared" si="95"/>
        <v>5.5500</v>
      </c>
    </row>
    <row r="222" spans="1:22" x14ac:dyDescent="0.25">
      <c r="A222" s="1" t="str">
        <f t="shared" si="79"/>
        <v>5043-</v>
      </c>
      <c r="B222" s="1" t="str">
        <f t="shared" si="85"/>
        <v>5043-</v>
      </c>
      <c r="C222" s="1" t="str">
        <f>VLOOKUP(B222,'Master truck list'!D:E,2,0)</f>
        <v>5043-20</v>
      </c>
      <c r="D222" s="1" t="str">
        <f>VLOOKUP(C222,'Master truck list'!E:F,2,0)</f>
        <v>ACTIVE</v>
      </c>
      <c r="E222" s="1" t="str">
        <f>VLOOKUP(C222,'Master truck list'!E:M,9,0)</f>
        <v>BNK TRANSPORT INC</v>
      </c>
      <c r="F222" s="1" t="str">
        <f>VLOOKUP(C222,'Master truck list'!E:G,3,0)</f>
        <v>Company</v>
      </c>
      <c r="G222" s="1">
        <f>VLOOKUP(C222,'Master truck list'!E:R,14,0)</f>
        <v>2307</v>
      </c>
      <c r="H222" t="str">
        <f t="shared" si="96"/>
        <v>12/21/2019 7:00:28 AM</v>
      </c>
      <c r="I222" t="str">
        <f>""</f>
        <v/>
      </c>
      <c r="J222" t="str">
        <f t="shared" si="80"/>
        <v>Elite</v>
      </c>
      <c r="K222" t="str">
        <f t="shared" si="90"/>
        <v>Device</v>
      </c>
      <c r="L222" t="str">
        <f t="shared" si="91"/>
        <v>777173820</v>
      </c>
      <c r="M222" t="str">
        <f t="shared" si="92"/>
        <v>16483546</v>
      </c>
      <c r="N222" t="str">
        <f t="shared" si="93"/>
        <v>5043-20</v>
      </c>
      <c r="O222" t="str">
        <f t="shared" si="81"/>
        <v>TEXAS</v>
      </c>
      <c r="P222" t="str">
        <f t="shared" si="82"/>
        <v>N A</v>
      </c>
      <c r="Q222" t="str">
        <f t="shared" si="83"/>
        <v>N/A</v>
      </c>
      <c r="R222" t="str">
        <f>"130 MGCRP 06 305"</f>
        <v>130 MGCRP 06 305</v>
      </c>
      <c r="S222" t="str">
        <f>"12/20/2019 7:41:29 AM"</f>
        <v>12/20/2019 7:41:29 AM</v>
      </c>
      <c r="T222" t="str">
        <f t="shared" si="94"/>
        <v>5</v>
      </c>
      <c r="U222" t="str">
        <f t="shared" si="84"/>
        <v>N/A</v>
      </c>
      <c r="V222" t="str">
        <f t="shared" si="95"/>
        <v>5.5500</v>
      </c>
    </row>
    <row r="223" spans="1:22" x14ac:dyDescent="0.25">
      <c r="A223" s="1" t="str">
        <f t="shared" si="79"/>
        <v>5043-</v>
      </c>
      <c r="B223" s="1" t="str">
        <f t="shared" si="85"/>
        <v>5043-</v>
      </c>
      <c r="C223" s="1" t="str">
        <f>VLOOKUP(B223,'Master truck list'!D:E,2,0)</f>
        <v>5043-20</v>
      </c>
      <c r="D223" s="1" t="str">
        <f>VLOOKUP(C223,'Master truck list'!E:F,2,0)</f>
        <v>ACTIVE</v>
      </c>
      <c r="E223" s="1" t="str">
        <f>VLOOKUP(C223,'Master truck list'!E:M,9,0)</f>
        <v>BNK TRANSPORT INC</v>
      </c>
      <c r="F223" s="1" t="str">
        <f>VLOOKUP(C223,'Master truck list'!E:G,3,0)</f>
        <v>Company</v>
      </c>
      <c r="G223" s="1">
        <f>VLOOKUP(C223,'Master truck list'!E:R,14,0)</f>
        <v>2307</v>
      </c>
      <c r="H223" t="str">
        <f t="shared" si="96"/>
        <v>12/21/2019 7:00:28 AM</v>
      </c>
      <c r="I223" t="str">
        <f>""</f>
        <v/>
      </c>
      <c r="J223" t="str">
        <f t="shared" si="80"/>
        <v>Elite</v>
      </c>
      <c r="K223" t="str">
        <f t="shared" si="90"/>
        <v>Device</v>
      </c>
      <c r="L223" t="str">
        <f t="shared" si="91"/>
        <v>777173820</v>
      </c>
      <c r="M223" t="str">
        <f t="shared" si="92"/>
        <v>16483546</v>
      </c>
      <c r="N223" t="str">
        <f t="shared" si="93"/>
        <v>5043-20</v>
      </c>
      <c r="O223" t="str">
        <f t="shared" si="81"/>
        <v>TEXAS</v>
      </c>
      <c r="P223" t="str">
        <f t="shared" si="82"/>
        <v>N A</v>
      </c>
      <c r="Q223" t="str">
        <f t="shared" si="83"/>
        <v>N/A</v>
      </c>
      <c r="R223" t="str">
        <f>"45SE MLPWB 01 611"</f>
        <v>45SE MLPWB 01 611</v>
      </c>
      <c r="S223" t="str">
        <f>"12/20/2019 8:20:15 AM"</f>
        <v>12/20/2019 8:20:15 AM</v>
      </c>
      <c r="T223" t="str">
        <f t="shared" si="94"/>
        <v>5</v>
      </c>
      <c r="U223" t="str">
        <f t="shared" si="84"/>
        <v>N/A</v>
      </c>
      <c r="V223" t="str">
        <f>"3.3000"</f>
        <v>3.3000</v>
      </c>
    </row>
    <row r="224" spans="1:22" x14ac:dyDescent="0.25">
      <c r="A224" s="1" t="str">
        <f t="shared" si="79"/>
        <v>5043-</v>
      </c>
      <c r="B224" s="1" t="str">
        <f t="shared" si="85"/>
        <v>5043-</v>
      </c>
      <c r="C224" s="1" t="str">
        <f>VLOOKUP(B224,'Master truck list'!D:E,2,0)</f>
        <v>5043-20</v>
      </c>
      <c r="D224" s="1" t="str">
        <f>VLOOKUP(C224,'Master truck list'!E:F,2,0)</f>
        <v>ACTIVE</v>
      </c>
      <c r="E224" s="1" t="str">
        <f>VLOOKUP(C224,'Master truck list'!E:M,9,0)</f>
        <v>BNK TRANSPORT INC</v>
      </c>
      <c r="F224" s="1" t="str">
        <f>VLOOKUP(C224,'Master truck list'!E:G,3,0)</f>
        <v>Company</v>
      </c>
      <c r="G224" s="1">
        <f>VLOOKUP(C224,'Master truck list'!E:R,14,0)</f>
        <v>2307</v>
      </c>
      <c r="H224" t="str">
        <f t="shared" si="96"/>
        <v>12/21/2019 7:00:28 AM</v>
      </c>
      <c r="I224" t="str">
        <f>""</f>
        <v/>
      </c>
      <c r="J224" t="str">
        <f t="shared" si="80"/>
        <v>Elite</v>
      </c>
      <c r="K224" t="str">
        <f t="shared" si="90"/>
        <v>Device</v>
      </c>
      <c r="L224" t="str">
        <f t="shared" si="91"/>
        <v>777173820</v>
      </c>
      <c r="M224" t="str">
        <f t="shared" si="92"/>
        <v>16483546</v>
      </c>
      <c r="N224" t="str">
        <f t="shared" si="93"/>
        <v>5043-20</v>
      </c>
      <c r="O224" t="str">
        <f t="shared" si="81"/>
        <v>TEXAS</v>
      </c>
      <c r="P224" t="str">
        <f t="shared" si="82"/>
        <v>N A</v>
      </c>
      <c r="Q224" t="str">
        <f t="shared" si="83"/>
        <v>N/A</v>
      </c>
      <c r="R224" t="str">
        <f>"130 CMRNP 08 306"</f>
        <v>130 CMRNP 08 306</v>
      </c>
      <c r="S224" t="str">
        <f>"12/20/2019 7:52:39 AM"</f>
        <v>12/20/2019 7:52:39 AM</v>
      </c>
      <c r="T224" t="str">
        <f t="shared" si="94"/>
        <v>5</v>
      </c>
      <c r="U224" t="str">
        <f t="shared" si="84"/>
        <v>N/A</v>
      </c>
      <c r="V224" t="str">
        <f>"5.5500"</f>
        <v>5.5500</v>
      </c>
    </row>
    <row r="225" spans="1:22" x14ac:dyDescent="0.25">
      <c r="A225" s="1" t="str">
        <f t="shared" si="79"/>
        <v>5043-</v>
      </c>
      <c r="B225" s="1" t="str">
        <f t="shared" si="85"/>
        <v>5043-</v>
      </c>
      <c r="C225" s="1" t="str">
        <f>VLOOKUP(B225,'Master truck list'!D:E,2,0)</f>
        <v>5043-20</v>
      </c>
      <c r="D225" s="1" t="str">
        <f>VLOOKUP(C225,'Master truck list'!E:F,2,0)</f>
        <v>ACTIVE</v>
      </c>
      <c r="E225" s="1" t="str">
        <f>VLOOKUP(C225,'Master truck list'!E:M,9,0)</f>
        <v>BNK TRANSPORT INC</v>
      </c>
      <c r="F225" s="1" t="str">
        <f>VLOOKUP(C225,'Master truck list'!E:G,3,0)</f>
        <v>Company</v>
      </c>
      <c r="G225" s="1">
        <f>VLOOKUP(C225,'Master truck list'!E:R,14,0)</f>
        <v>2307</v>
      </c>
      <c r="H225" t="str">
        <f t="shared" si="96"/>
        <v>12/21/2019 7:00:28 AM</v>
      </c>
      <c r="I225" t="str">
        <f>""</f>
        <v/>
      </c>
      <c r="J225" t="str">
        <f t="shared" si="80"/>
        <v>Elite</v>
      </c>
      <c r="K225" t="str">
        <f t="shared" si="90"/>
        <v>Device</v>
      </c>
      <c r="L225" t="str">
        <f t="shared" si="91"/>
        <v>777173820</v>
      </c>
      <c r="M225" t="str">
        <f t="shared" si="92"/>
        <v>16483546</v>
      </c>
      <c r="N225" t="str">
        <f t="shared" si="93"/>
        <v>5043-20</v>
      </c>
      <c r="O225" t="str">
        <f t="shared" si="81"/>
        <v>TEXAS</v>
      </c>
      <c r="P225" t="str">
        <f t="shared" si="82"/>
        <v>N A</v>
      </c>
      <c r="Q225" t="str">
        <f t="shared" si="83"/>
        <v>N/A</v>
      </c>
      <c r="R225" t="str">
        <f>"130 MGCRP 11 305"</f>
        <v>130 MGCRP 11 305</v>
      </c>
      <c r="S225" t="str">
        <f>"12/20/2019 8:56:11 PM"</f>
        <v>12/20/2019 8:56:11 PM</v>
      </c>
      <c r="T225" t="str">
        <f t="shared" si="94"/>
        <v>5</v>
      </c>
      <c r="U225" t="str">
        <f t="shared" si="84"/>
        <v>N/A</v>
      </c>
      <c r="V225" t="str">
        <f>"5.5500"</f>
        <v>5.5500</v>
      </c>
    </row>
    <row r="226" spans="1:22" x14ac:dyDescent="0.25">
      <c r="A226" s="1" t="str">
        <f t="shared" si="79"/>
        <v>5043-</v>
      </c>
      <c r="B226" s="1" t="str">
        <f t="shared" si="85"/>
        <v>5043-</v>
      </c>
      <c r="C226" s="1" t="str">
        <f>VLOOKUP(B226,'Master truck list'!D:E,2,0)</f>
        <v>5043-20</v>
      </c>
      <c r="D226" s="1" t="str">
        <f>VLOOKUP(C226,'Master truck list'!E:F,2,0)</f>
        <v>ACTIVE</v>
      </c>
      <c r="E226" s="1" t="str">
        <f>VLOOKUP(C226,'Master truck list'!E:M,9,0)</f>
        <v>BNK TRANSPORT INC</v>
      </c>
      <c r="F226" s="1" t="str">
        <f>VLOOKUP(C226,'Master truck list'!E:G,3,0)</f>
        <v>Company</v>
      </c>
      <c r="G226" s="1">
        <f>VLOOKUP(C226,'Master truck list'!E:R,14,0)</f>
        <v>2307</v>
      </c>
      <c r="H226" t="str">
        <f t="shared" si="96"/>
        <v>12/21/2019 7:00:28 AM</v>
      </c>
      <c r="I226" t="str">
        <f>""</f>
        <v/>
      </c>
      <c r="J226" t="str">
        <f t="shared" si="80"/>
        <v>Elite</v>
      </c>
      <c r="K226" t="str">
        <f t="shared" si="90"/>
        <v>Device</v>
      </c>
      <c r="L226" t="str">
        <f t="shared" si="91"/>
        <v>777173820</v>
      </c>
      <c r="M226" t="str">
        <f t="shared" si="92"/>
        <v>16483546</v>
      </c>
      <c r="N226" t="str">
        <f t="shared" si="93"/>
        <v>5043-20</v>
      </c>
      <c r="O226" t="str">
        <f t="shared" si="81"/>
        <v>TEXAS</v>
      </c>
      <c r="P226" t="str">
        <f t="shared" si="82"/>
        <v>N A</v>
      </c>
      <c r="Q226" t="str">
        <f t="shared" si="83"/>
        <v>N/A</v>
      </c>
      <c r="R226" t="str">
        <f>"45SE MLPEB 02 611"</f>
        <v>45SE MLPEB 02 611</v>
      </c>
      <c r="S226" t="str">
        <f>"12/20/2019 8:17:05 PM"</f>
        <v>12/20/2019 8:17:05 PM</v>
      </c>
      <c r="T226" t="str">
        <f t="shared" si="94"/>
        <v>5</v>
      </c>
      <c r="U226" t="str">
        <f t="shared" si="84"/>
        <v>N/A</v>
      </c>
      <c r="V226" t="str">
        <f>"3.3000"</f>
        <v>3.3000</v>
      </c>
    </row>
    <row r="227" spans="1:22" x14ac:dyDescent="0.25">
      <c r="A227" s="1" t="str">
        <f t="shared" si="79"/>
        <v>5052-</v>
      </c>
      <c r="B227" s="1" t="str">
        <f t="shared" si="85"/>
        <v>5052-</v>
      </c>
      <c r="C227" s="1" t="str">
        <f>VLOOKUP(B227,'Master truck list'!D:E,2,0)</f>
        <v>5052-20</v>
      </c>
      <c r="D227" s="1" t="str">
        <f>VLOOKUP(C227,'Master truck list'!E:F,2,0)</f>
        <v>ACTIVE</v>
      </c>
      <c r="E227" s="1" t="str">
        <f>VLOOKUP(C227,'Master truck list'!E:M,9,0)</f>
        <v>BNK TRANSPORT INC</v>
      </c>
      <c r="F227" s="1" t="str">
        <f>VLOOKUP(C227,'Master truck list'!E:G,3,0)</f>
        <v>Company</v>
      </c>
      <c r="G227" s="1">
        <f>VLOOKUP(C227,'Master truck list'!E:R,14,0)</f>
        <v>2315</v>
      </c>
      <c r="H227" t="str">
        <f>"12/19/2019 7:00:35 AM"</f>
        <v>12/19/2019 7:00:35 AM</v>
      </c>
      <c r="I227" t="str">
        <f>""</f>
        <v/>
      </c>
      <c r="J227" t="str">
        <f t="shared" si="80"/>
        <v>Elite</v>
      </c>
      <c r="K227" t="str">
        <f t="shared" si="90"/>
        <v>Device</v>
      </c>
      <c r="L227" t="str">
        <f t="shared" ref="L227:L237" si="97">"777173815"</f>
        <v>777173815</v>
      </c>
      <c r="M227" t="str">
        <f t="shared" ref="M227:M237" si="98">"16483541"</f>
        <v>16483541</v>
      </c>
      <c r="N227" t="str">
        <f t="shared" ref="N227:N237" si="99">"5052-20"</f>
        <v>5052-20</v>
      </c>
      <c r="O227" t="str">
        <f t="shared" si="81"/>
        <v>TEXAS</v>
      </c>
      <c r="P227" t="str">
        <f t="shared" si="82"/>
        <v>N A</v>
      </c>
      <c r="Q227" t="str">
        <f t="shared" si="83"/>
        <v>N/A</v>
      </c>
      <c r="R227" t="str">
        <f>"130 BLUENP 01 4109"</f>
        <v>130 BLUENP 01 4109</v>
      </c>
      <c r="S227" t="str">
        <f>"12/17/2019 8:52:54 AM"</f>
        <v>12/17/2019 8:52:54 AM</v>
      </c>
      <c r="T227" t="str">
        <f>"15"</f>
        <v>15</v>
      </c>
      <c r="U227" t="str">
        <f t="shared" si="84"/>
        <v>N/A</v>
      </c>
      <c r="V227" t="str">
        <f>"20.4900"</f>
        <v>20.4900</v>
      </c>
    </row>
    <row r="228" spans="1:22" x14ac:dyDescent="0.25">
      <c r="A228" s="1" t="str">
        <f t="shared" si="79"/>
        <v>5052-</v>
      </c>
      <c r="B228" s="1" t="str">
        <f t="shared" si="85"/>
        <v>5052-</v>
      </c>
      <c r="C228" s="1" t="str">
        <f>VLOOKUP(B228,'Master truck list'!D:E,2,0)</f>
        <v>5052-20</v>
      </c>
      <c r="D228" s="1" t="str">
        <f>VLOOKUP(C228,'Master truck list'!E:F,2,0)</f>
        <v>ACTIVE</v>
      </c>
      <c r="E228" s="1" t="str">
        <f>VLOOKUP(C228,'Master truck list'!E:M,9,0)</f>
        <v>BNK TRANSPORT INC</v>
      </c>
      <c r="F228" s="1" t="str">
        <f>VLOOKUP(C228,'Master truck list'!E:G,3,0)</f>
        <v>Company</v>
      </c>
      <c r="G228" s="1">
        <f>VLOOKUP(C228,'Master truck list'!E:R,14,0)</f>
        <v>2315</v>
      </c>
      <c r="H228" t="str">
        <f>"12/19/2019 7:00:35 AM"</f>
        <v>12/19/2019 7:00:35 AM</v>
      </c>
      <c r="I228" t="str">
        <f>""</f>
        <v/>
      </c>
      <c r="J228" t="str">
        <f t="shared" si="80"/>
        <v>Elite</v>
      </c>
      <c r="K228" t="str">
        <f t="shared" si="90"/>
        <v>Device</v>
      </c>
      <c r="L228" t="str">
        <f t="shared" si="97"/>
        <v>777173815</v>
      </c>
      <c r="M228" t="str">
        <f t="shared" si="98"/>
        <v>16483541</v>
      </c>
      <c r="N228" t="str">
        <f t="shared" si="99"/>
        <v>5052-20</v>
      </c>
      <c r="O228" t="str">
        <f t="shared" si="81"/>
        <v>TEXAS</v>
      </c>
      <c r="P228" t="str">
        <f t="shared" si="82"/>
        <v>N A</v>
      </c>
      <c r="Q228" t="str">
        <f t="shared" si="83"/>
        <v>N/A</v>
      </c>
      <c r="R228" t="str">
        <f>"130 SKYNP 02 4103"</f>
        <v>130 SKYNP 02 4103</v>
      </c>
      <c r="S228" t="str">
        <f>"12/17/2019 9:06:33 AM"</f>
        <v>12/17/2019 9:06:33 AM</v>
      </c>
      <c r="T228" t="str">
        <f>"15"</f>
        <v>15</v>
      </c>
      <c r="U228" t="str">
        <f t="shared" si="84"/>
        <v>N/A</v>
      </c>
      <c r="V228" t="str">
        <f>"9.3800"</f>
        <v>9.3800</v>
      </c>
    </row>
    <row r="229" spans="1:22" x14ac:dyDescent="0.25">
      <c r="A229" s="1" t="str">
        <f t="shared" si="79"/>
        <v>5052-</v>
      </c>
      <c r="B229" s="1" t="str">
        <f t="shared" si="85"/>
        <v>5052-</v>
      </c>
      <c r="C229" s="1" t="str">
        <f>VLOOKUP(B229,'Master truck list'!D:E,2,0)</f>
        <v>5052-20</v>
      </c>
      <c r="D229" s="1" t="str">
        <f>VLOOKUP(C229,'Master truck list'!E:F,2,0)</f>
        <v>ACTIVE</v>
      </c>
      <c r="E229" s="1" t="str">
        <f>VLOOKUP(C229,'Master truck list'!E:M,9,0)</f>
        <v>BNK TRANSPORT INC</v>
      </c>
      <c r="F229" s="1" t="str">
        <f>VLOOKUP(C229,'Master truck list'!E:G,3,0)</f>
        <v>Company</v>
      </c>
      <c r="G229" s="1">
        <f>VLOOKUP(C229,'Master truck list'!E:R,14,0)</f>
        <v>2315</v>
      </c>
      <c r="H229" t="str">
        <f>"12/18/2019 7:00:28 AM"</f>
        <v>12/18/2019 7:00:28 AM</v>
      </c>
      <c r="I229" t="str">
        <f>""</f>
        <v/>
      </c>
      <c r="J229" t="str">
        <f t="shared" si="80"/>
        <v>Elite</v>
      </c>
      <c r="K229" t="str">
        <f t="shared" si="90"/>
        <v>Device</v>
      </c>
      <c r="L229" t="str">
        <f t="shared" si="97"/>
        <v>777173815</v>
      </c>
      <c r="M229" t="str">
        <f t="shared" si="98"/>
        <v>16483541</v>
      </c>
      <c r="N229" t="str">
        <f t="shared" si="99"/>
        <v>5052-20</v>
      </c>
      <c r="O229" t="str">
        <f t="shared" si="81"/>
        <v>TEXAS</v>
      </c>
      <c r="P229" t="str">
        <f t="shared" si="82"/>
        <v>N A</v>
      </c>
      <c r="Q229" t="str">
        <f t="shared" si="83"/>
        <v>N/A</v>
      </c>
      <c r="R229" t="str">
        <f>"130 DKCRP 11 307"</f>
        <v>130 DKCRP 11 307</v>
      </c>
      <c r="S229" t="str">
        <f>"12/17/2019 9:26:13 AM"</f>
        <v>12/17/2019 9:26:13 AM</v>
      </c>
      <c r="T229" t="str">
        <f t="shared" ref="T229:T238" si="100">"5"</f>
        <v>5</v>
      </c>
      <c r="U229" t="str">
        <f t="shared" si="84"/>
        <v>N/A</v>
      </c>
      <c r="V229" t="str">
        <f t="shared" ref="V229:V236" si="101">"5.5500"</f>
        <v>5.5500</v>
      </c>
    </row>
    <row r="230" spans="1:22" x14ac:dyDescent="0.25">
      <c r="A230" s="1" t="str">
        <f t="shared" si="79"/>
        <v>5052-</v>
      </c>
      <c r="B230" s="1" t="str">
        <f t="shared" si="85"/>
        <v>5052-</v>
      </c>
      <c r="C230" s="1" t="str">
        <f>VLOOKUP(B230,'Master truck list'!D:E,2,0)</f>
        <v>5052-20</v>
      </c>
      <c r="D230" s="1" t="str">
        <f>VLOOKUP(C230,'Master truck list'!E:F,2,0)</f>
        <v>ACTIVE</v>
      </c>
      <c r="E230" s="1" t="str">
        <f>VLOOKUP(C230,'Master truck list'!E:M,9,0)</f>
        <v>BNK TRANSPORT INC</v>
      </c>
      <c r="F230" s="1" t="str">
        <f>VLOOKUP(C230,'Master truck list'!E:G,3,0)</f>
        <v>Company</v>
      </c>
      <c r="G230" s="1">
        <f>VLOOKUP(C230,'Master truck list'!E:R,14,0)</f>
        <v>2315</v>
      </c>
      <c r="H230" t="str">
        <f>"12/18/2019 7:00:28 AM"</f>
        <v>12/18/2019 7:00:28 AM</v>
      </c>
      <c r="I230" t="str">
        <f>""</f>
        <v/>
      </c>
      <c r="J230" t="str">
        <f t="shared" si="80"/>
        <v>Elite</v>
      </c>
      <c r="K230" t="str">
        <f t="shared" si="90"/>
        <v>Device</v>
      </c>
      <c r="L230" t="str">
        <f t="shared" si="97"/>
        <v>777173815</v>
      </c>
      <c r="M230" t="str">
        <f t="shared" si="98"/>
        <v>16483541</v>
      </c>
      <c r="N230" t="str">
        <f t="shared" si="99"/>
        <v>5052-20</v>
      </c>
      <c r="O230" t="str">
        <f t="shared" si="81"/>
        <v>TEXAS</v>
      </c>
      <c r="P230" t="str">
        <f t="shared" si="82"/>
        <v>N A</v>
      </c>
      <c r="Q230" t="str">
        <f t="shared" si="83"/>
        <v>N/A</v>
      </c>
      <c r="R230" t="str">
        <f>"130 MGCRP 11 305"</f>
        <v>130 MGCRP 11 305</v>
      </c>
      <c r="S230" t="str">
        <f>"12/17/2019 9:48:00 AM"</f>
        <v>12/17/2019 9:48:00 AM</v>
      </c>
      <c r="T230" t="str">
        <f t="shared" si="100"/>
        <v>5</v>
      </c>
      <c r="U230" t="str">
        <f t="shared" si="84"/>
        <v>N/A</v>
      </c>
      <c r="V230" t="str">
        <f t="shared" si="101"/>
        <v>5.5500</v>
      </c>
    </row>
    <row r="231" spans="1:22" x14ac:dyDescent="0.25">
      <c r="A231" s="1" t="str">
        <f t="shared" si="79"/>
        <v>5052-</v>
      </c>
      <c r="B231" s="1" t="str">
        <f t="shared" si="85"/>
        <v>5052-</v>
      </c>
      <c r="C231" s="1" t="str">
        <f>VLOOKUP(B231,'Master truck list'!D:E,2,0)</f>
        <v>5052-20</v>
      </c>
      <c r="D231" s="1" t="str">
        <f>VLOOKUP(C231,'Master truck list'!E:F,2,0)</f>
        <v>ACTIVE</v>
      </c>
      <c r="E231" s="1" t="str">
        <f>VLOOKUP(C231,'Master truck list'!E:M,9,0)</f>
        <v>BNK TRANSPORT INC</v>
      </c>
      <c r="F231" s="1" t="str">
        <f>VLOOKUP(C231,'Master truck list'!E:G,3,0)</f>
        <v>Company</v>
      </c>
      <c r="G231" s="1">
        <f>VLOOKUP(C231,'Master truck list'!E:R,14,0)</f>
        <v>2315</v>
      </c>
      <c r="H231" t="str">
        <f>"12/18/2019 7:00:28 AM"</f>
        <v>12/18/2019 7:00:28 AM</v>
      </c>
      <c r="I231" t="str">
        <f>""</f>
        <v/>
      </c>
      <c r="J231" t="str">
        <f t="shared" si="80"/>
        <v>Elite</v>
      </c>
      <c r="K231" t="str">
        <f t="shared" si="90"/>
        <v>Device</v>
      </c>
      <c r="L231" t="str">
        <f t="shared" si="97"/>
        <v>777173815</v>
      </c>
      <c r="M231" t="str">
        <f t="shared" si="98"/>
        <v>16483541</v>
      </c>
      <c r="N231" t="str">
        <f t="shared" si="99"/>
        <v>5052-20</v>
      </c>
      <c r="O231" t="str">
        <f t="shared" si="81"/>
        <v>TEXAS</v>
      </c>
      <c r="P231" t="str">
        <f t="shared" si="82"/>
        <v>N A</v>
      </c>
      <c r="Q231" t="str">
        <f t="shared" si="83"/>
        <v>N/A</v>
      </c>
      <c r="R231" t="str">
        <f>"130 CMRNP 13 306"</f>
        <v>130 CMRNP 13 306</v>
      </c>
      <c r="S231" t="str">
        <f>"12/17/2019 9:36:37 AM"</f>
        <v>12/17/2019 9:36:37 AM</v>
      </c>
      <c r="T231" t="str">
        <f t="shared" si="100"/>
        <v>5</v>
      </c>
      <c r="U231" t="str">
        <f t="shared" si="84"/>
        <v>N/A</v>
      </c>
      <c r="V231" t="str">
        <f t="shared" si="101"/>
        <v>5.5500</v>
      </c>
    </row>
    <row r="232" spans="1:22" x14ac:dyDescent="0.25">
      <c r="A232" s="1" t="str">
        <f t="shared" si="79"/>
        <v>5052-</v>
      </c>
      <c r="B232" s="1" t="str">
        <f t="shared" si="85"/>
        <v>5052-</v>
      </c>
      <c r="C232" s="1" t="str">
        <f>VLOOKUP(B232,'Master truck list'!D:E,2,0)</f>
        <v>5052-20</v>
      </c>
      <c r="D232" s="1" t="str">
        <f>VLOOKUP(C232,'Master truck list'!E:F,2,0)</f>
        <v>ACTIVE</v>
      </c>
      <c r="E232" s="1" t="str">
        <f>VLOOKUP(C232,'Master truck list'!E:M,9,0)</f>
        <v>BNK TRANSPORT INC</v>
      </c>
      <c r="F232" s="1" t="str">
        <f>VLOOKUP(C232,'Master truck list'!E:G,3,0)</f>
        <v>Company</v>
      </c>
      <c r="G232" s="1">
        <f>VLOOKUP(C232,'Master truck list'!E:R,14,0)</f>
        <v>2315</v>
      </c>
      <c r="H232" t="str">
        <f>"12/18/2019 7:00:28 AM"</f>
        <v>12/18/2019 7:00:28 AM</v>
      </c>
      <c r="I232" t="str">
        <f>""</f>
        <v/>
      </c>
      <c r="J232" t="str">
        <f t="shared" si="80"/>
        <v>Elite</v>
      </c>
      <c r="K232" t="str">
        <f t="shared" si="90"/>
        <v>Device</v>
      </c>
      <c r="L232" t="str">
        <f t="shared" si="97"/>
        <v>777173815</v>
      </c>
      <c r="M232" t="str">
        <f t="shared" si="98"/>
        <v>16483541</v>
      </c>
      <c r="N232" t="str">
        <f t="shared" si="99"/>
        <v>5052-20</v>
      </c>
      <c r="O232" t="str">
        <f t="shared" si="81"/>
        <v>TEXAS</v>
      </c>
      <c r="P232" t="str">
        <f t="shared" si="82"/>
        <v>N A</v>
      </c>
      <c r="Q232" t="str">
        <f t="shared" si="83"/>
        <v>N/A</v>
      </c>
      <c r="R232" t="str">
        <f>"130 ARPTP 09 308"</f>
        <v>130 ARPTP 09 308</v>
      </c>
      <c r="S232" t="str">
        <f>"12/17/2019 9:19:02 AM"</f>
        <v>12/17/2019 9:19:02 AM</v>
      </c>
      <c r="T232" t="str">
        <f t="shared" si="100"/>
        <v>5</v>
      </c>
      <c r="U232" t="str">
        <f t="shared" si="84"/>
        <v>N/A</v>
      </c>
      <c r="V232" t="str">
        <f t="shared" si="101"/>
        <v>5.5500</v>
      </c>
    </row>
    <row r="233" spans="1:22" x14ac:dyDescent="0.25">
      <c r="A233" s="1" t="str">
        <f t="shared" si="79"/>
        <v>5052-</v>
      </c>
      <c r="B233" s="1" t="str">
        <f t="shared" si="85"/>
        <v>5052-</v>
      </c>
      <c r="C233" s="1" t="str">
        <f>VLOOKUP(B233,'Master truck list'!D:E,2,0)</f>
        <v>5052-20</v>
      </c>
      <c r="D233" s="1" t="str">
        <f>VLOOKUP(C233,'Master truck list'!E:F,2,0)</f>
        <v>ACTIVE</v>
      </c>
      <c r="E233" s="1" t="str">
        <f>VLOOKUP(C233,'Master truck list'!E:M,9,0)</f>
        <v>BNK TRANSPORT INC</v>
      </c>
      <c r="F233" s="1" t="str">
        <f>VLOOKUP(C233,'Master truck list'!E:G,3,0)</f>
        <v>Company</v>
      </c>
      <c r="G233" s="1">
        <f>VLOOKUP(C233,'Master truck list'!E:R,14,0)</f>
        <v>2315</v>
      </c>
      <c r="H233" t="str">
        <f>"12/17/2019 7:00:33 AM"</f>
        <v>12/17/2019 7:00:33 AM</v>
      </c>
      <c r="I233" t="str">
        <f>""</f>
        <v/>
      </c>
      <c r="J233" t="str">
        <f t="shared" si="80"/>
        <v>Elite</v>
      </c>
      <c r="K233" t="str">
        <f t="shared" si="90"/>
        <v>Device</v>
      </c>
      <c r="L233" t="str">
        <f t="shared" si="97"/>
        <v>777173815</v>
      </c>
      <c r="M233" t="str">
        <f t="shared" si="98"/>
        <v>16483541</v>
      </c>
      <c r="N233" t="str">
        <f t="shared" si="99"/>
        <v>5052-20</v>
      </c>
      <c r="O233" t="str">
        <f t="shared" si="81"/>
        <v>TEXAS</v>
      </c>
      <c r="P233" t="str">
        <f t="shared" si="82"/>
        <v>N A</v>
      </c>
      <c r="Q233" t="str">
        <f t="shared" si="83"/>
        <v>N/A</v>
      </c>
      <c r="R233" t="str">
        <f>"130 MGCRP 06 305"</f>
        <v>130 MGCRP 06 305</v>
      </c>
      <c r="S233" t="str">
        <f>"12/16/2019 8:02:03 AM"</f>
        <v>12/16/2019 8:02:03 AM</v>
      </c>
      <c r="T233" t="str">
        <f t="shared" si="100"/>
        <v>5</v>
      </c>
      <c r="U233" t="str">
        <f t="shared" si="84"/>
        <v>N/A</v>
      </c>
      <c r="V233" t="str">
        <f t="shared" si="101"/>
        <v>5.5500</v>
      </c>
    </row>
    <row r="234" spans="1:22" x14ac:dyDescent="0.25">
      <c r="A234" s="1" t="str">
        <f t="shared" si="79"/>
        <v>5052-</v>
      </c>
      <c r="B234" s="1" t="str">
        <f t="shared" si="85"/>
        <v>5052-</v>
      </c>
      <c r="C234" s="1" t="str">
        <f>VLOOKUP(B234,'Master truck list'!D:E,2,0)</f>
        <v>5052-20</v>
      </c>
      <c r="D234" s="1" t="str">
        <f>VLOOKUP(C234,'Master truck list'!E:F,2,0)</f>
        <v>ACTIVE</v>
      </c>
      <c r="E234" s="1" t="str">
        <f>VLOOKUP(C234,'Master truck list'!E:M,9,0)</f>
        <v>BNK TRANSPORT INC</v>
      </c>
      <c r="F234" s="1" t="str">
        <f>VLOOKUP(C234,'Master truck list'!E:G,3,0)</f>
        <v>Company</v>
      </c>
      <c r="G234" s="1">
        <f>VLOOKUP(C234,'Master truck list'!E:R,14,0)</f>
        <v>2315</v>
      </c>
      <c r="H234" t="str">
        <f>"12/17/2019 7:00:33 AM"</f>
        <v>12/17/2019 7:00:33 AM</v>
      </c>
      <c r="I234" t="str">
        <f>""</f>
        <v/>
      </c>
      <c r="J234" t="str">
        <f t="shared" si="80"/>
        <v>Elite</v>
      </c>
      <c r="K234" t="str">
        <f t="shared" si="90"/>
        <v>Device</v>
      </c>
      <c r="L234" t="str">
        <f t="shared" si="97"/>
        <v>777173815</v>
      </c>
      <c r="M234" t="str">
        <f t="shared" si="98"/>
        <v>16483541</v>
      </c>
      <c r="N234" t="str">
        <f t="shared" si="99"/>
        <v>5052-20</v>
      </c>
      <c r="O234" t="str">
        <f t="shared" si="81"/>
        <v>TEXAS</v>
      </c>
      <c r="P234" t="str">
        <f t="shared" si="82"/>
        <v>N A</v>
      </c>
      <c r="Q234" t="str">
        <f t="shared" si="83"/>
        <v>N/A</v>
      </c>
      <c r="R234" t="str">
        <f>"130 DKCRP 06 307"</f>
        <v>130 DKCRP 06 307</v>
      </c>
      <c r="S234" t="str">
        <f>"12/16/2019 8:23:42 AM"</f>
        <v>12/16/2019 8:23:42 AM</v>
      </c>
      <c r="T234" t="str">
        <f t="shared" si="100"/>
        <v>5</v>
      </c>
      <c r="U234" t="str">
        <f t="shared" si="84"/>
        <v>N/A</v>
      </c>
      <c r="V234" t="str">
        <f t="shared" si="101"/>
        <v>5.5500</v>
      </c>
    </row>
    <row r="235" spans="1:22" x14ac:dyDescent="0.25">
      <c r="A235" s="1" t="str">
        <f t="shared" si="79"/>
        <v>5052-</v>
      </c>
      <c r="B235" s="1" t="str">
        <f t="shared" si="85"/>
        <v>5052-</v>
      </c>
      <c r="C235" s="1" t="str">
        <f>VLOOKUP(B235,'Master truck list'!D:E,2,0)</f>
        <v>5052-20</v>
      </c>
      <c r="D235" s="1" t="str">
        <f>VLOOKUP(C235,'Master truck list'!E:F,2,0)</f>
        <v>ACTIVE</v>
      </c>
      <c r="E235" s="1" t="str">
        <f>VLOOKUP(C235,'Master truck list'!E:M,9,0)</f>
        <v>BNK TRANSPORT INC</v>
      </c>
      <c r="F235" s="1" t="str">
        <f>VLOOKUP(C235,'Master truck list'!E:G,3,0)</f>
        <v>Company</v>
      </c>
      <c r="G235" s="1">
        <f>VLOOKUP(C235,'Master truck list'!E:R,14,0)</f>
        <v>2315</v>
      </c>
      <c r="H235" t="str">
        <f>"12/17/2019 7:00:33 AM"</f>
        <v>12/17/2019 7:00:33 AM</v>
      </c>
      <c r="I235" t="str">
        <f>""</f>
        <v/>
      </c>
      <c r="J235" t="str">
        <f t="shared" si="80"/>
        <v>Elite</v>
      </c>
      <c r="K235" t="str">
        <f t="shared" si="90"/>
        <v>Device</v>
      </c>
      <c r="L235" t="str">
        <f t="shared" si="97"/>
        <v>777173815</v>
      </c>
      <c r="M235" t="str">
        <f t="shared" si="98"/>
        <v>16483541</v>
      </c>
      <c r="N235" t="str">
        <f t="shared" si="99"/>
        <v>5052-20</v>
      </c>
      <c r="O235" t="str">
        <f t="shared" si="81"/>
        <v>TEXAS</v>
      </c>
      <c r="P235" t="str">
        <f t="shared" si="82"/>
        <v>N A</v>
      </c>
      <c r="Q235" t="str">
        <f t="shared" si="83"/>
        <v>N/A</v>
      </c>
      <c r="R235" t="str">
        <f>"130 CMRNP 08 306"</f>
        <v>130 CMRNP 08 306</v>
      </c>
      <c r="S235" t="str">
        <f>"12/16/2019 8:13:28 AM"</f>
        <v>12/16/2019 8:13:28 AM</v>
      </c>
      <c r="T235" t="str">
        <f t="shared" si="100"/>
        <v>5</v>
      </c>
      <c r="U235" t="str">
        <f t="shared" si="84"/>
        <v>N/A</v>
      </c>
      <c r="V235" t="str">
        <f t="shared" si="101"/>
        <v>5.5500</v>
      </c>
    </row>
    <row r="236" spans="1:22" x14ac:dyDescent="0.25">
      <c r="A236" s="1" t="str">
        <f t="shared" si="79"/>
        <v>5052-</v>
      </c>
      <c r="B236" s="1" t="str">
        <f t="shared" si="85"/>
        <v>5052-</v>
      </c>
      <c r="C236" s="1" t="str">
        <f>VLOOKUP(B236,'Master truck list'!D:E,2,0)</f>
        <v>5052-20</v>
      </c>
      <c r="D236" s="1" t="str">
        <f>VLOOKUP(C236,'Master truck list'!E:F,2,0)</f>
        <v>ACTIVE</v>
      </c>
      <c r="E236" s="1" t="str">
        <f>VLOOKUP(C236,'Master truck list'!E:M,9,0)</f>
        <v>BNK TRANSPORT INC</v>
      </c>
      <c r="F236" s="1" t="str">
        <f>VLOOKUP(C236,'Master truck list'!E:G,3,0)</f>
        <v>Company</v>
      </c>
      <c r="G236" s="1">
        <f>VLOOKUP(C236,'Master truck list'!E:R,14,0)</f>
        <v>2315</v>
      </c>
      <c r="H236" t="str">
        <f>"12/17/2019 7:00:33 AM"</f>
        <v>12/17/2019 7:00:33 AM</v>
      </c>
      <c r="I236" t="str">
        <f>""</f>
        <v/>
      </c>
      <c r="J236" t="str">
        <f t="shared" si="80"/>
        <v>Elite</v>
      </c>
      <c r="K236" t="str">
        <f t="shared" si="90"/>
        <v>Device</v>
      </c>
      <c r="L236" t="str">
        <f t="shared" si="97"/>
        <v>777173815</v>
      </c>
      <c r="M236" t="str">
        <f t="shared" si="98"/>
        <v>16483541</v>
      </c>
      <c r="N236" t="str">
        <f t="shared" si="99"/>
        <v>5052-20</v>
      </c>
      <c r="O236" t="str">
        <f t="shared" si="81"/>
        <v>TEXAS</v>
      </c>
      <c r="P236" t="str">
        <f t="shared" si="82"/>
        <v>N A</v>
      </c>
      <c r="Q236" t="str">
        <f t="shared" si="83"/>
        <v>N/A</v>
      </c>
      <c r="R236" t="str">
        <f>"130 ARPTP 04 308"</f>
        <v>130 ARPTP 04 308</v>
      </c>
      <c r="S236" t="str">
        <f>"12/16/2019 8:30:54 AM"</f>
        <v>12/16/2019 8:30:54 AM</v>
      </c>
      <c r="T236" t="str">
        <f t="shared" si="100"/>
        <v>5</v>
      </c>
      <c r="U236" t="str">
        <f t="shared" si="84"/>
        <v>N/A</v>
      </c>
      <c r="V236" t="str">
        <f t="shared" si="101"/>
        <v>5.5500</v>
      </c>
    </row>
    <row r="237" spans="1:22" x14ac:dyDescent="0.25">
      <c r="A237" s="1" t="str">
        <f t="shared" si="79"/>
        <v>5052-</v>
      </c>
      <c r="B237" s="1" t="str">
        <f t="shared" si="85"/>
        <v>5052-</v>
      </c>
      <c r="C237" s="1" t="str">
        <f>VLOOKUP(B237,'Master truck list'!D:E,2,0)</f>
        <v>5052-20</v>
      </c>
      <c r="D237" s="1" t="str">
        <f>VLOOKUP(C237,'Master truck list'!E:F,2,0)</f>
        <v>ACTIVE</v>
      </c>
      <c r="E237" s="1" t="str">
        <f>VLOOKUP(C237,'Master truck list'!E:M,9,0)</f>
        <v>BNK TRANSPORT INC</v>
      </c>
      <c r="F237" s="1" t="str">
        <f>VLOOKUP(C237,'Master truck list'!E:G,3,0)</f>
        <v>Company</v>
      </c>
      <c r="G237" s="1">
        <f>VLOOKUP(C237,'Master truck list'!E:R,14,0)</f>
        <v>2315</v>
      </c>
      <c r="H237" t="str">
        <f>"12/17/2019 7:00:33 AM"</f>
        <v>12/17/2019 7:00:33 AM</v>
      </c>
      <c r="I237" t="str">
        <f>""</f>
        <v/>
      </c>
      <c r="J237" t="str">
        <f t="shared" si="80"/>
        <v>Elite</v>
      </c>
      <c r="K237" t="str">
        <f t="shared" si="90"/>
        <v>Device</v>
      </c>
      <c r="L237" t="str">
        <f t="shared" si="97"/>
        <v>777173815</v>
      </c>
      <c r="M237" t="str">
        <f t="shared" si="98"/>
        <v>16483541</v>
      </c>
      <c r="N237" t="str">
        <f t="shared" si="99"/>
        <v>5052-20</v>
      </c>
      <c r="O237" t="str">
        <f t="shared" si="81"/>
        <v>TEXAS</v>
      </c>
      <c r="P237" t="str">
        <f t="shared" si="82"/>
        <v>N A</v>
      </c>
      <c r="Q237" t="str">
        <f t="shared" si="83"/>
        <v>N/A</v>
      </c>
      <c r="R237" t="str">
        <f>"45SE MLPWB 01 611"</f>
        <v>45SE MLPWB 01 611</v>
      </c>
      <c r="S237" t="str">
        <f>"12/16/2019 8:41:43 AM"</f>
        <v>12/16/2019 8:41:43 AM</v>
      </c>
      <c r="T237" t="str">
        <f t="shared" si="100"/>
        <v>5</v>
      </c>
      <c r="U237" t="str">
        <f t="shared" si="84"/>
        <v>N/A</v>
      </c>
      <c r="V237" t="str">
        <f>"3.3000"</f>
        <v>3.3000</v>
      </c>
    </row>
    <row r="238" spans="1:22" x14ac:dyDescent="0.25">
      <c r="A238" s="1" t="str">
        <f t="shared" si="79"/>
        <v>5040-</v>
      </c>
      <c r="B238" s="1" t="str">
        <f t="shared" si="85"/>
        <v>5040-</v>
      </c>
      <c r="C238" s="1" t="str">
        <f>VLOOKUP(B238,'Master truck list'!D:E,2,0)</f>
        <v>5040-20</v>
      </c>
      <c r="D238" s="1" t="str">
        <f>VLOOKUP(C238,'Master truck list'!E:F,2,0)</f>
        <v>ACTIVE</v>
      </c>
      <c r="E238" s="1" t="str">
        <f>VLOOKUP(C238,'Master truck list'!E:M,9,0)</f>
        <v>BNK TRANSPORT INC</v>
      </c>
      <c r="F238" s="1" t="str">
        <f>VLOOKUP(C238,'Master truck list'!E:G,3,0)</f>
        <v>Company</v>
      </c>
      <c r="G238" s="1">
        <f>VLOOKUP(C238,'Master truck list'!E:R,14,0)</f>
        <v>2304</v>
      </c>
      <c r="H238" t="str">
        <f>"12/18/2019 7:00:28 AM"</f>
        <v>12/18/2019 7:00:28 AM</v>
      </c>
      <c r="I238" t="str">
        <f>""</f>
        <v/>
      </c>
      <c r="J238" t="str">
        <f t="shared" si="80"/>
        <v>Elite</v>
      </c>
      <c r="K238" t="str">
        <f t="shared" si="90"/>
        <v>Device</v>
      </c>
      <c r="L238" t="str">
        <f>"777173831"</f>
        <v>777173831</v>
      </c>
      <c r="M238" t="str">
        <f>"16483557"</f>
        <v>16483557</v>
      </c>
      <c r="N238" t="str">
        <f>"5040-20"</f>
        <v>5040-20</v>
      </c>
      <c r="O238" t="str">
        <f t="shared" si="81"/>
        <v>TEXAS</v>
      </c>
      <c r="P238" t="str">
        <f t="shared" si="82"/>
        <v>N A</v>
      </c>
      <c r="Q238" t="str">
        <f t="shared" si="83"/>
        <v>N/A</v>
      </c>
      <c r="R238" t="str">
        <f>"SH183 COCR 61 COCR"</f>
        <v>SH183 COCR 61 COCR</v>
      </c>
      <c r="S238" t="str">
        <f>"12/16/2019 2:36:16 PM"</f>
        <v>12/16/2019 2:36:16 PM</v>
      </c>
      <c r="T238" t="str">
        <f t="shared" si="100"/>
        <v>5</v>
      </c>
      <c r="U238" t="str">
        <f t="shared" si="84"/>
        <v>N/A</v>
      </c>
      <c r="V238" t="str">
        <f>"2.8400"</f>
        <v>2.8400</v>
      </c>
    </row>
    <row r="239" spans="1:22" x14ac:dyDescent="0.25">
      <c r="A239" s="1" t="str">
        <f t="shared" si="79"/>
        <v>5040-</v>
      </c>
      <c r="B239" s="1" t="str">
        <f t="shared" si="85"/>
        <v>5040-</v>
      </c>
      <c r="C239" s="1" t="str">
        <f>VLOOKUP(B239,'Master truck list'!D:E,2,0)</f>
        <v>5040-20</v>
      </c>
      <c r="D239" s="1" t="str">
        <f>VLOOKUP(C239,'Master truck list'!E:F,2,0)</f>
        <v>ACTIVE</v>
      </c>
      <c r="E239" s="1" t="str">
        <f>VLOOKUP(C239,'Master truck list'!E:M,9,0)</f>
        <v>BNK TRANSPORT INC</v>
      </c>
      <c r="F239" s="1" t="str">
        <f>VLOOKUP(C239,'Master truck list'!E:G,3,0)</f>
        <v>Company</v>
      </c>
      <c r="G239" s="1">
        <f>VLOOKUP(C239,'Master truck list'!E:R,14,0)</f>
        <v>2304</v>
      </c>
      <c r="H239" t="str">
        <f>"12/19/2019 7:00:35 AM"</f>
        <v>12/19/2019 7:00:35 AM</v>
      </c>
      <c r="I239" t="str">
        <f>""</f>
        <v/>
      </c>
      <c r="J239" t="str">
        <f t="shared" si="80"/>
        <v>Elite</v>
      </c>
      <c r="K239" t="str">
        <f t="shared" si="90"/>
        <v>Device</v>
      </c>
      <c r="L239" t="str">
        <f>"777173831"</f>
        <v>777173831</v>
      </c>
      <c r="M239" t="str">
        <f>"16483557"</f>
        <v>16483557</v>
      </c>
      <c r="N239" t="str">
        <f>"5040-20"</f>
        <v>5040-20</v>
      </c>
      <c r="O239" t="str">
        <f t="shared" si="81"/>
        <v>TEXAS</v>
      </c>
      <c r="P239" t="str">
        <f t="shared" si="82"/>
        <v>N A</v>
      </c>
      <c r="Q239" t="str">
        <f t="shared" si="83"/>
        <v>N/A</v>
      </c>
      <c r="R239" t="str">
        <f>"SH121 SH183W 16 SH18"</f>
        <v>SH121 SH183W 16 SH18</v>
      </c>
      <c r="S239" t="str">
        <f>"12/16/2019 4:20:24 PM"</f>
        <v>12/16/2019 4:20:24 PM</v>
      </c>
      <c r="T239" t="str">
        <f>"2"</f>
        <v>2</v>
      </c>
      <c r="U239" t="str">
        <f t="shared" si="84"/>
        <v>N/A</v>
      </c>
      <c r="V239" t="str">
        <f>"24.6000"</f>
        <v>24.6000</v>
      </c>
    </row>
    <row r="240" spans="1:22" x14ac:dyDescent="0.25">
      <c r="A240" s="1" t="str">
        <f t="shared" si="79"/>
        <v>5032-</v>
      </c>
      <c r="B240" s="1" t="str">
        <f t="shared" si="85"/>
        <v>5032-</v>
      </c>
      <c r="C240" s="1" t="str">
        <f>VLOOKUP(B240,'Master truck list'!D:E,2,0)</f>
        <v>5032-20</v>
      </c>
      <c r="D240" s="1" t="str">
        <f>VLOOKUP(C240,'Master truck list'!E:F,2,0)</f>
        <v>OUT OF SERVICE</v>
      </c>
      <c r="E240" s="1" t="str">
        <f>VLOOKUP(C240,'Master truck list'!E:M,9,0)</f>
        <v>BNK TRANSPORT INC</v>
      </c>
      <c r="F240" s="1" t="str">
        <f>VLOOKUP(C240,'Master truck list'!E:G,3,0)</f>
        <v>Company</v>
      </c>
      <c r="G240" s="1">
        <f>VLOOKUP(C240,'Master truck list'!E:R,14,0)</f>
        <v>2296</v>
      </c>
      <c r="H240" t="str">
        <f t="shared" ref="H240:H249" si="102">"12/18/2019 7:00:28 AM"</f>
        <v>12/18/2019 7:00:28 AM</v>
      </c>
      <c r="I240" t="str">
        <f>""</f>
        <v/>
      </c>
      <c r="J240" t="str">
        <f t="shared" si="80"/>
        <v>Elite</v>
      </c>
      <c r="K240" t="str">
        <f t="shared" si="90"/>
        <v>Device</v>
      </c>
      <c r="L240" t="str">
        <f t="shared" ref="L240:L259" si="103">"777173819"</f>
        <v>777173819</v>
      </c>
      <c r="M240" t="str">
        <f t="shared" ref="M240:M259" si="104">"16483545"</f>
        <v>16483545</v>
      </c>
      <c r="N240" t="str">
        <f t="shared" ref="N240:N259" si="105">"5032-20"</f>
        <v>5032-20</v>
      </c>
      <c r="O240" t="str">
        <f t="shared" si="81"/>
        <v>TEXAS</v>
      </c>
      <c r="P240" t="str">
        <f t="shared" si="82"/>
        <v>N A</v>
      </c>
      <c r="Q240" t="str">
        <f t="shared" si="83"/>
        <v>N/A</v>
      </c>
      <c r="R240" t="str">
        <f>"130 DKCRP 06 307"</f>
        <v>130 DKCRP 06 307</v>
      </c>
      <c r="S240" t="str">
        <f>"12/16/2019 10:26:08 PM"</f>
        <v>12/16/2019 10:26:08 PM</v>
      </c>
      <c r="T240" t="str">
        <f t="shared" ref="T240:T285" si="106">"5"</f>
        <v>5</v>
      </c>
      <c r="U240" t="str">
        <f t="shared" si="84"/>
        <v>N/A</v>
      </c>
      <c r="V240" t="str">
        <f>"5.5500"</f>
        <v>5.5500</v>
      </c>
    </row>
    <row r="241" spans="1:22" x14ac:dyDescent="0.25">
      <c r="A241" s="1" t="str">
        <f t="shared" si="79"/>
        <v>5032-</v>
      </c>
      <c r="B241" s="1" t="str">
        <f t="shared" si="85"/>
        <v>5032-</v>
      </c>
      <c r="C241" s="1" t="str">
        <f>VLOOKUP(B241,'Master truck list'!D:E,2,0)</f>
        <v>5032-20</v>
      </c>
      <c r="D241" s="1" t="str">
        <f>VLOOKUP(C241,'Master truck list'!E:F,2,0)</f>
        <v>OUT OF SERVICE</v>
      </c>
      <c r="E241" s="1" t="str">
        <f>VLOOKUP(C241,'Master truck list'!E:M,9,0)</f>
        <v>BNK TRANSPORT INC</v>
      </c>
      <c r="F241" s="1" t="str">
        <f>VLOOKUP(C241,'Master truck list'!E:G,3,0)</f>
        <v>Company</v>
      </c>
      <c r="G241" s="1">
        <f>VLOOKUP(C241,'Master truck list'!E:R,14,0)</f>
        <v>2296</v>
      </c>
      <c r="H241" t="str">
        <f t="shared" si="102"/>
        <v>12/18/2019 7:00:28 AM</v>
      </c>
      <c r="I241" t="str">
        <f>""</f>
        <v/>
      </c>
      <c r="J241" t="str">
        <f t="shared" si="80"/>
        <v>Elite</v>
      </c>
      <c r="K241" t="str">
        <f t="shared" si="90"/>
        <v>Device</v>
      </c>
      <c r="L241" t="str">
        <f t="shared" si="103"/>
        <v>777173819</v>
      </c>
      <c r="M241" t="str">
        <f t="shared" si="104"/>
        <v>16483545</v>
      </c>
      <c r="N241" t="str">
        <f t="shared" si="105"/>
        <v>5032-20</v>
      </c>
      <c r="O241" t="str">
        <f t="shared" si="81"/>
        <v>TEXAS</v>
      </c>
      <c r="P241" t="str">
        <f t="shared" si="82"/>
        <v>N A</v>
      </c>
      <c r="Q241" t="str">
        <f t="shared" si="83"/>
        <v>N/A</v>
      </c>
      <c r="R241" t="str">
        <f>"130 ARPTP 09 308"</f>
        <v>130 ARPTP 09 308</v>
      </c>
      <c r="S241" t="str">
        <f>"12/17/2019 5:20:43 PM"</f>
        <v>12/17/2019 5:20:43 PM</v>
      </c>
      <c r="T241" t="str">
        <f t="shared" si="106"/>
        <v>5</v>
      </c>
      <c r="U241" t="str">
        <f t="shared" si="84"/>
        <v>N/A</v>
      </c>
      <c r="V241" t="str">
        <f>"5.5500"</f>
        <v>5.5500</v>
      </c>
    </row>
    <row r="242" spans="1:22" x14ac:dyDescent="0.25">
      <c r="A242" s="1" t="str">
        <f t="shared" si="79"/>
        <v>5032-</v>
      </c>
      <c r="B242" s="1" t="str">
        <f t="shared" si="85"/>
        <v>5032-</v>
      </c>
      <c r="C242" s="1" t="str">
        <f>VLOOKUP(B242,'Master truck list'!D:E,2,0)</f>
        <v>5032-20</v>
      </c>
      <c r="D242" s="1" t="str">
        <f>VLOOKUP(C242,'Master truck list'!E:F,2,0)</f>
        <v>OUT OF SERVICE</v>
      </c>
      <c r="E242" s="1" t="str">
        <f>VLOOKUP(C242,'Master truck list'!E:M,9,0)</f>
        <v>BNK TRANSPORT INC</v>
      </c>
      <c r="F242" s="1" t="str">
        <f>VLOOKUP(C242,'Master truck list'!E:G,3,0)</f>
        <v>Company</v>
      </c>
      <c r="G242" s="1">
        <f>VLOOKUP(C242,'Master truck list'!E:R,14,0)</f>
        <v>2296</v>
      </c>
      <c r="H242" t="str">
        <f t="shared" si="102"/>
        <v>12/18/2019 7:00:28 AM</v>
      </c>
      <c r="I242" t="str">
        <f>""</f>
        <v/>
      </c>
      <c r="J242" t="str">
        <f t="shared" si="80"/>
        <v>Elite</v>
      </c>
      <c r="K242" t="str">
        <f t="shared" si="90"/>
        <v>Device</v>
      </c>
      <c r="L242" t="str">
        <f t="shared" si="103"/>
        <v>777173819</v>
      </c>
      <c r="M242" t="str">
        <f t="shared" si="104"/>
        <v>16483545</v>
      </c>
      <c r="N242" t="str">
        <f t="shared" si="105"/>
        <v>5032-20</v>
      </c>
      <c r="O242" t="str">
        <f t="shared" si="81"/>
        <v>TEXAS</v>
      </c>
      <c r="P242" t="str">
        <f t="shared" si="82"/>
        <v>N A</v>
      </c>
      <c r="Q242" t="str">
        <f t="shared" si="83"/>
        <v>N/A</v>
      </c>
      <c r="R242" t="str">
        <f>"130 CMRNP 13 306"</f>
        <v>130 CMRNP 13 306</v>
      </c>
      <c r="S242" t="str">
        <f>"12/17/2019 5:45:28 PM"</f>
        <v>12/17/2019 5:45:28 PM</v>
      </c>
      <c r="T242" t="str">
        <f t="shared" si="106"/>
        <v>5</v>
      </c>
      <c r="U242" t="str">
        <f t="shared" si="84"/>
        <v>N/A</v>
      </c>
      <c r="V242" t="str">
        <f>"5.5500"</f>
        <v>5.5500</v>
      </c>
    </row>
    <row r="243" spans="1:22" x14ac:dyDescent="0.25">
      <c r="A243" s="1" t="str">
        <f t="shared" si="79"/>
        <v>5032-</v>
      </c>
      <c r="B243" s="1" t="str">
        <f t="shared" si="85"/>
        <v>5032-</v>
      </c>
      <c r="C243" s="1" t="str">
        <f>VLOOKUP(B243,'Master truck list'!D:E,2,0)</f>
        <v>5032-20</v>
      </c>
      <c r="D243" s="1" t="str">
        <f>VLOOKUP(C243,'Master truck list'!E:F,2,0)</f>
        <v>OUT OF SERVICE</v>
      </c>
      <c r="E243" s="1" t="str">
        <f>VLOOKUP(C243,'Master truck list'!E:M,9,0)</f>
        <v>BNK TRANSPORT INC</v>
      </c>
      <c r="F243" s="1" t="str">
        <f>VLOOKUP(C243,'Master truck list'!E:G,3,0)</f>
        <v>Company</v>
      </c>
      <c r="G243" s="1">
        <f>VLOOKUP(C243,'Master truck list'!E:R,14,0)</f>
        <v>2296</v>
      </c>
      <c r="H243" t="str">
        <f t="shared" si="102"/>
        <v>12/18/2019 7:00:28 AM</v>
      </c>
      <c r="I243" t="str">
        <f>""</f>
        <v/>
      </c>
      <c r="J243" t="str">
        <f t="shared" si="80"/>
        <v>Elite</v>
      </c>
      <c r="K243" t="str">
        <f t="shared" si="90"/>
        <v>Device</v>
      </c>
      <c r="L243" t="str">
        <f t="shared" si="103"/>
        <v>777173819</v>
      </c>
      <c r="M243" t="str">
        <f t="shared" si="104"/>
        <v>16483545</v>
      </c>
      <c r="N243" t="str">
        <f t="shared" si="105"/>
        <v>5032-20</v>
      </c>
      <c r="O243" t="str">
        <f t="shared" si="81"/>
        <v>TEXAS</v>
      </c>
      <c r="P243" t="str">
        <f t="shared" si="82"/>
        <v>N A</v>
      </c>
      <c r="Q243" t="str">
        <f t="shared" si="83"/>
        <v>N/A</v>
      </c>
      <c r="R243" t="str">
        <f>"130 MGCRP 06 305"</f>
        <v>130 MGCRP 06 305</v>
      </c>
      <c r="S243" t="str">
        <f>"12/16/2019 10:05:09 PM"</f>
        <v>12/16/2019 10:05:09 PM</v>
      </c>
      <c r="T243" t="str">
        <f t="shared" si="106"/>
        <v>5</v>
      </c>
      <c r="U243" t="str">
        <f t="shared" si="84"/>
        <v>N/A</v>
      </c>
      <c r="V243" t="str">
        <f>"5.5500"</f>
        <v>5.5500</v>
      </c>
    </row>
    <row r="244" spans="1:22" x14ac:dyDescent="0.25">
      <c r="A244" s="1" t="str">
        <f t="shared" si="79"/>
        <v>5032-</v>
      </c>
      <c r="B244" s="1" t="str">
        <f t="shared" si="85"/>
        <v>5032-</v>
      </c>
      <c r="C244" s="1" t="str">
        <f>VLOOKUP(B244,'Master truck list'!D:E,2,0)</f>
        <v>5032-20</v>
      </c>
      <c r="D244" s="1" t="str">
        <f>VLOOKUP(C244,'Master truck list'!E:F,2,0)</f>
        <v>OUT OF SERVICE</v>
      </c>
      <c r="E244" s="1" t="str">
        <f>VLOOKUP(C244,'Master truck list'!E:M,9,0)</f>
        <v>BNK TRANSPORT INC</v>
      </c>
      <c r="F244" s="1" t="str">
        <f>VLOOKUP(C244,'Master truck list'!E:G,3,0)</f>
        <v>Company</v>
      </c>
      <c r="G244" s="1">
        <f>VLOOKUP(C244,'Master truck list'!E:R,14,0)</f>
        <v>2296</v>
      </c>
      <c r="H244" t="str">
        <f t="shared" si="102"/>
        <v>12/18/2019 7:00:28 AM</v>
      </c>
      <c r="I244" t="str">
        <f>""</f>
        <v/>
      </c>
      <c r="J244" t="str">
        <f t="shared" si="80"/>
        <v>Elite</v>
      </c>
      <c r="K244" t="str">
        <f t="shared" si="90"/>
        <v>Device</v>
      </c>
      <c r="L244" t="str">
        <f t="shared" si="103"/>
        <v>777173819</v>
      </c>
      <c r="M244" t="str">
        <f t="shared" si="104"/>
        <v>16483545</v>
      </c>
      <c r="N244" t="str">
        <f t="shared" si="105"/>
        <v>5032-20</v>
      </c>
      <c r="O244" t="str">
        <f t="shared" si="81"/>
        <v>TEXAS</v>
      </c>
      <c r="P244" t="str">
        <f t="shared" si="82"/>
        <v>N A</v>
      </c>
      <c r="Q244" t="str">
        <f t="shared" si="83"/>
        <v>N/A</v>
      </c>
      <c r="R244" t="str">
        <f>"45SE MLPWB 01 611"</f>
        <v>45SE MLPWB 01 611</v>
      </c>
      <c r="S244" t="str">
        <f>"12/16/2019 10:46:08 PM"</f>
        <v>12/16/2019 10:46:08 PM</v>
      </c>
      <c r="T244" t="str">
        <f t="shared" si="106"/>
        <v>5</v>
      </c>
      <c r="U244" t="str">
        <f t="shared" si="84"/>
        <v>N/A</v>
      </c>
      <c r="V244" t="str">
        <f>"3.3000"</f>
        <v>3.3000</v>
      </c>
    </row>
    <row r="245" spans="1:22" x14ac:dyDescent="0.25">
      <c r="A245" s="1" t="str">
        <f t="shared" si="79"/>
        <v>5032-</v>
      </c>
      <c r="B245" s="1" t="str">
        <f t="shared" si="85"/>
        <v>5032-</v>
      </c>
      <c r="C245" s="1" t="str">
        <f>VLOOKUP(B245,'Master truck list'!D:E,2,0)</f>
        <v>5032-20</v>
      </c>
      <c r="D245" s="1" t="str">
        <f>VLOOKUP(C245,'Master truck list'!E:F,2,0)</f>
        <v>OUT OF SERVICE</v>
      </c>
      <c r="E245" s="1" t="str">
        <f>VLOOKUP(C245,'Master truck list'!E:M,9,0)</f>
        <v>BNK TRANSPORT INC</v>
      </c>
      <c r="F245" s="1" t="str">
        <f>VLOOKUP(C245,'Master truck list'!E:G,3,0)</f>
        <v>Company</v>
      </c>
      <c r="G245" s="1">
        <f>VLOOKUP(C245,'Master truck list'!E:R,14,0)</f>
        <v>2296</v>
      </c>
      <c r="H245" t="str">
        <f t="shared" si="102"/>
        <v>12/18/2019 7:00:28 AM</v>
      </c>
      <c r="I245" t="str">
        <f>""</f>
        <v/>
      </c>
      <c r="J245" t="str">
        <f t="shared" si="80"/>
        <v>Elite</v>
      </c>
      <c r="K245" t="str">
        <f t="shared" si="90"/>
        <v>Device</v>
      </c>
      <c r="L245" t="str">
        <f t="shared" si="103"/>
        <v>777173819</v>
      </c>
      <c r="M245" t="str">
        <f t="shared" si="104"/>
        <v>16483545</v>
      </c>
      <c r="N245" t="str">
        <f t="shared" si="105"/>
        <v>5032-20</v>
      </c>
      <c r="O245" t="str">
        <f t="shared" si="81"/>
        <v>TEXAS</v>
      </c>
      <c r="P245" t="str">
        <f t="shared" si="82"/>
        <v>N A</v>
      </c>
      <c r="Q245" t="str">
        <f t="shared" si="83"/>
        <v>N/A</v>
      </c>
      <c r="R245" t="str">
        <f>"130 ARPTP 04 308"</f>
        <v>130 ARPTP 04 308</v>
      </c>
      <c r="S245" t="str">
        <f>"12/16/2019 10:33:05 PM"</f>
        <v>12/16/2019 10:33:05 PM</v>
      </c>
      <c r="T245" t="str">
        <f t="shared" si="106"/>
        <v>5</v>
      </c>
      <c r="U245" t="str">
        <f t="shared" si="84"/>
        <v>N/A</v>
      </c>
      <c r="V245" t="str">
        <f>"5.5500"</f>
        <v>5.5500</v>
      </c>
    </row>
    <row r="246" spans="1:22" x14ac:dyDescent="0.25">
      <c r="A246" s="1" t="str">
        <f t="shared" si="79"/>
        <v>5032-</v>
      </c>
      <c r="B246" s="1" t="str">
        <f t="shared" si="85"/>
        <v>5032-</v>
      </c>
      <c r="C246" s="1" t="str">
        <f>VLOOKUP(B246,'Master truck list'!D:E,2,0)</f>
        <v>5032-20</v>
      </c>
      <c r="D246" s="1" t="str">
        <f>VLOOKUP(C246,'Master truck list'!E:F,2,0)</f>
        <v>OUT OF SERVICE</v>
      </c>
      <c r="E246" s="1" t="str">
        <f>VLOOKUP(C246,'Master truck list'!E:M,9,0)</f>
        <v>BNK TRANSPORT INC</v>
      </c>
      <c r="F246" s="1" t="str">
        <f>VLOOKUP(C246,'Master truck list'!E:G,3,0)</f>
        <v>Company</v>
      </c>
      <c r="G246" s="1">
        <f>VLOOKUP(C246,'Master truck list'!E:R,14,0)</f>
        <v>2296</v>
      </c>
      <c r="H246" t="str">
        <f t="shared" si="102"/>
        <v>12/18/2019 7:00:28 AM</v>
      </c>
      <c r="I246" t="str">
        <f>""</f>
        <v/>
      </c>
      <c r="J246" t="str">
        <f t="shared" si="80"/>
        <v>Elite</v>
      </c>
      <c r="K246" t="str">
        <f t="shared" si="90"/>
        <v>Device</v>
      </c>
      <c r="L246" t="str">
        <f t="shared" si="103"/>
        <v>777173819</v>
      </c>
      <c r="M246" t="str">
        <f t="shared" si="104"/>
        <v>16483545</v>
      </c>
      <c r="N246" t="str">
        <f t="shared" si="105"/>
        <v>5032-20</v>
      </c>
      <c r="O246" t="str">
        <f t="shared" si="81"/>
        <v>TEXAS</v>
      </c>
      <c r="P246" t="str">
        <f t="shared" si="82"/>
        <v>N A</v>
      </c>
      <c r="Q246" t="str">
        <f t="shared" si="83"/>
        <v>N/A</v>
      </c>
      <c r="R246" t="str">
        <f>"130 CMRNP 08 306"</f>
        <v>130 CMRNP 08 306</v>
      </c>
      <c r="S246" t="str">
        <f>"12/16/2019 10:16:09 PM"</f>
        <v>12/16/2019 10:16:09 PM</v>
      </c>
      <c r="T246" t="str">
        <f t="shared" si="106"/>
        <v>5</v>
      </c>
      <c r="U246" t="str">
        <f t="shared" si="84"/>
        <v>N/A</v>
      </c>
      <c r="V246" t="str">
        <f>"5.5500"</f>
        <v>5.5500</v>
      </c>
    </row>
    <row r="247" spans="1:22" x14ac:dyDescent="0.25">
      <c r="A247" s="1" t="str">
        <f t="shared" si="79"/>
        <v>5032-</v>
      </c>
      <c r="B247" s="1" t="str">
        <f t="shared" si="85"/>
        <v>5032-</v>
      </c>
      <c r="C247" s="1" t="str">
        <f>VLOOKUP(B247,'Master truck list'!D:E,2,0)</f>
        <v>5032-20</v>
      </c>
      <c r="D247" s="1" t="str">
        <f>VLOOKUP(C247,'Master truck list'!E:F,2,0)</f>
        <v>OUT OF SERVICE</v>
      </c>
      <c r="E247" s="1" t="str">
        <f>VLOOKUP(C247,'Master truck list'!E:M,9,0)</f>
        <v>BNK TRANSPORT INC</v>
      </c>
      <c r="F247" s="1" t="str">
        <f>VLOOKUP(C247,'Master truck list'!E:G,3,0)</f>
        <v>Company</v>
      </c>
      <c r="G247" s="1">
        <f>VLOOKUP(C247,'Master truck list'!E:R,14,0)</f>
        <v>2296</v>
      </c>
      <c r="H247" t="str">
        <f t="shared" si="102"/>
        <v>12/18/2019 7:00:28 AM</v>
      </c>
      <c r="I247" t="str">
        <f>""</f>
        <v/>
      </c>
      <c r="J247" t="str">
        <f t="shared" si="80"/>
        <v>Elite</v>
      </c>
      <c r="K247" t="str">
        <f t="shared" si="90"/>
        <v>Device</v>
      </c>
      <c r="L247" t="str">
        <f t="shared" si="103"/>
        <v>777173819</v>
      </c>
      <c r="M247" t="str">
        <f t="shared" si="104"/>
        <v>16483545</v>
      </c>
      <c r="N247" t="str">
        <f t="shared" si="105"/>
        <v>5032-20</v>
      </c>
      <c r="O247" t="str">
        <f t="shared" si="81"/>
        <v>TEXAS</v>
      </c>
      <c r="P247" t="str">
        <f t="shared" si="82"/>
        <v>N A</v>
      </c>
      <c r="Q247" t="str">
        <f t="shared" si="83"/>
        <v>N/A</v>
      </c>
      <c r="R247" t="str">
        <f>"130 MGCRP 11 305"</f>
        <v>130 MGCRP 11 305</v>
      </c>
      <c r="S247" t="str">
        <f>"12/17/2019 5:56:26 PM"</f>
        <v>12/17/2019 5:56:26 PM</v>
      </c>
      <c r="T247" t="str">
        <f t="shared" si="106"/>
        <v>5</v>
      </c>
      <c r="U247" t="str">
        <f t="shared" si="84"/>
        <v>N/A</v>
      </c>
      <c r="V247" t="str">
        <f>"5.5500"</f>
        <v>5.5500</v>
      </c>
    </row>
    <row r="248" spans="1:22" x14ac:dyDescent="0.25">
      <c r="A248" s="1" t="str">
        <f t="shared" si="79"/>
        <v>5032-</v>
      </c>
      <c r="B248" s="1" t="str">
        <f t="shared" si="85"/>
        <v>5032-</v>
      </c>
      <c r="C248" s="1" t="str">
        <f>VLOOKUP(B248,'Master truck list'!D:E,2,0)</f>
        <v>5032-20</v>
      </c>
      <c r="D248" s="1" t="str">
        <f>VLOOKUP(C248,'Master truck list'!E:F,2,0)</f>
        <v>OUT OF SERVICE</v>
      </c>
      <c r="E248" s="1" t="str">
        <f>VLOOKUP(C248,'Master truck list'!E:M,9,0)</f>
        <v>BNK TRANSPORT INC</v>
      </c>
      <c r="F248" s="1" t="str">
        <f>VLOOKUP(C248,'Master truck list'!E:G,3,0)</f>
        <v>Company</v>
      </c>
      <c r="G248" s="1">
        <f>VLOOKUP(C248,'Master truck list'!E:R,14,0)</f>
        <v>2296</v>
      </c>
      <c r="H248" t="str">
        <f t="shared" si="102"/>
        <v>12/18/2019 7:00:28 AM</v>
      </c>
      <c r="I248" t="str">
        <f>""</f>
        <v/>
      </c>
      <c r="J248" t="str">
        <f t="shared" si="80"/>
        <v>Elite</v>
      </c>
      <c r="K248" t="str">
        <f t="shared" si="90"/>
        <v>Device</v>
      </c>
      <c r="L248" t="str">
        <f t="shared" si="103"/>
        <v>777173819</v>
      </c>
      <c r="M248" t="str">
        <f t="shared" si="104"/>
        <v>16483545</v>
      </c>
      <c r="N248" t="str">
        <f t="shared" si="105"/>
        <v>5032-20</v>
      </c>
      <c r="O248" t="str">
        <f t="shared" si="81"/>
        <v>TEXAS</v>
      </c>
      <c r="P248" t="str">
        <f t="shared" si="82"/>
        <v>N A</v>
      </c>
      <c r="Q248" t="str">
        <f t="shared" si="83"/>
        <v>N/A</v>
      </c>
      <c r="R248" t="str">
        <f>"130 DKCRP 11 307"</f>
        <v>130 DKCRP 11 307</v>
      </c>
      <c r="S248" t="str">
        <f>"12/17/2019 5:28:43 PM"</f>
        <v>12/17/2019 5:28:43 PM</v>
      </c>
      <c r="T248" t="str">
        <f t="shared" si="106"/>
        <v>5</v>
      </c>
      <c r="U248" t="str">
        <f t="shared" si="84"/>
        <v>N/A</v>
      </c>
      <c r="V248" t="str">
        <f>"5.5500"</f>
        <v>5.5500</v>
      </c>
    </row>
    <row r="249" spans="1:22" x14ac:dyDescent="0.25">
      <c r="A249" s="1" t="str">
        <f t="shared" si="79"/>
        <v>5032-</v>
      </c>
      <c r="B249" s="1" t="str">
        <f t="shared" si="85"/>
        <v>5032-</v>
      </c>
      <c r="C249" s="1" t="str">
        <f>VLOOKUP(B249,'Master truck list'!D:E,2,0)</f>
        <v>5032-20</v>
      </c>
      <c r="D249" s="1" t="str">
        <f>VLOOKUP(C249,'Master truck list'!E:F,2,0)</f>
        <v>OUT OF SERVICE</v>
      </c>
      <c r="E249" s="1" t="str">
        <f>VLOOKUP(C249,'Master truck list'!E:M,9,0)</f>
        <v>BNK TRANSPORT INC</v>
      </c>
      <c r="F249" s="1" t="str">
        <f>VLOOKUP(C249,'Master truck list'!E:G,3,0)</f>
        <v>Company</v>
      </c>
      <c r="G249" s="1">
        <f>VLOOKUP(C249,'Master truck list'!E:R,14,0)</f>
        <v>2296</v>
      </c>
      <c r="H249" t="str">
        <f t="shared" si="102"/>
        <v>12/18/2019 7:00:28 AM</v>
      </c>
      <c r="I249" t="str">
        <f>""</f>
        <v/>
      </c>
      <c r="J249" t="str">
        <f t="shared" si="80"/>
        <v>Elite</v>
      </c>
      <c r="K249" t="str">
        <f t="shared" si="90"/>
        <v>Device</v>
      </c>
      <c r="L249" t="str">
        <f t="shared" si="103"/>
        <v>777173819</v>
      </c>
      <c r="M249" t="str">
        <f t="shared" si="104"/>
        <v>16483545</v>
      </c>
      <c r="N249" t="str">
        <f t="shared" si="105"/>
        <v>5032-20</v>
      </c>
      <c r="O249" t="str">
        <f t="shared" si="81"/>
        <v>TEXAS</v>
      </c>
      <c r="P249" t="str">
        <f t="shared" si="82"/>
        <v>N A</v>
      </c>
      <c r="Q249" t="str">
        <f t="shared" si="83"/>
        <v>N/A</v>
      </c>
      <c r="R249" t="str">
        <f>"45SE MLPEB 02 611"</f>
        <v>45SE MLPEB 02 611</v>
      </c>
      <c r="S249" t="str">
        <f>"12/17/2019 5:10:07 PM"</f>
        <v>12/17/2019 5:10:07 PM</v>
      </c>
      <c r="T249" t="str">
        <f t="shared" si="106"/>
        <v>5</v>
      </c>
      <c r="U249" t="str">
        <f t="shared" si="84"/>
        <v>N/A</v>
      </c>
      <c r="V249" t="str">
        <f>"3.3000"</f>
        <v>3.3000</v>
      </c>
    </row>
    <row r="250" spans="1:22" x14ac:dyDescent="0.25">
      <c r="A250" s="1" t="str">
        <f t="shared" si="79"/>
        <v>5032-</v>
      </c>
      <c r="B250" s="1" t="str">
        <f t="shared" si="85"/>
        <v>5032-</v>
      </c>
      <c r="C250" s="1" t="str">
        <f>VLOOKUP(B250,'Master truck list'!D:E,2,0)</f>
        <v>5032-20</v>
      </c>
      <c r="D250" s="1" t="str">
        <f>VLOOKUP(C250,'Master truck list'!E:F,2,0)</f>
        <v>OUT OF SERVICE</v>
      </c>
      <c r="E250" s="1" t="str">
        <f>VLOOKUP(C250,'Master truck list'!E:M,9,0)</f>
        <v>BNK TRANSPORT INC</v>
      </c>
      <c r="F250" s="1" t="str">
        <f>VLOOKUP(C250,'Master truck list'!E:G,3,0)</f>
        <v>Company</v>
      </c>
      <c r="G250" s="1">
        <f>VLOOKUP(C250,'Master truck list'!E:R,14,0)</f>
        <v>2296</v>
      </c>
      <c r="H250" t="str">
        <f>"12/21/2019 7:00:28 AM"</f>
        <v>12/21/2019 7:00:28 AM</v>
      </c>
      <c r="I250" t="str">
        <f>""</f>
        <v/>
      </c>
      <c r="J250" t="str">
        <f t="shared" si="80"/>
        <v>Elite</v>
      </c>
      <c r="K250" t="str">
        <f t="shared" si="90"/>
        <v>Device</v>
      </c>
      <c r="L250" t="str">
        <f t="shared" si="103"/>
        <v>777173819</v>
      </c>
      <c r="M250" t="str">
        <f t="shared" si="104"/>
        <v>16483545</v>
      </c>
      <c r="N250" t="str">
        <f t="shared" si="105"/>
        <v>5032-20</v>
      </c>
      <c r="O250" t="str">
        <f t="shared" si="81"/>
        <v>TEXAS</v>
      </c>
      <c r="P250" t="str">
        <f t="shared" si="82"/>
        <v>N A</v>
      </c>
      <c r="Q250" t="str">
        <f t="shared" si="83"/>
        <v>N/A</v>
      </c>
      <c r="R250" t="str">
        <f>"130 ARPTP 09 308"</f>
        <v>130 ARPTP 09 308</v>
      </c>
      <c r="S250" t="str">
        <f>"12/20/2019 3:43:52 PM"</f>
        <v>12/20/2019 3:43:52 PM</v>
      </c>
      <c r="T250" t="str">
        <f t="shared" si="106"/>
        <v>5</v>
      </c>
      <c r="U250" t="str">
        <f t="shared" si="84"/>
        <v>N/A</v>
      </c>
      <c r="V250" t="str">
        <f>"5.5500"</f>
        <v>5.5500</v>
      </c>
    </row>
    <row r="251" spans="1:22" x14ac:dyDescent="0.25">
      <c r="A251" s="1" t="str">
        <f t="shared" si="79"/>
        <v>5032-</v>
      </c>
      <c r="B251" s="1" t="str">
        <f t="shared" si="85"/>
        <v>5032-</v>
      </c>
      <c r="C251" s="1" t="str">
        <f>VLOOKUP(B251,'Master truck list'!D:E,2,0)</f>
        <v>5032-20</v>
      </c>
      <c r="D251" s="1" t="str">
        <f>VLOOKUP(C251,'Master truck list'!E:F,2,0)</f>
        <v>OUT OF SERVICE</v>
      </c>
      <c r="E251" s="1" t="str">
        <f>VLOOKUP(C251,'Master truck list'!E:M,9,0)</f>
        <v>BNK TRANSPORT INC</v>
      </c>
      <c r="F251" s="1" t="str">
        <f>VLOOKUP(C251,'Master truck list'!E:G,3,0)</f>
        <v>Company</v>
      </c>
      <c r="G251" s="1">
        <f>VLOOKUP(C251,'Master truck list'!E:R,14,0)</f>
        <v>2296</v>
      </c>
      <c r="H251" t="str">
        <f>"12/21/2019 7:00:28 AM"</f>
        <v>12/21/2019 7:00:28 AM</v>
      </c>
      <c r="I251" t="str">
        <f>""</f>
        <v/>
      </c>
      <c r="J251" t="str">
        <f t="shared" si="80"/>
        <v>Elite</v>
      </c>
      <c r="K251" t="str">
        <f t="shared" si="90"/>
        <v>Device</v>
      </c>
      <c r="L251" t="str">
        <f t="shared" si="103"/>
        <v>777173819</v>
      </c>
      <c r="M251" t="str">
        <f t="shared" si="104"/>
        <v>16483545</v>
      </c>
      <c r="N251" t="str">
        <f t="shared" si="105"/>
        <v>5032-20</v>
      </c>
      <c r="O251" t="str">
        <f t="shared" si="81"/>
        <v>TEXAS</v>
      </c>
      <c r="P251" t="str">
        <f t="shared" si="82"/>
        <v>N A</v>
      </c>
      <c r="Q251" t="str">
        <f t="shared" si="83"/>
        <v>N/A</v>
      </c>
      <c r="R251" t="str">
        <f>"130 CMRNP 13 306"</f>
        <v>130 CMRNP 13 306</v>
      </c>
      <c r="S251" t="str">
        <f>"12/20/2019 4:12:06 PM"</f>
        <v>12/20/2019 4:12:06 PM</v>
      </c>
      <c r="T251" t="str">
        <f t="shared" si="106"/>
        <v>5</v>
      </c>
      <c r="U251" t="str">
        <f t="shared" si="84"/>
        <v>N/A</v>
      </c>
      <c r="V251" t="str">
        <f>"5.5500"</f>
        <v>5.5500</v>
      </c>
    </row>
    <row r="252" spans="1:22" x14ac:dyDescent="0.25">
      <c r="A252" s="1" t="str">
        <f t="shared" si="79"/>
        <v>5032-</v>
      </c>
      <c r="B252" s="1" t="str">
        <f t="shared" si="85"/>
        <v>5032-</v>
      </c>
      <c r="C252" s="1" t="str">
        <f>VLOOKUP(B252,'Master truck list'!D:E,2,0)</f>
        <v>5032-20</v>
      </c>
      <c r="D252" s="1" t="str">
        <f>VLOOKUP(C252,'Master truck list'!E:F,2,0)</f>
        <v>OUT OF SERVICE</v>
      </c>
      <c r="E252" s="1" t="str">
        <f>VLOOKUP(C252,'Master truck list'!E:M,9,0)</f>
        <v>BNK TRANSPORT INC</v>
      </c>
      <c r="F252" s="1" t="str">
        <f>VLOOKUP(C252,'Master truck list'!E:G,3,0)</f>
        <v>Company</v>
      </c>
      <c r="G252" s="1">
        <f>VLOOKUP(C252,'Master truck list'!E:R,14,0)</f>
        <v>2296</v>
      </c>
      <c r="H252" t="str">
        <f>"12/21/2019 7:00:28 AM"</f>
        <v>12/21/2019 7:00:28 AM</v>
      </c>
      <c r="I252" t="str">
        <f>""</f>
        <v/>
      </c>
      <c r="J252" t="str">
        <f t="shared" si="80"/>
        <v>Elite</v>
      </c>
      <c r="K252" t="str">
        <f t="shared" si="90"/>
        <v>Device</v>
      </c>
      <c r="L252" t="str">
        <f t="shared" si="103"/>
        <v>777173819</v>
      </c>
      <c r="M252" t="str">
        <f t="shared" si="104"/>
        <v>16483545</v>
      </c>
      <c r="N252" t="str">
        <f t="shared" si="105"/>
        <v>5032-20</v>
      </c>
      <c r="O252" t="str">
        <f t="shared" si="81"/>
        <v>TEXAS</v>
      </c>
      <c r="P252" t="str">
        <f t="shared" si="82"/>
        <v>N A</v>
      </c>
      <c r="Q252" t="str">
        <f t="shared" si="83"/>
        <v>N/A</v>
      </c>
      <c r="R252" t="str">
        <f>"130 DKCRP 10 307"</f>
        <v>130 DKCRP 10 307</v>
      </c>
      <c r="S252" t="str">
        <f>"12/20/2019 3:52:16 PM"</f>
        <v>12/20/2019 3:52:16 PM</v>
      </c>
      <c r="T252" t="str">
        <f t="shared" si="106"/>
        <v>5</v>
      </c>
      <c r="U252" t="str">
        <f t="shared" si="84"/>
        <v>N/A</v>
      </c>
      <c r="V252" t="str">
        <f>"5.5500"</f>
        <v>5.5500</v>
      </c>
    </row>
    <row r="253" spans="1:22" x14ac:dyDescent="0.25">
      <c r="A253" s="1" t="str">
        <f t="shared" si="79"/>
        <v>5032-</v>
      </c>
      <c r="B253" s="1" t="str">
        <f t="shared" si="85"/>
        <v>5032-</v>
      </c>
      <c r="C253" s="1" t="str">
        <f>VLOOKUP(B253,'Master truck list'!D:E,2,0)</f>
        <v>5032-20</v>
      </c>
      <c r="D253" s="1" t="str">
        <f>VLOOKUP(C253,'Master truck list'!E:F,2,0)</f>
        <v>OUT OF SERVICE</v>
      </c>
      <c r="E253" s="1" t="str">
        <f>VLOOKUP(C253,'Master truck list'!E:M,9,0)</f>
        <v>BNK TRANSPORT INC</v>
      </c>
      <c r="F253" s="1" t="str">
        <f>VLOOKUP(C253,'Master truck list'!E:G,3,0)</f>
        <v>Company</v>
      </c>
      <c r="G253" s="1">
        <f>VLOOKUP(C253,'Master truck list'!E:R,14,0)</f>
        <v>2296</v>
      </c>
      <c r="H253" t="str">
        <f>"12/20/2019 7:00:30 AM"</f>
        <v>12/20/2019 7:00:30 AM</v>
      </c>
      <c r="I253" t="str">
        <f>""</f>
        <v/>
      </c>
      <c r="J253" t="str">
        <f t="shared" si="80"/>
        <v>Elite</v>
      </c>
      <c r="K253" t="str">
        <f t="shared" si="90"/>
        <v>Device</v>
      </c>
      <c r="L253" t="str">
        <f t="shared" si="103"/>
        <v>777173819</v>
      </c>
      <c r="M253" t="str">
        <f t="shared" si="104"/>
        <v>16483545</v>
      </c>
      <c r="N253" t="str">
        <f t="shared" si="105"/>
        <v>5032-20</v>
      </c>
      <c r="O253" t="str">
        <f t="shared" si="81"/>
        <v>TEXAS</v>
      </c>
      <c r="P253" t="str">
        <f t="shared" si="82"/>
        <v>N A</v>
      </c>
      <c r="Q253" t="str">
        <f t="shared" si="83"/>
        <v>N/A</v>
      </c>
      <c r="R253" t="str">
        <f>"130 DKCRP 06 307"</f>
        <v>130 DKCRP 06 307</v>
      </c>
      <c r="S253" t="str">
        <f>"12/19/2019 5:36:25 PM"</f>
        <v>12/19/2019 5:36:25 PM</v>
      </c>
      <c r="T253" t="str">
        <f t="shared" si="106"/>
        <v>5</v>
      </c>
      <c r="U253" t="str">
        <f t="shared" si="84"/>
        <v>N/A</v>
      </c>
      <c r="V253" t="str">
        <f>"5.5500"</f>
        <v>5.5500</v>
      </c>
    </row>
    <row r="254" spans="1:22" x14ac:dyDescent="0.25">
      <c r="A254" s="1" t="str">
        <f t="shared" si="79"/>
        <v>5032-</v>
      </c>
      <c r="B254" s="1" t="str">
        <f t="shared" si="85"/>
        <v>5032-</v>
      </c>
      <c r="C254" s="1" t="str">
        <f>VLOOKUP(B254,'Master truck list'!D:E,2,0)</f>
        <v>5032-20</v>
      </c>
      <c r="D254" s="1" t="str">
        <f>VLOOKUP(C254,'Master truck list'!E:F,2,0)</f>
        <v>OUT OF SERVICE</v>
      </c>
      <c r="E254" s="1" t="str">
        <f>VLOOKUP(C254,'Master truck list'!E:M,9,0)</f>
        <v>BNK TRANSPORT INC</v>
      </c>
      <c r="F254" s="1" t="str">
        <f>VLOOKUP(C254,'Master truck list'!E:G,3,0)</f>
        <v>Company</v>
      </c>
      <c r="G254" s="1">
        <f>VLOOKUP(C254,'Master truck list'!E:R,14,0)</f>
        <v>2296</v>
      </c>
      <c r="H254" t="str">
        <f>"12/20/2019 7:00:30 AM"</f>
        <v>12/20/2019 7:00:30 AM</v>
      </c>
      <c r="I254" t="str">
        <f>""</f>
        <v/>
      </c>
      <c r="J254" t="str">
        <f t="shared" si="80"/>
        <v>Elite</v>
      </c>
      <c r="K254" t="str">
        <f t="shared" si="90"/>
        <v>Device</v>
      </c>
      <c r="L254" t="str">
        <f t="shared" si="103"/>
        <v>777173819</v>
      </c>
      <c r="M254" t="str">
        <f t="shared" si="104"/>
        <v>16483545</v>
      </c>
      <c r="N254" t="str">
        <f t="shared" si="105"/>
        <v>5032-20</v>
      </c>
      <c r="O254" t="str">
        <f t="shared" si="81"/>
        <v>TEXAS</v>
      </c>
      <c r="P254" t="str">
        <f t="shared" si="82"/>
        <v>N A</v>
      </c>
      <c r="Q254" t="str">
        <f t="shared" si="83"/>
        <v>N/A</v>
      </c>
      <c r="R254" t="str">
        <f>"130 MGCRP 06 305"</f>
        <v>130 MGCRP 06 305</v>
      </c>
      <c r="S254" t="str">
        <f>"12/19/2019 4:58:16 PM"</f>
        <v>12/19/2019 4:58:16 PM</v>
      </c>
      <c r="T254" t="str">
        <f t="shared" si="106"/>
        <v>5</v>
      </c>
      <c r="U254" t="str">
        <f t="shared" si="84"/>
        <v>N/A</v>
      </c>
      <c r="V254" t="str">
        <f>"5.5500"</f>
        <v>5.5500</v>
      </c>
    </row>
    <row r="255" spans="1:22" x14ac:dyDescent="0.25">
      <c r="A255" s="1" t="str">
        <f t="shared" si="79"/>
        <v>5032-</v>
      </c>
      <c r="B255" s="1" t="str">
        <f t="shared" si="85"/>
        <v>5032-</v>
      </c>
      <c r="C255" s="1" t="str">
        <f>VLOOKUP(B255,'Master truck list'!D:E,2,0)</f>
        <v>5032-20</v>
      </c>
      <c r="D255" s="1" t="str">
        <f>VLOOKUP(C255,'Master truck list'!E:F,2,0)</f>
        <v>OUT OF SERVICE</v>
      </c>
      <c r="E255" s="1" t="str">
        <f>VLOOKUP(C255,'Master truck list'!E:M,9,0)</f>
        <v>BNK TRANSPORT INC</v>
      </c>
      <c r="F255" s="1" t="str">
        <f>VLOOKUP(C255,'Master truck list'!E:G,3,0)</f>
        <v>Company</v>
      </c>
      <c r="G255" s="1">
        <f>VLOOKUP(C255,'Master truck list'!E:R,14,0)</f>
        <v>2296</v>
      </c>
      <c r="H255" t="str">
        <f>"12/20/2019 7:00:30 AM"</f>
        <v>12/20/2019 7:00:30 AM</v>
      </c>
      <c r="I255" t="str">
        <f>""</f>
        <v/>
      </c>
      <c r="J255" t="str">
        <f t="shared" si="80"/>
        <v>Elite</v>
      </c>
      <c r="K255" t="str">
        <f t="shared" si="90"/>
        <v>Device</v>
      </c>
      <c r="L255" t="str">
        <f t="shared" si="103"/>
        <v>777173819</v>
      </c>
      <c r="M255" t="str">
        <f t="shared" si="104"/>
        <v>16483545</v>
      </c>
      <c r="N255" t="str">
        <f t="shared" si="105"/>
        <v>5032-20</v>
      </c>
      <c r="O255" t="str">
        <f t="shared" si="81"/>
        <v>TEXAS</v>
      </c>
      <c r="P255" t="str">
        <f t="shared" si="82"/>
        <v>N A</v>
      </c>
      <c r="Q255" t="str">
        <f t="shared" si="83"/>
        <v>N/A</v>
      </c>
      <c r="R255" t="str">
        <f>"45SE MLPWB 01 611"</f>
        <v>45SE MLPWB 01 611</v>
      </c>
      <c r="S255" t="str">
        <f>"12/19/2019 5:57:33 PM"</f>
        <v>12/19/2019 5:57:33 PM</v>
      </c>
      <c r="T255" t="str">
        <f t="shared" si="106"/>
        <v>5</v>
      </c>
      <c r="U255" t="str">
        <f t="shared" si="84"/>
        <v>N/A</v>
      </c>
      <c r="V255" t="str">
        <f>"3.3000"</f>
        <v>3.3000</v>
      </c>
    </row>
    <row r="256" spans="1:22" x14ac:dyDescent="0.25">
      <c r="A256" s="1" t="str">
        <f t="shared" si="79"/>
        <v>5032-</v>
      </c>
      <c r="B256" s="1" t="str">
        <f t="shared" si="85"/>
        <v>5032-</v>
      </c>
      <c r="C256" s="1" t="str">
        <f>VLOOKUP(B256,'Master truck list'!D:E,2,0)</f>
        <v>5032-20</v>
      </c>
      <c r="D256" s="1" t="str">
        <f>VLOOKUP(C256,'Master truck list'!E:F,2,0)</f>
        <v>OUT OF SERVICE</v>
      </c>
      <c r="E256" s="1" t="str">
        <f>VLOOKUP(C256,'Master truck list'!E:M,9,0)</f>
        <v>BNK TRANSPORT INC</v>
      </c>
      <c r="F256" s="1" t="str">
        <f>VLOOKUP(C256,'Master truck list'!E:G,3,0)</f>
        <v>Company</v>
      </c>
      <c r="G256" s="1">
        <f>VLOOKUP(C256,'Master truck list'!E:R,14,0)</f>
        <v>2296</v>
      </c>
      <c r="H256" t="str">
        <f>"12/20/2019 7:00:30 AM"</f>
        <v>12/20/2019 7:00:30 AM</v>
      </c>
      <c r="I256" t="str">
        <f>""</f>
        <v/>
      </c>
      <c r="J256" t="str">
        <f t="shared" si="80"/>
        <v>Elite</v>
      </c>
      <c r="K256" t="str">
        <f t="shared" si="90"/>
        <v>Device</v>
      </c>
      <c r="L256" t="str">
        <f t="shared" si="103"/>
        <v>777173819</v>
      </c>
      <c r="M256" t="str">
        <f t="shared" si="104"/>
        <v>16483545</v>
      </c>
      <c r="N256" t="str">
        <f t="shared" si="105"/>
        <v>5032-20</v>
      </c>
      <c r="O256" t="str">
        <f t="shared" si="81"/>
        <v>TEXAS</v>
      </c>
      <c r="P256" t="str">
        <f t="shared" si="82"/>
        <v>N A</v>
      </c>
      <c r="Q256" t="str">
        <f t="shared" si="83"/>
        <v>N/A</v>
      </c>
      <c r="R256" t="str">
        <f>"130 CMRNP 08 306"</f>
        <v>130 CMRNP 08 306</v>
      </c>
      <c r="S256" t="str">
        <f>"12/19/2019 5:09:23 PM"</f>
        <v>12/19/2019 5:09:23 PM</v>
      </c>
      <c r="T256" t="str">
        <f t="shared" si="106"/>
        <v>5</v>
      </c>
      <c r="U256" t="str">
        <f t="shared" si="84"/>
        <v>N/A</v>
      </c>
      <c r="V256" t="str">
        <f>"5.5500"</f>
        <v>5.5500</v>
      </c>
    </row>
    <row r="257" spans="1:22" x14ac:dyDescent="0.25">
      <c r="A257" s="1" t="str">
        <f t="shared" si="79"/>
        <v>5032-</v>
      </c>
      <c r="B257" s="1" t="str">
        <f t="shared" si="85"/>
        <v>5032-</v>
      </c>
      <c r="C257" s="1" t="str">
        <f>VLOOKUP(B257,'Master truck list'!D:E,2,0)</f>
        <v>5032-20</v>
      </c>
      <c r="D257" s="1" t="str">
        <f>VLOOKUP(C257,'Master truck list'!E:F,2,0)</f>
        <v>OUT OF SERVICE</v>
      </c>
      <c r="E257" s="1" t="str">
        <f>VLOOKUP(C257,'Master truck list'!E:M,9,0)</f>
        <v>BNK TRANSPORT INC</v>
      </c>
      <c r="F257" s="1" t="str">
        <f>VLOOKUP(C257,'Master truck list'!E:G,3,0)</f>
        <v>Company</v>
      </c>
      <c r="G257" s="1">
        <f>VLOOKUP(C257,'Master truck list'!E:R,14,0)</f>
        <v>2296</v>
      </c>
      <c r="H257" t="str">
        <f>"12/20/2019 7:00:30 AM"</f>
        <v>12/20/2019 7:00:30 AM</v>
      </c>
      <c r="I257" t="str">
        <f>""</f>
        <v/>
      </c>
      <c r="J257" t="str">
        <f t="shared" si="80"/>
        <v>Elite</v>
      </c>
      <c r="K257" t="str">
        <f t="shared" si="90"/>
        <v>Device</v>
      </c>
      <c r="L257" t="str">
        <f t="shared" si="103"/>
        <v>777173819</v>
      </c>
      <c r="M257" t="str">
        <f t="shared" si="104"/>
        <v>16483545</v>
      </c>
      <c r="N257" t="str">
        <f t="shared" si="105"/>
        <v>5032-20</v>
      </c>
      <c r="O257" t="str">
        <f t="shared" si="81"/>
        <v>TEXAS</v>
      </c>
      <c r="P257" t="str">
        <f t="shared" si="82"/>
        <v>N A</v>
      </c>
      <c r="Q257" t="str">
        <f t="shared" si="83"/>
        <v>N/A</v>
      </c>
      <c r="R257" t="str">
        <f>"130 ARPTP 05 308"</f>
        <v>130 ARPTP 05 308</v>
      </c>
      <c r="S257" t="str">
        <f>"12/19/2019 5:47:01 PM"</f>
        <v>12/19/2019 5:47:01 PM</v>
      </c>
      <c r="T257" t="str">
        <f t="shared" si="106"/>
        <v>5</v>
      </c>
      <c r="U257" t="str">
        <f t="shared" si="84"/>
        <v>N/A</v>
      </c>
      <c r="V257" t="str">
        <f>"5.5500"</f>
        <v>5.5500</v>
      </c>
    </row>
    <row r="258" spans="1:22" x14ac:dyDescent="0.25">
      <c r="A258" s="1" t="str">
        <f t="shared" ref="A258:A321" si="107">LEFT(N258,5)</f>
        <v>5032-</v>
      </c>
      <c r="B258" s="1" t="str">
        <f t="shared" si="85"/>
        <v>5032-</v>
      </c>
      <c r="C258" s="1" t="str">
        <f>VLOOKUP(B258,'Master truck list'!D:E,2,0)</f>
        <v>5032-20</v>
      </c>
      <c r="D258" s="1" t="str">
        <f>VLOOKUP(C258,'Master truck list'!E:F,2,0)</f>
        <v>OUT OF SERVICE</v>
      </c>
      <c r="E258" s="1" t="str">
        <f>VLOOKUP(C258,'Master truck list'!E:M,9,0)</f>
        <v>BNK TRANSPORT INC</v>
      </c>
      <c r="F258" s="1" t="str">
        <f>VLOOKUP(C258,'Master truck list'!E:G,3,0)</f>
        <v>Company</v>
      </c>
      <c r="G258" s="1">
        <f>VLOOKUP(C258,'Master truck list'!E:R,14,0)</f>
        <v>2296</v>
      </c>
      <c r="H258" t="str">
        <f t="shared" ref="H258:H264" si="108">"12/21/2019 7:00:28 AM"</f>
        <v>12/21/2019 7:00:28 AM</v>
      </c>
      <c r="I258" t="str">
        <f>""</f>
        <v/>
      </c>
      <c r="J258" t="str">
        <f t="shared" ref="J258:J321" si="109">"Elite"</f>
        <v>Elite</v>
      </c>
      <c r="K258" t="str">
        <f t="shared" si="90"/>
        <v>Device</v>
      </c>
      <c r="L258" t="str">
        <f t="shared" si="103"/>
        <v>777173819</v>
      </c>
      <c r="M258" t="str">
        <f t="shared" si="104"/>
        <v>16483545</v>
      </c>
      <c r="N258" t="str">
        <f t="shared" si="105"/>
        <v>5032-20</v>
      </c>
      <c r="O258" t="str">
        <f t="shared" ref="O258:O321" si="110">"TEXAS"</f>
        <v>TEXAS</v>
      </c>
      <c r="P258" t="str">
        <f t="shared" ref="P258:P321" si="111">"N A"</f>
        <v>N A</v>
      </c>
      <c r="Q258" t="str">
        <f t="shared" ref="Q258:Q321" si="112">"N/A"</f>
        <v>N/A</v>
      </c>
      <c r="R258" t="str">
        <f>"130 MGCRP 11 305"</f>
        <v>130 MGCRP 11 305</v>
      </c>
      <c r="S258" t="str">
        <f>"12/20/2019 4:23:31 PM"</f>
        <v>12/20/2019 4:23:31 PM</v>
      </c>
      <c r="T258" t="str">
        <f t="shared" si="106"/>
        <v>5</v>
      </c>
      <c r="U258" t="str">
        <f t="shared" ref="U258:U321" si="113">"N/A"</f>
        <v>N/A</v>
      </c>
      <c r="V258" t="str">
        <f>"5.5500"</f>
        <v>5.5500</v>
      </c>
    </row>
    <row r="259" spans="1:22" x14ac:dyDescent="0.25">
      <c r="A259" s="1" t="str">
        <f t="shared" si="107"/>
        <v>5032-</v>
      </c>
      <c r="B259" s="1" t="str">
        <f t="shared" ref="B259:B322" si="114">SUBSTITUTE(A259," ","")</f>
        <v>5032-</v>
      </c>
      <c r="C259" s="1" t="str">
        <f>VLOOKUP(B259,'Master truck list'!D:E,2,0)</f>
        <v>5032-20</v>
      </c>
      <c r="D259" s="1" t="str">
        <f>VLOOKUP(C259,'Master truck list'!E:F,2,0)</f>
        <v>OUT OF SERVICE</v>
      </c>
      <c r="E259" s="1" t="str">
        <f>VLOOKUP(C259,'Master truck list'!E:M,9,0)</f>
        <v>BNK TRANSPORT INC</v>
      </c>
      <c r="F259" s="1" t="str">
        <f>VLOOKUP(C259,'Master truck list'!E:G,3,0)</f>
        <v>Company</v>
      </c>
      <c r="G259" s="1">
        <f>VLOOKUP(C259,'Master truck list'!E:R,14,0)</f>
        <v>2296</v>
      </c>
      <c r="H259" t="str">
        <f t="shared" si="108"/>
        <v>12/21/2019 7:00:28 AM</v>
      </c>
      <c r="I259" t="str">
        <f>""</f>
        <v/>
      </c>
      <c r="J259" t="str">
        <f t="shared" si="109"/>
        <v>Elite</v>
      </c>
      <c r="K259" t="str">
        <f t="shared" si="90"/>
        <v>Device</v>
      </c>
      <c r="L259" t="str">
        <f t="shared" si="103"/>
        <v>777173819</v>
      </c>
      <c r="M259" t="str">
        <f t="shared" si="104"/>
        <v>16483545</v>
      </c>
      <c r="N259" t="str">
        <f t="shared" si="105"/>
        <v>5032-20</v>
      </c>
      <c r="O259" t="str">
        <f t="shared" si="110"/>
        <v>TEXAS</v>
      </c>
      <c r="P259" t="str">
        <f t="shared" si="111"/>
        <v>N A</v>
      </c>
      <c r="Q259" t="str">
        <f t="shared" si="112"/>
        <v>N/A</v>
      </c>
      <c r="R259" t="str">
        <f>"45SE MLPEB 02 611"</f>
        <v>45SE MLPEB 02 611</v>
      </c>
      <c r="S259" t="str">
        <f>"12/20/2019 3:33:16 PM"</f>
        <v>12/20/2019 3:33:16 PM</v>
      </c>
      <c r="T259" t="str">
        <f t="shared" si="106"/>
        <v>5</v>
      </c>
      <c r="U259" t="str">
        <f t="shared" si="113"/>
        <v>N/A</v>
      </c>
      <c r="V259" t="str">
        <f>"3.3000"</f>
        <v>3.3000</v>
      </c>
    </row>
    <row r="260" spans="1:22" x14ac:dyDescent="0.25">
      <c r="A260" s="1" t="str">
        <f t="shared" si="107"/>
        <v>5048-</v>
      </c>
      <c r="B260" s="1" t="str">
        <f t="shared" si="114"/>
        <v>5048-</v>
      </c>
      <c r="C260" s="1" t="str">
        <f>VLOOKUP(B260,'Master truck list'!D:E,2,0)</f>
        <v>5048-20</v>
      </c>
      <c r="D260" s="1" t="str">
        <f>VLOOKUP(C260,'Master truck list'!E:F,2,0)</f>
        <v>ACTIVE</v>
      </c>
      <c r="E260" s="1" t="str">
        <f>VLOOKUP(C260,'Master truck list'!E:M,9,0)</f>
        <v>BNK TRANSPORT INC</v>
      </c>
      <c r="F260" s="1" t="str">
        <f>VLOOKUP(C260,'Master truck list'!E:G,3,0)</f>
        <v>Company</v>
      </c>
      <c r="G260" s="1">
        <f>VLOOKUP(C260,'Master truck list'!E:R,14,0)</f>
        <v>2312</v>
      </c>
      <c r="H260" t="str">
        <f t="shared" si="108"/>
        <v>12/21/2019 7:00:28 AM</v>
      </c>
      <c r="I260" t="str">
        <f>""</f>
        <v/>
      </c>
      <c r="J260" t="str">
        <f t="shared" si="109"/>
        <v>Elite</v>
      </c>
      <c r="K260" t="str">
        <f t="shared" si="90"/>
        <v>Device</v>
      </c>
      <c r="L260" t="str">
        <f t="shared" ref="L260:L269" si="115">"777173779"</f>
        <v>777173779</v>
      </c>
      <c r="M260" t="str">
        <f t="shared" ref="M260:M269" si="116">"16483505"</f>
        <v>16483505</v>
      </c>
      <c r="N260" t="str">
        <f t="shared" ref="N260:N269" si="117">"5048-20"</f>
        <v>5048-20</v>
      </c>
      <c r="O260" t="str">
        <f t="shared" si="110"/>
        <v>TEXAS</v>
      </c>
      <c r="P260" t="str">
        <f t="shared" si="111"/>
        <v>N A</v>
      </c>
      <c r="Q260" t="str">
        <f t="shared" si="112"/>
        <v>N/A</v>
      </c>
      <c r="R260" t="str">
        <f>"45SE MLPEB 02 611"</f>
        <v>45SE MLPEB 02 611</v>
      </c>
      <c r="S260" t="str">
        <f>"12/20/2019 6:13:47 AM"</f>
        <v>12/20/2019 6:13:47 AM</v>
      </c>
      <c r="T260" t="str">
        <f t="shared" si="106"/>
        <v>5</v>
      </c>
      <c r="U260" t="str">
        <f t="shared" si="113"/>
        <v>N/A</v>
      </c>
      <c r="V260" t="str">
        <f>"3.3000"</f>
        <v>3.3000</v>
      </c>
    </row>
    <row r="261" spans="1:22" x14ac:dyDescent="0.25">
      <c r="A261" s="1" t="str">
        <f t="shared" si="107"/>
        <v>5048-</v>
      </c>
      <c r="B261" s="1" t="str">
        <f t="shared" si="114"/>
        <v>5048-</v>
      </c>
      <c r="C261" s="1" t="str">
        <f>VLOOKUP(B261,'Master truck list'!D:E,2,0)</f>
        <v>5048-20</v>
      </c>
      <c r="D261" s="1" t="str">
        <f>VLOOKUP(C261,'Master truck list'!E:F,2,0)</f>
        <v>ACTIVE</v>
      </c>
      <c r="E261" s="1" t="str">
        <f>VLOOKUP(C261,'Master truck list'!E:M,9,0)</f>
        <v>BNK TRANSPORT INC</v>
      </c>
      <c r="F261" s="1" t="str">
        <f>VLOOKUP(C261,'Master truck list'!E:G,3,0)</f>
        <v>Company</v>
      </c>
      <c r="G261" s="1">
        <f>VLOOKUP(C261,'Master truck list'!E:R,14,0)</f>
        <v>2312</v>
      </c>
      <c r="H261" t="str">
        <f t="shared" si="108"/>
        <v>12/21/2019 7:00:28 AM</v>
      </c>
      <c r="I261" t="str">
        <f>""</f>
        <v/>
      </c>
      <c r="J261" t="str">
        <f t="shared" si="109"/>
        <v>Elite</v>
      </c>
      <c r="K261" t="str">
        <f t="shared" si="90"/>
        <v>Device</v>
      </c>
      <c r="L261" t="str">
        <f t="shared" si="115"/>
        <v>777173779</v>
      </c>
      <c r="M261" t="str">
        <f t="shared" si="116"/>
        <v>16483505</v>
      </c>
      <c r="N261" t="str">
        <f t="shared" si="117"/>
        <v>5048-20</v>
      </c>
      <c r="O261" t="str">
        <f t="shared" si="110"/>
        <v>TEXAS</v>
      </c>
      <c r="P261" t="str">
        <f t="shared" si="111"/>
        <v>N A</v>
      </c>
      <c r="Q261" t="str">
        <f t="shared" si="112"/>
        <v>N/A</v>
      </c>
      <c r="R261" t="str">
        <f>"130 MGCRP 11 305"</f>
        <v>130 MGCRP 11 305</v>
      </c>
      <c r="S261" t="str">
        <f>"12/20/2019 6:52:21 AM"</f>
        <v>12/20/2019 6:52:21 AM</v>
      </c>
      <c r="T261" t="str">
        <f t="shared" si="106"/>
        <v>5</v>
      </c>
      <c r="U261" t="str">
        <f t="shared" si="113"/>
        <v>N/A</v>
      </c>
      <c r="V261" t="str">
        <f t="shared" ref="V261:V266" si="118">"5.5500"</f>
        <v>5.5500</v>
      </c>
    </row>
    <row r="262" spans="1:22" x14ac:dyDescent="0.25">
      <c r="A262" s="1" t="str">
        <f t="shared" si="107"/>
        <v>5048-</v>
      </c>
      <c r="B262" s="1" t="str">
        <f t="shared" si="114"/>
        <v>5048-</v>
      </c>
      <c r="C262" s="1" t="str">
        <f>VLOOKUP(B262,'Master truck list'!D:E,2,0)</f>
        <v>5048-20</v>
      </c>
      <c r="D262" s="1" t="str">
        <f>VLOOKUP(C262,'Master truck list'!E:F,2,0)</f>
        <v>ACTIVE</v>
      </c>
      <c r="E262" s="1" t="str">
        <f>VLOOKUP(C262,'Master truck list'!E:M,9,0)</f>
        <v>BNK TRANSPORT INC</v>
      </c>
      <c r="F262" s="1" t="str">
        <f>VLOOKUP(C262,'Master truck list'!E:G,3,0)</f>
        <v>Company</v>
      </c>
      <c r="G262" s="1">
        <f>VLOOKUP(C262,'Master truck list'!E:R,14,0)</f>
        <v>2312</v>
      </c>
      <c r="H262" t="str">
        <f t="shared" si="108"/>
        <v>12/21/2019 7:00:28 AM</v>
      </c>
      <c r="I262" t="str">
        <f>""</f>
        <v/>
      </c>
      <c r="J262" t="str">
        <f t="shared" si="109"/>
        <v>Elite</v>
      </c>
      <c r="K262" t="str">
        <f t="shared" si="90"/>
        <v>Device</v>
      </c>
      <c r="L262" t="str">
        <f t="shared" si="115"/>
        <v>777173779</v>
      </c>
      <c r="M262" t="str">
        <f t="shared" si="116"/>
        <v>16483505</v>
      </c>
      <c r="N262" t="str">
        <f t="shared" si="117"/>
        <v>5048-20</v>
      </c>
      <c r="O262" t="str">
        <f t="shared" si="110"/>
        <v>TEXAS</v>
      </c>
      <c r="P262" t="str">
        <f t="shared" si="111"/>
        <v>N A</v>
      </c>
      <c r="Q262" t="str">
        <f t="shared" si="112"/>
        <v>N/A</v>
      </c>
      <c r="R262" t="str">
        <f>"130 DKCRP 11 307"</f>
        <v>130 DKCRP 11 307</v>
      </c>
      <c r="S262" t="str">
        <f>"12/20/2019 6:31:17 AM"</f>
        <v>12/20/2019 6:31:17 AM</v>
      </c>
      <c r="T262" t="str">
        <f t="shared" si="106"/>
        <v>5</v>
      </c>
      <c r="U262" t="str">
        <f t="shared" si="113"/>
        <v>N/A</v>
      </c>
      <c r="V262" t="str">
        <f t="shared" si="118"/>
        <v>5.5500</v>
      </c>
    </row>
    <row r="263" spans="1:22" x14ac:dyDescent="0.25">
      <c r="A263" s="1" t="str">
        <f t="shared" si="107"/>
        <v>5048-</v>
      </c>
      <c r="B263" s="1" t="str">
        <f t="shared" si="114"/>
        <v>5048-</v>
      </c>
      <c r="C263" s="1" t="str">
        <f>VLOOKUP(B263,'Master truck list'!D:E,2,0)</f>
        <v>5048-20</v>
      </c>
      <c r="D263" s="1" t="str">
        <f>VLOOKUP(C263,'Master truck list'!E:F,2,0)</f>
        <v>ACTIVE</v>
      </c>
      <c r="E263" s="1" t="str">
        <f>VLOOKUP(C263,'Master truck list'!E:M,9,0)</f>
        <v>BNK TRANSPORT INC</v>
      </c>
      <c r="F263" s="1" t="str">
        <f>VLOOKUP(C263,'Master truck list'!E:G,3,0)</f>
        <v>Company</v>
      </c>
      <c r="G263" s="1">
        <f>VLOOKUP(C263,'Master truck list'!E:R,14,0)</f>
        <v>2312</v>
      </c>
      <c r="H263" t="str">
        <f t="shared" si="108"/>
        <v>12/21/2019 7:00:28 AM</v>
      </c>
      <c r="I263" t="str">
        <f>""</f>
        <v/>
      </c>
      <c r="J263" t="str">
        <f t="shared" si="109"/>
        <v>Elite</v>
      </c>
      <c r="K263" t="str">
        <f t="shared" si="90"/>
        <v>Device</v>
      </c>
      <c r="L263" t="str">
        <f t="shared" si="115"/>
        <v>777173779</v>
      </c>
      <c r="M263" t="str">
        <f t="shared" si="116"/>
        <v>16483505</v>
      </c>
      <c r="N263" t="str">
        <f t="shared" si="117"/>
        <v>5048-20</v>
      </c>
      <c r="O263" t="str">
        <f t="shared" si="110"/>
        <v>TEXAS</v>
      </c>
      <c r="P263" t="str">
        <f t="shared" si="111"/>
        <v>N A</v>
      </c>
      <c r="Q263" t="str">
        <f t="shared" si="112"/>
        <v>N/A</v>
      </c>
      <c r="R263" t="str">
        <f>"130 CMRNP 13 306"</f>
        <v>130 CMRNP 13 306</v>
      </c>
      <c r="S263" t="str">
        <f>"12/20/2019 6:41:18 AM"</f>
        <v>12/20/2019 6:41:18 AM</v>
      </c>
      <c r="T263" t="str">
        <f t="shared" si="106"/>
        <v>5</v>
      </c>
      <c r="U263" t="str">
        <f t="shared" si="113"/>
        <v>N/A</v>
      </c>
      <c r="V263" t="str">
        <f t="shared" si="118"/>
        <v>5.5500</v>
      </c>
    </row>
    <row r="264" spans="1:22" x14ac:dyDescent="0.25">
      <c r="A264" s="1" t="str">
        <f t="shared" si="107"/>
        <v>5048-</v>
      </c>
      <c r="B264" s="1" t="str">
        <f t="shared" si="114"/>
        <v>5048-</v>
      </c>
      <c r="C264" s="1" t="str">
        <f>VLOOKUP(B264,'Master truck list'!D:E,2,0)</f>
        <v>5048-20</v>
      </c>
      <c r="D264" s="1" t="str">
        <f>VLOOKUP(C264,'Master truck list'!E:F,2,0)</f>
        <v>ACTIVE</v>
      </c>
      <c r="E264" s="1" t="str">
        <f>VLOOKUP(C264,'Master truck list'!E:M,9,0)</f>
        <v>BNK TRANSPORT INC</v>
      </c>
      <c r="F264" s="1" t="str">
        <f>VLOOKUP(C264,'Master truck list'!E:G,3,0)</f>
        <v>Company</v>
      </c>
      <c r="G264" s="1">
        <f>VLOOKUP(C264,'Master truck list'!E:R,14,0)</f>
        <v>2312</v>
      </c>
      <c r="H264" t="str">
        <f t="shared" si="108"/>
        <v>12/21/2019 7:00:28 AM</v>
      </c>
      <c r="I264" t="str">
        <f>""</f>
        <v/>
      </c>
      <c r="J264" t="str">
        <f t="shared" si="109"/>
        <v>Elite</v>
      </c>
      <c r="K264" t="str">
        <f t="shared" si="90"/>
        <v>Device</v>
      </c>
      <c r="L264" t="str">
        <f t="shared" si="115"/>
        <v>777173779</v>
      </c>
      <c r="M264" t="str">
        <f t="shared" si="116"/>
        <v>16483505</v>
      </c>
      <c r="N264" t="str">
        <f t="shared" si="117"/>
        <v>5048-20</v>
      </c>
      <c r="O264" t="str">
        <f t="shared" si="110"/>
        <v>TEXAS</v>
      </c>
      <c r="P264" t="str">
        <f t="shared" si="111"/>
        <v>N A</v>
      </c>
      <c r="Q264" t="str">
        <f t="shared" si="112"/>
        <v>N/A</v>
      </c>
      <c r="R264" t="str">
        <f>"130 ARPTP 09 308"</f>
        <v>130 ARPTP 09 308</v>
      </c>
      <c r="S264" t="str">
        <f>"12/20/2019 6:24:20 AM"</f>
        <v>12/20/2019 6:24:20 AM</v>
      </c>
      <c r="T264" t="str">
        <f t="shared" si="106"/>
        <v>5</v>
      </c>
      <c r="U264" t="str">
        <f t="shared" si="113"/>
        <v>N/A</v>
      </c>
      <c r="V264" t="str">
        <f t="shared" si="118"/>
        <v>5.5500</v>
      </c>
    </row>
    <row r="265" spans="1:22" x14ac:dyDescent="0.25">
      <c r="A265" s="1" t="str">
        <f t="shared" si="107"/>
        <v>5048-</v>
      </c>
      <c r="B265" s="1" t="str">
        <f t="shared" si="114"/>
        <v>5048-</v>
      </c>
      <c r="C265" s="1" t="str">
        <f>VLOOKUP(B265,'Master truck list'!D:E,2,0)</f>
        <v>5048-20</v>
      </c>
      <c r="D265" s="1" t="str">
        <f>VLOOKUP(C265,'Master truck list'!E:F,2,0)</f>
        <v>ACTIVE</v>
      </c>
      <c r="E265" s="1" t="str">
        <f>VLOOKUP(C265,'Master truck list'!E:M,9,0)</f>
        <v>BNK TRANSPORT INC</v>
      </c>
      <c r="F265" s="1" t="str">
        <f>VLOOKUP(C265,'Master truck list'!E:G,3,0)</f>
        <v>Company</v>
      </c>
      <c r="G265" s="1">
        <f>VLOOKUP(C265,'Master truck list'!E:R,14,0)</f>
        <v>2312</v>
      </c>
      <c r="H265" t="str">
        <f t="shared" ref="H265:H274" si="119">"12/18/2019 7:00:28 AM"</f>
        <v>12/18/2019 7:00:28 AM</v>
      </c>
      <c r="I265" t="str">
        <f>""</f>
        <v/>
      </c>
      <c r="J265" t="str">
        <f t="shared" si="109"/>
        <v>Elite</v>
      </c>
      <c r="K265" t="str">
        <f t="shared" si="90"/>
        <v>Device</v>
      </c>
      <c r="L265" t="str">
        <f t="shared" si="115"/>
        <v>777173779</v>
      </c>
      <c r="M265" t="str">
        <f t="shared" si="116"/>
        <v>16483505</v>
      </c>
      <c r="N265" t="str">
        <f t="shared" si="117"/>
        <v>5048-20</v>
      </c>
      <c r="O265" t="str">
        <f t="shared" si="110"/>
        <v>TEXAS</v>
      </c>
      <c r="P265" t="str">
        <f t="shared" si="111"/>
        <v>N A</v>
      </c>
      <c r="Q265" t="str">
        <f t="shared" si="112"/>
        <v>N/A</v>
      </c>
      <c r="R265" t="str">
        <f>"130 MGCRP 06 305"</f>
        <v>130 MGCRP 06 305</v>
      </c>
      <c r="S265" t="str">
        <f>"12/17/2019 8:39:06 AM"</f>
        <v>12/17/2019 8:39:06 AM</v>
      </c>
      <c r="T265" t="str">
        <f t="shared" si="106"/>
        <v>5</v>
      </c>
      <c r="U265" t="str">
        <f t="shared" si="113"/>
        <v>N/A</v>
      </c>
      <c r="V265" t="str">
        <f t="shared" si="118"/>
        <v>5.5500</v>
      </c>
    </row>
    <row r="266" spans="1:22" x14ac:dyDescent="0.25">
      <c r="A266" s="1" t="str">
        <f t="shared" si="107"/>
        <v>5048-</v>
      </c>
      <c r="B266" s="1" t="str">
        <f t="shared" si="114"/>
        <v>5048-</v>
      </c>
      <c r="C266" s="1" t="str">
        <f>VLOOKUP(B266,'Master truck list'!D:E,2,0)</f>
        <v>5048-20</v>
      </c>
      <c r="D266" s="1" t="str">
        <f>VLOOKUP(C266,'Master truck list'!E:F,2,0)</f>
        <v>ACTIVE</v>
      </c>
      <c r="E266" s="1" t="str">
        <f>VLOOKUP(C266,'Master truck list'!E:M,9,0)</f>
        <v>BNK TRANSPORT INC</v>
      </c>
      <c r="F266" s="1" t="str">
        <f>VLOOKUP(C266,'Master truck list'!E:G,3,0)</f>
        <v>Company</v>
      </c>
      <c r="G266" s="1">
        <f>VLOOKUP(C266,'Master truck list'!E:R,14,0)</f>
        <v>2312</v>
      </c>
      <c r="H266" t="str">
        <f t="shared" si="119"/>
        <v>12/18/2019 7:00:28 AM</v>
      </c>
      <c r="I266" t="str">
        <f>""</f>
        <v/>
      </c>
      <c r="J266" t="str">
        <f t="shared" si="109"/>
        <v>Elite</v>
      </c>
      <c r="K266" t="str">
        <f t="shared" si="90"/>
        <v>Device</v>
      </c>
      <c r="L266" t="str">
        <f t="shared" si="115"/>
        <v>777173779</v>
      </c>
      <c r="M266" t="str">
        <f t="shared" si="116"/>
        <v>16483505</v>
      </c>
      <c r="N266" t="str">
        <f t="shared" si="117"/>
        <v>5048-20</v>
      </c>
      <c r="O266" t="str">
        <f t="shared" si="110"/>
        <v>TEXAS</v>
      </c>
      <c r="P266" t="str">
        <f t="shared" si="111"/>
        <v>N A</v>
      </c>
      <c r="Q266" t="str">
        <f t="shared" si="112"/>
        <v>N/A</v>
      </c>
      <c r="R266" t="str">
        <f>"130 DKCRP 06 307"</f>
        <v>130 DKCRP 06 307</v>
      </c>
      <c r="S266" t="str">
        <f>"12/17/2019 9:00:01 AM"</f>
        <v>12/17/2019 9:00:01 AM</v>
      </c>
      <c r="T266" t="str">
        <f t="shared" si="106"/>
        <v>5</v>
      </c>
      <c r="U266" t="str">
        <f t="shared" si="113"/>
        <v>N/A</v>
      </c>
      <c r="V266" t="str">
        <f t="shared" si="118"/>
        <v>5.5500</v>
      </c>
    </row>
    <row r="267" spans="1:22" x14ac:dyDescent="0.25">
      <c r="A267" s="1" t="str">
        <f t="shared" si="107"/>
        <v>5048-</v>
      </c>
      <c r="B267" s="1" t="str">
        <f t="shared" si="114"/>
        <v>5048-</v>
      </c>
      <c r="C267" s="1" t="str">
        <f>VLOOKUP(B267,'Master truck list'!D:E,2,0)</f>
        <v>5048-20</v>
      </c>
      <c r="D267" s="1" t="str">
        <f>VLOOKUP(C267,'Master truck list'!E:F,2,0)</f>
        <v>ACTIVE</v>
      </c>
      <c r="E267" s="1" t="str">
        <f>VLOOKUP(C267,'Master truck list'!E:M,9,0)</f>
        <v>BNK TRANSPORT INC</v>
      </c>
      <c r="F267" s="1" t="str">
        <f>VLOOKUP(C267,'Master truck list'!E:G,3,0)</f>
        <v>Company</v>
      </c>
      <c r="G267" s="1">
        <f>VLOOKUP(C267,'Master truck list'!E:R,14,0)</f>
        <v>2312</v>
      </c>
      <c r="H267" t="str">
        <f t="shared" si="119"/>
        <v>12/18/2019 7:00:28 AM</v>
      </c>
      <c r="I267" t="str">
        <f>""</f>
        <v/>
      </c>
      <c r="J267" t="str">
        <f t="shared" si="109"/>
        <v>Elite</v>
      </c>
      <c r="K267" t="str">
        <f t="shared" si="90"/>
        <v>Device</v>
      </c>
      <c r="L267" t="str">
        <f t="shared" si="115"/>
        <v>777173779</v>
      </c>
      <c r="M267" t="str">
        <f t="shared" si="116"/>
        <v>16483505</v>
      </c>
      <c r="N267" t="str">
        <f t="shared" si="117"/>
        <v>5048-20</v>
      </c>
      <c r="O267" t="str">
        <f t="shared" si="110"/>
        <v>TEXAS</v>
      </c>
      <c r="P267" t="str">
        <f t="shared" si="111"/>
        <v>N A</v>
      </c>
      <c r="Q267" t="str">
        <f t="shared" si="112"/>
        <v>N/A</v>
      </c>
      <c r="R267" t="str">
        <f>"45SE MLPWB 01 611"</f>
        <v>45SE MLPWB 01 611</v>
      </c>
      <c r="S267" t="str">
        <f>"12/17/2019 9:17:28 AM"</f>
        <v>12/17/2019 9:17:28 AM</v>
      </c>
      <c r="T267" t="str">
        <f t="shared" si="106"/>
        <v>5</v>
      </c>
      <c r="U267" t="str">
        <f t="shared" si="113"/>
        <v>N/A</v>
      </c>
      <c r="V267" t="str">
        <f>"3.3000"</f>
        <v>3.3000</v>
      </c>
    </row>
    <row r="268" spans="1:22" x14ac:dyDescent="0.25">
      <c r="A268" s="1" t="str">
        <f t="shared" si="107"/>
        <v>5048-</v>
      </c>
      <c r="B268" s="1" t="str">
        <f t="shared" si="114"/>
        <v>5048-</v>
      </c>
      <c r="C268" s="1" t="str">
        <f>VLOOKUP(B268,'Master truck list'!D:E,2,0)</f>
        <v>5048-20</v>
      </c>
      <c r="D268" s="1" t="str">
        <f>VLOOKUP(C268,'Master truck list'!E:F,2,0)</f>
        <v>ACTIVE</v>
      </c>
      <c r="E268" s="1" t="str">
        <f>VLOOKUP(C268,'Master truck list'!E:M,9,0)</f>
        <v>BNK TRANSPORT INC</v>
      </c>
      <c r="F268" s="1" t="str">
        <f>VLOOKUP(C268,'Master truck list'!E:G,3,0)</f>
        <v>Company</v>
      </c>
      <c r="G268" s="1">
        <f>VLOOKUP(C268,'Master truck list'!E:R,14,0)</f>
        <v>2312</v>
      </c>
      <c r="H268" t="str">
        <f t="shared" si="119"/>
        <v>12/18/2019 7:00:28 AM</v>
      </c>
      <c r="I268" t="str">
        <f>""</f>
        <v/>
      </c>
      <c r="J268" t="str">
        <f t="shared" si="109"/>
        <v>Elite</v>
      </c>
      <c r="K268" t="str">
        <f t="shared" si="90"/>
        <v>Device</v>
      </c>
      <c r="L268" t="str">
        <f t="shared" si="115"/>
        <v>777173779</v>
      </c>
      <c r="M268" t="str">
        <f t="shared" si="116"/>
        <v>16483505</v>
      </c>
      <c r="N268" t="str">
        <f t="shared" si="117"/>
        <v>5048-20</v>
      </c>
      <c r="O268" t="str">
        <f t="shared" si="110"/>
        <v>TEXAS</v>
      </c>
      <c r="P268" t="str">
        <f t="shared" si="111"/>
        <v>N A</v>
      </c>
      <c r="Q268" t="str">
        <f t="shared" si="112"/>
        <v>N/A</v>
      </c>
      <c r="R268" t="str">
        <f>"130 CMRNP 08 306"</f>
        <v>130 CMRNP 08 306</v>
      </c>
      <c r="S268" t="str">
        <f>"12/17/2019 8:50:03 AM"</f>
        <v>12/17/2019 8:50:03 AM</v>
      </c>
      <c r="T268" t="str">
        <f t="shared" si="106"/>
        <v>5</v>
      </c>
      <c r="U268" t="str">
        <f t="shared" si="113"/>
        <v>N/A</v>
      </c>
      <c r="V268" t="str">
        <f>"5.5500"</f>
        <v>5.5500</v>
      </c>
    </row>
    <row r="269" spans="1:22" x14ac:dyDescent="0.25">
      <c r="A269" s="1" t="str">
        <f t="shared" si="107"/>
        <v>5048-</v>
      </c>
      <c r="B269" s="1" t="str">
        <f t="shared" si="114"/>
        <v>5048-</v>
      </c>
      <c r="C269" s="1" t="str">
        <f>VLOOKUP(B269,'Master truck list'!D:E,2,0)</f>
        <v>5048-20</v>
      </c>
      <c r="D269" s="1" t="str">
        <f>VLOOKUP(C269,'Master truck list'!E:F,2,0)</f>
        <v>ACTIVE</v>
      </c>
      <c r="E269" s="1" t="str">
        <f>VLOOKUP(C269,'Master truck list'!E:M,9,0)</f>
        <v>BNK TRANSPORT INC</v>
      </c>
      <c r="F269" s="1" t="str">
        <f>VLOOKUP(C269,'Master truck list'!E:G,3,0)</f>
        <v>Company</v>
      </c>
      <c r="G269" s="1">
        <f>VLOOKUP(C269,'Master truck list'!E:R,14,0)</f>
        <v>2312</v>
      </c>
      <c r="H269" t="str">
        <f t="shared" si="119"/>
        <v>12/18/2019 7:00:28 AM</v>
      </c>
      <c r="I269" t="str">
        <f>""</f>
        <v/>
      </c>
      <c r="J269" t="str">
        <f t="shared" si="109"/>
        <v>Elite</v>
      </c>
      <c r="K269" t="str">
        <f t="shared" si="90"/>
        <v>Device</v>
      </c>
      <c r="L269" t="str">
        <f t="shared" si="115"/>
        <v>777173779</v>
      </c>
      <c r="M269" t="str">
        <f t="shared" si="116"/>
        <v>16483505</v>
      </c>
      <c r="N269" t="str">
        <f t="shared" si="117"/>
        <v>5048-20</v>
      </c>
      <c r="O269" t="str">
        <f t="shared" si="110"/>
        <v>TEXAS</v>
      </c>
      <c r="P269" t="str">
        <f t="shared" si="111"/>
        <v>N A</v>
      </c>
      <c r="Q269" t="str">
        <f t="shared" si="112"/>
        <v>N/A</v>
      </c>
      <c r="R269" t="str">
        <f>"130 ARPTP 04 308"</f>
        <v>130 ARPTP 04 308</v>
      </c>
      <c r="S269" t="str">
        <f>"12/17/2019 9:06:56 AM"</f>
        <v>12/17/2019 9:06:56 AM</v>
      </c>
      <c r="T269" t="str">
        <f t="shared" si="106"/>
        <v>5</v>
      </c>
      <c r="U269" t="str">
        <f t="shared" si="113"/>
        <v>N/A</v>
      </c>
      <c r="V269" t="str">
        <f>"5.5500"</f>
        <v>5.5500</v>
      </c>
    </row>
    <row r="270" spans="1:22" x14ac:dyDescent="0.25">
      <c r="A270" s="1" t="str">
        <f t="shared" si="107"/>
        <v>5051-</v>
      </c>
      <c r="B270" s="1" t="str">
        <f t="shared" si="114"/>
        <v>5051-</v>
      </c>
      <c r="C270" s="1" t="str">
        <f>VLOOKUP(B270,'Master truck list'!D:E,2,0)</f>
        <v>5051-20</v>
      </c>
      <c r="D270" s="1" t="str">
        <f>VLOOKUP(C270,'Master truck list'!E:F,2,0)</f>
        <v>ACTIVE</v>
      </c>
      <c r="E270" s="1" t="str">
        <f>VLOOKUP(C270,'Master truck list'!E:M,9,0)</f>
        <v>BNK TRANSPORT INC</v>
      </c>
      <c r="F270" s="1" t="str">
        <f>VLOOKUP(C270,'Master truck list'!E:G,3,0)</f>
        <v>Company</v>
      </c>
      <c r="G270" s="1">
        <f>VLOOKUP(C270,'Master truck list'!E:R,14,0)</f>
        <v>2314</v>
      </c>
      <c r="H270" t="str">
        <f t="shared" si="119"/>
        <v>12/18/2019 7:00:28 AM</v>
      </c>
      <c r="I270" t="str">
        <f>""</f>
        <v/>
      </c>
      <c r="J270" t="str">
        <f t="shared" si="109"/>
        <v>Elite</v>
      </c>
      <c r="K270" t="str">
        <f t="shared" si="90"/>
        <v>Device</v>
      </c>
      <c r="L270" t="str">
        <f t="shared" ref="L270:L284" si="120">"777174209"</f>
        <v>777174209</v>
      </c>
      <c r="M270" t="str">
        <f t="shared" ref="M270:M284" si="121">"16483935"</f>
        <v>16483935</v>
      </c>
      <c r="N270" t="str">
        <f t="shared" ref="N270:N284" si="122">"5051-20"</f>
        <v>5051-20</v>
      </c>
      <c r="O270" t="str">
        <f t="shared" si="110"/>
        <v>TEXAS</v>
      </c>
      <c r="P270" t="str">
        <f t="shared" si="111"/>
        <v>N A</v>
      </c>
      <c r="Q270" t="str">
        <f t="shared" si="112"/>
        <v>N/A</v>
      </c>
      <c r="R270" t="str">
        <f>"45SE MLPEB 02 611"</f>
        <v>45SE MLPEB 02 611</v>
      </c>
      <c r="S270" t="str">
        <f>"12/16/2019 11:15:53 PM"</f>
        <v>12/16/2019 11:15:53 PM</v>
      </c>
      <c r="T270" t="str">
        <f t="shared" si="106"/>
        <v>5</v>
      </c>
      <c r="U270" t="str">
        <f t="shared" si="113"/>
        <v>N/A</v>
      </c>
      <c r="V270" t="str">
        <f>"3.3000"</f>
        <v>3.3000</v>
      </c>
    </row>
    <row r="271" spans="1:22" x14ac:dyDescent="0.25">
      <c r="A271" s="1" t="str">
        <f t="shared" si="107"/>
        <v>5051-</v>
      </c>
      <c r="B271" s="1" t="str">
        <f t="shared" si="114"/>
        <v>5051-</v>
      </c>
      <c r="C271" s="1" t="str">
        <f>VLOOKUP(B271,'Master truck list'!D:E,2,0)</f>
        <v>5051-20</v>
      </c>
      <c r="D271" s="1" t="str">
        <f>VLOOKUP(C271,'Master truck list'!E:F,2,0)</f>
        <v>ACTIVE</v>
      </c>
      <c r="E271" s="1" t="str">
        <f>VLOOKUP(C271,'Master truck list'!E:M,9,0)</f>
        <v>BNK TRANSPORT INC</v>
      </c>
      <c r="F271" s="1" t="str">
        <f>VLOOKUP(C271,'Master truck list'!E:G,3,0)</f>
        <v>Company</v>
      </c>
      <c r="G271" s="1">
        <f>VLOOKUP(C271,'Master truck list'!E:R,14,0)</f>
        <v>2314</v>
      </c>
      <c r="H271" t="str">
        <f t="shared" si="119"/>
        <v>12/18/2019 7:00:28 AM</v>
      </c>
      <c r="I271" t="str">
        <f>""</f>
        <v/>
      </c>
      <c r="J271" t="str">
        <f t="shared" si="109"/>
        <v>Elite</v>
      </c>
      <c r="K271" t="str">
        <f t="shared" ref="K271:K334" si="123">"Device"</f>
        <v>Device</v>
      </c>
      <c r="L271" t="str">
        <f t="shared" si="120"/>
        <v>777174209</v>
      </c>
      <c r="M271" t="str">
        <f t="shared" si="121"/>
        <v>16483935</v>
      </c>
      <c r="N271" t="str">
        <f t="shared" si="122"/>
        <v>5051-20</v>
      </c>
      <c r="O271" t="str">
        <f t="shared" si="110"/>
        <v>TEXAS</v>
      </c>
      <c r="P271" t="str">
        <f t="shared" si="111"/>
        <v>N A</v>
      </c>
      <c r="Q271" t="str">
        <f t="shared" si="112"/>
        <v>N/A</v>
      </c>
      <c r="R271" t="str">
        <f>"130 CMRNP 13 306"</f>
        <v>130 CMRNP 13 306</v>
      </c>
      <c r="S271" t="str">
        <f>"12/16/2019 11:44:15 PM"</f>
        <v>12/16/2019 11:44:15 PM</v>
      </c>
      <c r="T271" t="str">
        <f t="shared" si="106"/>
        <v>5</v>
      </c>
      <c r="U271" t="str">
        <f t="shared" si="113"/>
        <v>N/A</v>
      </c>
      <c r="V271" t="str">
        <f>"5.5500"</f>
        <v>5.5500</v>
      </c>
    </row>
    <row r="272" spans="1:22" x14ac:dyDescent="0.25">
      <c r="A272" s="1" t="str">
        <f t="shared" si="107"/>
        <v>5051-</v>
      </c>
      <c r="B272" s="1" t="str">
        <f t="shared" si="114"/>
        <v>5051-</v>
      </c>
      <c r="C272" s="1" t="str">
        <f>VLOOKUP(B272,'Master truck list'!D:E,2,0)</f>
        <v>5051-20</v>
      </c>
      <c r="D272" s="1" t="str">
        <f>VLOOKUP(C272,'Master truck list'!E:F,2,0)</f>
        <v>ACTIVE</v>
      </c>
      <c r="E272" s="1" t="str">
        <f>VLOOKUP(C272,'Master truck list'!E:M,9,0)</f>
        <v>BNK TRANSPORT INC</v>
      </c>
      <c r="F272" s="1" t="str">
        <f>VLOOKUP(C272,'Master truck list'!E:G,3,0)</f>
        <v>Company</v>
      </c>
      <c r="G272" s="1">
        <f>VLOOKUP(C272,'Master truck list'!E:R,14,0)</f>
        <v>2314</v>
      </c>
      <c r="H272" t="str">
        <f t="shared" si="119"/>
        <v>12/18/2019 7:00:28 AM</v>
      </c>
      <c r="I272" t="str">
        <f>""</f>
        <v/>
      </c>
      <c r="J272" t="str">
        <f t="shared" si="109"/>
        <v>Elite</v>
      </c>
      <c r="K272" t="str">
        <f t="shared" si="123"/>
        <v>Device</v>
      </c>
      <c r="L272" t="str">
        <f t="shared" si="120"/>
        <v>777174209</v>
      </c>
      <c r="M272" t="str">
        <f t="shared" si="121"/>
        <v>16483935</v>
      </c>
      <c r="N272" t="str">
        <f t="shared" si="122"/>
        <v>5051-20</v>
      </c>
      <c r="O272" t="str">
        <f t="shared" si="110"/>
        <v>TEXAS</v>
      </c>
      <c r="P272" t="str">
        <f t="shared" si="111"/>
        <v>N A</v>
      </c>
      <c r="Q272" t="str">
        <f t="shared" si="112"/>
        <v>N/A</v>
      </c>
      <c r="R272" t="str">
        <f>"130 ARPTP 09 308"</f>
        <v>130 ARPTP 09 308</v>
      </c>
      <c r="S272" t="str">
        <f>"12/16/2019 11:26:33 PM"</f>
        <v>12/16/2019 11:26:33 PM</v>
      </c>
      <c r="T272" t="str">
        <f t="shared" si="106"/>
        <v>5</v>
      </c>
      <c r="U272" t="str">
        <f t="shared" si="113"/>
        <v>N/A</v>
      </c>
      <c r="V272" t="str">
        <f>"5.5500"</f>
        <v>5.5500</v>
      </c>
    </row>
    <row r="273" spans="1:22" x14ac:dyDescent="0.25">
      <c r="A273" s="1" t="str">
        <f t="shared" si="107"/>
        <v>5051-</v>
      </c>
      <c r="B273" s="1" t="str">
        <f t="shared" si="114"/>
        <v>5051-</v>
      </c>
      <c r="C273" s="1" t="str">
        <f>VLOOKUP(B273,'Master truck list'!D:E,2,0)</f>
        <v>5051-20</v>
      </c>
      <c r="D273" s="1" t="str">
        <f>VLOOKUP(C273,'Master truck list'!E:F,2,0)</f>
        <v>ACTIVE</v>
      </c>
      <c r="E273" s="1" t="str">
        <f>VLOOKUP(C273,'Master truck list'!E:M,9,0)</f>
        <v>BNK TRANSPORT INC</v>
      </c>
      <c r="F273" s="1" t="str">
        <f>VLOOKUP(C273,'Master truck list'!E:G,3,0)</f>
        <v>Company</v>
      </c>
      <c r="G273" s="1">
        <f>VLOOKUP(C273,'Master truck list'!E:R,14,0)</f>
        <v>2314</v>
      </c>
      <c r="H273" t="str">
        <f t="shared" si="119"/>
        <v>12/18/2019 7:00:28 AM</v>
      </c>
      <c r="I273" t="str">
        <f>""</f>
        <v/>
      </c>
      <c r="J273" t="str">
        <f t="shared" si="109"/>
        <v>Elite</v>
      </c>
      <c r="K273" t="str">
        <f t="shared" si="123"/>
        <v>Device</v>
      </c>
      <c r="L273" t="str">
        <f t="shared" si="120"/>
        <v>777174209</v>
      </c>
      <c r="M273" t="str">
        <f t="shared" si="121"/>
        <v>16483935</v>
      </c>
      <c r="N273" t="str">
        <f t="shared" si="122"/>
        <v>5051-20</v>
      </c>
      <c r="O273" t="str">
        <f t="shared" si="110"/>
        <v>TEXAS</v>
      </c>
      <c r="P273" t="str">
        <f t="shared" si="111"/>
        <v>N A</v>
      </c>
      <c r="Q273" t="str">
        <f t="shared" si="112"/>
        <v>N/A</v>
      </c>
      <c r="R273" t="str">
        <f>"130 MGCRP 11 305"</f>
        <v>130 MGCRP 11 305</v>
      </c>
      <c r="S273" t="str">
        <f>"12/16/2019 11:55:28 PM"</f>
        <v>12/16/2019 11:55:28 PM</v>
      </c>
      <c r="T273" t="str">
        <f t="shared" si="106"/>
        <v>5</v>
      </c>
      <c r="U273" t="str">
        <f t="shared" si="113"/>
        <v>N/A</v>
      </c>
      <c r="V273" t="str">
        <f>"5.5500"</f>
        <v>5.5500</v>
      </c>
    </row>
    <row r="274" spans="1:22" x14ac:dyDescent="0.25">
      <c r="A274" s="1" t="str">
        <f t="shared" si="107"/>
        <v>5051-</v>
      </c>
      <c r="B274" s="1" t="str">
        <f t="shared" si="114"/>
        <v>5051-</v>
      </c>
      <c r="C274" s="1" t="str">
        <f>VLOOKUP(B274,'Master truck list'!D:E,2,0)</f>
        <v>5051-20</v>
      </c>
      <c r="D274" s="1" t="str">
        <f>VLOOKUP(C274,'Master truck list'!E:F,2,0)</f>
        <v>ACTIVE</v>
      </c>
      <c r="E274" s="1" t="str">
        <f>VLOOKUP(C274,'Master truck list'!E:M,9,0)</f>
        <v>BNK TRANSPORT INC</v>
      </c>
      <c r="F274" s="1" t="str">
        <f>VLOOKUP(C274,'Master truck list'!E:G,3,0)</f>
        <v>Company</v>
      </c>
      <c r="G274" s="1">
        <f>VLOOKUP(C274,'Master truck list'!E:R,14,0)</f>
        <v>2314</v>
      </c>
      <c r="H274" t="str">
        <f t="shared" si="119"/>
        <v>12/18/2019 7:00:28 AM</v>
      </c>
      <c r="I274" t="str">
        <f>""</f>
        <v/>
      </c>
      <c r="J274" t="str">
        <f t="shared" si="109"/>
        <v>Elite</v>
      </c>
      <c r="K274" t="str">
        <f t="shared" si="123"/>
        <v>Device</v>
      </c>
      <c r="L274" t="str">
        <f t="shared" si="120"/>
        <v>777174209</v>
      </c>
      <c r="M274" t="str">
        <f t="shared" si="121"/>
        <v>16483935</v>
      </c>
      <c r="N274" t="str">
        <f t="shared" si="122"/>
        <v>5051-20</v>
      </c>
      <c r="O274" t="str">
        <f t="shared" si="110"/>
        <v>TEXAS</v>
      </c>
      <c r="P274" t="str">
        <f t="shared" si="111"/>
        <v>N A</v>
      </c>
      <c r="Q274" t="str">
        <f t="shared" si="112"/>
        <v>N/A</v>
      </c>
      <c r="R274" t="str">
        <f>"130 DKCRP 11 307"</f>
        <v>130 DKCRP 11 307</v>
      </c>
      <c r="S274" t="str">
        <f>"12/16/2019 11:33:33 PM"</f>
        <v>12/16/2019 11:33:33 PM</v>
      </c>
      <c r="T274" t="str">
        <f t="shared" si="106"/>
        <v>5</v>
      </c>
      <c r="U274" t="str">
        <f t="shared" si="113"/>
        <v>N/A</v>
      </c>
      <c r="V274" t="str">
        <f>"5.5500"</f>
        <v>5.5500</v>
      </c>
    </row>
    <row r="275" spans="1:22" x14ac:dyDescent="0.25">
      <c r="A275" s="1" t="str">
        <f t="shared" si="107"/>
        <v>5051-</v>
      </c>
      <c r="B275" s="1" t="str">
        <f t="shared" si="114"/>
        <v>5051-</v>
      </c>
      <c r="C275" s="1" t="str">
        <f>VLOOKUP(B275,'Master truck list'!D:E,2,0)</f>
        <v>5051-20</v>
      </c>
      <c r="D275" s="1" t="str">
        <f>VLOOKUP(C275,'Master truck list'!E:F,2,0)</f>
        <v>ACTIVE</v>
      </c>
      <c r="E275" s="1" t="str">
        <f>VLOOKUP(C275,'Master truck list'!E:M,9,0)</f>
        <v>BNK TRANSPORT INC</v>
      </c>
      <c r="F275" s="1" t="str">
        <f>VLOOKUP(C275,'Master truck list'!E:G,3,0)</f>
        <v>Company</v>
      </c>
      <c r="G275" s="1">
        <f>VLOOKUP(C275,'Master truck list'!E:R,14,0)</f>
        <v>2314</v>
      </c>
      <c r="H275" t="str">
        <f t="shared" ref="H275:H284" si="124">"12/20/2019 7:00:30 AM"</f>
        <v>12/20/2019 7:00:30 AM</v>
      </c>
      <c r="I275" t="str">
        <f>""</f>
        <v/>
      </c>
      <c r="J275" t="str">
        <f t="shared" si="109"/>
        <v>Elite</v>
      </c>
      <c r="K275" t="str">
        <f t="shared" si="123"/>
        <v>Device</v>
      </c>
      <c r="L275" t="str">
        <f t="shared" si="120"/>
        <v>777174209</v>
      </c>
      <c r="M275" t="str">
        <f t="shared" si="121"/>
        <v>16483935</v>
      </c>
      <c r="N275" t="str">
        <f t="shared" si="122"/>
        <v>5051-20</v>
      </c>
      <c r="O275" t="str">
        <f t="shared" si="110"/>
        <v>TEXAS</v>
      </c>
      <c r="P275" t="str">
        <f t="shared" si="111"/>
        <v>N A</v>
      </c>
      <c r="Q275" t="str">
        <f t="shared" si="112"/>
        <v>N/A</v>
      </c>
      <c r="R275" t="str">
        <f>"130 DKCRP 06 307"</f>
        <v>130 DKCRP 06 307</v>
      </c>
      <c r="S275" t="str">
        <f>"12/19/2019 8:03:04 PM"</f>
        <v>12/19/2019 8:03:04 PM</v>
      </c>
      <c r="T275" t="str">
        <f t="shared" si="106"/>
        <v>5</v>
      </c>
      <c r="U275" t="str">
        <f t="shared" si="113"/>
        <v>N/A</v>
      </c>
      <c r="V275" t="str">
        <f>"5.5500"</f>
        <v>5.5500</v>
      </c>
    </row>
    <row r="276" spans="1:22" x14ac:dyDescent="0.25">
      <c r="A276" s="1" t="str">
        <f t="shared" si="107"/>
        <v>5051-</v>
      </c>
      <c r="B276" s="1" t="str">
        <f t="shared" si="114"/>
        <v>5051-</v>
      </c>
      <c r="C276" s="1" t="str">
        <f>VLOOKUP(B276,'Master truck list'!D:E,2,0)</f>
        <v>5051-20</v>
      </c>
      <c r="D276" s="1" t="str">
        <f>VLOOKUP(C276,'Master truck list'!E:F,2,0)</f>
        <v>ACTIVE</v>
      </c>
      <c r="E276" s="1" t="str">
        <f>VLOOKUP(C276,'Master truck list'!E:M,9,0)</f>
        <v>BNK TRANSPORT INC</v>
      </c>
      <c r="F276" s="1" t="str">
        <f>VLOOKUP(C276,'Master truck list'!E:G,3,0)</f>
        <v>Company</v>
      </c>
      <c r="G276" s="1">
        <f>VLOOKUP(C276,'Master truck list'!E:R,14,0)</f>
        <v>2314</v>
      </c>
      <c r="H276" t="str">
        <f t="shared" si="124"/>
        <v>12/20/2019 7:00:30 AM</v>
      </c>
      <c r="I276" t="str">
        <f>""</f>
        <v/>
      </c>
      <c r="J276" t="str">
        <f t="shared" si="109"/>
        <v>Elite</v>
      </c>
      <c r="K276" t="str">
        <f t="shared" si="123"/>
        <v>Device</v>
      </c>
      <c r="L276" t="str">
        <f t="shared" si="120"/>
        <v>777174209</v>
      </c>
      <c r="M276" t="str">
        <f t="shared" si="121"/>
        <v>16483935</v>
      </c>
      <c r="N276" t="str">
        <f t="shared" si="122"/>
        <v>5051-20</v>
      </c>
      <c r="O276" t="str">
        <f t="shared" si="110"/>
        <v>TEXAS</v>
      </c>
      <c r="P276" t="str">
        <f t="shared" si="111"/>
        <v>N A</v>
      </c>
      <c r="Q276" t="str">
        <f t="shared" si="112"/>
        <v>N/A</v>
      </c>
      <c r="R276" t="str">
        <f>"45SE MLPWB 01 611"</f>
        <v>45SE MLPWB 01 611</v>
      </c>
      <c r="S276" t="str">
        <f>"12/19/2019 8:20:49 PM"</f>
        <v>12/19/2019 8:20:49 PM</v>
      </c>
      <c r="T276" t="str">
        <f t="shared" si="106"/>
        <v>5</v>
      </c>
      <c r="U276" t="str">
        <f t="shared" si="113"/>
        <v>N/A</v>
      </c>
      <c r="V276" t="str">
        <f>"3.3000"</f>
        <v>3.3000</v>
      </c>
    </row>
    <row r="277" spans="1:22" x14ac:dyDescent="0.25">
      <c r="A277" s="1" t="str">
        <f t="shared" si="107"/>
        <v>5051-</v>
      </c>
      <c r="B277" s="1" t="str">
        <f t="shared" si="114"/>
        <v>5051-</v>
      </c>
      <c r="C277" s="1" t="str">
        <f>VLOOKUP(B277,'Master truck list'!D:E,2,0)</f>
        <v>5051-20</v>
      </c>
      <c r="D277" s="1" t="str">
        <f>VLOOKUP(C277,'Master truck list'!E:F,2,0)</f>
        <v>ACTIVE</v>
      </c>
      <c r="E277" s="1" t="str">
        <f>VLOOKUP(C277,'Master truck list'!E:M,9,0)</f>
        <v>BNK TRANSPORT INC</v>
      </c>
      <c r="F277" s="1" t="str">
        <f>VLOOKUP(C277,'Master truck list'!E:G,3,0)</f>
        <v>Company</v>
      </c>
      <c r="G277" s="1">
        <f>VLOOKUP(C277,'Master truck list'!E:R,14,0)</f>
        <v>2314</v>
      </c>
      <c r="H277" t="str">
        <f t="shared" si="124"/>
        <v>12/20/2019 7:00:30 AM</v>
      </c>
      <c r="I277" t="str">
        <f>""</f>
        <v/>
      </c>
      <c r="J277" t="str">
        <f t="shared" si="109"/>
        <v>Elite</v>
      </c>
      <c r="K277" t="str">
        <f t="shared" si="123"/>
        <v>Device</v>
      </c>
      <c r="L277" t="str">
        <f t="shared" si="120"/>
        <v>777174209</v>
      </c>
      <c r="M277" t="str">
        <f t="shared" si="121"/>
        <v>16483935</v>
      </c>
      <c r="N277" t="str">
        <f t="shared" si="122"/>
        <v>5051-20</v>
      </c>
      <c r="O277" t="str">
        <f t="shared" si="110"/>
        <v>TEXAS</v>
      </c>
      <c r="P277" t="str">
        <f t="shared" si="111"/>
        <v>N A</v>
      </c>
      <c r="Q277" t="str">
        <f t="shared" si="112"/>
        <v>N/A</v>
      </c>
      <c r="R277" t="str">
        <f>"130 MGCRP 06 305"</f>
        <v>130 MGCRP 06 305</v>
      </c>
      <c r="S277" t="str">
        <f>"12/19/2019 7:42:00 PM"</f>
        <v>12/19/2019 7:42:00 PM</v>
      </c>
      <c r="T277" t="str">
        <f t="shared" si="106"/>
        <v>5</v>
      </c>
      <c r="U277" t="str">
        <f t="shared" si="113"/>
        <v>N/A</v>
      </c>
      <c r="V277" t="str">
        <f>"5.5500"</f>
        <v>5.5500</v>
      </c>
    </row>
    <row r="278" spans="1:22" x14ac:dyDescent="0.25">
      <c r="A278" s="1" t="str">
        <f t="shared" si="107"/>
        <v>5051-</v>
      </c>
      <c r="B278" s="1" t="str">
        <f t="shared" si="114"/>
        <v>5051-</v>
      </c>
      <c r="C278" s="1" t="str">
        <f>VLOOKUP(B278,'Master truck list'!D:E,2,0)</f>
        <v>5051-20</v>
      </c>
      <c r="D278" s="1" t="str">
        <f>VLOOKUP(C278,'Master truck list'!E:F,2,0)</f>
        <v>ACTIVE</v>
      </c>
      <c r="E278" s="1" t="str">
        <f>VLOOKUP(C278,'Master truck list'!E:M,9,0)</f>
        <v>BNK TRANSPORT INC</v>
      </c>
      <c r="F278" s="1" t="str">
        <f>VLOOKUP(C278,'Master truck list'!E:G,3,0)</f>
        <v>Company</v>
      </c>
      <c r="G278" s="1">
        <f>VLOOKUP(C278,'Master truck list'!E:R,14,0)</f>
        <v>2314</v>
      </c>
      <c r="H278" t="str">
        <f t="shared" si="124"/>
        <v>12/20/2019 7:00:30 AM</v>
      </c>
      <c r="I278" t="str">
        <f>""</f>
        <v/>
      </c>
      <c r="J278" t="str">
        <f t="shared" si="109"/>
        <v>Elite</v>
      </c>
      <c r="K278" t="str">
        <f t="shared" si="123"/>
        <v>Device</v>
      </c>
      <c r="L278" t="str">
        <f t="shared" si="120"/>
        <v>777174209</v>
      </c>
      <c r="M278" t="str">
        <f t="shared" si="121"/>
        <v>16483935</v>
      </c>
      <c r="N278" t="str">
        <f t="shared" si="122"/>
        <v>5051-20</v>
      </c>
      <c r="O278" t="str">
        <f t="shared" si="110"/>
        <v>TEXAS</v>
      </c>
      <c r="P278" t="str">
        <f t="shared" si="111"/>
        <v>N A</v>
      </c>
      <c r="Q278" t="str">
        <f t="shared" si="112"/>
        <v>N/A</v>
      </c>
      <c r="R278" t="str">
        <f>"130 ARPTP 04 308"</f>
        <v>130 ARPTP 04 308</v>
      </c>
      <c r="S278" t="str">
        <f>"12/19/2019 8:10:06 PM"</f>
        <v>12/19/2019 8:10:06 PM</v>
      </c>
      <c r="T278" t="str">
        <f t="shared" si="106"/>
        <v>5</v>
      </c>
      <c r="U278" t="str">
        <f t="shared" si="113"/>
        <v>N/A</v>
      </c>
      <c r="V278" t="str">
        <f>"5.5500"</f>
        <v>5.5500</v>
      </c>
    </row>
    <row r="279" spans="1:22" x14ac:dyDescent="0.25">
      <c r="A279" s="1" t="str">
        <f t="shared" si="107"/>
        <v>5051-</v>
      </c>
      <c r="B279" s="1" t="str">
        <f t="shared" si="114"/>
        <v>5051-</v>
      </c>
      <c r="C279" s="1" t="str">
        <f>VLOOKUP(B279,'Master truck list'!D:E,2,0)</f>
        <v>5051-20</v>
      </c>
      <c r="D279" s="1" t="str">
        <f>VLOOKUP(C279,'Master truck list'!E:F,2,0)</f>
        <v>ACTIVE</v>
      </c>
      <c r="E279" s="1" t="str">
        <f>VLOOKUP(C279,'Master truck list'!E:M,9,0)</f>
        <v>BNK TRANSPORT INC</v>
      </c>
      <c r="F279" s="1" t="str">
        <f>VLOOKUP(C279,'Master truck list'!E:G,3,0)</f>
        <v>Company</v>
      </c>
      <c r="G279" s="1">
        <f>VLOOKUP(C279,'Master truck list'!E:R,14,0)</f>
        <v>2314</v>
      </c>
      <c r="H279" t="str">
        <f t="shared" si="124"/>
        <v>12/20/2019 7:00:30 AM</v>
      </c>
      <c r="I279" t="str">
        <f>""</f>
        <v/>
      </c>
      <c r="J279" t="str">
        <f t="shared" si="109"/>
        <v>Elite</v>
      </c>
      <c r="K279" t="str">
        <f t="shared" si="123"/>
        <v>Device</v>
      </c>
      <c r="L279" t="str">
        <f t="shared" si="120"/>
        <v>777174209</v>
      </c>
      <c r="M279" t="str">
        <f t="shared" si="121"/>
        <v>16483935</v>
      </c>
      <c r="N279" t="str">
        <f t="shared" si="122"/>
        <v>5051-20</v>
      </c>
      <c r="O279" t="str">
        <f t="shared" si="110"/>
        <v>TEXAS</v>
      </c>
      <c r="P279" t="str">
        <f t="shared" si="111"/>
        <v>N A</v>
      </c>
      <c r="Q279" t="str">
        <f t="shared" si="112"/>
        <v>N/A</v>
      </c>
      <c r="R279" t="str">
        <f>"45SE MLPEB 02 611"</f>
        <v>45SE MLPEB 02 611</v>
      </c>
      <c r="S279" t="str">
        <f>"12/18/2019 9:54:28 PM"</f>
        <v>12/18/2019 9:54:28 PM</v>
      </c>
      <c r="T279" t="str">
        <f t="shared" si="106"/>
        <v>5</v>
      </c>
      <c r="U279" t="str">
        <f t="shared" si="113"/>
        <v>N/A</v>
      </c>
      <c r="V279" t="str">
        <f>"3.3000"</f>
        <v>3.3000</v>
      </c>
    </row>
    <row r="280" spans="1:22" x14ac:dyDescent="0.25">
      <c r="A280" s="1" t="str">
        <f t="shared" si="107"/>
        <v>5051-</v>
      </c>
      <c r="B280" s="1" t="str">
        <f t="shared" si="114"/>
        <v>5051-</v>
      </c>
      <c r="C280" s="1" t="str">
        <f>VLOOKUP(B280,'Master truck list'!D:E,2,0)</f>
        <v>5051-20</v>
      </c>
      <c r="D280" s="1" t="str">
        <f>VLOOKUP(C280,'Master truck list'!E:F,2,0)</f>
        <v>ACTIVE</v>
      </c>
      <c r="E280" s="1" t="str">
        <f>VLOOKUP(C280,'Master truck list'!E:M,9,0)</f>
        <v>BNK TRANSPORT INC</v>
      </c>
      <c r="F280" s="1" t="str">
        <f>VLOOKUP(C280,'Master truck list'!E:G,3,0)</f>
        <v>Company</v>
      </c>
      <c r="G280" s="1">
        <f>VLOOKUP(C280,'Master truck list'!E:R,14,0)</f>
        <v>2314</v>
      </c>
      <c r="H280" t="str">
        <f t="shared" si="124"/>
        <v>12/20/2019 7:00:30 AM</v>
      </c>
      <c r="I280" t="str">
        <f>""</f>
        <v/>
      </c>
      <c r="J280" t="str">
        <f t="shared" si="109"/>
        <v>Elite</v>
      </c>
      <c r="K280" t="str">
        <f t="shared" si="123"/>
        <v>Device</v>
      </c>
      <c r="L280" t="str">
        <f t="shared" si="120"/>
        <v>777174209</v>
      </c>
      <c r="M280" t="str">
        <f t="shared" si="121"/>
        <v>16483935</v>
      </c>
      <c r="N280" t="str">
        <f t="shared" si="122"/>
        <v>5051-20</v>
      </c>
      <c r="O280" t="str">
        <f t="shared" si="110"/>
        <v>TEXAS</v>
      </c>
      <c r="P280" t="str">
        <f t="shared" si="111"/>
        <v>N A</v>
      </c>
      <c r="Q280" t="str">
        <f t="shared" si="112"/>
        <v>N/A</v>
      </c>
      <c r="R280" t="str">
        <f>"130 ARPTP 09 308"</f>
        <v>130 ARPTP 09 308</v>
      </c>
      <c r="S280" t="str">
        <f>"12/18/2019 10:05:03 PM"</f>
        <v>12/18/2019 10:05:03 PM</v>
      </c>
      <c r="T280" t="str">
        <f t="shared" si="106"/>
        <v>5</v>
      </c>
      <c r="U280" t="str">
        <f t="shared" si="113"/>
        <v>N/A</v>
      </c>
      <c r="V280" t="str">
        <f t="shared" ref="V280:V285" si="125">"5.5500"</f>
        <v>5.5500</v>
      </c>
    </row>
    <row r="281" spans="1:22" x14ac:dyDescent="0.25">
      <c r="A281" s="1" t="str">
        <f t="shared" si="107"/>
        <v>5051-</v>
      </c>
      <c r="B281" s="1" t="str">
        <f t="shared" si="114"/>
        <v>5051-</v>
      </c>
      <c r="C281" s="1" t="str">
        <f>VLOOKUP(B281,'Master truck list'!D:E,2,0)</f>
        <v>5051-20</v>
      </c>
      <c r="D281" s="1" t="str">
        <f>VLOOKUP(C281,'Master truck list'!E:F,2,0)</f>
        <v>ACTIVE</v>
      </c>
      <c r="E281" s="1" t="str">
        <f>VLOOKUP(C281,'Master truck list'!E:M,9,0)</f>
        <v>BNK TRANSPORT INC</v>
      </c>
      <c r="F281" s="1" t="str">
        <f>VLOOKUP(C281,'Master truck list'!E:G,3,0)</f>
        <v>Company</v>
      </c>
      <c r="G281" s="1">
        <f>VLOOKUP(C281,'Master truck list'!E:R,14,0)</f>
        <v>2314</v>
      </c>
      <c r="H281" t="str">
        <f t="shared" si="124"/>
        <v>12/20/2019 7:00:30 AM</v>
      </c>
      <c r="I281" t="str">
        <f>""</f>
        <v/>
      </c>
      <c r="J281" t="str">
        <f t="shared" si="109"/>
        <v>Elite</v>
      </c>
      <c r="K281" t="str">
        <f t="shared" si="123"/>
        <v>Device</v>
      </c>
      <c r="L281" t="str">
        <f t="shared" si="120"/>
        <v>777174209</v>
      </c>
      <c r="M281" t="str">
        <f t="shared" si="121"/>
        <v>16483935</v>
      </c>
      <c r="N281" t="str">
        <f t="shared" si="122"/>
        <v>5051-20</v>
      </c>
      <c r="O281" t="str">
        <f t="shared" si="110"/>
        <v>TEXAS</v>
      </c>
      <c r="P281" t="str">
        <f t="shared" si="111"/>
        <v>N A</v>
      </c>
      <c r="Q281" t="str">
        <f t="shared" si="112"/>
        <v>N/A</v>
      </c>
      <c r="R281" t="str">
        <f>"130 MGCRP 11 305"</f>
        <v>130 MGCRP 11 305</v>
      </c>
      <c r="S281" t="str">
        <f>"12/18/2019 10:33:43 PM"</f>
        <v>12/18/2019 10:33:43 PM</v>
      </c>
      <c r="T281" t="str">
        <f t="shared" si="106"/>
        <v>5</v>
      </c>
      <c r="U281" t="str">
        <f t="shared" si="113"/>
        <v>N/A</v>
      </c>
      <c r="V281" t="str">
        <f t="shared" si="125"/>
        <v>5.5500</v>
      </c>
    </row>
    <row r="282" spans="1:22" x14ac:dyDescent="0.25">
      <c r="A282" s="1" t="str">
        <f t="shared" si="107"/>
        <v>5051-</v>
      </c>
      <c r="B282" s="1" t="str">
        <f t="shared" si="114"/>
        <v>5051-</v>
      </c>
      <c r="C282" s="1" t="str">
        <f>VLOOKUP(B282,'Master truck list'!D:E,2,0)</f>
        <v>5051-20</v>
      </c>
      <c r="D282" s="1" t="str">
        <f>VLOOKUP(C282,'Master truck list'!E:F,2,0)</f>
        <v>ACTIVE</v>
      </c>
      <c r="E282" s="1" t="str">
        <f>VLOOKUP(C282,'Master truck list'!E:M,9,0)</f>
        <v>BNK TRANSPORT INC</v>
      </c>
      <c r="F282" s="1" t="str">
        <f>VLOOKUP(C282,'Master truck list'!E:G,3,0)</f>
        <v>Company</v>
      </c>
      <c r="G282" s="1">
        <f>VLOOKUP(C282,'Master truck list'!E:R,14,0)</f>
        <v>2314</v>
      </c>
      <c r="H282" t="str">
        <f t="shared" si="124"/>
        <v>12/20/2019 7:00:30 AM</v>
      </c>
      <c r="I282" t="str">
        <f>""</f>
        <v/>
      </c>
      <c r="J282" t="str">
        <f t="shared" si="109"/>
        <v>Elite</v>
      </c>
      <c r="K282" t="str">
        <f t="shared" si="123"/>
        <v>Device</v>
      </c>
      <c r="L282" t="str">
        <f t="shared" si="120"/>
        <v>777174209</v>
      </c>
      <c r="M282" t="str">
        <f t="shared" si="121"/>
        <v>16483935</v>
      </c>
      <c r="N282" t="str">
        <f t="shared" si="122"/>
        <v>5051-20</v>
      </c>
      <c r="O282" t="str">
        <f t="shared" si="110"/>
        <v>TEXAS</v>
      </c>
      <c r="P282" t="str">
        <f t="shared" si="111"/>
        <v>N A</v>
      </c>
      <c r="Q282" t="str">
        <f t="shared" si="112"/>
        <v>N/A</v>
      </c>
      <c r="R282" t="str">
        <f>"130 DKCRP 11 307"</f>
        <v>130 DKCRP 11 307</v>
      </c>
      <c r="S282" t="str">
        <f>"12/18/2019 10:12:11 PM"</f>
        <v>12/18/2019 10:12:11 PM</v>
      </c>
      <c r="T282" t="str">
        <f t="shared" si="106"/>
        <v>5</v>
      </c>
      <c r="U282" t="str">
        <f t="shared" si="113"/>
        <v>N/A</v>
      </c>
      <c r="V282" t="str">
        <f t="shared" si="125"/>
        <v>5.5500</v>
      </c>
    </row>
    <row r="283" spans="1:22" x14ac:dyDescent="0.25">
      <c r="A283" s="1" t="str">
        <f t="shared" si="107"/>
        <v>5051-</v>
      </c>
      <c r="B283" s="1" t="str">
        <f t="shared" si="114"/>
        <v>5051-</v>
      </c>
      <c r="C283" s="1" t="str">
        <f>VLOOKUP(B283,'Master truck list'!D:E,2,0)</f>
        <v>5051-20</v>
      </c>
      <c r="D283" s="1" t="str">
        <f>VLOOKUP(C283,'Master truck list'!E:F,2,0)</f>
        <v>ACTIVE</v>
      </c>
      <c r="E283" s="1" t="str">
        <f>VLOOKUP(C283,'Master truck list'!E:M,9,0)</f>
        <v>BNK TRANSPORT INC</v>
      </c>
      <c r="F283" s="1" t="str">
        <f>VLOOKUP(C283,'Master truck list'!E:G,3,0)</f>
        <v>Company</v>
      </c>
      <c r="G283" s="1">
        <f>VLOOKUP(C283,'Master truck list'!E:R,14,0)</f>
        <v>2314</v>
      </c>
      <c r="H283" t="str">
        <f t="shared" si="124"/>
        <v>12/20/2019 7:00:30 AM</v>
      </c>
      <c r="I283" t="str">
        <f>""</f>
        <v/>
      </c>
      <c r="J283" t="str">
        <f t="shared" si="109"/>
        <v>Elite</v>
      </c>
      <c r="K283" t="str">
        <f t="shared" si="123"/>
        <v>Device</v>
      </c>
      <c r="L283" t="str">
        <f t="shared" si="120"/>
        <v>777174209</v>
      </c>
      <c r="M283" t="str">
        <f t="shared" si="121"/>
        <v>16483935</v>
      </c>
      <c r="N283" t="str">
        <f t="shared" si="122"/>
        <v>5051-20</v>
      </c>
      <c r="O283" t="str">
        <f t="shared" si="110"/>
        <v>TEXAS</v>
      </c>
      <c r="P283" t="str">
        <f t="shared" si="111"/>
        <v>N A</v>
      </c>
      <c r="Q283" t="str">
        <f t="shared" si="112"/>
        <v>N/A</v>
      </c>
      <c r="R283" t="str">
        <f>"130 CMRNP 13 306"</f>
        <v>130 CMRNP 13 306</v>
      </c>
      <c r="S283" t="str">
        <f>"12/18/2019 10:22:36 PM"</f>
        <v>12/18/2019 10:22:36 PM</v>
      </c>
      <c r="T283" t="str">
        <f t="shared" si="106"/>
        <v>5</v>
      </c>
      <c r="U283" t="str">
        <f t="shared" si="113"/>
        <v>N/A</v>
      </c>
      <c r="V283" t="str">
        <f t="shared" si="125"/>
        <v>5.5500</v>
      </c>
    </row>
    <row r="284" spans="1:22" x14ac:dyDescent="0.25">
      <c r="A284" s="1" t="str">
        <f t="shared" si="107"/>
        <v>5051-</v>
      </c>
      <c r="B284" s="1" t="str">
        <f t="shared" si="114"/>
        <v>5051-</v>
      </c>
      <c r="C284" s="1" t="str">
        <f>VLOOKUP(B284,'Master truck list'!D:E,2,0)</f>
        <v>5051-20</v>
      </c>
      <c r="D284" s="1" t="str">
        <f>VLOOKUP(C284,'Master truck list'!E:F,2,0)</f>
        <v>ACTIVE</v>
      </c>
      <c r="E284" s="1" t="str">
        <f>VLOOKUP(C284,'Master truck list'!E:M,9,0)</f>
        <v>BNK TRANSPORT INC</v>
      </c>
      <c r="F284" s="1" t="str">
        <f>VLOOKUP(C284,'Master truck list'!E:G,3,0)</f>
        <v>Company</v>
      </c>
      <c r="G284" s="1">
        <f>VLOOKUP(C284,'Master truck list'!E:R,14,0)</f>
        <v>2314</v>
      </c>
      <c r="H284" t="str">
        <f t="shared" si="124"/>
        <v>12/20/2019 7:00:30 AM</v>
      </c>
      <c r="I284" t="str">
        <f>""</f>
        <v/>
      </c>
      <c r="J284" t="str">
        <f t="shared" si="109"/>
        <v>Elite</v>
      </c>
      <c r="K284" t="str">
        <f t="shared" si="123"/>
        <v>Device</v>
      </c>
      <c r="L284" t="str">
        <f t="shared" si="120"/>
        <v>777174209</v>
      </c>
      <c r="M284" t="str">
        <f t="shared" si="121"/>
        <v>16483935</v>
      </c>
      <c r="N284" t="str">
        <f t="shared" si="122"/>
        <v>5051-20</v>
      </c>
      <c r="O284" t="str">
        <f t="shared" si="110"/>
        <v>TEXAS</v>
      </c>
      <c r="P284" t="str">
        <f t="shared" si="111"/>
        <v>N A</v>
      </c>
      <c r="Q284" t="str">
        <f t="shared" si="112"/>
        <v>N/A</v>
      </c>
      <c r="R284" t="str">
        <f>"130 CMRNP 08 306"</f>
        <v>130 CMRNP 08 306</v>
      </c>
      <c r="S284" t="str">
        <f>"12/19/2019 7:53:04 PM"</f>
        <v>12/19/2019 7:53:04 PM</v>
      </c>
      <c r="T284" t="str">
        <f t="shared" si="106"/>
        <v>5</v>
      </c>
      <c r="U284" t="str">
        <f t="shared" si="113"/>
        <v>N/A</v>
      </c>
      <c r="V284" t="str">
        <f t="shared" si="125"/>
        <v>5.5500</v>
      </c>
    </row>
    <row r="285" spans="1:22" x14ac:dyDescent="0.25">
      <c r="A285" s="1" t="str">
        <f t="shared" si="107"/>
        <v>19323</v>
      </c>
      <c r="B285" s="1" t="str">
        <f t="shared" si="114"/>
        <v>19323</v>
      </c>
      <c r="C285" s="1" t="str">
        <f>VLOOKUP(B285,'Master truck list'!D:E,2,0)</f>
        <v>19323-20</v>
      </c>
      <c r="D285" s="1" t="str">
        <f>VLOOKUP(C285,'Master truck list'!E:F,2,0)</f>
        <v>ACTIVE</v>
      </c>
      <c r="E285" s="1" t="str">
        <f>VLOOKUP(C285,'Master truck list'!E:M,9,0)</f>
        <v>BKFS LOGISTICS</v>
      </c>
      <c r="F285" s="1" t="str">
        <f>VLOOKUP(C285,'Master truck list'!E:G,3,0)</f>
        <v>Company</v>
      </c>
      <c r="G285" s="1">
        <f>VLOOKUP(C285,'Master truck list'!E:R,14,0)</f>
        <v>2386</v>
      </c>
      <c r="H285" t="str">
        <f t="shared" ref="H285:H291" si="126">"12/19/2019 7:00:35 AM"</f>
        <v>12/19/2019 7:00:35 AM</v>
      </c>
      <c r="I285" t="str">
        <f>""</f>
        <v/>
      </c>
      <c r="J285" t="str">
        <f t="shared" si="109"/>
        <v>Elite</v>
      </c>
      <c r="K285" t="str">
        <f t="shared" si="123"/>
        <v>Device</v>
      </c>
      <c r="L285" t="str">
        <f>"777215987"</f>
        <v>777215987</v>
      </c>
      <c r="M285" t="str">
        <f>"16551109"</f>
        <v>16551109</v>
      </c>
      <c r="N285" t="str">
        <f>"19323-20"</f>
        <v>19323-20</v>
      </c>
      <c r="O285" t="str">
        <f t="shared" si="110"/>
        <v>TEXAS</v>
      </c>
      <c r="P285" t="str">
        <f t="shared" si="111"/>
        <v>N A</v>
      </c>
      <c r="Q285" t="str">
        <f t="shared" si="112"/>
        <v>N/A</v>
      </c>
      <c r="R285" t="str">
        <f>"130 MGCRP 11 305"</f>
        <v>130 MGCRP 11 305</v>
      </c>
      <c r="S285" t="str">
        <f>"12/18/2019 12:23:38 AM"</f>
        <v>12/18/2019 12:23:38 AM</v>
      </c>
      <c r="T285" t="str">
        <f t="shared" si="106"/>
        <v>5</v>
      </c>
      <c r="U285" t="str">
        <f t="shared" si="113"/>
        <v>N/A</v>
      </c>
      <c r="V285" t="str">
        <f t="shared" si="125"/>
        <v>5.5500</v>
      </c>
    </row>
    <row r="286" spans="1:22" x14ac:dyDescent="0.25">
      <c r="A286" s="1" t="str">
        <f t="shared" si="107"/>
        <v>19323</v>
      </c>
      <c r="B286" s="1" t="str">
        <f t="shared" si="114"/>
        <v>19323</v>
      </c>
      <c r="C286" s="1" t="str">
        <f>VLOOKUP(B286,'Master truck list'!D:E,2,0)</f>
        <v>19323-20</v>
      </c>
      <c r="D286" s="1" t="str">
        <f>VLOOKUP(C286,'Master truck list'!E:F,2,0)</f>
        <v>ACTIVE</v>
      </c>
      <c r="E286" s="1" t="str">
        <f>VLOOKUP(C286,'Master truck list'!E:M,9,0)</f>
        <v>BKFS LOGISTICS</v>
      </c>
      <c r="F286" s="1" t="str">
        <f>VLOOKUP(C286,'Master truck list'!E:G,3,0)</f>
        <v>Company</v>
      </c>
      <c r="G286" s="1">
        <f>VLOOKUP(C286,'Master truck list'!E:R,14,0)</f>
        <v>2386</v>
      </c>
      <c r="H286" t="str">
        <f t="shared" si="126"/>
        <v>12/19/2019 7:00:35 AM</v>
      </c>
      <c r="I286" t="str">
        <f>""</f>
        <v/>
      </c>
      <c r="J286" t="str">
        <f t="shared" si="109"/>
        <v>Elite</v>
      </c>
      <c r="K286" t="str">
        <f t="shared" si="123"/>
        <v>Device</v>
      </c>
      <c r="L286" t="str">
        <f>"777215987"</f>
        <v>777215987</v>
      </c>
      <c r="M286" t="str">
        <f>"16551109"</f>
        <v>16551109</v>
      </c>
      <c r="N286" t="str">
        <f>"19323-20"</f>
        <v>19323-20</v>
      </c>
      <c r="O286" t="str">
        <f t="shared" si="110"/>
        <v>TEXAS</v>
      </c>
      <c r="P286" t="str">
        <f t="shared" si="111"/>
        <v>N A</v>
      </c>
      <c r="Q286" t="str">
        <f t="shared" si="112"/>
        <v>N/A</v>
      </c>
      <c r="R286" t="str">
        <f>"130 DKCRP 11 307"</f>
        <v>130 DKCRP 11 307</v>
      </c>
      <c r="S286" t="str">
        <f>"12/18/2019 12:00:09 AM"</f>
        <v>12/18/2019 12:00:09 AM</v>
      </c>
      <c r="T286" t="str">
        <f>"2"</f>
        <v>2</v>
      </c>
      <c r="U286" t="str">
        <f t="shared" si="113"/>
        <v>N/A</v>
      </c>
      <c r="V286" t="str">
        <f>"1.8500"</f>
        <v>1.8500</v>
      </c>
    </row>
    <row r="287" spans="1:22" x14ac:dyDescent="0.25">
      <c r="A287" s="1" t="str">
        <f t="shared" si="107"/>
        <v>19323</v>
      </c>
      <c r="B287" s="1" t="str">
        <f t="shared" si="114"/>
        <v>19323</v>
      </c>
      <c r="C287" s="1" t="str">
        <f>VLOOKUP(B287,'Master truck list'!D:E,2,0)</f>
        <v>19323-20</v>
      </c>
      <c r="D287" s="1" t="str">
        <f>VLOOKUP(C287,'Master truck list'!E:F,2,0)</f>
        <v>ACTIVE</v>
      </c>
      <c r="E287" s="1" t="str">
        <f>VLOOKUP(C287,'Master truck list'!E:M,9,0)</f>
        <v>BKFS LOGISTICS</v>
      </c>
      <c r="F287" s="1" t="str">
        <f>VLOOKUP(C287,'Master truck list'!E:G,3,0)</f>
        <v>Company</v>
      </c>
      <c r="G287" s="1">
        <f>VLOOKUP(C287,'Master truck list'!E:R,14,0)</f>
        <v>2386</v>
      </c>
      <c r="H287" t="str">
        <f t="shared" si="126"/>
        <v>12/19/2019 7:00:35 AM</v>
      </c>
      <c r="I287" t="str">
        <f>""</f>
        <v/>
      </c>
      <c r="J287" t="str">
        <f t="shared" si="109"/>
        <v>Elite</v>
      </c>
      <c r="K287" t="str">
        <f t="shared" si="123"/>
        <v>Device</v>
      </c>
      <c r="L287" t="str">
        <f>"777215987"</f>
        <v>777215987</v>
      </c>
      <c r="M287" t="str">
        <f>"16551109"</f>
        <v>16551109</v>
      </c>
      <c r="N287" t="str">
        <f>"19323-20"</f>
        <v>19323-20</v>
      </c>
      <c r="O287" t="str">
        <f t="shared" si="110"/>
        <v>TEXAS</v>
      </c>
      <c r="P287" t="str">
        <f t="shared" si="111"/>
        <v>N A</v>
      </c>
      <c r="Q287" t="str">
        <f t="shared" si="112"/>
        <v>N/A</v>
      </c>
      <c r="R287" t="str">
        <f>"130 ARPTP 09 308"</f>
        <v>130 ARPTP 09 308</v>
      </c>
      <c r="S287" t="str">
        <f>"12/17/2019 11:52:59 PM"</f>
        <v>12/17/2019 11:52:59 PM</v>
      </c>
      <c r="T287" t="str">
        <f>"5"</f>
        <v>5</v>
      </c>
      <c r="U287" t="str">
        <f t="shared" si="113"/>
        <v>N/A</v>
      </c>
      <c r="V287" t="str">
        <f>"5.5500"</f>
        <v>5.5500</v>
      </c>
    </row>
    <row r="288" spans="1:22" x14ac:dyDescent="0.25">
      <c r="A288" s="1" t="str">
        <f t="shared" si="107"/>
        <v>19323</v>
      </c>
      <c r="B288" s="1" t="str">
        <f t="shared" si="114"/>
        <v>19323</v>
      </c>
      <c r="C288" s="1" t="str">
        <f>VLOOKUP(B288,'Master truck list'!D:E,2,0)</f>
        <v>19323-20</v>
      </c>
      <c r="D288" s="1" t="str">
        <f>VLOOKUP(C288,'Master truck list'!E:F,2,0)</f>
        <v>ACTIVE</v>
      </c>
      <c r="E288" s="1" t="str">
        <f>VLOOKUP(C288,'Master truck list'!E:M,9,0)</f>
        <v>BKFS LOGISTICS</v>
      </c>
      <c r="F288" s="1" t="str">
        <f>VLOOKUP(C288,'Master truck list'!E:G,3,0)</f>
        <v>Company</v>
      </c>
      <c r="G288" s="1">
        <f>VLOOKUP(C288,'Master truck list'!E:R,14,0)</f>
        <v>2386</v>
      </c>
      <c r="H288" t="str">
        <f t="shared" si="126"/>
        <v>12/19/2019 7:00:35 AM</v>
      </c>
      <c r="I288" t="str">
        <f>""</f>
        <v/>
      </c>
      <c r="J288" t="str">
        <f t="shared" si="109"/>
        <v>Elite</v>
      </c>
      <c r="K288" t="str">
        <f t="shared" si="123"/>
        <v>Device</v>
      </c>
      <c r="L288" t="str">
        <f>"777215987"</f>
        <v>777215987</v>
      </c>
      <c r="M288" t="str">
        <f>"16551109"</f>
        <v>16551109</v>
      </c>
      <c r="N288" t="str">
        <f>"19323-20"</f>
        <v>19323-20</v>
      </c>
      <c r="O288" t="str">
        <f t="shared" si="110"/>
        <v>TEXAS</v>
      </c>
      <c r="P288" t="str">
        <f t="shared" si="111"/>
        <v>N A</v>
      </c>
      <c r="Q288" t="str">
        <f t="shared" si="112"/>
        <v>N/A</v>
      </c>
      <c r="R288" t="str">
        <f>"45SE MLPEB 02 611"</f>
        <v>45SE MLPEB 02 611</v>
      </c>
      <c r="S288" t="str">
        <f>"12/17/2019 11:42:03 PM"</f>
        <v>12/17/2019 11:42:03 PM</v>
      </c>
      <c r="T288" t="str">
        <f>"5"</f>
        <v>5</v>
      </c>
      <c r="U288" t="str">
        <f t="shared" si="113"/>
        <v>N/A</v>
      </c>
      <c r="V288" t="str">
        <f>"3.3000"</f>
        <v>3.3000</v>
      </c>
    </row>
    <row r="289" spans="1:22" x14ac:dyDescent="0.25">
      <c r="A289" s="1" t="str">
        <f t="shared" si="107"/>
        <v>19323</v>
      </c>
      <c r="B289" s="1" t="str">
        <f t="shared" si="114"/>
        <v>19323</v>
      </c>
      <c r="C289" s="1" t="str">
        <f>VLOOKUP(B289,'Master truck list'!D:E,2,0)</f>
        <v>19323-20</v>
      </c>
      <c r="D289" s="1" t="str">
        <f>VLOOKUP(C289,'Master truck list'!E:F,2,0)</f>
        <v>ACTIVE</v>
      </c>
      <c r="E289" s="1" t="str">
        <f>VLOOKUP(C289,'Master truck list'!E:M,9,0)</f>
        <v>BKFS LOGISTICS</v>
      </c>
      <c r="F289" s="1" t="str">
        <f>VLOOKUP(C289,'Master truck list'!E:G,3,0)</f>
        <v>Company</v>
      </c>
      <c r="G289" s="1">
        <f>VLOOKUP(C289,'Master truck list'!E:R,14,0)</f>
        <v>2386</v>
      </c>
      <c r="H289" t="str">
        <f t="shared" si="126"/>
        <v>12/19/2019 7:00:35 AM</v>
      </c>
      <c r="I289" t="str">
        <f>""</f>
        <v/>
      </c>
      <c r="J289" t="str">
        <f t="shared" si="109"/>
        <v>Elite</v>
      </c>
      <c r="K289" t="str">
        <f t="shared" si="123"/>
        <v>Device</v>
      </c>
      <c r="L289" t="str">
        <f>"777215987"</f>
        <v>777215987</v>
      </c>
      <c r="M289" t="str">
        <f>"16551109"</f>
        <v>16551109</v>
      </c>
      <c r="N289" t="str">
        <f>"19323-20"</f>
        <v>19323-20</v>
      </c>
      <c r="O289" t="str">
        <f t="shared" si="110"/>
        <v>TEXAS</v>
      </c>
      <c r="P289" t="str">
        <f t="shared" si="111"/>
        <v>N A</v>
      </c>
      <c r="Q289" t="str">
        <f t="shared" si="112"/>
        <v>N/A</v>
      </c>
      <c r="R289" t="str">
        <f>"130 CMRNP 13 306"</f>
        <v>130 CMRNP 13 306</v>
      </c>
      <c r="S289" t="str">
        <f>"12/18/2019 12:12:42 AM"</f>
        <v>12/18/2019 12:12:42 AM</v>
      </c>
      <c r="T289" t="str">
        <f>"2"</f>
        <v>2</v>
      </c>
      <c r="U289" t="str">
        <f t="shared" si="113"/>
        <v>N/A</v>
      </c>
      <c r="V289" t="str">
        <f>"1.8500"</f>
        <v>1.8500</v>
      </c>
    </row>
    <row r="290" spans="1:22" x14ac:dyDescent="0.25">
      <c r="A290" s="1" t="str">
        <f t="shared" si="107"/>
        <v>5041-</v>
      </c>
      <c r="B290" s="1" t="str">
        <f t="shared" si="114"/>
        <v>5041-</v>
      </c>
      <c r="C290" s="1" t="str">
        <f>VLOOKUP(B290,'Master truck list'!D:E,2,0)</f>
        <v>5041-20</v>
      </c>
      <c r="D290" s="1" t="str">
        <f>VLOOKUP(C290,'Master truck list'!E:F,2,0)</f>
        <v>ACTIVE</v>
      </c>
      <c r="E290" s="1" t="str">
        <f>VLOOKUP(C290,'Master truck list'!E:M,9,0)</f>
        <v>BNK TRANSPORT INC</v>
      </c>
      <c r="F290" s="1" t="str">
        <f>VLOOKUP(C290,'Master truck list'!E:G,3,0)</f>
        <v>Company</v>
      </c>
      <c r="G290" s="1">
        <f>VLOOKUP(C290,'Master truck list'!E:R,14,0)</f>
        <v>2305</v>
      </c>
      <c r="H290" t="str">
        <f t="shared" si="126"/>
        <v>12/19/2019 7:00:35 AM</v>
      </c>
      <c r="I290" t="str">
        <f>""</f>
        <v/>
      </c>
      <c r="J290" t="str">
        <f t="shared" si="109"/>
        <v>Elite</v>
      </c>
      <c r="K290" t="str">
        <f t="shared" si="123"/>
        <v>Device</v>
      </c>
      <c r="L290" t="str">
        <f t="shared" ref="L290:L304" si="127">"777173822"</f>
        <v>777173822</v>
      </c>
      <c r="M290" t="str">
        <f t="shared" ref="M290:M304" si="128">"16483548"</f>
        <v>16483548</v>
      </c>
      <c r="N290" t="str">
        <f t="shared" ref="N290:N304" si="129">"5041-20"</f>
        <v>5041-20</v>
      </c>
      <c r="O290" t="str">
        <f t="shared" si="110"/>
        <v>TEXAS</v>
      </c>
      <c r="P290" t="str">
        <f t="shared" si="111"/>
        <v>N A</v>
      </c>
      <c r="Q290" t="str">
        <f t="shared" si="112"/>
        <v>N/A</v>
      </c>
      <c r="R290" t="str">
        <f>"130 CMRNP 08 306"</f>
        <v>130 CMRNP 08 306</v>
      </c>
      <c r="S290" t="str">
        <f>"12/18/2019 6:32:40 PM"</f>
        <v>12/18/2019 6:32:40 PM</v>
      </c>
      <c r="T290" t="str">
        <f t="shared" ref="T290:T308" si="130">"5"</f>
        <v>5</v>
      </c>
      <c r="U290" t="str">
        <f t="shared" si="113"/>
        <v>N/A</v>
      </c>
      <c r="V290" t="str">
        <f>"5.5500"</f>
        <v>5.5500</v>
      </c>
    </row>
    <row r="291" spans="1:22" x14ac:dyDescent="0.25">
      <c r="A291" s="1" t="str">
        <f t="shared" si="107"/>
        <v>5041-</v>
      </c>
      <c r="B291" s="1" t="str">
        <f t="shared" si="114"/>
        <v>5041-</v>
      </c>
      <c r="C291" s="1" t="str">
        <f>VLOOKUP(B291,'Master truck list'!D:E,2,0)</f>
        <v>5041-20</v>
      </c>
      <c r="D291" s="1" t="str">
        <f>VLOOKUP(C291,'Master truck list'!E:F,2,0)</f>
        <v>ACTIVE</v>
      </c>
      <c r="E291" s="1" t="str">
        <f>VLOOKUP(C291,'Master truck list'!E:M,9,0)</f>
        <v>BNK TRANSPORT INC</v>
      </c>
      <c r="F291" s="1" t="str">
        <f>VLOOKUP(C291,'Master truck list'!E:G,3,0)</f>
        <v>Company</v>
      </c>
      <c r="G291" s="1">
        <f>VLOOKUP(C291,'Master truck list'!E:R,14,0)</f>
        <v>2305</v>
      </c>
      <c r="H291" t="str">
        <f t="shared" si="126"/>
        <v>12/19/2019 7:00:35 AM</v>
      </c>
      <c r="I291" t="str">
        <f>""</f>
        <v/>
      </c>
      <c r="J291" t="str">
        <f t="shared" si="109"/>
        <v>Elite</v>
      </c>
      <c r="K291" t="str">
        <f t="shared" si="123"/>
        <v>Device</v>
      </c>
      <c r="L291" t="str">
        <f t="shared" si="127"/>
        <v>777173822</v>
      </c>
      <c r="M291" t="str">
        <f t="shared" si="128"/>
        <v>16483548</v>
      </c>
      <c r="N291" t="str">
        <f t="shared" si="129"/>
        <v>5041-20</v>
      </c>
      <c r="O291" t="str">
        <f t="shared" si="110"/>
        <v>TEXAS</v>
      </c>
      <c r="P291" t="str">
        <f t="shared" si="111"/>
        <v>N A</v>
      </c>
      <c r="Q291" t="str">
        <f t="shared" si="112"/>
        <v>N/A</v>
      </c>
      <c r="R291" t="str">
        <f>"130 ARPTP 04 308"</f>
        <v>130 ARPTP 04 308</v>
      </c>
      <c r="S291" t="str">
        <f>"12/18/2019 6:49:59 PM"</f>
        <v>12/18/2019 6:49:59 PM</v>
      </c>
      <c r="T291" t="str">
        <f t="shared" si="130"/>
        <v>5</v>
      </c>
      <c r="U291" t="str">
        <f t="shared" si="113"/>
        <v>N/A</v>
      </c>
      <c r="V291" t="str">
        <f>"5.5500"</f>
        <v>5.5500</v>
      </c>
    </row>
    <row r="292" spans="1:22" x14ac:dyDescent="0.25">
      <c r="A292" s="1" t="str">
        <f t="shared" si="107"/>
        <v>5041-</v>
      </c>
      <c r="B292" s="1" t="str">
        <f t="shared" si="114"/>
        <v>5041-</v>
      </c>
      <c r="C292" s="1" t="str">
        <f>VLOOKUP(B292,'Master truck list'!D:E,2,0)</f>
        <v>5041-20</v>
      </c>
      <c r="D292" s="1" t="str">
        <f>VLOOKUP(C292,'Master truck list'!E:F,2,0)</f>
        <v>ACTIVE</v>
      </c>
      <c r="E292" s="1" t="str">
        <f>VLOOKUP(C292,'Master truck list'!E:M,9,0)</f>
        <v>BNK TRANSPORT INC</v>
      </c>
      <c r="F292" s="1" t="str">
        <f>VLOOKUP(C292,'Master truck list'!E:G,3,0)</f>
        <v>Company</v>
      </c>
      <c r="G292" s="1">
        <f>VLOOKUP(C292,'Master truck list'!E:R,14,0)</f>
        <v>2305</v>
      </c>
      <c r="H292" t="str">
        <f>"12/17/2019 7:00:33 AM"</f>
        <v>12/17/2019 7:00:33 AM</v>
      </c>
      <c r="I292" t="str">
        <f>""</f>
        <v/>
      </c>
      <c r="J292" t="str">
        <f t="shared" si="109"/>
        <v>Elite</v>
      </c>
      <c r="K292" t="str">
        <f t="shared" si="123"/>
        <v>Device</v>
      </c>
      <c r="L292" t="str">
        <f t="shared" si="127"/>
        <v>777173822</v>
      </c>
      <c r="M292" t="str">
        <f t="shared" si="128"/>
        <v>16483548</v>
      </c>
      <c r="N292" t="str">
        <f t="shared" si="129"/>
        <v>5041-20</v>
      </c>
      <c r="O292" t="str">
        <f t="shared" si="110"/>
        <v>TEXAS</v>
      </c>
      <c r="P292" t="str">
        <f t="shared" si="111"/>
        <v>N A</v>
      </c>
      <c r="Q292" t="str">
        <f t="shared" si="112"/>
        <v>N/A</v>
      </c>
      <c r="R292" t="str">
        <f>"130 DKCRP 11 307"</f>
        <v>130 DKCRP 11 307</v>
      </c>
      <c r="S292" t="str">
        <f>"12/16/2019 3:29:38 PM"</f>
        <v>12/16/2019 3:29:38 PM</v>
      </c>
      <c r="T292" t="str">
        <f t="shared" si="130"/>
        <v>5</v>
      </c>
      <c r="U292" t="str">
        <f t="shared" si="113"/>
        <v>N/A</v>
      </c>
      <c r="V292" t="str">
        <f>"5.5500"</f>
        <v>5.5500</v>
      </c>
    </row>
    <row r="293" spans="1:22" x14ac:dyDescent="0.25">
      <c r="A293" s="1" t="str">
        <f t="shared" si="107"/>
        <v>5041-</v>
      </c>
      <c r="B293" s="1" t="str">
        <f t="shared" si="114"/>
        <v>5041-</v>
      </c>
      <c r="C293" s="1" t="str">
        <f>VLOOKUP(B293,'Master truck list'!D:E,2,0)</f>
        <v>5041-20</v>
      </c>
      <c r="D293" s="1" t="str">
        <f>VLOOKUP(C293,'Master truck list'!E:F,2,0)</f>
        <v>ACTIVE</v>
      </c>
      <c r="E293" s="1" t="str">
        <f>VLOOKUP(C293,'Master truck list'!E:M,9,0)</f>
        <v>BNK TRANSPORT INC</v>
      </c>
      <c r="F293" s="1" t="str">
        <f>VLOOKUP(C293,'Master truck list'!E:G,3,0)</f>
        <v>Company</v>
      </c>
      <c r="G293" s="1">
        <f>VLOOKUP(C293,'Master truck list'!E:R,14,0)</f>
        <v>2305</v>
      </c>
      <c r="H293" t="str">
        <f>"12/17/2019 7:00:33 AM"</f>
        <v>12/17/2019 7:00:33 AM</v>
      </c>
      <c r="I293" t="str">
        <f>""</f>
        <v/>
      </c>
      <c r="J293" t="str">
        <f t="shared" si="109"/>
        <v>Elite</v>
      </c>
      <c r="K293" t="str">
        <f t="shared" si="123"/>
        <v>Device</v>
      </c>
      <c r="L293" t="str">
        <f t="shared" si="127"/>
        <v>777173822</v>
      </c>
      <c r="M293" t="str">
        <f t="shared" si="128"/>
        <v>16483548</v>
      </c>
      <c r="N293" t="str">
        <f t="shared" si="129"/>
        <v>5041-20</v>
      </c>
      <c r="O293" t="str">
        <f t="shared" si="110"/>
        <v>TEXAS</v>
      </c>
      <c r="P293" t="str">
        <f t="shared" si="111"/>
        <v>N A</v>
      </c>
      <c r="Q293" t="str">
        <f t="shared" si="112"/>
        <v>N/A</v>
      </c>
      <c r="R293" t="str">
        <f>"130 MGCRP 11 305"</f>
        <v>130 MGCRP 11 305</v>
      </c>
      <c r="S293" t="str">
        <f>"12/16/2019 3:50:59 PM"</f>
        <v>12/16/2019 3:50:59 PM</v>
      </c>
      <c r="T293" t="str">
        <f t="shared" si="130"/>
        <v>5</v>
      </c>
      <c r="U293" t="str">
        <f t="shared" si="113"/>
        <v>N/A</v>
      </c>
      <c r="V293" t="str">
        <f>"5.5500"</f>
        <v>5.5500</v>
      </c>
    </row>
    <row r="294" spans="1:22" x14ac:dyDescent="0.25">
      <c r="A294" s="1" t="str">
        <f t="shared" si="107"/>
        <v>5041-</v>
      </c>
      <c r="B294" s="1" t="str">
        <f t="shared" si="114"/>
        <v>5041-</v>
      </c>
      <c r="C294" s="1" t="str">
        <f>VLOOKUP(B294,'Master truck list'!D:E,2,0)</f>
        <v>5041-20</v>
      </c>
      <c r="D294" s="1" t="str">
        <f>VLOOKUP(C294,'Master truck list'!E:F,2,0)</f>
        <v>ACTIVE</v>
      </c>
      <c r="E294" s="1" t="str">
        <f>VLOOKUP(C294,'Master truck list'!E:M,9,0)</f>
        <v>BNK TRANSPORT INC</v>
      </c>
      <c r="F294" s="1" t="str">
        <f>VLOOKUP(C294,'Master truck list'!E:G,3,0)</f>
        <v>Company</v>
      </c>
      <c r="G294" s="1">
        <f>VLOOKUP(C294,'Master truck list'!E:R,14,0)</f>
        <v>2305</v>
      </c>
      <c r="H294" t="str">
        <f>"12/17/2019 7:00:33 AM"</f>
        <v>12/17/2019 7:00:33 AM</v>
      </c>
      <c r="I294" t="str">
        <f>""</f>
        <v/>
      </c>
      <c r="J294" t="str">
        <f t="shared" si="109"/>
        <v>Elite</v>
      </c>
      <c r="K294" t="str">
        <f t="shared" si="123"/>
        <v>Device</v>
      </c>
      <c r="L294" t="str">
        <f t="shared" si="127"/>
        <v>777173822</v>
      </c>
      <c r="M294" t="str">
        <f t="shared" si="128"/>
        <v>16483548</v>
      </c>
      <c r="N294" t="str">
        <f t="shared" si="129"/>
        <v>5041-20</v>
      </c>
      <c r="O294" t="str">
        <f t="shared" si="110"/>
        <v>TEXAS</v>
      </c>
      <c r="P294" t="str">
        <f t="shared" si="111"/>
        <v>N A</v>
      </c>
      <c r="Q294" t="str">
        <f t="shared" si="112"/>
        <v>N/A</v>
      </c>
      <c r="R294" t="str">
        <f>"45SE MLPEB 02 611"</f>
        <v>45SE MLPEB 02 611</v>
      </c>
      <c r="S294" t="str">
        <f>"12/16/2019 3:12:04 PM"</f>
        <v>12/16/2019 3:12:04 PM</v>
      </c>
      <c r="T294" t="str">
        <f t="shared" si="130"/>
        <v>5</v>
      </c>
      <c r="U294" t="str">
        <f t="shared" si="113"/>
        <v>N/A</v>
      </c>
      <c r="V294" t="str">
        <f>"3.3000"</f>
        <v>3.3000</v>
      </c>
    </row>
    <row r="295" spans="1:22" x14ac:dyDescent="0.25">
      <c r="A295" s="1" t="str">
        <f t="shared" si="107"/>
        <v>5041-</v>
      </c>
      <c r="B295" s="1" t="str">
        <f t="shared" si="114"/>
        <v>5041-</v>
      </c>
      <c r="C295" s="1" t="str">
        <f>VLOOKUP(B295,'Master truck list'!D:E,2,0)</f>
        <v>5041-20</v>
      </c>
      <c r="D295" s="1" t="str">
        <f>VLOOKUP(C295,'Master truck list'!E:F,2,0)</f>
        <v>ACTIVE</v>
      </c>
      <c r="E295" s="1" t="str">
        <f>VLOOKUP(C295,'Master truck list'!E:M,9,0)</f>
        <v>BNK TRANSPORT INC</v>
      </c>
      <c r="F295" s="1" t="str">
        <f>VLOOKUP(C295,'Master truck list'!E:G,3,0)</f>
        <v>Company</v>
      </c>
      <c r="G295" s="1">
        <f>VLOOKUP(C295,'Master truck list'!E:R,14,0)</f>
        <v>2305</v>
      </c>
      <c r="H295" t="str">
        <f>"12/17/2019 7:00:33 AM"</f>
        <v>12/17/2019 7:00:33 AM</v>
      </c>
      <c r="I295" t="str">
        <f>""</f>
        <v/>
      </c>
      <c r="J295" t="str">
        <f t="shared" si="109"/>
        <v>Elite</v>
      </c>
      <c r="K295" t="str">
        <f t="shared" si="123"/>
        <v>Device</v>
      </c>
      <c r="L295" t="str">
        <f t="shared" si="127"/>
        <v>777173822</v>
      </c>
      <c r="M295" t="str">
        <f t="shared" si="128"/>
        <v>16483548</v>
      </c>
      <c r="N295" t="str">
        <f t="shared" si="129"/>
        <v>5041-20</v>
      </c>
      <c r="O295" t="str">
        <f t="shared" si="110"/>
        <v>TEXAS</v>
      </c>
      <c r="P295" t="str">
        <f t="shared" si="111"/>
        <v>N A</v>
      </c>
      <c r="Q295" t="str">
        <f t="shared" si="112"/>
        <v>N/A</v>
      </c>
      <c r="R295" t="str">
        <f>"130 ARPTP 09 308"</f>
        <v>130 ARPTP 09 308</v>
      </c>
      <c r="S295" t="str">
        <f>"12/16/2019 3:22:41 PM"</f>
        <v>12/16/2019 3:22:41 PM</v>
      </c>
      <c r="T295" t="str">
        <f t="shared" si="130"/>
        <v>5</v>
      </c>
      <c r="U295" t="str">
        <f t="shared" si="113"/>
        <v>N/A</v>
      </c>
      <c r="V295" t="str">
        <f>"5.5500"</f>
        <v>5.5500</v>
      </c>
    </row>
    <row r="296" spans="1:22" x14ac:dyDescent="0.25">
      <c r="A296" s="1" t="str">
        <f t="shared" si="107"/>
        <v>5041-</v>
      </c>
      <c r="B296" s="1" t="str">
        <f t="shared" si="114"/>
        <v>5041-</v>
      </c>
      <c r="C296" s="1" t="str">
        <f>VLOOKUP(B296,'Master truck list'!D:E,2,0)</f>
        <v>5041-20</v>
      </c>
      <c r="D296" s="1" t="str">
        <f>VLOOKUP(C296,'Master truck list'!E:F,2,0)</f>
        <v>ACTIVE</v>
      </c>
      <c r="E296" s="1" t="str">
        <f>VLOOKUP(C296,'Master truck list'!E:M,9,0)</f>
        <v>BNK TRANSPORT INC</v>
      </c>
      <c r="F296" s="1" t="str">
        <f>VLOOKUP(C296,'Master truck list'!E:G,3,0)</f>
        <v>Company</v>
      </c>
      <c r="G296" s="1">
        <f>VLOOKUP(C296,'Master truck list'!E:R,14,0)</f>
        <v>2305</v>
      </c>
      <c r="H296" t="str">
        <f>"12/17/2019 7:00:33 AM"</f>
        <v>12/17/2019 7:00:33 AM</v>
      </c>
      <c r="I296" t="str">
        <f>""</f>
        <v/>
      </c>
      <c r="J296" t="str">
        <f t="shared" si="109"/>
        <v>Elite</v>
      </c>
      <c r="K296" t="str">
        <f t="shared" si="123"/>
        <v>Device</v>
      </c>
      <c r="L296" t="str">
        <f t="shared" si="127"/>
        <v>777173822</v>
      </c>
      <c r="M296" t="str">
        <f t="shared" si="128"/>
        <v>16483548</v>
      </c>
      <c r="N296" t="str">
        <f t="shared" si="129"/>
        <v>5041-20</v>
      </c>
      <c r="O296" t="str">
        <f t="shared" si="110"/>
        <v>TEXAS</v>
      </c>
      <c r="P296" t="str">
        <f t="shared" si="111"/>
        <v>N A</v>
      </c>
      <c r="Q296" t="str">
        <f t="shared" si="112"/>
        <v>N/A</v>
      </c>
      <c r="R296" t="str">
        <f>"130 CMRNP 13 306"</f>
        <v>130 CMRNP 13 306</v>
      </c>
      <c r="S296" t="str">
        <f>"12/16/2019 3:39:54 PM"</f>
        <v>12/16/2019 3:39:54 PM</v>
      </c>
      <c r="T296" t="str">
        <f t="shared" si="130"/>
        <v>5</v>
      </c>
      <c r="U296" t="str">
        <f t="shared" si="113"/>
        <v>N/A</v>
      </c>
      <c r="V296" t="str">
        <f>"5.5500"</f>
        <v>5.5500</v>
      </c>
    </row>
    <row r="297" spans="1:22" x14ac:dyDescent="0.25">
      <c r="A297" s="1" t="str">
        <f t="shared" si="107"/>
        <v>5041-</v>
      </c>
      <c r="B297" s="1" t="str">
        <f t="shared" si="114"/>
        <v>5041-</v>
      </c>
      <c r="C297" s="1" t="str">
        <f>VLOOKUP(B297,'Master truck list'!D:E,2,0)</f>
        <v>5041-20</v>
      </c>
      <c r="D297" s="1" t="str">
        <f>VLOOKUP(C297,'Master truck list'!E:F,2,0)</f>
        <v>ACTIVE</v>
      </c>
      <c r="E297" s="1" t="str">
        <f>VLOOKUP(C297,'Master truck list'!E:M,9,0)</f>
        <v>BNK TRANSPORT INC</v>
      </c>
      <c r="F297" s="1" t="str">
        <f>VLOOKUP(C297,'Master truck list'!E:G,3,0)</f>
        <v>Company</v>
      </c>
      <c r="G297" s="1">
        <f>VLOOKUP(C297,'Master truck list'!E:R,14,0)</f>
        <v>2305</v>
      </c>
      <c r="H297" t="str">
        <f>"12/19/2019 7:00:35 AM"</f>
        <v>12/19/2019 7:00:35 AM</v>
      </c>
      <c r="I297" t="str">
        <f>""</f>
        <v/>
      </c>
      <c r="J297" t="str">
        <f t="shared" si="109"/>
        <v>Elite</v>
      </c>
      <c r="K297" t="str">
        <f t="shared" si="123"/>
        <v>Device</v>
      </c>
      <c r="L297" t="str">
        <f t="shared" si="127"/>
        <v>777173822</v>
      </c>
      <c r="M297" t="str">
        <f t="shared" si="128"/>
        <v>16483548</v>
      </c>
      <c r="N297" t="str">
        <f t="shared" si="129"/>
        <v>5041-20</v>
      </c>
      <c r="O297" t="str">
        <f t="shared" si="110"/>
        <v>TEXAS</v>
      </c>
      <c r="P297" t="str">
        <f t="shared" si="111"/>
        <v>N A</v>
      </c>
      <c r="Q297" t="str">
        <f t="shared" si="112"/>
        <v>N/A</v>
      </c>
      <c r="R297" t="str">
        <f>"130 DKCRP 06 307"</f>
        <v>130 DKCRP 06 307</v>
      </c>
      <c r="S297" t="str">
        <f>"12/18/2019 6:42:51 PM"</f>
        <v>12/18/2019 6:42:51 PM</v>
      </c>
      <c r="T297" t="str">
        <f t="shared" si="130"/>
        <v>5</v>
      </c>
      <c r="U297" t="str">
        <f t="shared" si="113"/>
        <v>N/A</v>
      </c>
      <c r="V297" t="str">
        <f>"5.5500"</f>
        <v>5.5500</v>
      </c>
    </row>
    <row r="298" spans="1:22" x14ac:dyDescent="0.25">
      <c r="A298" s="1" t="str">
        <f t="shared" si="107"/>
        <v>5041-</v>
      </c>
      <c r="B298" s="1" t="str">
        <f t="shared" si="114"/>
        <v>5041-</v>
      </c>
      <c r="C298" s="1" t="str">
        <f>VLOOKUP(B298,'Master truck list'!D:E,2,0)</f>
        <v>5041-20</v>
      </c>
      <c r="D298" s="1" t="str">
        <f>VLOOKUP(C298,'Master truck list'!E:F,2,0)</f>
        <v>ACTIVE</v>
      </c>
      <c r="E298" s="1" t="str">
        <f>VLOOKUP(C298,'Master truck list'!E:M,9,0)</f>
        <v>BNK TRANSPORT INC</v>
      </c>
      <c r="F298" s="1" t="str">
        <f>VLOOKUP(C298,'Master truck list'!E:G,3,0)</f>
        <v>Company</v>
      </c>
      <c r="G298" s="1">
        <f>VLOOKUP(C298,'Master truck list'!E:R,14,0)</f>
        <v>2305</v>
      </c>
      <c r="H298" t="str">
        <f>"12/19/2019 7:00:35 AM"</f>
        <v>12/19/2019 7:00:35 AM</v>
      </c>
      <c r="I298" t="str">
        <f>""</f>
        <v/>
      </c>
      <c r="J298" t="str">
        <f t="shared" si="109"/>
        <v>Elite</v>
      </c>
      <c r="K298" t="str">
        <f t="shared" si="123"/>
        <v>Device</v>
      </c>
      <c r="L298" t="str">
        <f t="shared" si="127"/>
        <v>777173822</v>
      </c>
      <c r="M298" t="str">
        <f t="shared" si="128"/>
        <v>16483548</v>
      </c>
      <c r="N298" t="str">
        <f t="shared" si="129"/>
        <v>5041-20</v>
      </c>
      <c r="O298" t="str">
        <f t="shared" si="110"/>
        <v>TEXAS</v>
      </c>
      <c r="P298" t="str">
        <f t="shared" si="111"/>
        <v>N A</v>
      </c>
      <c r="Q298" t="str">
        <f t="shared" si="112"/>
        <v>N/A</v>
      </c>
      <c r="R298" t="str">
        <f>"130 MGCRP 06 305"</f>
        <v>130 MGCRP 06 305</v>
      </c>
      <c r="S298" t="str">
        <f>"12/18/2019 6:21:02 PM"</f>
        <v>12/18/2019 6:21:02 PM</v>
      </c>
      <c r="T298" t="str">
        <f t="shared" si="130"/>
        <v>5</v>
      </c>
      <c r="U298" t="str">
        <f t="shared" si="113"/>
        <v>N/A</v>
      </c>
      <c r="V298" t="str">
        <f>"5.5500"</f>
        <v>5.5500</v>
      </c>
    </row>
    <row r="299" spans="1:22" x14ac:dyDescent="0.25">
      <c r="A299" s="1" t="str">
        <f t="shared" si="107"/>
        <v>5041-</v>
      </c>
      <c r="B299" s="1" t="str">
        <f t="shared" si="114"/>
        <v>5041-</v>
      </c>
      <c r="C299" s="1" t="str">
        <f>VLOOKUP(B299,'Master truck list'!D:E,2,0)</f>
        <v>5041-20</v>
      </c>
      <c r="D299" s="1" t="str">
        <f>VLOOKUP(C299,'Master truck list'!E:F,2,0)</f>
        <v>ACTIVE</v>
      </c>
      <c r="E299" s="1" t="str">
        <f>VLOOKUP(C299,'Master truck list'!E:M,9,0)</f>
        <v>BNK TRANSPORT INC</v>
      </c>
      <c r="F299" s="1" t="str">
        <f>VLOOKUP(C299,'Master truck list'!E:G,3,0)</f>
        <v>Company</v>
      </c>
      <c r="G299" s="1">
        <f>VLOOKUP(C299,'Master truck list'!E:R,14,0)</f>
        <v>2305</v>
      </c>
      <c r="H299" t="str">
        <f>"12/19/2019 7:00:35 AM"</f>
        <v>12/19/2019 7:00:35 AM</v>
      </c>
      <c r="I299" t="str">
        <f>""</f>
        <v/>
      </c>
      <c r="J299" t="str">
        <f t="shared" si="109"/>
        <v>Elite</v>
      </c>
      <c r="K299" t="str">
        <f t="shared" si="123"/>
        <v>Device</v>
      </c>
      <c r="L299" t="str">
        <f t="shared" si="127"/>
        <v>777173822</v>
      </c>
      <c r="M299" t="str">
        <f t="shared" si="128"/>
        <v>16483548</v>
      </c>
      <c r="N299" t="str">
        <f t="shared" si="129"/>
        <v>5041-20</v>
      </c>
      <c r="O299" t="str">
        <f t="shared" si="110"/>
        <v>TEXAS</v>
      </c>
      <c r="P299" t="str">
        <f t="shared" si="111"/>
        <v>N A</v>
      </c>
      <c r="Q299" t="str">
        <f t="shared" si="112"/>
        <v>N/A</v>
      </c>
      <c r="R299" t="str">
        <f>"45SE MLPWB 01 611"</f>
        <v>45SE MLPWB 01 611</v>
      </c>
      <c r="S299" t="str">
        <f>"12/18/2019 7:00:41 PM"</f>
        <v>12/18/2019 7:00:41 PM</v>
      </c>
      <c r="T299" t="str">
        <f t="shared" si="130"/>
        <v>5</v>
      </c>
      <c r="U299" t="str">
        <f t="shared" si="113"/>
        <v>N/A</v>
      </c>
      <c r="V299" t="str">
        <f>"3.3000"</f>
        <v>3.3000</v>
      </c>
    </row>
    <row r="300" spans="1:22" x14ac:dyDescent="0.25">
      <c r="A300" s="1" t="str">
        <f t="shared" si="107"/>
        <v>5041-</v>
      </c>
      <c r="B300" s="1" t="str">
        <f t="shared" si="114"/>
        <v>5041-</v>
      </c>
      <c r="C300" s="1" t="str">
        <f>VLOOKUP(B300,'Master truck list'!D:E,2,0)</f>
        <v>5041-20</v>
      </c>
      <c r="D300" s="1" t="str">
        <f>VLOOKUP(C300,'Master truck list'!E:F,2,0)</f>
        <v>ACTIVE</v>
      </c>
      <c r="E300" s="1" t="str">
        <f>VLOOKUP(C300,'Master truck list'!E:M,9,0)</f>
        <v>BNK TRANSPORT INC</v>
      </c>
      <c r="F300" s="1" t="str">
        <f>VLOOKUP(C300,'Master truck list'!E:G,3,0)</f>
        <v>Company</v>
      </c>
      <c r="G300" s="1">
        <f>VLOOKUP(C300,'Master truck list'!E:R,14,0)</f>
        <v>2305</v>
      </c>
      <c r="H300" t="str">
        <f>"12/20/2019 7:00:30 AM"</f>
        <v>12/20/2019 7:00:30 AM</v>
      </c>
      <c r="I300" t="str">
        <f>""</f>
        <v/>
      </c>
      <c r="J300" t="str">
        <f t="shared" si="109"/>
        <v>Elite</v>
      </c>
      <c r="K300" t="str">
        <f t="shared" si="123"/>
        <v>Device</v>
      </c>
      <c r="L300" t="str">
        <f t="shared" si="127"/>
        <v>777173822</v>
      </c>
      <c r="M300" t="str">
        <f t="shared" si="128"/>
        <v>16483548</v>
      </c>
      <c r="N300" t="str">
        <f t="shared" si="129"/>
        <v>5041-20</v>
      </c>
      <c r="O300" t="str">
        <f t="shared" si="110"/>
        <v>TEXAS</v>
      </c>
      <c r="P300" t="str">
        <f t="shared" si="111"/>
        <v>N A</v>
      </c>
      <c r="Q300" t="str">
        <f t="shared" si="112"/>
        <v>N/A</v>
      </c>
      <c r="R300" t="str">
        <f>"130 ARPTP 09 308"</f>
        <v>130 ARPTP 09 308</v>
      </c>
      <c r="S300" t="str">
        <f>"12/19/2019 7:33:59 PM"</f>
        <v>12/19/2019 7:33:59 PM</v>
      </c>
      <c r="T300" t="str">
        <f t="shared" si="130"/>
        <v>5</v>
      </c>
      <c r="U300" t="str">
        <f t="shared" si="113"/>
        <v>N/A</v>
      </c>
      <c r="V300" t="str">
        <f>"5.5500"</f>
        <v>5.5500</v>
      </c>
    </row>
    <row r="301" spans="1:22" x14ac:dyDescent="0.25">
      <c r="A301" s="1" t="str">
        <f t="shared" si="107"/>
        <v>5041-</v>
      </c>
      <c r="B301" s="1" t="str">
        <f t="shared" si="114"/>
        <v>5041-</v>
      </c>
      <c r="C301" s="1" t="str">
        <f>VLOOKUP(B301,'Master truck list'!D:E,2,0)</f>
        <v>5041-20</v>
      </c>
      <c r="D301" s="1" t="str">
        <f>VLOOKUP(C301,'Master truck list'!E:F,2,0)</f>
        <v>ACTIVE</v>
      </c>
      <c r="E301" s="1" t="str">
        <f>VLOOKUP(C301,'Master truck list'!E:M,9,0)</f>
        <v>BNK TRANSPORT INC</v>
      </c>
      <c r="F301" s="1" t="str">
        <f>VLOOKUP(C301,'Master truck list'!E:G,3,0)</f>
        <v>Company</v>
      </c>
      <c r="G301" s="1">
        <f>VLOOKUP(C301,'Master truck list'!E:R,14,0)</f>
        <v>2305</v>
      </c>
      <c r="H301" t="str">
        <f>"12/20/2019 7:00:30 AM"</f>
        <v>12/20/2019 7:00:30 AM</v>
      </c>
      <c r="I301" t="str">
        <f>""</f>
        <v/>
      </c>
      <c r="J301" t="str">
        <f t="shared" si="109"/>
        <v>Elite</v>
      </c>
      <c r="K301" t="str">
        <f t="shared" si="123"/>
        <v>Device</v>
      </c>
      <c r="L301" t="str">
        <f t="shared" si="127"/>
        <v>777173822</v>
      </c>
      <c r="M301" t="str">
        <f t="shared" si="128"/>
        <v>16483548</v>
      </c>
      <c r="N301" t="str">
        <f t="shared" si="129"/>
        <v>5041-20</v>
      </c>
      <c r="O301" t="str">
        <f t="shared" si="110"/>
        <v>TEXAS</v>
      </c>
      <c r="P301" t="str">
        <f t="shared" si="111"/>
        <v>N A</v>
      </c>
      <c r="Q301" t="str">
        <f t="shared" si="112"/>
        <v>N/A</v>
      </c>
      <c r="R301" t="str">
        <f>"130 CMRNP 13 306"</f>
        <v>130 CMRNP 13 306</v>
      </c>
      <c r="S301" t="str">
        <f>"12/19/2019 7:51:32 PM"</f>
        <v>12/19/2019 7:51:32 PM</v>
      </c>
      <c r="T301" t="str">
        <f t="shared" si="130"/>
        <v>5</v>
      </c>
      <c r="U301" t="str">
        <f t="shared" si="113"/>
        <v>N/A</v>
      </c>
      <c r="V301" t="str">
        <f>"5.5500"</f>
        <v>5.5500</v>
      </c>
    </row>
    <row r="302" spans="1:22" x14ac:dyDescent="0.25">
      <c r="A302" s="1" t="str">
        <f t="shared" si="107"/>
        <v>5041-</v>
      </c>
      <c r="B302" s="1" t="str">
        <f t="shared" si="114"/>
        <v>5041-</v>
      </c>
      <c r="C302" s="1" t="str">
        <f>VLOOKUP(B302,'Master truck list'!D:E,2,0)</f>
        <v>5041-20</v>
      </c>
      <c r="D302" s="1" t="str">
        <f>VLOOKUP(C302,'Master truck list'!E:F,2,0)</f>
        <v>ACTIVE</v>
      </c>
      <c r="E302" s="1" t="str">
        <f>VLOOKUP(C302,'Master truck list'!E:M,9,0)</f>
        <v>BNK TRANSPORT INC</v>
      </c>
      <c r="F302" s="1" t="str">
        <f>VLOOKUP(C302,'Master truck list'!E:G,3,0)</f>
        <v>Company</v>
      </c>
      <c r="G302" s="1">
        <f>VLOOKUP(C302,'Master truck list'!E:R,14,0)</f>
        <v>2305</v>
      </c>
      <c r="H302" t="str">
        <f>"12/20/2019 7:00:30 AM"</f>
        <v>12/20/2019 7:00:30 AM</v>
      </c>
      <c r="I302" t="str">
        <f>""</f>
        <v/>
      </c>
      <c r="J302" t="str">
        <f t="shared" si="109"/>
        <v>Elite</v>
      </c>
      <c r="K302" t="str">
        <f t="shared" si="123"/>
        <v>Device</v>
      </c>
      <c r="L302" t="str">
        <f t="shared" si="127"/>
        <v>777173822</v>
      </c>
      <c r="M302" t="str">
        <f t="shared" si="128"/>
        <v>16483548</v>
      </c>
      <c r="N302" t="str">
        <f t="shared" si="129"/>
        <v>5041-20</v>
      </c>
      <c r="O302" t="str">
        <f t="shared" si="110"/>
        <v>TEXAS</v>
      </c>
      <c r="P302" t="str">
        <f t="shared" si="111"/>
        <v>N A</v>
      </c>
      <c r="Q302" t="str">
        <f t="shared" si="112"/>
        <v>N/A</v>
      </c>
      <c r="R302" t="str">
        <f>"45SE MLPEB 02 611"</f>
        <v>45SE MLPEB 02 611</v>
      </c>
      <c r="S302" t="str">
        <f>"12/19/2019 7:23:23 PM"</f>
        <v>12/19/2019 7:23:23 PM</v>
      </c>
      <c r="T302" t="str">
        <f t="shared" si="130"/>
        <v>5</v>
      </c>
      <c r="U302" t="str">
        <f t="shared" si="113"/>
        <v>N/A</v>
      </c>
      <c r="V302" t="str">
        <f>"3.3000"</f>
        <v>3.3000</v>
      </c>
    </row>
    <row r="303" spans="1:22" x14ac:dyDescent="0.25">
      <c r="A303" s="1" t="str">
        <f t="shared" si="107"/>
        <v>5041-</v>
      </c>
      <c r="B303" s="1" t="str">
        <f t="shared" si="114"/>
        <v>5041-</v>
      </c>
      <c r="C303" s="1" t="str">
        <f>VLOOKUP(B303,'Master truck list'!D:E,2,0)</f>
        <v>5041-20</v>
      </c>
      <c r="D303" s="1" t="str">
        <f>VLOOKUP(C303,'Master truck list'!E:F,2,0)</f>
        <v>ACTIVE</v>
      </c>
      <c r="E303" s="1" t="str">
        <f>VLOOKUP(C303,'Master truck list'!E:M,9,0)</f>
        <v>BNK TRANSPORT INC</v>
      </c>
      <c r="F303" s="1" t="str">
        <f>VLOOKUP(C303,'Master truck list'!E:G,3,0)</f>
        <v>Company</v>
      </c>
      <c r="G303" s="1">
        <f>VLOOKUP(C303,'Master truck list'!E:R,14,0)</f>
        <v>2305</v>
      </c>
      <c r="H303" t="str">
        <f>"12/20/2019 7:00:30 AM"</f>
        <v>12/20/2019 7:00:30 AM</v>
      </c>
      <c r="I303" t="str">
        <f>""</f>
        <v/>
      </c>
      <c r="J303" t="str">
        <f t="shared" si="109"/>
        <v>Elite</v>
      </c>
      <c r="K303" t="str">
        <f t="shared" si="123"/>
        <v>Device</v>
      </c>
      <c r="L303" t="str">
        <f t="shared" si="127"/>
        <v>777173822</v>
      </c>
      <c r="M303" t="str">
        <f t="shared" si="128"/>
        <v>16483548</v>
      </c>
      <c r="N303" t="str">
        <f t="shared" si="129"/>
        <v>5041-20</v>
      </c>
      <c r="O303" t="str">
        <f t="shared" si="110"/>
        <v>TEXAS</v>
      </c>
      <c r="P303" t="str">
        <f t="shared" si="111"/>
        <v>N A</v>
      </c>
      <c r="Q303" t="str">
        <f t="shared" si="112"/>
        <v>N/A</v>
      </c>
      <c r="R303" t="str">
        <f>"130 DKCRP 11 307"</f>
        <v>130 DKCRP 11 307</v>
      </c>
      <c r="S303" t="str">
        <f>"12/19/2019 7:41:12 PM"</f>
        <v>12/19/2019 7:41:12 PM</v>
      </c>
      <c r="T303" t="str">
        <f t="shared" si="130"/>
        <v>5</v>
      </c>
      <c r="U303" t="str">
        <f t="shared" si="113"/>
        <v>N/A</v>
      </c>
      <c r="V303" t="str">
        <f>"5.5500"</f>
        <v>5.5500</v>
      </c>
    </row>
    <row r="304" spans="1:22" x14ac:dyDescent="0.25">
      <c r="A304" s="1" t="str">
        <f t="shared" si="107"/>
        <v>5041-</v>
      </c>
      <c r="B304" s="1" t="str">
        <f t="shared" si="114"/>
        <v>5041-</v>
      </c>
      <c r="C304" s="1" t="str">
        <f>VLOOKUP(B304,'Master truck list'!D:E,2,0)</f>
        <v>5041-20</v>
      </c>
      <c r="D304" s="1" t="str">
        <f>VLOOKUP(C304,'Master truck list'!E:F,2,0)</f>
        <v>ACTIVE</v>
      </c>
      <c r="E304" s="1" t="str">
        <f>VLOOKUP(C304,'Master truck list'!E:M,9,0)</f>
        <v>BNK TRANSPORT INC</v>
      </c>
      <c r="F304" s="1" t="str">
        <f>VLOOKUP(C304,'Master truck list'!E:G,3,0)</f>
        <v>Company</v>
      </c>
      <c r="G304" s="1">
        <f>VLOOKUP(C304,'Master truck list'!E:R,14,0)</f>
        <v>2305</v>
      </c>
      <c r="H304" t="str">
        <f>"12/20/2019 7:00:30 AM"</f>
        <v>12/20/2019 7:00:30 AM</v>
      </c>
      <c r="I304" t="str">
        <f>""</f>
        <v/>
      </c>
      <c r="J304" t="str">
        <f t="shared" si="109"/>
        <v>Elite</v>
      </c>
      <c r="K304" t="str">
        <f t="shared" si="123"/>
        <v>Device</v>
      </c>
      <c r="L304" t="str">
        <f t="shared" si="127"/>
        <v>777173822</v>
      </c>
      <c r="M304" t="str">
        <f t="shared" si="128"/>
        <v>16483548</v>
      </c>
      <c r="N304" t="str">
        <f t="shared" si="129"/>
        <v>5041-20</v>
      </c>
      <c r="O304" t="str">
        <f t="shared" si="110"/>
        <v>TEXAS</v>
      </c>
      <c r="P304" t="str">
        <f t="shared" si="111"/>
        <v>N A</v>
      </c>
      <c r="Q304" t="str">
        <f t="shared" si="112"/>
        <v>N/A</v>
      </c>
      <c r="R304" t="str">
        <f>"130 MGCRP 11 305"</f>
        <v>130 MGCRP 11 305</v>
      </c>
      <c r="S304" t="str">
        <f>"12/19/2019 8:02:36 PM"</f>
        <v>12/19/2019 8:02:36 PM</v>
      </c>
      <c r="T304" t="str">
        <f t="shared" si="130"/>
        <v>5</v>
      </c>
      <c r="U304" t="str">
        <f t="shared" si="113"/>
        <v>N/A</v>
      </c>
      <c r="V304" t="str">
        <f>"5.5500"</f>
        <v>5.5500</v>
      </c>
    </row>
    <row r="305" spans="1:22" x14ac:dyDescent="0.25">
      <c r="A305" s="1" t="str">
        <f t="shared" si="107"/>
        <v>5037-</v>
      </c>
      <c r="B305" s="1" t="str">
        <f t="shared" si="114"/>
        <v>5037-</v>
      </c>
      <c r="C305" s="1" t="str">
        <f>VLOOKUP(B305,'Master truck list'!D:E,2,0)</f>
        <v>5037-20</v>
      </c>
      <c r="D305" s="1" t="str">
        <f>VLOOKUP(C305,'Master truck list'!E:F,2,0)</f>
        <v>ACTIVE</v>
      </c>
      <c r="E305" s="1" t="str">
        <f>VLOOKUP(C305,'Master truck list'!E:M,9,0)</f>
        <v>BNK TRANSPORT INC</v>
      </c>
      <c r="F305" s="1" t="str">
        <f>VLOOKUP(C305,'Master truck list'!E:G,3,0)</f>
        <v>Company</v>
      </c>
      <c r="G305" s="1">
        <f>VLOOKUP(C305,'Master truck list'!E:R,14,0)</f>
        <v>2301</v>
      </c>
      <c r="H305" t="str">
        <f>"12/21/2019 7:00:28 AM"</f>
        <v>12/21/2019 7:00:28 AM</v>
      </c>
      <c r="I305" t="str">
        <f>""</f>
        <v/>
      </c>
      <c r="J305" t="str">
        <f t="shared" si="109"/>
        <v>Elite</v>
      </c>
      <c r="K305" t="str">
        <f t="shared" si="123"/>
        <v>Device</v>
      </c>
      <c r="L305" t="str">
        <f t="shared" ref="L305:L315" si="131">"777173772"</f>
        <v>777173772</v>
      </c>
      <c r="M305" t="str">
        <f t="shared" ref="M305:M315" si="132">"16483498"</f>
        <v>16483498</v>
      </c>
      <c r="N305" t="str">
        <f t="shared" ref="N305:N315" si="133">"5037-20"</f>
        <v>5037-20</v>
      </c>
      <c r="O305" t="str">
        <f t="shared" si="110"/>
        <v>TEXAS</v>
      </c>
      <c r="P305" t="str">
        <f t="shared" si="111"/>
        <v>N A</v>
      </c>
      <c r="Q305" t="str">
        <f t="shared" si="112"/>
        <v>N/A</v>
      </c>
      <c r="R305" t="str">
        <f>"45SE MLPEB 02 611"</f>
        <v>45SE MLPEB 02 611</v>
      </c>
      <c r="S305" t="str">
        <f>"12/18/2019 2:56:44 AM"</f>
        <v>12/18/2019 2:56:44 AM</v>
      </c>
      <c r="T305" t="str">
        <f t="shared" si="130"/>
        <v>5</v>
      </c>
      <c r="U305" t="str">
        <f t="shared" si="113"/>
        <v>N/A</v>
      </c>
      <c r="V305" t="str">
        <f>"3.3000"</f>
        <v>3.3000</v>
      </c>
    </row>
    <row r="306" spans="1:22" x14ac:dyDescent="0.25">
      <c r="A306" s="1" t="str">
        <f t="shared" si="107"/>
        <v>5037-</v>
      </c>
      <c r="B306" s="1" t="str">
        <f t="shared" si="114"/>
        <v>5037-</v>
      </c>
      <c r="C306" s="1" t="str">
        <f>VLOOKUP(B306,'Master truck list'!D:E,2,0)</f>
        <v>5037-20</v>
      </c>
      <c r="D306" s="1" t="str">
        <f>VLOOKUP(C306,'Master truck list'!E:F,2,0)</f>
        <v>ACTIVE</v>
      </c>
      <c r="E306" s="1" t="str">
        <f>VLOOKUP(C306,'Master truck list'!E:M,9,0)</f>
        <v>BNK TRANSPORT INC</v>
      </c>
      <c r="F306" s="1" t="str">
        <f>VLOOKUP(C306,'Master truck list'!E:G,3,0)</f>
        <v>Company</v>
      </c>
      <c r="G306" s="1">
        <f>VLOOKUP(C306,'Master truck list'!E:R,14,0)</f>
        <v>2301</v>
      </c>
      <c r="H306" t="str">
        <f>"12/19/2019 7:00:35 AM"</f>
        <v>12/19/2019 7:00:35 AM</v>
      </c>
      <c r="I306" t="str">
        <f>""</f>
        <v/>
      </c>
      <c r="J306" t="str">
        <f t="shared" si="109"/>
        <v>Elite</v>
      </c>
      <c r="K306" t="str">
        <f t="shared" si="123"/>
        <v>Device</v>
      </c>
      <c r="L306" t="str">
        <f t="shared" si="131"/>
        <v>777173772</v>
      </c>
      <c r="M306" t="str">
        <f t="shared" si="132"/>
        <v>16483498</v>
      </c>
      <c r="N306" t="str">
        <f t="shared" si="133"/>
        <v>5037-20</v>
      </c>
      <c r="O306" t="str">
        <f t="shared" si="110"/>
        <v>TEXAS</v>
      </c>
      <c r="P306" t="str">
        <f t="shared" si="111"/>
        <v>N A</v>
      </c>
      <c r="Q306" t="str">
        <f t="shared" si="112"/>
        <v>N/A</v>
      </c>
      <c r="R306" t="str">
        <f>"130 MGCRP 11 305"</f>
        <v>130 MGCRP 11 305</v>
      </c>
      <c r="S306" t="str">
        <f>"12/18/2019 3:35:33 AM"</f>
        <v>12/18/2019 3:35:33 AM</v>
      </c>
      <c r="T306" t="str">
        <f t="shared" si="130"/>
        <v>5</v>
      </c>
      <c r="U306" t="str">
        <f t="shared" si="113"/>
        <v>N/A</v>
      </c>
      <c r="V306" t="str">
        <f>"5.5500"</f>
        <v>5.5500</v>
      </c>
    </row>
    <row r="307" spans="1:22" x14ac:dyDescent="0.25">
      <c r="A307" s="1" t="str">
        <f t="shared" si="107"/>
        <v>5037-</v>
      </c>
      <c r="B307" s="1" t="str">
        <f t="shared" si="114"/>
        <v>5037-</v>
      </c>
      <c r="C307" s="1" t="str">
        <f>VLOOKUP(B307,'Master truck list'!D:E,2,0)</f>
        <v>5037-20</v>
      </c>
      <c r="D307" s="1" t="str">
        <f>VLOOKUP(C307,'Master truck list'!E:F,2,0)</f>
        <v>ACTIVE</v>
      </c>
      <c r="E307" s="1" t="str">
        <f>VLOOKUP(C307,'Master truck list'!E:M,9,0)</f>
        <v>BNK TRANSPORT INC</v>
      </c>
      <c r="F307" s="1" t="str">
        <f>VLOOKUP(C307,'Master truck list'!E:G,3,0)</f>
        <v>Company</v>
      </c>
      <c r="G307" s="1">
        <f>VLOOKUP(C307,'Master truck list'!E:R,14,0)</f>
        <v>2301</v>
      </c>
      <c r="H307" t="str">
        <f>"12/19/2019 7:00:35 AM"</f>
        <v>12/19/2019 7:00:35 AM</v>
      </c>
      <c r="I307" t="str">
        <f>""</f>
        <v/>
      </c>
      <c r="J307" t="str">
        <f t="shared" si="109"/>
        <v>Elite</v>
      </c>
      <c r="K307" t="str">
        <f t="shared" si="123"/>
        <v>Device</v>
      </c>
      <c r="L307" t="str">
        <f t="shared" si="131"/>
        <v>777173772</v>
      </c>
      <c r="M307" t="str">
        <f t="shared" si="132"/>
        <v>16483498</v>
      </c>
      <c r="N307" t="str">
        <f t="shared" si="133"/>
        <v>5037-20</v>
      </c>
      <c r="O307" t="str">
        <f t="shared" si="110"/>
        <v>TEXAS</v>
      </c>
      <c r="P307" t="str">
        <f t="shared" si="111"/>
        <v>N A</v>
      </c>
      <c r="Q307" t="str">
        <f t="shared" si="112"/>
        <v>N/A</v>
      </c>
      <c r="R307" t="str">
        <f>"130 DKCRP 11 307"</f>
        <v>130 DKCRP 11 307</v>
      </c>
      <c r="S307" t="str">
        <f>"12/18/2019 3:14:18 AM"</f>
        <v>12/18/2019 3:14:18 AM</v>
      </c>
      <c r="T307" t="str">
        <f t="shared" si="130"/>
        <v>5</v>
      </c>
      <c r="U307" t="str">
        <f t="shared" si="113"/>
        <v>N/A</v>
      </c>
      <c r="V307" t="str">
        <f>"5.5500"</f>
        <v>5.5500</v>
      </c>
    </row>
    <row r="308" spans="1:22" x14ac:dyDescent="0.25">
      <c r="A308" s="1" t="str">
        <f t="shared" si="107"/>
        <v>5037-</v>
      </c>
      <c r="B308" s="1" t="str">
        <f t="shared" si="114"/>
        <v>5037-</v>
      </c>
      <c r="C308" s="1" t="str">
        <f>VLOOKUP(B308,'Master truck list'!D:E,2,0)</f>
        <v>5037-20</v>
      </c>
      <c r="D308" s="1" t="str">
        <f>VLOOKUP(C308,'Master truck list'!E:F,2,0)</f>
        <v>ACTIVE</v>
      </c>
      <c r="E308" s="1" t="str">
        <f>VLOOKUP(C308,'Master truck list'!E:M,9,0)</f>
        <v>BNK TRANSPORT INC</v>
      </c>
      <c r="F308" s="1" t="str">
        <f>VLOOKUP(C308,'Master truck list'!E:G,3,0)</f>
        <v>Company</v>
      </c>
      <c r="G308" s="1">
        <f>VLOOKUP(C308,'Master truck list'!E:R,14,0)</f>
        <v>2301</v>
      </c>
      <c r="H308" t="str">
        <f>"12/18/2019 7:00:28 AM"</f>
        <v>12/18/2019 7:00:28 AM</v>
      </c>
      <c r="I308" t="str">
        <f>""</f>
        <v/>
      </c>
      <c r="J308" t="str">
        <f t="shared" si="109"/>
        <v>Elite</v>
      </c>
      <c r="K308" t="str">
        <f t="shared" si="123"/>
        <v>Device</v>
      </c>
      <c r="L308" t="str">
        <f t="shared" si="131"/>
        <v>777173772</v>
      </c>
      <c r="M308" t="str">
        <f t="shared" si="132"/>
        <v>16483498</v>
      </c>
      <c r="N308" t="str">
        <f t="shared" si="133"/>
        <v>5037-20</v>
      </c>
      <c r="O308" t="str">
        <f t="shared" si="110"/>
        <v>TEXAS</v>
      </c>
      <c r="P308" t="str">
        <f t="shared" si="111"/>
        <v>N A</v>
      </c>
      <c r="Q308" t="str">
        <f t="shared" si="112"/>
        <v>N/A</v>
      </c>
      <c r="R308" t="str">
        <f>"130 ARPTP 04 308"</f>
        <v>130 ARPTP 04 308</v>
      </c>
      <c r="S308" t="str">
        <f>"12/17/2019 5:58:54 PM"</f>
        <v>12/17/2019 5:58:54 PM</v>
      </c>
      <c r="T308" t="str">
        <f t="shared" si="130"/>
        <v>5</v>
      </c>
      <c r="U308" t="str">
        <f t="shared" si="113"/>
        <v>N/A</v>
      </c>
      <c r="V308" t="str">
        <f>"5.5500"</f>
        <v>5.5500</v>
      </c>
    </row>
    <row r="309" spans="1:22" x14ac:dyDescent="0.25">
      <c r="A309" s="1" t="str">
        <f t="shared" si="107"/>
        <v>5037-</v>
      </c>
      <c r="B309" s="1" t="str">
        <f t="shared" si="114"/>
        <v>5037-</v>
      </c>
      <c r="C309" s="1" t="str">
        <f>VLOOKUP(B309,'Master truck list'!D:E,2,0)</f>
        <v>5037-20</v>
      </c>
      <c r="D309" s="1" t="str">
        <f>VLOOKUP(C309,'Master truck list'!E:F,2,0)</f>
        <v>ACTIVE</v>
      </c>
      <c r="E309" s="1" t="str">
        <f>VLOOKUP(C309,'Master truck list'!E:M,9,0)</f>
        <v>BNK TRANSPORT INC</v>
      </c>
      <c r="F309" s="1" t="str">
        <f>VLOOKUP(C309,'Master truck list'!E:G,3,0)</f>
        <v>Company</v>
      </c>
      <c r="G309" s="1">
        <f>VLOOKUP(C309,'Master truck list'!E:R,14,0)</f>
        <v>2301</v>
      </c>
      <c r="H309" t="str">
        <f>"12/19/2019 7:00:35 AM"</f>
        <v>12/19/2019 7:00:35 AM</v>
      </c>
      <c r="I309" t="str">
        <f>""</f>
        <v/>
      </c>
      <c r="J309" t="str">
        <f t="shared" si="109"/>
        <v>Elite</v>
      </c>
      <c r="K309" t="str">
        <f t="shared" si="123"/>
        <v>Device</v>
      </c>
      <c r="L309" t="str">
        <f t="shared" si="131"/>
        <v>777173772</v>
      </c>
      <c r="M309" t="str">
        <f t="shared" si="132"/>
        <v>16483498</v>
      </c>
      <c r="N309" t="str">
        <f t="shared" si="133"/>
        <v>5037-20</v>
      </c>
      <c r="O309" t="str">
        <f t="shared" si="110"/>
        <v>TEXAS</v>
      </c>
      <c r="P309" t="str">
        <f t="shared" si="111"/>
        <v>N A</v>
      </c>
      <c r="Q309" t="str">
        <f t="shared" si="112"/>
        <v>N/A</v>
      </c>
      <c r="R309" t="str">
        <f>"130 SKYSP 02 4104"</f>
        <v>130 SKYSP 02 4104</v>
      </c>
      <c r="S309" t="str">
        <f>"12/17/2019 6:12:59 PM"</f>
        <v>12/17/2019 6:12:59 PM</v>
      </c>
      <c r="T309" t="str">
        <f>"15"</f>
        <v>15</v>
      </c>
      <c r="U309" t="str">
        <f t="shared" si="113"/>
        <v>N/A</v>
      </c>
      <c r="V309" t="str">
        <f>"9.3800"</f>
        <v>9.3800</v>
      </c>
    </row>
    <row r="310" spans="1:22" x14ac:dyDescent="0.25">
      <c r="A310" s="1" t="str">
        <f t="shared" si="107"/>
        <v>5037-</v>
      </c>
      <c r="B310" s="1" t="str">
        <f t="shared" si="114"/>
        <v>5037-</v>
      </c>
      <c r="C310" s="1" t="str">
        <f>VLOOKUP(B310,'Master truck list'!D:E,2,0)</f>
        <v>5037-20</v>
      </c>
      <c r="D310" s="1" t="str">
        <f>VLOOKUP(C310,'Master truck list'!E:F,2,0)</f>
        <v>ACTIVE</v>
      </c>
      <c r="E310" s="1" t="str">
        <f>VLOOKUP(C310,'Master truck list'!E:M,9,0)</f>
        <v>BNK TRANSPORT INC</v>
      </c>
      <c r="F310" s="1" t="str">
        <f>VLOOKUP(C310,'Master truck list'!E:G,3,0)</f>
        <v>Company</v>
      </c>
      <c r="G310" s="1">
        <f>VLOOKUP(C310,'Master truck list'!E:R,14,0)</f>
        <v>2301</v>
      </c>
      <c r="H310" t="str">
        <f>"12/19/2019 7:00:35 AM"</f>
        <v>12/19/2019 7:00:35 AM</v>
      </c>
      <c r="I310" t="str">
        <f>""</f>
        <v/>
      </c>
      <c r="J310" t="str">
        <f t="shared" si="109"/>
        <v>Elite</v>
      </c>
      <c r="K310" t="str">
        <f t="shared" si="123"/>
        <v>Device</v>
      </c>
      <c r="L310" t="str">
        <f t="shared" si="131"/>
        <v>777173772</v>
      </c>
      <c r="M310" t="str">
        <f t="shared" si="132"/>
        <v>16483498</v>
      </c>
      <c r="N310" t="str">
        <f t="shared" si="133"/>
        <v>5037-20</v>
      </c>
      <c r="O310" t="str">
        <f t="shared" si="110"/>
        <v>TEXAS</v>
      </c>
      <c r="P310" t="str">
        <f t="shared" si="111"/>
        <v>N A</v>
      </c>
      <c r="Q310" t="str">
        <f t="shared" si="112"/>
        <v>N/A</v>
      </c>
      <c r="R310" t="str">
        <f>"130 BLUESP 01 4110"</f>
        <v>130 BLUESP 01 4110</v>
      </c>
      <c r="S310" t="str">
        <f>"12/17/2019 6:26:05 PM"</f>
        <v>12/17/2019 6:26:05 PM</v>
      </c>
      <c r="T310" t="str">
        <f>"15"</f>
        <v>15</v>
      </c>
      <c r="U310" t="str">
        <f t="shared" si="113"/>
        <v>N/A</v>
      </c>
      <c r="V310" t="str">
        <f>"20.4900"</f>
        <v>20.4900</v>
      </c>
    </row>
    <row r="311" spans="1:22" x14ac:dyDescent="0.25">
      <c r="A311" s="1" t="str">
        <f t="shared" si="107"/>
        <v>5037-</v>
      </c>
      <c r="B311" s="1" t="str">
        <f t="shared" si="114"/>
        <v>5037-</v>
      </c>
      <c r="C311" s="1" t="str">
        <f>VLOOKUP(B311,'Master truck list'!D:E,2,0)</f>
        <v>5037-20</v>
      </c>
      <c r="D311" s="1" t="str">
        <f>VLOOKUP(C311,'Master truck list'!E:F,2,0)</f>
        <v>ACTIVE</v>
      </c>
      <c r="E311" s="1" t="str">
        <f>VLOOKUP(C311,'Master truck list'!E:M,9,0)</f>
        <v>BNK TRANSPORT INC</v>
      </c>
      <c r="F311" s="1" t="str">
        <f>VLOOKUP(C311,'Master truck list'!E:G,3,0)</f>
        <v>Company</v>
      </c>
      <c r="G311" s="1">
        <f>VLOOKUP(C311,'Master truck list'!E:R,14,0)</f>
        <v>2301</v>
      </c>
      <c r="H311" t="str">
        <f>"12/19/2019 7:00:35 AM"</f>
        <v>12/19/2019 7:00:35 AM</v>
      </c>
      <c r="I311" t="str">
        <f>""</f>
        <v/>
      </c>
      <c r="J311" t="str">
        <f t="shared" si="109"/>
        <v>Elite</v>
      </c>
      <c r="K311" t="str">
        <f t="shared" si="123"/>
        <v>Device</v>
      </c>
      <c r="L311" t="str">
        <f t="shared" si="131"/>
        <v>777173772</v>
      </c>
      <c r="M311" t="str">
        <f t="shared" si="132"/>
        <v>16483498</v>
      </c>
      <c r="N311" t="str">
        <f t="shared" si="133"/>
        <v>5037-20</v>
      </c>
      <c r="O311" t="str">
        <f t="shared" si="110"/>
        <v>TEXAS</v>
      </c>
      <c r="P311" t="str">
        <f t="shared" si="111"/>
        <v>N A</v>
      </c>
      <c r="Q311" t="str">
        <f t="shared" si="112"/>
        <v>N/A</v>
      </c>
      <c r="R311" t="str">
        <f>"130 CMRNP 13 306"</f>
        <v>130 CMRNP 13 306</v>
      </c>
      <c r="S311" t="str">
        <f>"12/18/2019 3:24:30 AM"</f>
        <v>12/18/2019 3:24:30 AM</v>
      </c>
      <c r="T311" t="str">
        <f t="shared" ref="T311:T366" si="134">"5"</f>
        <v>5</v>
      </c>
      <c r="U311" t="str">
        <f t="shared" si="113"/>
        <v>N/A</v>
      </c>
      <c r="V311" t="str">
        <f t="shared" ref="V311:V317" si="135">"5.5500"</f>
        <v>5.5500</v>
      </c>
    </row>
    <row r="312" spans="1:22" x14ac:dyDescent="0.25">
      <c r="A312" s="1" t="str">
        <f t="shared" si="107"/>
        <v>5037-</v>
      </c>
      <c r="B312" s="1" t="str">
        <f t="shared" si="114"/>
        <v>5037-</v>
      </c>
      <c r="C312" s="1" t="str">
        <f>VLOOKUP(B312,'Master truck list'!D:E,2,0)</f>
        <v>5037-20</v>
      </c>
      <c r="D312" s="1" t="str">
        <f>VLOOKUP(C312,'Master truck list'!E:F,2,0)</f>
        <v>ACTIVE</v>
      </c>
      <c r="E312" s="1" t="str">
        <f>VLOOKUP(C312,'Master truck list'!E:M,9,0)</f>
        <v>BNK TRANSPORT INC</v>
      </c>
      <c r="F312" s="1" t="str">
        <f>VLOOKUP(C312,'Master truck list'!E:G,3,0)</f>
        <v>Company</v>
      </c>
      <c r="G312" s="1">
        <f>VLOOKUP(C312,'Master truck list'!E:R,14,0)</f>
        <v>2301</v>
      </c>
      <c r="H312" t="str">
        <f>"12/19/2019 7:00:35 AM"</f>
        <v>12/19/2019 7:00:35 AM</v>
      </c>
      <c r="I312" t="str">
        <f>""</f>
        <v/>
      </c>
      <c r="J312" t="str">
        <f t="shared" si="109"/>
        <v>Elite</v>
      </c>
      <c r="K312" t="str">
        <f t="shared" si="123"/>
        <v>Device</v>
      </c>
      <c r="L312" t="str">
        <f t="shared" si="131"/>
        <v>777173772</v>
      </c>
      <c r="M312" t="str">
        <f t="shared" si="132"/>
        <v>16483498</v>
      </c>
      <c r="N312" t="str">
        <f t="shared" si="133"/>
        <v>5037-20</v>
      </c>
      <c r="O312" t="str">
        <f t="shared" si="110"/>
        <v>TEXAS</v>
      </c>
      <c r="P312" t="str">
        <f t="shared" si="111"/>
        <v>N A</v>
      </c>
      <c r="Q312" t="str">
        <f t="shared" si="112"/>
        <v>N/A</v>
      </c>
      <c r="R312" t="str">
        <f>"130 ARPTP 09 308"</f>
        <v>130 ARPTP 09 308</v>
      </c>
      <c r="S312" t="str">
        <f>"12/18/2019 3:07:20 AM"</f>
        <v>12/18/2019 3:07:20 AM</v>
      </c>
      <c r="T312" t="str">
        <f t="shared" si="134"/>
        <v>5</v>
      </c>
      <c r="U312" t="str">
        <f t="shared" si="113"/>
        <v>N/A</v>
      </c>
      <c r="V312" t="str">
        <f t="shared" si="135"/>
        <v>5.5500</v>
      </c>
    </row>
    <row r="313" spans="1:22" x14ac:dyDescent="0.25">
      <c r="A313" s="1" t="str">
        <f t="shared" si="107"/>
        <v>5037-</v>
      </c>
      <c r="B313" s="1" t="str">
        <f t="shared" si="114"/>
        <v>5037-</v>
      </c>
      <c r="C313" s="1" t="str">
        <f>VLOOKUP(B313,'Master truck list'!D:E,2,0)</f>
        <v>5037-20</v>
      </c>
      <c r="D313" s="1" t="str">
        <f>VLOOKUP(C313,'Master truck list'!E:F,2,0)</f>
        <v>ACTIVE</v>
      </c>
      <c r="E313" s="1" t="str">
        <f>VLOOKUP(C313,'Master truck list'!E:M,9,0)</f>
        <v>BNK TRANSPORT INC</v>
      </c>
      <c r="F313" s="1" t="str">
        <f>VLOOKUP(C313,'Master truck list'!E:G,3,0)</f>
        <v>Company</v>
      </c>
      <c r="G313" s="1">
        <f>VLOOKUP(C313,'Master truck list'!E:R,14,0)</f>
        <v>2301</v>
      </c>
      <c r="H313" t="str">
        <f>"12/18/2019 7:00:28 AM"</f>
        <v>12/18/2019 7:00:28 AM</v>
      </c>
      <c r="I313" t="str">
        <f>""</f>
        <v/>
      </c>
      <c r="J313" t="str">
        <f t="shared" si="109"/>
        <v>Elite</v>
      </c>
      <c r="K313" t="str">
        <f t="shared" si="123"/>
        <v>Device</v>
      </c>
      <c r="L313" t="str">
        <f t="shared" si="131"/>
        <v>777173772</v>
      </c>
      <c r="M313" t="str">
        <f t="shared" si="132"/>
        <v>16483498</v>
      </c>
      <c r="N313" t="str">
        <f t="shared" si="133"/>
        <v>5037-20</v>
      </c>
      <c r="O313" t="str">
        <f t="shared" si="110"/>
        <v>TEXAS</v>
      </c>
      <c r="P313" t="str">
        <f t="shared" si="111"/>
        <v>N A</v>
      </c>
      <c r="Q313" t="str">
        <f t="shared" si="112"/>
        <v>N/A</v>
      </c>
      <c r="R313" t="str">
        <f>"130 CMRNP 08 306"</f>
        <v>130 CMRNP 08 306</v>
      </c>
      <c r="S313" t="str">
        <f>"12/17/2019 5:39:38 PM"</f>
        <v>12/17/2019 5:39:38 PM</v>
      </c>
      <c r="T313" t="str">
        <f t="shared" si="134"/>
        <v>5</v>
      </c>
      <c r="U313" t="str">
        <f t="shared" si="113"/>
        <v>N/A</v>
      </c>
      <c r="V313" t="str">
        <f t="shared" si="135"/>
        <v>5.5500</v>
      </c>
    </row>
    <row r="314" spans="1:22" x14ac:dyDescent="0.25">
      <c r="A314" s="1" t="str">
        <f t="shared" si="107"/>
        <v>5037-</v>
      </c>
      <c r="B314" s="1" t="str">
        <f t="shared" si="114"/>
        <v>5037-</v>
      </c>
      <c r="C314" s="1" t="str">
        <f>VLOOKUP(B314,'Master truck list'!D:E,2,0)</f>
        <v>5037-20</v>
      </c>
      <c r="D314" s="1" t="str">
        <f>VLOOKUP(C314,'Master truck list'!E:F,2,0)</f>
        <v>ACTIVE</v>
      </c>
      <c r="E314" s="1" t="str">
        <f>VLOOKUP(C314,'Master truck list'!E:M,9,0)</f>
        <v>BNK TRANSPORT INC</v>
      </c>
      <c r="F314" s="1" t="str">
        <f>VLOOKUP(C314,'Master truck list'!E:G,3,0)</f>
        <v>Company</v>
      </c>
      <c r="G314" s="1">
        <f>VLOOKUP(C314,'Master truck list'!E:R,14,0)</f>
        <v>2301</v>
      </c>
      <c r="H314" t="str">
        <f>"12/18/2019 7:00:28 AM"</f>
        <v>12/18/2019 7:00:28 AM</v>
      </c>
      <c r="I314" t="str">
        <f>""</f>
        <v/>
      </c>
      <c r="J314" t="str">
        <f t="shared" si="109"/>
        <v>Elite</v>
      </c>
      <c r="K314" t="str">
        <f t="shared" si="123"/>
        <v>Device</v>
      </c>
      <c r="L314" t="str">
        <f t="shared" si="131"/>
        <v>777173772</v>
      </c>
      <c r="M314" t="str">
        <f t="shared" si="132"/>
        <v>16483498</v>
      </c>
      <c r="N314" t="str">
        <f t="shared" si="133"/>
        <v>5037-20</v>
      </c>
      <c r="O314" t="str">
        <f t="shared" si="110"/>
        <v>TEXAS</v>
      </c>
      <c r="P314" t="str">
        <f t="shared" si="111"/>
        <v>N A</v>
      </c>
      <c r="Q314" t="str">
        <f t="shared" si="112"/>
        <v>N/A</v>
      </c>
      <c r="R314" t="str">
        <f>"130 MGCRP 06 305"</f>
        <v>130 MGCRP 06 305</v>
      </c>
      <c r="S314" t="str">
        <f>"12/17/2019 5:28:39 PM"</f>
        <v>12/17/2019 5:28:39 PM</v>
      </c>
      <c r="T314" t="str">
        <f t="shared" si="134"/>
        <v>5</v>
      </c>
      <c r="U314" t="str">
        <f t="shared" si="113"/>
        <v>N/A</v>
      </c>
      <c r="V314" t="str">
        <f t="shared" si="135"/>
        <v>5.5500</v>
      </c>
    </row>
    <row r="315" spans="1:22" x14ac:dyDescent="0.25">
      <c r="A315" s="1" t="str">
        <f t="shared" si="107"/>
        <v>5037-</v>
      </c>
      <c r="B315" s="1" t="str">
        <f t="shared" si="114"/>
        <v>5037-</v>
      </c>
      <c r="C315" s="1" t="str">
        <f>VLOOKUP(B315,'Master truck list'!D:E,2,0)</f>
        <v>5037-20</v>
      </c>
      <c r="D315" s="1" t="str">
        <f>VLOOKUP(C315,'Master truck list'!E:F,2,0)</f>
        <v>ACTIVE</v>
      </c>
      <c r="E315" s="1" t="str">
        <f>VLOOKUP(C315,'Master truck list'!E:M,9,0)</f>
        <v>BNK TRANSPORT INC</v>
      </c>
      <c r="F315" s="1" t="str">
        <f>VLOOKUP(C315,'Master truck list'!E:G,3,0)</f>
        <v>Company</v>
      </c>
      <c r="G315" s="1">
        <f>VLOOKUP(C315,'Master truck list'!E:R,14,0)</f>
        <v>2301</v>
      </c>
      <c r="H315" t="str">
        <f>"12/18/2019 7:00:28 AM"</f>
        <v>12/18/2019 7:00:28 AM</v>
      </c>
      <c r="I315" t="str">
        <f>""</f>
        <v/>
      </c>
      <c r="J315" t="str">
        <f t="shared" si="109"/>
        <v>Elite</v>
      </c>
      <c r="K315" t="str">
        <f t="shared" si="123"/>
        <v>Device</v>
      </c>
      <c r="L315" t="str">
        <f t="shared" si="131"/>
        <v>777173772</v>
      </c>
      <c r="M315" t="str">
        <f t="shared" si="132"/>
        <v>16483498</v>
      </c>
      <c r="N315" t="str">
        <f t="shared" si="133"/>
        <v>5037-20</v>
      </c>
      <c r="O315" t="str">
        <f t="shared" si="110"/>
        <v>TEXAS</v>
      </c>
      <c r="P315" t="str">
        <f t="shared" si="111"/>
        <v>N A</v>
      </c>
      <c r="Q315" t="str">
        <f t="shared" si="112"/>
        <v>N/A</v>
      </c>
      <c r="R315" t="str">
        <f>"130 DKCRP 07 307"</f>
        <v>130 DKCRP 07 307</v>
      </c>
      <c r="S315" t="str">
        <f>"12/17/2019 5:49:47 PM"</f>
        <v>12/17/2019 5:49:47 PM</v>
      </c>
      <c r="T315" t="str">
        <f t="shared" si="134"/>
        <v>5</v>
      </c>
      <c r="U315" t="str">
        <f t="shared" si="113"/>
        <v>N/A</v>
      </c>
      <c r="V315" t="str">
        <f t="shared" si="135"/>
        <v>5.5500</v>
      </c>
    </row>
    <row r="316" spans="1:22" x14ac:dyDescent="0.25">
      <c r="A316" s="1" t="str">
        <f t="shared" si="107"/>
        <v>5072-</v>
      </c>
      <c r="B316" s="1" t="str">
        <f t="shared" si="114"/>
        <v>5072-</v>
      </c>
      <c r="C316" s="1" t="str">
        <f>VLOOKUP(B316,'Master truck list'!D:E,2,0)</f>
        <v>5072-20</v>
      </c>
      <c r="D316" s="1" t="str">
        <f>VLOOKUP(C316,'Master truck list'!E:F,2,0)</f>
        <v>ACTIVE</v>
      </c>
      <c r="E316" s="1" t="str">
        <f>VLOOKUP(C316,'Master truck list'!E:M,9,0)</f>
        <v>BNK TRANSPORT INC</v>
      </c>
      <c r="F316" s="1" t="str">
        <f>VLOOKUP(C316,'Master truck list'!E:G,3,0)</f>
        <v>Company</v>
      </c>
      <c r="G316" s="1">
        <f>VLOOKUP(C316,'Master truck list'!E:R,14,0)</f>
        <v>2463</v>
      </c>
      <c r="H316" t="str">
        <f>"12/21/2019 7:00:28 AM"</f>
        <v>12/21/2019 7:00:28 AM</v>
      </c>
      <c r="I316" t="str">
        <f>""</f>
        <v/>
      </c>
      <c r="J316" t="str">
        <f t="shared" si="109"/>
        <v>Elite</v>
      </c>
      <c r="K316" t="str">
        <f t="shared" si="123"/>
        <v>Device</v>
      </c>
      <c r="L316" t="str">
        <f>"777222476"</f>
        <v>777222476</v>
      </c>
      <c r="M316" t="str">
        <f>"16596433"</f>
        <v>16596433</v>
      </c>
      <c r="N316" t="str">
        <f>"5072-20"</f>
        <v>5072-20</v>
      </c>
      <c r="O316" t="str">
        <f t="shared" si="110"/>
        <v>TEXAS</v>
      </c>
      <c r="P316" t="str">
        <f t="shared" si="111"/>
        <v>N A</v>
      </c>
      <c r="Q316" t="str">
        <f t="shared" si="112"/>
        <v>N/A</v>
      </c>
      <c r="R316" t="str">
        <f>"130 ARPTP 04 308"</f>
        <v>130 ARPTP 04 308</v>
      </c>
      <c r="S316" t="str">
        <f>"12/20/2019 2:01:48 PM"</f>
        <v>12/20/2019 2:01:48 PM</v>
      </c>
      <c r="T316" t="str">
        <f t="shared" si="134"/>
        <v>5</v>
      </c>
      <c r="U316" t="str">
        <f t="shared" si="113"/>
        <v>N/A</v>
      </c>
      <c r="V316" t="str">
        <f t="shared" si="135"/>
        <v>5.5500</v>
      </c>
    </row>
    <row r="317" spans="1:22" x14ac:dyDescent="0.25">
      <c r="A317" s="1" t="str">
        <f t="shared" si="107"/>
        <v>5072-</v>
      </c>
      <c r="B317" s="1" t="str">
        <f t="shared" si="114"/>
        <v>5072-</v>
      </c>
      <c r="C317" s="1" t="str">
        <f>VLOOKUP(B317,'Master truck list'!D:E,2,0)</f>
        <v>5072-20</v>
      </c>
      <c r="D317" s="1" t="str">
        <f>VLOOKUP(C317,'Master truck list'!E:F,2,0)</f>
        <v>ACTIVE</v>
      </c>
      <c r="E317" s="1" t="str">
        <f>VLOOKUP(C317,'Master truck list'!E:M,9,0)</f>
        <v>BNK TRANSPORT INC</v>
      </c>
      <c r="F317" s="1" t="str">
        <f>VLOOKUP(C317,'Master truck list'!E:G,3,0)</f>
        <v>Company</v>
      </c>
      <c r="G317" s="1">
        <f>VLOOKUP(C317,'Master truck list'!E:R,14,0)</f>
        <v>2463</v>
      </c>
      <c r="H317" t="str">
        <f>"12/21/2019 7:00:28 AM"</f>
        <v>12/21/2019 7:00:28 AM</v>
      </c>
      <c r="I317" t="str">
        <f>""</f>
        <v/>
      </c>
      <c r="J317" t="str">
        <f t="shared" si="109"/>
        <v>Elite</v>
      </c>
      <c r="K317" t="str">
        <f t="shared" si="123"/>
        <v>Device</v>
      </c>
      <c r="L317" t="str">
        <f>"777222476"</f>
        <v>777222476</v>
      </c>
      <c r="M317" t="str">
        <f>"16596433"</f>
        <v>16596433</v>
      </c>
      <c r="N317" t="str">
        <f>"5072-20"</f>
        <v>5072-20</v>
      </c>
      <c r="O317" t="str">
        <f t="shared" si="110"/>
        <v>TEXAS</v>
      </c>
      <c r="P317" t="str">
        <f t="shared" si="111"/>
        <v>N A</v>
      </c>
      <c r="Q317" t="str">
        <f t="shared" si="112"/>
        <v>N/A</v>
      </c>
      <c r="R317" t="str">
        <f>"130 DKCRP 06 307"</f>
        <v>130 DKCRP 06 307</v>
      </c>
      <c r="S317" t="str">
        <f>"12/20/2019 1:54:36 PM"</f>
        <v>12/20/2019 1:54:36 PM</v>
      </c>
      <c r="T317" t="str">
        <f t="shared" si="134"/>
        <v>5</v>
      </c>
      <c r="U317" t="str">
        <f t="shared" si="113"/>
        <v>N/A</v>
      </c>
      <c r="V317" t="str">
        <f t="shared" si="135"/>
        <v>5.5500</v>
      </c>
    </row>
    <row r="318" spans="1:22" x14ac:dyDescent="0.25">
      <c r="A318" s="1" t="str">
        <f t="shared" si="107"/>
        <v>5072-</v>
      </c>
      <c r="B318" s="1" t="str">
        <f t="shared" si="114"/>
        <v>5072-</v>
      </c>
      <c r="C318" s="1" t="str">
        <f>VLOOKUP(B318,'Master truck list'!D:E,2,0)</f>
        <v>5072-20</v>
      </c>
      <c r="D318" s="1" t="str">
        <f>VLOOKUP(C318,'Master truck list'!E:F,2,0)</f>
        <v>ACTIVE</v>
      </c>
      <c r="E318" s="1" t="str">
        <f>VLOOKUP(C318,'Master truck list'!E:M,9,0)</f>
        <v>BNK TRANSPORT INC</v>
      </c>
      <c r="F318" s="1" t="str">
        <f>VLOOKUP(C318,'Master truck list'!E:G,3,0)</f>
        <v>Company</v>
      </c>
      <c r="G318" s="1">
        <f>VLOOKUP(C318,'Master truck list'!E:R,14,0)</f>
        <v>2463</v>
      </c>
      <c r="H318" t="str">
        <f>"12/21/2019 7:00:28 AM"</f>
        <v>12/21/2019 7:00:28 AM</v>
      </c>
      <c r="I318" t="str">
        <f>""</f>
        <v/>
      </c>
      <c r="J318" t="str">
        <f t="shared" si="109"/>
        <v>Elite</v>
      </c>
      <c r="K318" t="str">
        <f t="shared" si="123"/>
        <v>Device</v>
      </c>
      <c r="L318" t="str">
        <f>"777222476"</f>
        <v>777222476</v>
      </c>
      <c r="M318" t="str">
        <f>"16596433"</f>
        <v>16596433</v>
      </c>
      <c r="N318" t="str">
        <f>"5072-20"</f>
        <v>5072-20</v>
      </c>
      <c r="O318" t="str">
        <f t="shared" si="110"/>
        <v>TEXAS</v>
      </c>
      <c r="P318" t="str">
        <f t="shared" si="111"/>
        <v>N A</v>
      </c>
      <c r="Q318" t="str">
        <f t="shared" si="112"/>
        <v>N/A</v>
      </c>
      <c r="R318" t="str">
        <f>"45SE MLPWB 01 611"</f>
        <v>45SE MLPWB 01 611</v>
      </c>
      <c r="S318" t="str">
        <f>"12/20/2019 2:12:48 PM"</f>
        <v>12/20/2019 2:12:48 PM</v>
      </c>
      <c r="T318" t="str">
        <f t="shared" si="134"/>
        <v>5</v>
      </c>
      <c r="U318" t="str">
        <f t="shared" si="113"/>
        <v>N/A</v>
      </c>
      <c r="V318" t="str">
        <f>"3.3000"</f>
        <v>3.3000</v>
      </c>
    </row>
    <row r="319" spans="1:22" x14ac:dyDescent="0.25">
      <c r="A319" s="1" t="str">
        <f t="shared" si="107"/>
        <v>5072-</v>
      </c>
      <c r="B319" s="1" t="str">
        <f t="shared" si="114"/>
        <v>5072-</v>
      </c>
      <c r="C319" s="1" t="str">
        <f>VLOOKUP(B319,'Master truck list'!D:E,2,0)</f>
        <v>5072-20</v>
      </c>
      <c r="D319" s="1" t="str">
        <f>VLOOKUP(C319,'Master truck list'!E:F,2,0)</f>
        <v>ACTIVE</v>
      </c>
      <c r="E319" s="1" t="str">
        <f>VLOOKUP(C319,'Master truck list'!E:M,9,0)</f>
        <v>BNK TRANSPORT INC</v>
      </c>
      <c r="F319" s="1" t="str">
        <f>VLOOKUP(C319,'Master truck list'!E:G,3,0)</f>
        <v>Company</v>
      </c>
      <c r="G319" s="1">
        <f>VLOOKUP(C319,'Master truck list'!E:R,14,0)</f>
        <v>2463</v>
      </c>
      <c r="H319" t="str">
        <f>"12/21/2019 7:00:28 AM"</f>
        <v>12/21/2019 7:00:28 AM</v>
      </c>
      <c r="I319" t="str">
        <f>""</f>
        <v/>
      </c>
      <c r="J319" t="str">
        <f t="shared" si="109"/>
        <v>Elite</v>
      </c>
      <c r="K319" t="str">
        <f t="shared" si="123"/>
        <v>Device</v>
      </c>
      <c r="L319" t="str">
        <f>"777222476"</f>
        <v>777222476</v>
      </c>
      <c r="M319" t="str">
        <f>"16596433"</f>
        <v>16596433</v>
      </c>
      <c r="N319" t="str">
        <f>"5072-20"</f>
        <v>5072-20</v>
      </c>
      <c r="O319" t="str">
        <f t="shared" si="110"/>
        <v>TEXAS</v>
      </c>
      <c r="P319" t="str">
        <f t="shared" si="111"/>
        <v>N A</v>
      </c>
      <c r="Q319" t="str">
        <f t="shared" si="112"/>
        <v>N/A</v>
      </c>
      <c r="R319" t="str">
        <f>"130 CMRNP 08 306"</f>
        <v>130 CMRNP 08 306</v>
      </c>
      <c r="S319" t="str">
        <f>"12/20/2019 1:42:31 PM"</f>
        <v>12/20/2019 1:42:31 PM</v>
      </c>
      <c r="T319" t="str">
        <f t="shared" si="134"/>
        <v>5</v>
      </c>
      <c r="U319" t="str">
        <f t="shared" si="113"/>
        <v>N/A</v>
      </c>
      <c r="V319" t="str">
        <f>"5.5500"</f>
        <v>5.5500</v>
      </c>
    </row>
    <row r="320" spans="1:22" x14ac:dyDescent="0.25">
      <c r="A320" s="1" t="str">
        <f t="shared" si="107"/>
        <v>5072-</v>
      </c>
      <c r="B320" s="1" t="str">
        <f t="shared" si="114"/>
        <v>5072-</v>
      </c>
      <c r="C320" s="1" t="str">
        <f>VLOOKUP(B320,'Master truck list'!D:E,2,0)</f>
        <v>5072-20</v>
      </c>
      <c r="D320" s="1" t="str">
        <f>VLOOKUP(C320,'Master truck list'!E:F,2,0)</f>
        <v>ACTIVE</v>
      </c>
      <c r="E320" s="1" t="str">
        <f>VLOOKUP(C320,'Master truck list'!E:M,9,0)</f>
        <v>BNK TRANSPORT INC</v>
      </c>
      <c r="F320" s="1" t="str">
        <f>VLOOKUP(C320,'Master truck list'!E:G,3,0)</f>
        <v>Company</v>
      </c>
      <c r="G320" s="1">
        <f>VLOOKUP(C320,'Master truck list'!E:R,14,0)</f>
        <v>2463</v>
      </c>
      <c r="H320" t="str">
        <f>"12/21/2019 7:00:28 AM"</f>
        <v>12/21/2019 7:00:28 AM</v>
      </c>
      <c r="I320" t="str">
        <f>""</f>
        <v/>
      </c>
      <c r="J320" t="str">
        <f t="shared" si="109"/>
        <v>Elite</v>
      </c>
      <c r="K320" t="str">
        <f t="shared" si="123"/>
        <v>Device</v>
      </c>
      <c r="L320" t="str">
        <f>"777222476"</f>
        <v>777222476</v>
      </c>
      <c r="M320" t="str">
        <f>"16596433"</f>
        <v>16596433</v>
      </c>
      <c r="N320" t="str">
        <f>"5072-20"</f>
        <v>5072-20</v>
      </c>
      <c r="O320" t="str">
        <f t="shared" si="110"/>
        <v>TEXAS</v>
      </c>
      <c r="P320" t="str">
        <f t="shared" si="111"/>
        <v>N A</v>
      </c>
      <c r="Q320" t="str">
        <f t="shared" si="112"/>
        <v>N/A</v>
      </c>
      <c r="R320" t="str">
        <f>"130 MGCRP 06 305"</f>
        <v>130 MGCRP 06 305</v>
      </c>
      <c r="S320" t="str">
        <f>"12/20/2019 1:31:13 PM"</f>
        <v>12/20/2019 1:31:13 PM</v>
      </c>
      <c r="T320" t="str">
        <f t="shared" si="134"/>
        <v>5</v>
      </c>
      <c r="U320" t="str">
        <f t="shared" si="113"/>
        <v>N/A</v>
      </c>
      <c r="V320" t="str">
        <f>"5.5500"</f>
        <v>5.5500</v>
      </c>
    </row>
    <row r="321" spans="1:22" x14ac:dyDescent="0.25">
      <c r="A321" s="1" t="str">
        <f t="shared" si="107"/>
        <v>5054-</v>
      </c>
      <c r="B321" s="1" t="str">
        <f t="shared" si="114"/>
        <v>5054-</v>
      </c>
      <c r="C321" s="1" t="str">
        <f>VLOOKUP(B321,'Master truck list'!D:E,2,0)</f>
        <v>5054-20</v>
      </c>
      <c r="D321" s="1" t="str">
        <f>VLOOKUP(C321,'Master truck list'!E:F,2,0)</f>
        <v>ACTIVE</v>
      </c>
      <c r="E321" s="1" t="str">
        <f>VLOOKUP(C321,'Master truck list'!E:M,9,0)</f>
        <v>BNK TRANSPORT INC</v>
      </c>
      <c r="F321" s="1" t="str">
        <f>VLOOKUP(C321,'Master truck list'!E:G,3,0)</f>
        <v>Company</v>
      </c>
      <c r="G321" s="1">
        <f>VLOOKUP(C321,'Master truck list'!E:R,14,0)</f>
        <v>2379</v>
      </c>
      <c r="H321" t="str">
        <f>"12/20/2019 7:00:30 AM"</f>
        <v>12/20/2019 7:00:30 AM</v>
      </c>
      <c r="I321" t="str">
        <f>""</f>
        <v/>
      </c>
      <c r="J321" t="str">
        <f t="shared" si="109"/>
        <v>Elite</v>
      </c>
      <c r="K321" t="str">
        <f t="shared" si="123"/>
        <v>Device</v>
      </c>
      <c r="L321" t="str">
        <f t="shared" ref="L321:L334" si="136">"777173818"</f>
        <v>777173818</v>
      </c>
      <c r="M321" t="str">
        <f t="shared" ref="M321:M334" si="137">"16483544"</f>
        <v>16483544</v>
      </c>
      <c r="N321" t="str">
        <f t="shared" ref="N321:N334" si="138">"5054-20"</f>
        <v>5054-20</v>
      </c>
      <c r="O321" t="str">
        <f t="shared" si="110"/>
        <v>TEXAS</v>
      </c>
      <c r="P321" t="str">
        <f t="shared" si="111"/>
        <v>N A</v>
      </c>
      <c r="Q321" t="str">
        <f t="shared" si="112"/>
        <v>N/A</v>
      </c>
      <c r="R321" t="str">
        <f>"130 DKCRP 11 307"</f>
        <v>130 DKCRP 11 307</v>
      </c>
      <c r="S321" t="str">
        <f>"12/19/2019 4:28:30 AM"</f>
        <v>12/19/2019 4:28:30 AM</v>
      </c>
      <c r="T321" t="str">
        <f t="shared" si="134"/>
        <v>5</v>
      </c>
      <c r="U321" t="str">
        <f t="shared" si="113"/>
        <v>N/A</v>
      </c>
      <c r="V321" t="str">
        <f>"5.5500"</f>
        <v>5.5500</v>
      </c>
    </row>
    <row r="322" spans="1:22" x14ac:dyDescent="0.25">
      <c r="A322" s="1" t="str">
        <f t="shared" ref="A322:A385" si="139">LEFT(N322,5)</f>
        <v>5054-</v>
      </c>
      <c r="B322" s="1" t="str">
        <f t="shared" si="114"/>
        <v>5054-</v>
      </c>
      <c r="C322" s="1" t="str">
        <f>VLOOKUP(B322,'Master truck list'!D:E,2,0)</f>
        <v>5054-20</v>
      </c>
      <c r="D322" s="1" t="str">
        <f>VLOOKUP(C322,'Master truck list'!E:F,2,0)</f>
        <v>ACTIVE</v>
      </c>
      <c r="E322" s="1" t="str">
        <f>VLOOKUP(C322,'Master truck list'!E:M,9,0)</f>
        <v>BNK TRANSPORT INC</v>
      </c>
      <c r="F322" s="1" t="str">
        <f>VLOOKUP(C322,'Master truck list'!E:G,3,0)</f>
        <v>Company</v>
      </c>
      <c r="G322" s="1">
        <f>VLOOKUP(C322,'Master truck list'!E:R,14,0)</f>
        <v>2379</v>
      </c>
      <c r="H322" t="str">
        <f>"12/20/2019 7:00:30 AM"</f>
        <v>12/20/2019 7:00:30 AM</v>
      </c>
      <c r="I322" t="str">
        <f>""</f>
        <v/>
      </c>
      <c r="J322" t="str">
        <f t="shared" ref="J322:J385" si="140">"Elite"</f>
        <v>Elite</v>
      </c>
      <c r="K322" t="str">
        <f t="shared" si="123"/>
        <v>Device</v>
      </c>
      <c r="L322" t="str">
        <f t="shared" si="136"/>
        <v>777173818</v>
      </c>
      <c r="M322" t="str">
        <f t="shared" si="137"/>
        <v>16483544</v>
      </c>
      <c r="N322" t="str">
        <f t="shared" si="138"/>
        <v>5054-20</v>
      </c>
      <c r="O322" t="str">
        <f t="shared" ref="O322:O385" si="141">"TEXAS"</f>
        <v>TEXAS</v>
      </c>
      <c r="P322" t="str">
        <f t="shared" ref="P322:P385" si="142">"N A"</f>
        <v>N A</v>
      </c>
      <c r="Q322" t="str">
        <f t="shared" ref="Q322:Q385" si="143">"N/A"</f>
        <v>N/A</v>
      </c>
      <c r="R322" t="str">
        <f>"130 MGCRP 11 305"</f>
        <v>130 MGCRP 11 305</v>
      </c>
      <c r="S322" t="str">
        <f>"12/19/2019 4:50:51 AM"</f>
        <v>12/19/2019 4:50:51 AM</v>
      </c>
      <c r="T322" t="str">
        <f t="shared" si="134"/>
        <v>5</v>
      </c>
      <c r="U322" t="str">
        <f t="shared" ref="U322:U385" si="144">"N/A"</f>
        <v>N/A</v>
      </c>
      <c r="V322" t="str">
        <f>"5.5500"</f>
        <v>5.5500</v>
      </c>
    </row>
    <row r="323" spans="1:22" x14ac:dyDescent="0.25">
      <c r="A323" s="1" t="str">
        <f t="shared" si="139"/>
        <v>5054-</v>
      </c>
      <c r="B323" s="1" t="str">
        <f t="shared" ref="B323:B386" si="145">SUBSTITUTE(A323," ","")</f>
        <v>5054-</v>
      </c>
      <c r="C323" s="1" t="str">
        <f>VLOOKUP(B323,'Master truck list'!D:E,2,0)</f>
        <v>5054-20</v>
      </c>
      <c r="D323" s="1" t="str">
        <f>VLOOKUP(C323,'Master truck list'!E:F,2,0)</f>
        <v>ACTIVE</v>
      </c>
      <c r="E323" s="1" t="str">
        <f>VLOOKUP(C323,'Master truck list'!E:M,9,0)</f>
        <v>BNK TRANSPORT INC</v>
      </c>
      <c r="F323" s="1" t="str">
        <f>VLOOKUP(C323,'Master truck list'!E:G,3,0)</f>
        <v>Company</v>
      </c>
      <c r="G323" s="1">
        <f>VLOOKUP(C323,'Master truck list'!E:R,14,0)</f>
        <v>2379</v>
      </c>
      <c r="H323" t="str">
        <f>"12/20/2019 7:00:30 AM"</f>
        <v>12/20/2019 7:00:30 AM</v>
      </c>
      <c r="I323" t="str">
        <f>""</f>
        <v/>
      </c>
      <c r="J323" t="str">
        <f t="shared" si="140"/>
        <v>Elite</v>
      </c>
      <c r="K323" t="str">
        <f t="shared" si="123"/>
        <v>Device</v>
      </c>
      <c r="L323" t="str">
        <f t="shared" si="136"/>
        <v>777173818</v>
      </c>
      <c r="M323" t="str">
        <f t="shared" si="137"/>
        <v>16483544</v>
      </c>
      <c r="N323" t="str">
        <f t="shared" si="138"/>
        <v>5054-20</v>
      </c>
      <c r="O323" t="str">
        <f t="shared" si="141"/>
        <v>TEXAS</v>
      </c>
      <c r="P323" t="str">
        <f t="shared" si="142"/>
        <v>N A</v>
      </c>
      <c r="Q323" t="str">
        <f t="shared" si="143"/>
        <v>N/A</v>
      </c>
      <c r="R323" t="str">
        <f>"45SE MLPEB 02 611"</f>
        <v>45SE MLPEB 02 611</v>
      </c>
      <c r="S323" t="str">
        <f>"12/19/2019 4:10:51 AM"</f>
        <v>12/19/2019 4:10:51 AM</v>
      </c>
      <c r="T323" t="str">
        <f t="shared" si="134"/>
        <v>5</v>
      </c>
      <c r="U323" t="str">
        <f t="shared" si="144"/>
        <v>N/A</v>
      </c>
      <c r="V323" t="str">
        <f>"3.3000"</f>
        <v>3.3000</v>
      </c>
    </row>
    <row r="324" spans="1:22" x14ac:dyDescent="0.25">
      <c r="A324" s="1" t="str">
        <f t="shared" si="139"/>
        <v>5054-</v>
      </c>
      <c r="B324" s="1" t="str">
        <f t="shared" si="145"/>
        <v>5054-</v>
      </c>
      <c r="C324" s="1" t="str">
        <f>VLOOKUP(B324,'Master truck list'!D:E,2,0)</f>
        <v>5054-20</v>
      </c>
      <c r="D324" s="1" t="str">
        <f>VLOOKUP(C324,'Master truck list'!E:F,2,0)</f>
        <v>ACTIVE</v>
      </c>
      <c r="E324" s="1" t="str">
        <f>VLOOKUP(C324,'Master truck list'!E:M,9,0)</f>
        <v>BNK TRANSPORT INC</v>
      </c>
      <c r="F324" s="1" t="str">
        <f>VLOOKUP(C324,'Master truck list'!E:G,3,0)</f>
        <v>Company</v>
      </c>
      <c r="G324" s="1">
        <f>VLOOKUP(C324,'Master truck list'!E:R,14,0)</f>
        <v>2379</v>
      </c>
      <c r="H324" t="str">
        <f>"12/19/2019 7:00:35 AM"</f>
        <v>12/19/2019 7:00:35 AM</v>
      </c>
      <c r="I324" t="str">
        <f>""</f>
        <v/>
      </c>
      <c r="J324" t="str">
        <f t="shared" si="140"/>
        <v>Elite</v>
      </c>
      <c r="K324" t="str">
        <f t="shared" si="123"/>
        <v>Device</v>
      </c>
      <c r="L324" t="str">
        <f t="shared" si="136"/>
        <v>777173818</v>
      </c>
      <c r="M324" t="str">
        <f t="shared" si="137"/>
        <v>16483544</v>
      </c>
      <c r="N324" t="str">
        <f t="shared" si="138"/>
        <v>5054-20</v>
      </c>
      <c r="O324" t="str">
        <f t="shared" si="141"/>
        <v>TEXAS</v>
      </c>
      <c r="P324" t="str">
        <f t="shared" si="142"/>
        <v>N A</v>
      </c>
      <c r="Q324" t="str">
        <f t="shared" si="143"/>
        <v>N/A</v>
      </c>
      <c r="R324" t="str">
        <f>"130 DKCRP 06 307"</f>
        <v>130 DKCRP 06 307</v>
      </c>
      <c r="S324" t="str">
        <f>"12/18/2019 5:26:06 PM"</f>
        <v>12/18/2019 5:26:06 PM</v>
      </c>
      <c r="T324" t="str">
        <f t="shared" si="134"/>
        <v>5</v>
      </c>
      <c r="U324" t="str">
        <f t="shared" si="144"/>
        <v>N/A</v>
      </c>
      <c r="V324" t="str">
        <f t="shared" ref="V324:V333" si="146">"5.5500"</f>
        <v>5.5500</v>
      </c>
    </row>
    <row r="325" spans="1:22" x14ac:dyDescent="0.25">
      <c r="A325" s="1" t="str">
        <f t="shared" si="139"/>
        <v>5054-</v>
      </c>
      <c r="B325" s="1" t="str">
        <f t="shared" si="145"/>
        <v>5054-</v>
      </c>
      <c r="C325" s="1" t="str">
        <f>VLOOKUP(B325,'Master truck list'!D:E,2,0)</f>
        <v>5054-20</v>
      </c>
      <c r="D325" s="1" t="str">
        <f>VLOOKUP(C325,'Master truck list'!E:F,2,0)</f>
        <v>ACTIVE</v>
      </c>
      <c r="E325" s="1" t="str">
        <f>VLOOKUP(C325,'Master truck list'!E:M,9,0)</f>
        <v>BNK TRANSPORT INC</v>
      </c>
      <c r="F325" s="1" t="str">
        <f>VLOOKUP(C325,'Master truck list'!E:G,3,0)</f>
        <v>Company</v>
      </c>
      <c r="G325" s="1">
        <f>VLOOKUP(C325,'Master truck list'!E:R,14,0)</f>
        <v>2379</v>
      </c>
      <c r="H325" t="str">
        <f>"12/19/2019 7:00:35 AM"</f>
        <v>12/19/2019 7:00:35 AM</v>
      </c>
      <c r="I325" t="str">
        <f>""</f>
        <v/>
      </c>
      <c r="J325" t="str">
        <f t="shared" si="140"/>
        <v>Elite</v>
      </c>
      <c r="K325" t="str">
        <f t="shared" si="123"/>
        <v>Device</v>
      </c>
      <c r="L325" t="str">
        <f t="shared" si="136"/>
        <v>777173818</v>
      </c>
      <c r="M325" t="str">
        <f t="shared" si="137"/>
        <v>16483544</v>
      </c>
      <c r="N325" t="str">
        <f t="shared" si="138"/>
        <v>5054-20</v>
      </c>
      <c r="O325" t="str">
        <f t="shared" si="141"/>
        <v>TEXAS</v>
      </c>
      <c r="P325" t="str">
        <f t="shared" si="142"/>
        <v>N A</v>
      </c>
      <c r="Q325" t="str">
        <f t="shared" si="143"/>
        <v>N/A</v>
      </c>
      <c r="R325" t="str">
        <f>"130 MGCRP 06 305"</f>
        <v>130 MGCRP 06 305</v>
      </c>
      <c r="S325" t="str">
        <f>"12/18/2019 5:03:55 PM"</f>
        <v>12/18/2019 5:03:55 PM</v>
      </c>
      <c r="T325" t="str">
        <f t="shared" si="134"/>
        <v>5</v>
      </c>
      <c r="U325" t="str">
        <f t="shared" si="144"/>
        <v>N/A</v>
      </c>
      <c r="V325" t="str">
        <f t="shared" si="146"/>
        <v>5.5500</v>
      </c>
    </row>
    <row r="326" spans="1:22" x14ac:dyDescent="0.25">
      <c r="A326" s="1" t="str">
        <f t="shared" si="139"/>
        <v>5054-</v>
      </c>
      <c r="B326" s="1" t="str">
        <f t="shared" si="145"/>
        <v>5054-</v>
      </c>
      <c r="C326" s="1" t="str">
        <f>VLOOKUP(B326,'Master truck list'!D:E,2,0)</f>
        <v>5054-20</v>
      </c>
      <c r="D326" s="1" t="str">
        <f>VLOOKUP(C326,'Master truck list'!E:F,2,0)</f>
        <v>ACTIVE</v>
      </c>
      <c r="E326" s="1" t="str">
        <f>VLOOKUP(C326,'Master truck list'!E:M,9,0)</f>
        <v>BNK TRANSPORT INC</v>
      </c>
      <c r="F326" s="1" t="str">
        <f>VLOOKUP(C326,'Master truck list'!E:G,3,0)</f>
        <v>Company</v>
      </c>
      <c r="G326" s="1">
        <f>VLOOKUP(C326,'Master truck list'!E:R,14,0)</f>
        <v>2379</v>
      </c>
      <c r="H326" t="str">
        <f>"12/20/2019 7:00:30 AM"</f>
        <v>12/20/2019 7:00:30 AM</v>
      </c>
      <c r="I326" t="str">
        <f>""</f>
        <v/>
      </c>
      <c r="J326" t="str">
        <f t="shared" si="140"/>
        <v>Elite</v>
      </c>
      <c r="K326" t="str">
        <f t="shared" si="123"/>
        <v>Device</v>
      </c>
      <c r="L326" t="str">
        <f t="shared" si="136"/>
        <v>777173818</v>
      </c>
      <c r="M326" t="str">
        <f t="shared" si="137"/>
        <v>16483544</v>
      </c>
      <c r="N326" t="str">
        <f t="shared" si="138"/>
        <v>5054-20</v>
      </c>
      <c r="O326" t="str">
        <f t="shared" si="141"/>
        <v>TEXAS</v>
      </c>
      <c r="P326" t="str">
        <f t="shared" si="142"/>
        <v>N A</v>
      </c>
      <c r="Q326" t="str">
        <f t="shared" si="143"/>
        <v>N/A</v>
      </c>
      <c r="R326" t="str">
        <f>"130 CMRNP 13 306"</f>
        <v>130 CMRNP 13 306</v>
      </c>
      <c r="S326" t="str">
        <f>"12/19/2019 4:39:12 AM"</f>
        <v>12/19/2019 4:39:12 AM</v>
      </c>
      <c r="T326" t="str">
        <f t="shared" si="134"/>
        <v>5</v>
      </c>
      <c r="U326" t="str">
        <f t="shared" si="144"/>
        <v>N/A</v>
      </c>
      <c r="V326" t="str">
        <f t="shared" si="146"/>
        <v>5.5500</v>
      </c>
    </row>
    <row r="327" spans="1:22" x14ac:dyDescent="0.25">
      <c r="A327" s="1" t="str">
        <f t="shared" si="139"/>
        <v>5054-</v>
      </c>
      <c r="B327" s="1" t="str">
        <f t="shared" si="145"/>
        <v>5054-</v>
      </c>
      <c r="C327" s="1" t="str">
        <f>VLOOKUP(B327,'Master truck list'!D:E,2,0)</f>
        <v>5054-20</v>
      </c>
      <c r="D327" s="1" t="str">
        <f>VLOOKUP(C327,'Master truck list'!E:F,2,0)</f>
        <v>ACTIVE</v>
      </c>
      <c r="E327" s="1" t="str">
        <f>VLOOKUP(C327,'Master truck list'!E:M,9,0)</f>
        <v>BNK TRANSPORT INC</v>
      </c>
      <c r="F327" s="1" t="str">
        <f>VLOOKUP(C327,'Master truck list'!E:G,3,0)</f>
        <v>Company</v>
      </c>
      <c r="G327" s="1">
        <f>VLOOKUP(C327,'Master truck list'!E:R,14,0)</f>
        <v>2379</v>
      </c>
      <c r="H327" t="str">
        <f>"12/20/2019 7:00:30 AM"</f>
        <v>12/20/2019 7:00:30 AM</v>
      </c>
      <c r="I327" t="str">
        <f>""</f>
        <v/>
      </c>
      <c r="J327" t="str">
        <f t="shared" si="140"/>
        <v>Elite</v>
      </c>
      <c r="K327" t="str">
        <f t="shared" si="123"/>
        <v>Device</v>
      </c>
      <c r="L327" t="str">
        <f t="shared" si="136"/>
        <v>777173818</v>
      </c>
      <c r="M327" t="str">
        <f t="shared" si="137"/>
        <v>16483544</v>
      </c>
      <c r="N327" t="str">
        <f t="shared" si="138"/>
        <v>5054-20</v>
      </c>
      <c r="O327" t="str">
        <f t="shared" si="141"/>
        <v>TEXAS</v>
      </c>
      <c r="P327" t="str">
        <f t="shared" si="142"/>
        <v>N A</v>
      </c>
      <c r="Q327" t="str">
        <f t="shared" si="143"/>
        <v>N/A</v>
      </c>
      <c r="R327" t="str">
        <f>"130 ARPTP 09 308"</f>
        <v>130 ARPTP 09 308</v>
      </c>
      <c r="S327" t="str">
        <f>"12/19/2019 4:21:30 AM"</f>
        <v>12/19/2019 4:21:30 AM</v>
      </c>
      <c r="T327" t="str">
        <f t="shared" si="134"/>
        <v>5</v>
      </c>
      <c r="U327" t="str">
        <f t="shared" si="144"/>
        <v>N/A</v>
      </c>
      <c r="V327" t="str">
        <f t="shared" si="146"/>
        <v>5.5500</v>
      </c>
    </row>
    <row r="328" spans="1:22" x14ac:dyDescent="0.25">
      <c r="A328" s="1" t="str">
        <f t="shared" si="139"/>
        <v>5054-</v>
      </c>
      <c r="B328" s="1" t="str">
        <f t="shared" si="145"/>
        <v>5054-</v>
      </c>
      <c r="C328" s="1" t="str">
        <f>VLOOKUP(B328,'Master truck list'!D:E,2,0)</f>
        <v>5054-20</v>
      </c>
      <c r="D328" s="1" t="str">
        <f>VLOOKUP(C328,'Master truck list'!E:F,2,0)</f>
        <v>ACTIVE</v>
      </c>
      <c r="E328" s="1" t="str">
        <f>VLOOKUP(C328,'Master truck list'!E:M,9,0)</f>
        <v>BNK TRANSPORT INC</v>
      </c>
      <c r="F328" s="1" t="str">
        <f>VLOOKUP(C328,'Master truck list'!E:G,3,0)</f>
        <v>Company</v>
      </c>
      <c r="G328" s="1">
        <f>VLOOKUP(C328,'Master truck list'!E:R,14,0)</f>
        <v>2379</v>
      </c>
      <c r="H328" t="str">
        <f>"12/19/2019 7:00:35 AM"</f>
        <v>12/19/2019 7:00:35 AM</v>
      </c>
      <c r="I328" t="str">
        <f>""</f>
        <v/>
      </c>
      <c r="J328" t="str">
        <f t="shared" si="140"/>
        <v>Elite</v>
      </c>
      <c r="K328" t="str">
        <f t="shared" si="123"/>
        <v>Device</v>
      </c>
      <c r="L328" t="str">
        <f t="shared" si="136"/>
        <v>777173818</v>
      </c>
      <c r="M328" t="str">
        <f t="shared" si="137"/>
        <v>16483544</v>
      </c>
      <c r="N328" t="str">
        <f t="shared" si="138"/>
        <v>5054-20</v>
      </c>
      <c r="O328" t="str">
        <f t="shared" si="141"/>
        <v>TEXAS</v>
      </c>
      <c r="P328" t="str">
        <f t="shared" si="142"/>
        <v>N A</v>
      </c>
      <c r="Q328" t="str">
        <f t="shared" si="143"/>
        <v>N/A</v>
      </c>
      <c r="R328" t="str">
        <f>"130 CMRNP 08 306"</f>
        <v>130 CMRNP 08 306</v>
      </c>
      <c r="S328" t="str">
        <f>"12/18/2019 5:14:55 PM"</f>
        <v>12/18/2019 5:14:55 PM</v>
      </c>
      <c r="T328" t="str">
        <f t="shared" si="134"/>
        <v>5</v>
      </c>
      <c r="U328" t="str">
        <f t="shared" si="144"/>
        <v>N/A</v>
      </c>
      <c r="V328" t="str">
        <f t="shared" si="146"/>
        <v>5.5500</v>
      </c>
    </row>
    <row r="329" spans="1:22" x14ac:dyDescent="0.25">
      <c r="A329" s="1" t="str">
        <f t="shared" si="139"/>
        <v>5054-</v>
      </c>
      <c r="B329" s="1" t="str">
        <f t="shared" si="145"/>
        <v>5054-</v>
      </c>
      <c r="C329" s="1" t="str">
        <f>VLOOKUP(B329,'Master truck list'!D:E,2,0)</f>
        <v>5054-20</v>
      </c>
      <c r="D329" s="1" t="str">
        <f>VLOOKUP(C329,'Master truck list'!E:F,2,0)</f>
        <v>ACTIVE</v>
      </c>
      <c r="E329" s="1" t="str">
        <f>VLOOKUP(C329,'Master truck list'!E:M,9,0)</f>
        <v>BNK TRANSPORT INC</v>
      </c>
      <c r="F329" s="1" t="str">
        <f>VLOOKUP(C329,'Master truck list'!E:G,3,0)</f>
        <v>Company</v>
      </c>
      <c r="G329" s="1">
        <f>VLOOKUP(C329,'Master truck list'!E:R,14,0)</f>
        <v>2379</v>
      </c>
      <c r="H329" t="str">
        <f>"12/19/2019 7:00:35 AM"</f>
        <v>12/19/2019 7:00:35 AM</v>
      </c>
      <c r="I329" t="str">
        <f>""</f>
        <v/>
      </c>
      <c r="J329" t="str">
        <f t="shared" si="140"/>
        <v>Elite</v>
      </c>
      <c r="K329" t="str">
        <f t="shared" si="123"/>
        <v>Device</v>
      </c>
      <c r="L329" t="str">
        <f t="shared" si="136"/>
        <v>777173818</v>
      </c>
      <c r="M329" t="str">
        <f t="shared" si="137"/>
        <v>16483544</v>
      </c>
      <c r="N329" t="str">
        <f t="shared" si="138"/>
        <v>5054-20</v>
      </c>
      <c r="O329" t="str">
        <f t="shared" si="141"/>
        <v>TEXAS</v>
      </c>
      <c r="P329" t="str">
        <f t="shared" si="142"/>
        <v>N A</v>
      </c>
      <c r="Q329" t="str">
        <f t="shared" si="143"/>
        <v>N/A</v>
      </c>
      <c r="R329" t="str">
        <f>"130 ARPTP 04 308"</f>
        <v>130 ARPTP 04 308</v>
      </c>
      <c r="S329" t="str">
        <f>"12/18/2019 5:35:30 PM"</f>
        <v>12/18/2019 5:35:30 PM</v>
      </c>
      <c r="T329" t="str">
        <f t="shared" si="134"/>
        <v>5</v>
      </c>
      <c r="U329" t="str">
        <f t="shared" si="144"/>
        <v>N/A</v>
      </c>
      <c r="V329" t="str">
        <f t="shared" si="146"/>
        <v>5.5500</v>
      </c>
    </row>
    <row r="330" spans="1:22" x14ac:dyDescent="0.25">
      <c r="A330" s="1" t="str">
        <f t="shared" si="139"/>
        <v>5054-</v>
      </c>
      <c r="B330" s="1" t="str">
        <f t="shared" si="145"/>
        <v>5054-</v>
      </c>
      <c r="C330" s="1" t="str">
        <f>VLOOKUP(B330,'Master truck list'!D:E,2,0)</f>
        <v>5054-20</v>
      </c>
      <c r="D330" s="1" t="str">
        <f>VLOOKUP(C330,'Master truck list'!E:F,2,0)</f>
        <v>ACTIVE</v>
      </c>
      <c r="E330" s="1" t="str">
        <f>VLOOKUP(C330,'Master truck list'!E:M,9,0)</f>
        <v>BNK TRANSPORT INC</v>
      </c>
      <c r="F330" s="1" t="str">
        <f>VLOOKUP(C330,'Master truck list'!E:G,3,0)</f>
        <v>Company</v>
      </c>
      <c r="G330" s="1">
        <f>VLOOKUP(C330,'Master truck list'!E:R,14,0)</f>
        <v>2379</v>
      </c>
      <c r="H330" t="str">
        <f>"12/17/2019 7:00:33 AM"</f>
        <v>12/17/2019 7:00:33 AM</v>
      </c>
      <c r="I330" t="str">
        <f>""</f>
        <v/>
      </c>
      <c r="J330" t="str">
        <f t="shared" si="140"/>
        <v>Elite</v>
      </c>
      <c r="K330" t="str">
        <f t="shared" si="123"/>
        <v>Device</v>
      </c>
      <c r="L330" t="str">
        <f t="shared" si="136"/>
        <v>777173818</v>
      </c>
      <c r="M330" t="str">
        <f t="shared" si="137"/>
        <v>16483544</v>
      </c>
      <c r="N330" t="str">
        <f t="shared" si="138"/>
        <v>5054-20</v>
      </c>
      <c r="O330" t="str">
        <f t="shared" si="141"/>
        <v>TEXAS</v>
      </c>
      <c r="P330" t="str">
        <f t="shared" si="142"/>
        <v>N A</v>
      </c>
      <c r="Q330" t="str">
        <f t="shared" si="143"/>
        <v>N/A</v>
      </c>
      <c r="R330" t="str">
        <f>"130 DKCRP 11 307"</f>
        <v>130 DKCRP 11 307</v>
      </c>
      <c r="S330" t="str">
        <f>"12/16/2019 12:40:17 AM"</f>
        <v>12/16/2019 12:40:17 AM</v>
      </c>
      <c r="T330" t="str">
        <f t="shared" si="134"/>
        <v>5</v>
      </c>
      <c r="U330" t="str">
        <f t="shared" si="144"/>
        <v>N/A</v>
      </c>
      <c r="V330" t="str">
        <f t="shared" si="146"/>
        <v>5.5500</v>
      </c>
    </row>
    <row r="331" spans="1:22" x14ac:dyDescent="0.25">
      <c r="A331" s="1" t="str">
        <f t="shared" si="139"/>
        <v>5054-</v>
      </c>
      <c r="B331" s="1" t="str">
        <f t="shared" si="145"/>
        <v>5054-</v>
      </c>
      <c r="C331" s="1" t="str">
        <f>VLOOKUP(B331,'Master truck list'!D:E,2,0)</f>
        <v>5054-20</v>
      </c>
      <c r="D331" s="1" t="str">
        <f>VLOOKUP(C331,'Master truck list'!E:F,2,0)</f>
        <v>ACTIVE</v>
      </c>
      <c r="E331" s="1" t="str">
        <f>VLOOKUP(C331,'Master truck list'!E:M,9,0)</f>
        <v>BNK TRANSPORT INC</v>
      </c>
      <c r="F331" s="1" t="str">
        <f>VLOOKUP(C331,'Master truck list'!E:G,3,0)</f>
        <v>Company</v>
      </c>
      <c r="G331" s="1">
        <f>VLOOKUP(C331,'Master truck list'!E:R,14,0)</f>
        <v>2379</v>
      </c>
      <c r="H331" t="str">
        <f>"12/17/2019 7:00:33 AM"</f>
        <v>12/17/2019 7:00:33 AM</v>
      </c>
      <c r="I331" t="str">
        <f>""</f>
        <v/>
      </c>
      <c r="J331" t="str">
        <f t="shared" si="140"/>
        <v>Elite</v>
      </c>
      <c r="K331" t="str">
        <f t="shared" si="123"/>
        <v>Device</v>
      </c>
      <c r="L331" t="str">
        <f t="shared" si="136"/>
        <v>777173818</v>
      </c>
      <c r="M331" t="str">
        <f t="shared" si="137"/>
        <v>16483544</v>
      </c>
      <c r="N331" t="str">
        <f t="shared" si="138"/>
        <v>5054-20</v>
      </c>
      <c r="O331" t="str">
        <f t="shared" si="141"/>
        <v>TEXAS</v>
      </c>
      <c r="P331" t="str">
        <f t="shared" si="142"/>
        <v>N A</v>
      </c>
      <c r="Q331" t="str">
        <f t="shared" si="143"/>
        <v>N/A</v>
      </c>
      <c r="R331" t="str">
        <f>"130 ARPTP 09 308"</f>
        <v>130 ARPTP 09 308</v>
      </c>
      <c r="S331" t="str">
        <f>"12/16/2019 12:33:19 AM"</f>
        <v>12/16/2019 12:33:19 AM</v>
      </c>
      <c r="T331" t="str">
        <f t="shared" si="134"/>
        <v>5</v>
      </c>
      <c r="U331" t="str">
        <f t="shared" si="144"/>
        <v>N/A</v>
      </c>
      <c r="V331" t="str">
        <f t="shared" si="146"/>
        <v>5.5500</v>
      </c>
    </row>
    <row r="332" spans="1:22" x14ac:dyDescent="0.25">
      <c r="A332" s="1" t="str">
        <f t="shared" si="139"/>
        <v>5054-</v>
      </c>
      <c r="B332" s="1" t="str">
        <f t="shared" si="145"/>
        <v>5054-</v>
      </c>
      <c r="C332" s="1" t="str">
        <f>VLOOKUP(B332,'Master truck list'!D:E,2,0)</f>
        <v>5054-20</v>
      </c>
      <c r="D332" s="1" t="str">
        <f>VLOOKUP(C332,'Master truck list'!E:F,2,0)</f>
        <v>ACTIVE</v>
      </c>
      <c r="E332" s="1" t="str">
        <f>VLOOKUP(C332,'Master truck list'!E:M,9,0)</f>
        <v>BNK TRANSPORT INC</v>
      </c>
      <c r="F332" s="1" t="str">
        <f>VLOOKUP(C332,'Master truck list'!E:G,3,0)</f>
        <v>Company</v>
      </c>
      <c r="G332" s="1">
        <f>VLOOKUP(C332,'Master truck list'!E:R,14,0)</f>
        <v>2379</v>
      </c>
      <c r="H332" t="str">
        <f>"12/17/2019 7:00:33 AM"</f>
        <v>12/17/2019 7:00:33 AM</v>
      </c>
      <c r="I332" t="str">
        <f>""</f>
        <v/>
      </c>
      <c r="J332" t="str">
        <f t="shared" si="140"/>
        <v>Elite</v>
      </c>
      <c r="K332" t="str">
        <f t="shared" si="123"/>
        <v>Device</v>
      </c>
      <c r="L332" t="str">
        <f t="shared" si="136"/>
        <v>777173818</v>
      </c>
      <c r="M332" t="str">
        <f t="shared" si="137"/>
        <v>16483544</v>
      </c>
      <c r="N332" t="str">
        <f t="shared" si="138"/>
        <v>5054-20</v>
      </c>
      <c r="O332" t="str">
        <f t="shared" si="141"/>
        <v>TEXAS</v>
      </c>
      <c r="P332" t="str">
        <f t="shared" si="142"/>
        <v>N A</v>
      </c>
      <c r="Q332" t="str">
        <f t="shared" si="143"/>
        <v>N/A</v>
      </c>
      <c r="R332" t="str">
        <f>"130 CMRNP 13 306"</f>
        <v>130 CMRNP 13 306</v>
      </c>
      <c r="S332" t="str">
        <f>"12/16/2019 12:50:46 AM"</f>
        <v>12/16/2019 12:50:46 AM</v>
      </c>
      <c r="T332" t="str">
        <f t="shared" si="134"/>
        <v>5</v>
      </c>
      <c r="U332" t="str">
        <f t="shared" si="144"/>
        <v>N/A</v>
      </c>
      <c r="V332" t="str">
        <f t="shared" si="146"/>
        <v>5.5500</v>
      </c>
    </row>
    <row r="333" spans="1:22" x14ac:dyDescent="0.25">
      <c r="A333" s="1" t="str">
        <f t="shared" si="139"/>
        <v>5054-</v>
      </c>
      <c r="B333" s="1" t="str">
        <f t="shared" si="145"/>
        <v>5054-</v>
      </c>
      <c r="C333" s="1" t="str">
        <f>VLOOKUP(B333,'Master truck list'!D:E,2,0)</f>
        <v>5054-20</v>
      </c>
      <c r="D333" s="1" t="str">
        <f>VLOOKUP(C333,'Master truck list'!E:F,2,0)</f>
        <v>ACTIVE</v>
      </c>
      <c r="E333" s="1" t="str">
        <f>VLOOKUP(C333,'Master truck list'!E:M,9,0)</f>
        <v>BNK TRANSPORT INC</v>
      </c>
      <c r="F333" s="1" t="str">
        <f>VLOOKUP(C333,'Master truck list'!E:G,3,0)</f>
        <v>Company</v>
      </c>
      <c r="G333" s="1">
        <f>VLOOKUP(C333,'Master truck list'!E:R,14,0)</f>
        <v>2379</v>
      </c>
      <c r="H333" t="str">
        <f>"12/17/2019 7:00:33 AM"</f>
        <v>12/17/2019 7:00:33 AM</v>
      </c>
      <c r="I333" t="str">
        <f>""</f>
        <v/>
      </c>
      <c r="J333" t="str">
        <f t="shared" si="140"/>
        <v>Elite</v>
      </c>
      <c r="K333" t="str">
        <f t="shared" si="123"/>
        <v>Device</v>
      </c>
      <c r="L333" t="str">
        <f t="shared" si="136"/>
        <v>777173818</v>
      </c>
      <c r="M333" t="str">
        <f t="shared" si="137"/>
        <v>16483544</v>
      </c>
      <c r="N333" t="str">
        <f t="shared" si="138"/>
        <v>5054-20</v>
      </c>
      <c r="O333" t="str">
        <f t="shared" si="141"/>
        <v>TEXAS</v>
      </c>
      <c r="P333" t="str">
        <f t="shared" si="142"/>
        <v>N A</v>
      </c>
      <c r="Q333" t="str">
        <f t="shared" si="143"/>
        <v>N/A</v>
      </c>
      <c r="R333" t="str">
        <f>"130 MGCRP 11 305"</f>
        <v>130 MGCRP 11 305</v>
      </c>
      <c r="S333" t="str">
        <f>"12/16/2019 1:01:52 AM"</f>
        <v>12/16/2019 1:01:52 AM</v>
      </c>
      <c r="T333" t="str">
        <f t="shared" si="134"/>
        <v>5</v>
      </c>
      <c r="U333" t="str">
        <f t="shared" si="144"/>
        <v>N/A</v>
      </c>
      <c r="V333" t="str">
        <f t="shared" si="146"/>
        <v>5.5500</v>
      </c>
    </row>
    <row r="334" spans="1:22" x14ac:dyDescent="0.25">
      <c r="A334" s="1" t="str">
        <f t="shared" si="139"/>
        <v>5054-</v>
      </c>
      <c r="B334" s="1" t="str">
        <f t="shared" si="145"/>
        <v>5054-</v>
      </c>
      <c r="C334" s="1" t="str">
        <f>VLOOKUP(B334,'Master truck list'!D:E,2,0)</f>
        <v>5054-20</v>
      </c>
      <c r="D334" s="1" t="str">
        <f>VLOOKUP(C334,'Master truck list'!E:F,2,0)</f>
        <v>ACTIVE</v>
      </c>
      <c r="E334" s="1" t="str">
        <f>VLOOKUP(C334,'Master truck list'!E:M,9,0)</f>
        <v>BNK TRANSPORT INC</v>
      </c>
      <c r="F334" s="1" t="str">
        <f>VLOOKUP(C334,'Master truck list'!E:G,3,0)</f>
        <v>Company</v>
      </c>
      <c r="G334" s="1">
        <f>VLOOKUP(C334,'Master truck list'!E:R,14,0)</f>
        <v>2379</v>
      </c>
      <c r="H334" t="str">
        <f>"12/17/2019 7:00:33 AM"</f>
        <v>12/17/2019 7:00:33 AM</v>
      </c>
      <c r="I334" t="str">
        <f>""</f>
        <v/>
      </c>
      <c r="J334" t="str">
        <f t="shared" si="140"/>
        <v>Elite</v>
      </c>
      <c r="K334" t="str">
        <f t="shared" si="123"/>
        <v>Device</v>
      </c>
      <c r="L334" t="str">
        <f t="shared" si="136"/>
        <v>777173818</v>
      </c>
      <c r="M334" t="str">
        <f t="shared" si="137"/>
        <v>16483544</v>
      </c>
      <c r="N334" t="str">
        <f t="shared" si="138"/>
        <v>5054-20</v>
      </c>
      <c r="O334" t="str">
        <f t="shared" si="141"/>
        <v>TEXAS</v>
      </c>
      <c r="P334" t="str">
        <f t="shared" si="142"/>
        <v>N A</v>
      </c>
      <c r="Q334" t="str">
        <f t="shared" si="143"/>
        <v>N/A</v>
      </c>
      <c r="R334" t="str">
        <f>"45SE MLPEB 02 611"</f>
        <v>45SE MLPEB 02 611</v>
      </c>
      <c r="S334" t="str">
        <f>"12/16/2019 12:22:44 AM"</f>
        <v>12/16/2019 12:22:44 AM</v>
      </c>
      <c r="T334" t="str">
        <f t="shared" si="134"/>
        <v>5</v>
      </c>
      <c r="U334" t="str">
        <f t="shared" si="144"/>
        <v>N/A</v>
      </c>
      <c r="V334" t="str">
        <f>"3.3000"</f>
        <v>3.3000</v>
      </c>
    </row>
    <row r="335" spans="1:22" x14ac:dyDescent="0.25">
      <c r="A335" s="1" t="str">
        <f t="shared" si="139"/>
        <v>5070-</v>
      </c>
      <c r="B335" s="1" t="str">
        <f t="shared" si="145"/>
        <v>5070-</v>
      </c>
      <c r="C335" s="1" t="str">
        <f>VLOOKUP(B335,'Master truck list'!D:E,2,0)</f>
        <v>5070-20</v>
      </c>
      <c r="D335" s="1" t="str">
        <f>VLOOKUP(C335,'Master truck list'!E:F,2,0)</f>
        <v>ACTIVE</v>
      </c>
      <c r="E335" s="1" t="str">
        <f>VLOOKUP(C335,'Master truck list'!E:M,9,0)</f>
        <v>BNK TRANSPORT INC</v>
      </c>
      <c r="F335" s="1" t="str">
        <f>VLOOKUP(C335,'Master truck list'!E:G,3,0)</f>
        <v>Company</v>
      </c>
      <c r="G335" s="1">
        <f>VLOOKUP(C335,'Master truck list'!E:R,14,0)</f>
        <v>2462</v>
      </c>
      <c r="H335" t="str">
        <f>"12/21/2019 7:00:28 AM"</f>
        <v>12/21/2019 7:00:28 AM</v>
      </c>
      <c r="I335" t="str">
        <f>""</f>
        <v/>
      </c>
      <c r="J335" t="str">
        <f t="shared" si="140"/>
        <v>Elite</v>
      </c>
      <c r="K335" t="str">
        <f t="shared" ref="K335:K398" si="147">"Device"</f>
        <v>Device</v>
      </c>
      <c r="L335" t="str">
        <f>"777173828"</f>
        <v>777173828</v>
      </c>
      <c r="M335" t="str">
        <f>"16483554"</f>
        <v>16483554</v>
      </c>
      <c r="N335" t="str">
        <f>"5070-20"</f>
        <v>5070-20</v>
      </c>
      <c r="O335" t="str">
        <f t="shared" si="141"/>
        <v>TEXAS</v>
      </c>
      <c r="P335" t="str">
        <f t="shared" si="142"/>
        <v>N A</v>
      </c>
      <c r="Q335" t="str">
        <f t="shared" si="143"/>
        <v>N/A</v>
      </c>
      <c r="R335" t="str">
        <f>"130 ARPTP 04 308"</f>
        <v>130 ARPTP 04 308</v>
      </c>
      <c r="S335" t="str">
        <f>"12/20/2019 6:06:38 PM"</f>
        <v>12/20/2019 6:06:38 PM</v>
      </c>
      <c r="T335" t="str">
        <f t="shared" si="134"/>
        <v>5</v>
      </c>
      <c r="U335" t="str">
        <f t="shared" si="144"/>
        <v>N/A</v>
      </c>
      <c r="V335" t="str">
        <f t="shared" ref="V335:V340" si="148">"5.5500"</f>
        <v>5.5500</v>
      </c>
    </row>
    <row r="336" spans="1:22" x14ac:dyDescent="0.25">
      <c r="A336" s="1" t="str">
        <f t="shared" si="139"/>
        <v>5070-</v>
      </c>
      <c r="B336" s="1" t="str">
        <f t="shared" si="145"/>
        <v>5070-</v>
      </c>
      <c r="C336" s="1" t="str">
        <f>VLOOKUP(B336,'Master truck list'!D:E,2,0)</f>
        <v>5070-20</v>
      </c>
      <c r="D336" s="1" t="str">
        <f>VLOOKUP(C336,'Master truck list'!E:F,2,0)</f>
        <v>ACTIVE</v>
      </c>
      <c r="E336" s="1" t="str">
        <f>VLOOKUP(C336,'Master truck list'!E:M,9,0)</f>
        <v>BNK TRANSPORT INC</v>
      </c>
      <c r="F336" s="1" t="str">
        <f>VLOOKUP(C336,'Master truck list'!E:G,3,0)</f>
        <v>Company</v>
      </c>
      <c r="G336" s="1">
        <f>VLOOKUP(C336,'Master truck list'!E:R,14,0)</f>
        <v>2462</v>
      </c>
      <c r="H336" t="str">
        <f>"12/21/2019 7:00:28 AM"</f>
        <v>12/21/2019 7:00:28 AM</v>
      </c>
      <c r="I336" t="str">
        <f>""</f>
        <v/>
      </c>
      <c r="J336" t="str">
        <f t="shared" si="140"/>
        <v>Elite</v>
      </c>
      <c r="K336" t="str">
        <f t="shared" si="147"/>
        <v>Device</v>
      </c>
      <c r="L336" t="str">
        <f>"777173828"</f>
        <v>777173828</v>
      </c>
      <c r="M336" t="str">
        <f>"16483554"</f>
        <v>16483554</v>
      </c>
      <c r="N336" t="str">
        <f>"5070-20"</f>
        <v>5070-20</v>
      </c>
      <c r="O336" t="str">
        <f t="shared" si="141"/>
        <v>TEXAS</v>
      </c>
      <c r="P336" t="str">
        <f t="shared" si="142"/>
        <v>N A</v>
      </c>
      <c r="Q336" t="str">
        <f t="shared" si="143"/>
        <v>N/A</v>
      </c>
      <c r="R336" t="str">
        <f>"130 MGCRP 06 305"</f>
        <v>130 MGCRP 06 305</v>
      </c>
      <c r="S336" t="str">
        <f>"12/20/2019 5:32:12 PM"</f>
        <v>12/20/2019 5:32:12 PM</v>
      </c>
      <c r="T336" t="str">
        <f t="shared" si="134"/>
        <v>5</v>
      </c>
      <c r="U336" t="str">
        <f t="shared" si="144"/>
        <v>N/A</v>
      </c>
      <c r="V336" t="str">
        <f t="shared" si="148"/>
        <v>5.5500</v>
      </c>
    </row>
    <row r="337" spans="1:22" x14ac:dyDescent="0.25">
      <c r="A337" s="1" t="str">
        <f t="shared" si="139"/>
        <v>5070-</v>
      </c>
      <c r="B337" s="1" t="str">
        <f t="shared" si="145"/>
        <v>5070-</v>
      </c>
      <c r="C337" s="1" t="str">
        <f>VLOOKUP(B337,'Master truck list'!D:E,2,0)</f>
        <v>5070-20</v>
      </c>
      <c r="D337" s="1" t="str">
        <f>VLOOKUP(C337,'Master truck list'!E:F,2,0)</f>
        <v>ACTIVE</v>
      </c>
      <c r="E337" s="1" t="str">
        <f>VLOOKUP(C337,'Master truck list'!E:M,9,0)</f>
        <v>BNK TRANSPORT INC</v>
      </c>
      <c r="F337" s="1" t="str">
        <f>VLOOKUP(C337,'Master truck list'!E:G,3,0)</f>
        <v>Company</v>
      </c>
      <c r="G337" s="1">
        <f>VLOOKUP(C337,'Master truck list'!E:R,14,0)</f>
        <v>2462</v>
      </c>
      <c r="H337" t="str">
        <f>"12/21/2019 7:00:28 AM"</f>
        <v>12/21/2019 7:00:28 AM</v>
      </c>
      <c r="I337" t="str">
        <f>""</f>
        <v/>
      </c>
      <c r="J337" t="str">
        <f t="shared" si="140"/>
        <v>Elite</v>
      </c>
      <c r="K337" t="str">
        <f t="shared" si="147"/>
        <v>Device</v>
      </c>
      <c r="L337" t="str">
        <f>"777173828"</f>
        <v>777173828</v>
      </c>
      <c r="M337" t="str">
        <f>"16483554"</f>
        <v>16483554</v>
      </c>
      <c r="N337" t="str">
        <f>"5070-20"</f>
        <v>5070-20</v>
      </c>
      <c r="O337" t="str">
        <f t="shared" si="141"/>
        <v>TEXAS</v>
      </c>
      <c r="P337" t="str">
        <f t="shared" si="142"/>
        <v>N A</v>
      </c>
      <c r="Q337" t="str">
        <f t="shared" si="143"/>
        <v>N/A</v>
      </c>
      <c r="R337" t="str">
        <f>"130 CMRNP 08 306"</f>
        <v>130 CMRNP 08 306</v>
      </c>
      <c r="S337" t="str">
        <f>"12/20/2019 5:43:36 PM"</f>
        <v>12/20/2019 5:43:36 PM</v>
      </c>
      <c r="T337" t="str">
        <f t="shared" si="134"/>
        <v>5</v>
      </c>
      <c r="U337" t="str">
        <f t="shared" si="144"/>
        <v>N/A</v>
      </c>
      <c r="V337" t="str">
        <f t="shared" si="148"/>
        <v>5.5500</v>
      </c>
    </row>
    <row r="338" spans="1:22" x14ac:dyDescent="0.25">
      <c r="A338" s="1" t="str">
        <f t="shared" si="139"/>
        <v>5070-</v>
      </c>
      <c r="B338" s="1" t="str">
        <f t="shared" si="145"/>
        <v>5070-</v>
      </c>
      <c r="C338" s="1" t="str">
        <f>VLOOKUP(B338,'Master truck list'!D:E,2,0)</f>
        <v>5070-20</v>
      </c>
      <c r="D338" s="1" t="str">
        <f>VLOOKUP(C338,'Master truck list'!E:F,2,0)</f>
        <v>ACTIVE</v>
      </c>
      <c r="E338" s="1" t="str">
        <f>VLOOKUP(C338,'Master truck list'!E:M,9,0)</f>
        <v>BNK TRANSPORT INC</v>
      </c>
      <c r="F338" s="1" t="str">
        <f>VLOOKUP(C338,'Master truck list'!E:G,3,0)</f>
        <v>Company</v>
      </c>
      <c r="G338" s="1">
        <f>VLOOKUP(C338,'Master truck list'!E:R,14,0)</f>
        <v>2462</v>
      </c>
      <c r="H338" t="str">
        <f>"12/21/2019 7:00:28 AM"</f>
        <v>12/21/2019 7:00:28 AM</v>
      </c>
      <c r="I338" t="str">
        <f>""</f>
        <v/>
      </c>
      <c r="J338" t="str">
        <f t="shared" si="140"/>
        <v>Elite</v>
      </c>
      <c r="K338" t="str">
        <f t="shared" si="147"/>
        <v>Device</v>
      </c>
      <c r="L338" t="str">
        <f>"777173828"</f>
        <v>777173828</v>
      </c>
      <c r="M338" t="str">
        <f>"16483554"</f>
        <v>16483554</v>
      </c>
      <c r="N338" t="str">
        <f>"5070-20"</f>
        <v>5070-20</v>
      </c>
      <c r="O338" t="str">
        <f t="shared" si="141"/>
        <v>TEXAS</v>
      </c>
      <c r="P338" t="str">
        <f t="shared" si="142"/>
        <v>N A</v>
      </c>
      <c r="Q338" t="str">
        <f t="shared" si="143"/>
        <v>N/A</v>
      </c>
      <c r="R338" t="str">
        <f>"130 DKCRP 06 307"</f>
        <v>130 DKCRP 06 307</v>
      </c>
      <c r="S338" t="str">
        <f>"12/20/2019 5:55:22 PM"</f>
        <v>12/20/2019 5:55:22 PM</v>
      </c>
      <c r="T338" t="str">
        <f t="shared" si="134"/>
        <v>5</v>
      </c>
      <c r="U338" t="str">
        <f t="shared" si="144"/>
        <v>N/A</v>
      </c>
      <c r="V338" t="str">
        <f t="shared" si="148"/>
        <v>5.5500</v>
      </c>
    </row>
    <row r="339" spans="1:22" x14ac:dyDescent="0.25">
      <c r="A339" s="1" t="str">
        <f t="shared" si="139"/>
        <v>5075-</v>
      </c>
      <c r="B339" s="1" t="str">
        <f t="shared" si="145"/>
        <v>5075-</v>
      </c>
      <c r="C339" s="1" t="str">
        <f>VLOOKUP(B339,'Master truck list'!D:E,2,0)</f>
        <v>5075-20</v>
      </c>
      <c r="D339" s="1" t="str">
        <f>VLOOKUP(C339,'Master truck list'!E:F,2,0)</f>
        <v>OUT OF SERVICE</v>
      </c>
      <c r="E339" s="1" t="str">
        <f>VLOOKUP(C339,'Master truck list'!E:M,9,0)</f>
        <v>BNK TRANSPORT INC</v>
      </c>
      <c r="F339" s="1" t="str">
        <f>VLOOKUP(C339,'Master truck list'!E:G,3,0)</f>
        <v>Company</v>
      </c>
      <c r="G339" s="1">
        <f>VLOOKUP(C339,'Master truck list'!E:R,14,0)</f>
        <v>2466</v>
      </c>
      <c r="H339" t="str">
        <f t="shared" ref="H339:H344" si="149">"12/20/2019 7:00:30 AM"</f>
        <v>12/20/2019 7:00:30 AM</v>
      </c>
      <c r="I339" t="str">
        <f>""</f>
        <v/>
      </c>
      <c r="J339" t="str">
        <f t="shared" si="140"/>
        <v>Elite</v>
      </c>
      <c r="K339" t="str">
        <f t="shared" si="147"/>
        <v>Device</v>
      </c>
      <c r="L339" t="str">
        <f t="shared" ref="L339:L360" si="150">"777222482"</f>
        <v>777222482</v>
      </c>
      <c r="M339" t="str">
        <f t="shared" ref="M339:M360" si="151">"16596439"</f>
        <v>16596439</v>
      </c>
      <c r="N339" t="str">
        <f t="shared" ref="N339:N360" si="152">"5075-20"</f>
        <v>5075-20</v>
      </c>
      <c r="O339" t="str">
        <f t="shared" si="141"/>
        <v>TEXAS</v>
      </c>
      <c r="P339" t="str">
        <f t="shared" si="142"/>
        <v>N A</v>
      </c>
      <c r="Q339" t="str">
        <f t="shared" si="143"/>
        <v>N/A</v>
      </c>
      <c r="R339" t="str">
        <f>"130 DKCRP 06 307"</f>
        <v>130 DKCRP 06 307</v>
      </c>
      <c r="S339" t="str">
        <f>"12/19/2019 6:05:55 PM"</f>
        <v>12/19/2019 6:05:55 PM</v>
      </c>
      <c r="T339" t="str">
        <f t="shared" si="134"/>
        <v>5</v>
      </c>
      <c r="U339" t="str">
        <f t="shared" si="144"/>
        <v>N/A</v>
      </c>
      <c r="V339" t="str">
        <f t="shared" si="148"/>
        <v>5.5500</v>
      </c>
    </row>
    <row r="340" spans="1:22" x14ac:dyDescent="0.25">
      <c r="A340" s="1" t="str">
        <f t="shared" si="139"/>
        <v>5075-</v>
      </c>
      <c r="B340" s="1" t="str">
        <f t="shared" si="145"/>
        <v>5075-</v>
      </c>
      <c r="C340" s="1" t="str">
        <f>VLOOKUP(B340,'Master truck list'!D:E,2,0)</f>
        <v>5075-20</v>
      </c>
      <c r="D340" s="1" t="str">
        <f>VLOOKUP(C340,'Master truck list'!E:F,2,0)</f>
        <v>OUT OF SERVICE</v>
      </c>
      <c r="E340" s="1" t="str">
        <f>VLOOKUP(C340,'Master truck list'!E:M,9,0)</f>
        <v>BNK TRANSPORT INC</v>
      </c>
      <c r="F340" s="1" t="str">
        <f>VLOOKUP(C340,'Master truck list'!E:G,3,0)</f>
        <v>Company</v>
      </c>
      <c r="G340" s="1">
        <f>VLOOKUP(C340,'Master truck list'!E:R,14,0)</f>
        <v>2466</v>
      </c>
      <c r="H340" t="str">
        <f t="shared" si="149"/>
        <v>12/20/2019 7:00:30 AM</v>
      </c>
      <c r="I340" t="str">
        <f>""</f>
        <v/>
      </c>
      <c r="J340" t="str">
        <f t="shared" si="140"/>
        <v>Elite</v>
      </c>
      <c r="K340" t="str">
        <f t="shared" si="147"/>
        <v>Device</v>
      </c>
      <c r="L340" t="str">
        <f t="shared" si="150"/>
        <v>777222482</v>
      </c>
      <c r="M340" t="str">
        <f t="shared" si="151"/>
        <v>16596439</v>
      </c>
      <c r="N340" t="str">
        <f t="shared" si="152"/>
        <v>5075-20</v>
      </c>
      <c r="O340" t="str">
        <f t="shared" si="141"/>
        <v>TEXAS</v>
      </c>
      <c r="P340" t="str">
        <f t="shared" si="142"/>
        <v>N A</v>
      </c>
      <c r="Q340" t="str">
        <f t="shared" si="143"/>
        <v>N/A</v>
      </c>
      <c r="R340" t="str">
        <f>"130 MGCRP 06 305"</f>
        <v>130 MGCRP 06 305</v>
      </c>
      <c r="S340" t="str">
        <f>"12/19/2019 5:44:44 PM"</f>
        <v>12/19/2019 5:44:44 PM</v>
      </c>
      <c r="T340" t="str">
        <f t="shared" si="134"/>
        <v>5</v>
      </c>
      <c r="U340" t="str">
        <f t="shared" si="144"/>
        <v>N/A</v>
      </c>
      <c r="V340" t="str">
        <f t="shared" si="148"/>
        <v>5.5500</v>
      </c>
    </row>
    <row r="341" spans="1:22" x14ac:dyDescent="0.25">
      <c r="A341" s="1" t="str">
        <f t="shared" si="139"/>
        <v>5075-</v>
      </c>
      <c r="B341" s="1" t="str">
        <f t="shared" si="145"/>
        <v>5075-</v>
      </c>
      <c r="C341" s="1" t="str">
        <f>VLOOKUP(B341,'Master truck list'!D:E,2,0)</f>
        <v>5075-20</v>
      </c>
      <c r="D341" s="1" t="str">
        <f>VLOOKUP(C341,'Master truck list'!E:F,2,0)</f>
        <v>OUT OF SERVICE</v>
      </c>
      <c r="E341" s="1" t="str">
        <f>VLOOKUP(C341,'Master truck list'!E:M,9,0)</f>
        <v>BNK TRANSPORT INC</v>
      </c>
      <c r="F341" s="1" t="str">
        <f>VLOOKUP(C341,'Master truck list'!E:G,3,0)</f>
        <v>Company</v>
      </c>
      <c r="G341" s="1">
        <f>VLOOKUP(C341,'Master truck list'!E:R,14,0)</f>
        <v>2466</v>
      </c>
      <c r="H341" t="str">
        <f t="shared" si="149"/>
        <v>12/20/2019 7:00:30 AM</v>
      </c>
      <c r="I341" t="str">
        <f>""</f>
        <v/>
      </c>
      <c r="J341" t="str">
        <f t="shared" si="140"/>
        <v>Elite</v>
      </c>
      <c r="K341" t="str">
        <f t="shared" si="147"/>
        <v>Device</v>
      </c>
      <c r="L341" t="str">
        <f t="shared" si="150"/>
        <v>777222482</v>
      </c>
      <c r="M341" t="str">
        <f t="shared" si="151"/>
        <v>16596439</v>
      </c>
      <c r="N341" t="str">
        <f t="shared" si="152"/>
        <v>5075-20</v>
      </c>
      <c r="O341" t="str">
        <f t="shared" si="141"/>
        <v>TEXAS</v>
      </c>
      <c r="P341" t="str">
        <f t="shared" si="142"/>
        <v>N A</v>
      </c>
      <c r="Q341" t="str">
        <f t="shared" si="143"/>
        <v>N/A</v>
      </c>
      <c r="R341" t="str">
        <f>"45SE MLPWB 01 611"</f>
        <v>45SE MLPWB 01 611</v>
      </c>
      <c r="S341" t="str">
        <f>"12/19/2019 6:58:33 PM"</f>
        <v>12/19/2019 6:58:33 PM</v>
      </c>
      <c r="T341" t="str">
        <f t="shared" si="134"/>
        <v>5</v>
      </c>
      <c r="U341" t="str">
        <f t="shared" si="144"/>
        <v>N/A</v>
      </c>
      <c r="V341" t="str">
        <f>"3.3000"</f>
        <v>3.3000</v>
      </c>
    </row>
    <row r="342" spans="1:22" x14ac:dyDescent="0.25">
      <c r="A342" s="1" t="str">
        <f t="shared" si="139"/>
        <v>5075-</v>
      </c>
      <c r="B342" s="1" t="str">
        <f t="shared" si="145"/>
        <v>5075-</v>
      </c>
      <c r="C342" s="1" t="str">
        <f>VLOOKUP(B342,'Master truck list'!D:E,2,0)</f>
        <v>5075-20</v>
      </c>
      <c r="D342" s="1" t="str">
        <f>VLOOKUP(C342,'Master truck list'!E:F,2,0)</f>
        <v>OUT OF SERVICE</v>
      </c>
      <c r="E342" s="1" t="str">
        <f>VLOOKUP(C342,'Master truck list'!E:M,9,0)</f>
        <v>BNK TRANSPORT INC</v>
      </c>
      <c r="F342" s="1" t="str">
        <f>VLOOKUP(C342,'Master truck list'!E:G,3,0)</f>
        <v>Company</v>
      </c>
      <c r="G342" s="1">
        <f>VLOOKUP(C342,'Master truck list'!E:R,14,0)</f>
        <v>2466</v>
      </c>
      <c r="H342" t="str">
        <f t="shared" si="149"/>
        <v>12/20/2019 7:00:30 AM</v>
      </c>
      <c r="I342" t="str">
        <f>""</f>
        <v/>
      </c>
      <c r="J342" t="str">
        <f t="shared" si="140"/>
        <v>Elite</v>
      </c>
      <c r="K342" t="str">
        <f t="shared" si="147"/>
        <v>Device</v>
      </c>
      <c r="L342" t="str">
        <f t="shared" si="150"/>
        <v>777222482</v>
      </c>
      <c r="M342" t="str">
        <f t="shared" si="151"/>
        <v>16596439</v>
      </c>
      <c r="N342" t="str">
        <f t="shared" si="152"/>
        <v>5075-20</v>
      </c>
      <c r="O342" t="str">
        <f t="shared" si="141"/>
        <v>TEXAS</v>
      </c>
      <c r="P342" t="str">
        <f t="shared" si="142"/>
        <v>N A</v>
      </c>
      <c r="Q342" t="str">
        <f t="shared" si="143"/>
        <v>N/A</v>
      </c>
      <c r="R342" t="str">
        <f>"130 CMRNP 08 306"</f>
        <v>130 CMRNP 08 306</v>
      </c>
      <c r="S342" t="str">
        <f>"12/19/2019 5:55:43 PM"</f>
        <v>12/19/2019 5:55:43 PM</v>
      </c>
      <c r="T342" t="str">
        <f t="shared" si="134"/>
        <v>5</v>
      </c>
      <c r="U342" t="str">
        <f t="shared" si="144"/>
        <v>N/A</v>
      </c>
      <c r="V342" t="str">
        <f>"5.5500"</f>
        <v>5.5500</v>
      </c>
    </row>
    <row r="343" spans="1:22" x14ac:dyDescent="0.25">
      <c r="A343" s="1" t="str">
        <f t="shared" si="139"/>
        <v>5075-</v>
      </c>
      <c r="B343" s="1" t="str">
        <f t="shared" si="145"/>
        <v>5075-</v>
      </c>
      <c r="C343" s="1" t="str">
        <f>VLOOKUP(B343,'Master truck list'!D:E,2,0)</f>
        <v>5075-20</v>
      </c>
      <c r="D343" s="1" t="str">
        <f>VLOOKUP(C343,'Master truck list'!E:F,2,0)</f>
        <v>OUT OF SERVICE</v>
      </c>
      <c r="E343" s="1" t="str">
        <f>VLOOKUP(C343,'Master truck list'!E:M,9,0)</f>
        <v>BNK TRANSPORT INC</v>
      </c>
      <c r="F343" s="1" t="str">
        <f>VLOOKUP(C343,'Master truck list'!E:G,3,0)</f>
        <v>Company</v>
      </c>
      <c r="G343" s="1">
        <f>VLOOKUP(C343,'Master truck list'!E:R,14,0)</f>
        <v>2466</v>
      </c>
      <c r="H343" t="str">
        <f t="shared" si="149"/>
        <v>12/20/2019 7:00:30 AM</v>
      </c>
      <c r="I343" t="str">
        <f>""</f>
        <v/>
      </c>
      <c r="J343" t="str">
        <f t="shared" si="140"/>
        <v>Elite</v>
      </c>
      <c r="K343" t="str">
        <f t="shared" si="147"/>
        <v>Device</v>
      </c>
      <c r="L343" t="str">
        <f t="shared" si="150"/>
        <v>777222482</v>
      </c>
      <c r="M343" t="str">
        <f t="shared" si="151"/>
        <v>16596439</v>
      </c>
      <c r="N343" t="str">
        <f t="shared" si="152"/>
        <v>5075-20</v>
      </c>
      <c r="O343" t="str">
        <f t="shared" si="141"/>
        <v>TEXAS</v>
      </c>
      <c r="P343" t="str">
        <f t="shared" si="142"/>
        <v>N A</v>
      </c>
      <c r="Q343" t="str">
        <f t="shared" si="143"/>
        <v>N/A</v>
      </c>
      <c r="R343" t="str">
        <f>"PGBW MLG12 09 MLG1"</f>
        <v>PGBW MLG12 09 MLG1</v>
      </c>
      <c r="S343" t="str">
        <f>"12/19/2019 12:26:56 AM"</f>
        <v>12/19/2019 12:26:56 AM</v>
      </c>
      <c r="T343" t="str">
        <f t="shared" si="134"/>
        <v>5</v>
      </c>
      <c r="U343" t="str">
        <f t="shared" si="144"/>
        <v>N/A</v>
      </c>
      <c r="V343" t="str">
        <f>"4.6400"</f>
        <v>4.6400</v>
      </c>
    </row>
    <row r="344" spans="1:22" x14ac:dyDescent="0.25">
      <c r="A344" s="1" t="str">
        <f t="shared" si="139"/>
        <v>5075-</v>
      </c>
      <c r="B344" s="1" t="str">
        <f t="shared" si="145"/>
        <v>5075-</v>
      </c>
      <c r="C344" s="1" t="str">
        <f>VLOOKUP(B344,'Master truck list'!D:E,2,0)</f>
        <v>5075-20</v>
      </c>
      <c r="D344" s="1" t="str">
        <f>VLOOKUP(C344,'Master truck list'!E:F,2,0)</f>
        <v>OUT OF SERVICE</v>
      </c>
      <c r="E344" s="1" t="str">
        <f>VLOOKUP(C344,'Master truck list'!E:M,9,0)</f>
        <v>BNK TRANSPORT INC</v>
      </c>
      <c r="F344" s="1" t="str">
        <f>VLOOKUP(C344,'Master truck list'!E:G,3,0)</f>
        <v>Company</v>
      </c>
      <c r="G344" s="1">
        <f>VLOOKUP(C344,'Master truck list'!E:R,14,0)</f>
        <v>2466</v>
      </c>
      <c r="H344" t="str">
        <f t="shared" si="149"/>
        <v>12/20/2019 7:00:30 AM</v>
      </c>
      <c r="I344" t="str">
        <f>""</f>
        <v/>
      </c>
      <c r="J344" t="str">
        <f t="shared" si="140"/>
        <v>Elite</v>
      </c>
      <c r="K344" t="str">
        <f t="shared" si="147"/>
        <v>Device</v>
      </c>
      <c r="L344" t="str">
        <f t="shared" si="150"/>
        <v>777222482</v>
      </c>
      <c r="M344" t="str">
        <f t="shared" si="151"/>
        <v>16596439</v>
      </c>
      <c r="N344" t="str">
        <f t="shared" si="152"/>
        <v>5075-20</v>
      </c>
      <c r="O344" t="str">
        <f t="shared" si="141"/>
        <v>TEXAS</v>
      </c>
      <c r="P344" t="str">
        <f t="shared" si="142"/>
        <v>N A</v>
      </c>
      <c r="Q344" t="str">
        <f t="shared" si="143"/>
        <v>N/A</v>
      </c>
      <c r="R344" t="str">
        <f>"130 ARPTP 04 308"</f>
        <v>130 ARPTP 04 308</v>
      </c>
      <c r="S344" t="str">
        <f>"12/19/2019 6:16:28 PM"</f>
        <v>12/19/2019 6:16:28 PM</v>
      </c>
      <c r="T344" t="str">
        <f t="shared" si="134"/>
        <v>5</v>
      </c>
      <c r="U344" t="str">
        <f t="shared" si="144"/>
        <v>N/A</v>
      </c>
      <c r="V344" t="str">
        <f>"5.5500"</f>
        <v>5.5500</v>
      </c>
    </row>
    <row r="345" spans="1:22" x14ac:dyDescent="0.25">
      <c r="A345" s="1" t="str">
        <f t="shared" si="139"/>
        <v>5075-</v>
      </c>
      <c r="B345" s="1" t="str">
        <f t="shared" si="145"/>
        <v>5075-</v>
      </c>
      <c r="C345" s="1" t="str">
        <f>VLOOKUP(B345,'Master truck list'!D:E,2,0)</f>
        <v>5075-20</v>
      </c>
      <c r="D345" s="1" t="str">
        <f>VLOOKUP(C345,'Master truck list'!E:F,2,0)</f>
        <v>OUT OF SERVICE</v>
      </c>
      <c r="E345" s="1" t="str">
        <f>VLOOKUP(C345,'Master truck list'!E:M,9,0)</f>
        <v>BNK TRANSPORT INC</v>
      </c>
      <c r="F345" s="1" t="str">
        <f>VLOOKUP(C345,'Master truck list'!E:G,3,0)</f>
        <v>Company</v>
      </c>
      <c r="G345" s="1">
        <f>VLOOKUP(C345,'Master truck list'!E:R,14,0)</f>
        <v>2466</v>
      </c>
      <c r="H345" t="str">
        <f>"12/19/2019 7:00:35 AM"</f>
        <v>12/19/2019 7:00:35 AM</v>
      </c>
      <c r="I345" t="str">
        <f>""</f>
        <v/>
      </c>
      <c r="J345" t="str">
        <f t="shared" si="140"/>
        <v>Elite</v>
      </c>
      <c r="K345" t="str">
        <f t="shared" si="147"/>
        <v>Device</v>
      </c>
      <c r="L345" t="str">
        <f t="shared" si="150"/>
        <v>777222482</v>
      </c>
      <c r="M345" t="str">
        <f t="shared" si="151"/>
        <v>16596439</v>
      </c>
      <c r="N345" t="str">
        <f t="shared" si="152"/>
        <v>5075-20</v>
      </c>
      <c r="O345" t="str">
        <f t="shared" si="141"/>
        <v>TEXAS</v>
      </c>
      <c r="P345" t="str">
        <f t="shared" si="142"/>
        <v>N A</v>
      </c>
      <c r="Q345" t="str">
        <f t="shared" si="143"/>
        <v>N/A</v>
      </c>
      <c r="R345" t="str">
        <f>"130 DKCRP 11 307"</f>
        <v>130 DKCRP 11 307</v>
      </c>
      <c r="S345" t="str">
        <f>"12/18/2019 9:15:35 PM"</f>
        <v>12/18/2019 9:15:35 PM</v>
      </c>
      <c r="T345" t="str">
        <f t="shared" si="134"/>
        <v>5</v>
      </c>
      <c r="U345" t="str">
        <f t="shared" si="144"/>
        <v>N/A</v>
      </c>
      <c r="V345" t="str">
        <f>"5.5500"</f>
        <v>5.5500</v>
      </c>
    </row>
    <row r="346" spans="1:22" x14ac:dyDescent="0.25">
      <c r="A346" s="1" t="str">
        <f t="shared" si="139"/>
        <v>5075-</v>
      </c>
      <c r="B346" s="1" t="str">
        <f t="shared" si="145"/>
        <v>5075-</v>
      </c>
      <c r="C346" s="1" t="str">
        <f>VLOOKUP(B346,'Master truck list'!D:E,2,0)</f>
        <v>5075-20</v>
      </c>
      <c r="D346" s="1" t="str">
        <f>VLOOKUP(C346,'Master truck list'!E:F,2,0)</f>
        <v>OUT OF SERVICE</v>
      </c>
      <c r="E346" s="1" t="str">
        <f>VLOOKUP(C346,'Master truck list'!E:M,9,0)</f>
        <v>BNK TRANSPORT INC</v>
      </c>
      <c r="F346" s="1" t="str">
        <f>VLOOKUP(C346,'Master truck list'!E:G,3,0)</f>
        <v>Company</v>
      </c>
      <c r="G346" s="1">
        <f>VLOOKUP(C346,'Master truck list'!E:R,14,0)</f>
        <v>2466</v>
      </c>
      <c r="H346" t="str">
        <f>"12/19/2019 7:00:35 AM"</f>
        <v>12/19/2019 7:00:35 AM</v>
      </c>
      <c r="I346" t="str">
        <f>""</f>
        <v/>
      </c>
      <c r="J346" t="str">
        <f t="shared" si="140"/>
        <v>Elite</v>
      </c>
      <c r="K346" t="str">
        <f t="shared" si="147"/>
        <v>Device</v>
      </c>
      <c r="L346" t="str">
        <f t="shared" si="150"/>
        <v>777222482</v>
      </c>
      <c r="M346" t="str">
        <f t="shared" si="151"/>
        <v>16596439</v>
      </c>
      <c r="N346" t="str">
        <f t="shared" si="152"/>
        <v>5075-20</v>
      </c>
      <c r="O346" t="str">
        <f t="shared" si="141"/>
        <v>TEXAS</v>
      </c>
      <c r="P346" t="str">
        <f t="shared" si="142"/>
        <v>N A</v>
      </c>
      <c r="Q346" t="str">
        <f t="shared" si="143"/>
        <v>N/A</v>
      </c>
      <c r="R346" t="str">
        <f>"130 MGCRP 11 305"</f>
        <v>130 MGCRP 11 305</v>
      </c>
      <c r="S346" t="str">
        <f>"12/18/2019 9:37:09 PM"</f>
        <v>12/18/2019 9:37:09 PM</v>
      </c>
      <c r="T346" t="str">
        <f t="shared" si="134"/>
        <v>5</v>
      </c>
      <c r="U346" t="str">
        <f t="shared" si="144"/>
        <v>N/A</v>
      </c>
      <c r="V346" t="str">
        <f>"5.5500"</f>
        <v>5.5500</v>
      </c>
    </row>
    <row r="347" spans="1:22" x14ac:dyDescent="0.25">
      <c r="A347" s="1" t="str">
        <f t="shared" si="139"/>
        <v>5075-</v>
      </c>
      <c r="B347" s="1" t="str">
        <f t="shared" si="145"/>
        <v>5075-</v>
      </c>
      <c r="C347" s="1" t="str">
        <f>VLOOKUP(B347,'Master truck list'!D:E,2,0)</f>
        <v>5075-20</v>
      </c>
      <c r="D347" s="1" t="str">
        <f>VLOOKUP(C347,'Master truck list'!E:F,2,0)</f>
        <v>OUT OF SERVICE</v>
      </c>
      <c r="E347" s="1" t="str">
        <f>VLOOKUP(C347,'Master truck list'!E:M,9,0)</f>
        <v>BNK TRANSPORT INC</v>
      </c>
      <c r="F347" s="1" t="str">
        <f>VLOOKUP(C347,'Master truck list'!E:G,3,0)</f>
        <v>Company</v>
      </c>
      <c r="G347" s="1">
        <f>VLOOKUP(C347,'Master truck list'!E:R,14,0)</f>
        <v>2466</v>
      </c>
      <c r="H347" t="str">
        <f>"12/17/2019 7:00:33 AM"</f>
        <v>12/17/2019 7:00:33 AM</v>
      </c>
      <c r="I347" t="str">
        <f>""</f>
        <v/>
      </c>
      <c r="J347" t="str">
        <f t="shared" si="140"/>
        <v>Elite</v>
      </c>
      <c r="K347" t="str">
        <f t="shared" si="147"/>
        <v>Device</v>
      </c>
      <c r="L347" t="str">
        <f t="shared" si="150"/>
        <v>777222482</v>
      </c>
      <c r="M347" t="str">
        <f t="shared" si="151"/>
        <v>16596439</v>
      </c>
      <c r="N347" t="str">
        <f t="shared" si="152"/>
        <v>5075-20</v>
      </c>
      <c r="O347" t="str">
        <f t="shared" si="141"/>
        <v>TEXAS</v>
      </c>
      <c r="P347" t="str">
        <f t="shared" si="142"/>
        <v>N A</v>
      </c>
      <c r="Q347" t="str">
        <f t="shared" si="143"/>
        <v>N/A</v>
      </c>
      <c r="R347" t="str">
        <f>"45SE MLPEB 02 611"</f>
        <v>45SE MLPEB 02 611</v>
      </c>
      <c r="S347" t="str">
        <f>"12/16/2019 5:55:55 PM"</f>
        <v>12/16/2019 5:55:55 PM</v>
      </c>
      <c r="T347" t="str">
        <f t="shared" si="134"/>
        <v>5</v>
      </c>
      <c r="U347" t="str">
        <f t="shared" si="144"/>
        <v>N/A</v>
      </c>
      <c r="V347" t="str">
        <f>"3.3000"</f>
        <v>3.3000</v>
      </c>
    </row>
    <row r="348" spans="1:22" x14ac:dyDescent="0.25">
      <c r="A348" s="1" t="str">
        <f t="shared" si="139"/>
        <v>5075-</v>
      </c>
      <c r="B348" s="1" t="str">
        <f t="shared" si="145"/>
        <v>5075-</v>
      </c>
      <c r="C348" s="1" t="str">
        <f>VLOOKUP(B348,'Master truck list'!D:E,2,0)</f>
        <v>5075-20</v>
      </c>
      <c r="D348" s="1" t="str">
        <f>VLOOKUP(C348,'Master truck list'!E:F,2,0)</f>
        <v>OUT OF SERVICE</v>
      </c>
      <c r="E348" s="1" t="str">
        <f>VLOOKUP(C348,'Master truck list'!E:M,9,0)</f>
        <v>BNK TRANSPORT INC</v>
      </c>
      <c r="F348" s="1" t="str">
        <f>VLOOKUP(C348,'Master truck list'!E:G,3,0)</f>
        <v>Company</v>
      </c>
      <c r="G348" s="1">
        <f>VLOOKUP(C348,'Master truck list'!E:R,14,0)</f>
        <v>2466</v>
      </c>
      <c r="H348" t="str">
        <f>"12/17/2019 7:00:33 AM"</f>
        <v>12/17/2019 7:00:33 AM</v>
      </c>
      <c r="I348" t="str">
        <f>""</f>
        <v/>
      </c>
      <c r="J348" t="str">
        <f t="shared" si="140"/>
        <v>Elite</v>
      </c>
      <c r="K348" t="str">
        <f t="shared" si="147"/>
        <v>Device</v>
      </c>
      <c r="L348" t="str">
        <f t="shared" si="150"/>
        <v>777222482</v>
      </c>
      <c r="M348" t="str">
        <f t="shared" si="151"/>
        <v>16596439</v>
      </c>
      <c r="N348" t="str">
        <f t="shared" si="152"/>
        <v>5075-20</v>
      </c>
      <c r="O348" t="str">
        <f t="shared" si="141"/>
        <v>TEXAS</v>
      </c>
      <c r="P348" t="str">
        <f t="shared" si="142"/>
        <v>N A</v>
      </c>
      <c r="Q348" t="str">
        <f t="shared" si="143"/>
        <v>N/A</v>
      </c>
      <c r="R348" t="str">
        <f>"130 MGCRP 11 305"</f>
        <v>130 MGCRP 11 305</v>
      </c>
      <c r="S348" t="str">
        <f>"12/16/2019 6:35:16 PM"</f>
        <v>12/16/2019 6:35:16 PM</v>
      </c>
      <c r="T348" t="str">
        <f t="shared" si="134"/>
        <v>5</v>
      </c>
      <c r="U348" t="str">
        <f t="shared" si="144"/>
        <v>N/A</v>
      </c>
      <c r="V348" t="str">
        <f>"5.5500"</f>
        <v>5.5500</v>
      </c>
    </row>
    <row r="349" spans="1:22" x14ac:dyDescent="0.25">
      <c r="A349" s="1" t="str">
        <f t="shared" si="139"/>
        <v>5075-</v>
      </c>
      <c r="B349" s="1" t="str">
        <f t="shared" si="145"/>
        <v>5075-</v>
      </c>
      <c r="C349" s="1" t="str">
        <f>VLOOKUP(B349,'Master truck list'!D:E,2,0)</f>
        <v>5075-20</v>
      </c>
      <c r="D349" s="1" t="str">
        <f>VLOOKUP(C349,'Master truck list'!E:F,2,0)</f>
        <v>OUT OF SERVICE</v>
      </c>
      <c r="E349" s="1" t="str">
        <f>VLOOKUP(C349,'Master truck list'!E:M,9,0)</f>
        <v>BNK TRANSPORT INC</v>
      </c>
      <c r="F349" s="1" t="str">
        <f>VLOOKUP(C349,'Master truck list'!E:G,3,0)</f>
        <v>Company</v>
      </c>
      <c r="G349" s="1">
        <f>VLOOKUP(C349,'Master truck list'!E:R,14,0)</f>
        <v>2466</v>
      </c>
      <c r="H349" t="str">
        <f>"12/17/2019 7:00:33 AM"</f>
        <v>12/17/2019 7:00:33 AM</v>
      </c>
      <c r="I349" t="str">
        <f>""</f>
        <v/>
      </c>
      <c r="J349" t="str">
        <f t="shared" si="140"/>
        <v>Elite</v>
      </c>
      <c r="K349" t="str">
        <f t="shared" si="147"/>
        <v>Device</v>
      </c>
      <c r="L349" t="str">
        <f t="shared" si="150"/>
        <v>777222482</v>
      </c>
      <c r="M349" t="str">
        <f t="shared" si="151"/>
        <v>16596439</v>
      </c>
      <c r="N349" t="str">
        <f t="shared" si="152"/>
        <v>5075-20</v>
      </c>
      <c r="O349" t="str">
        <f t="shared" si="141"/>
        <v>TEXAS</v>
      </c>
      <c r="P349" t="str">
        <f t="shared" si="142"/>
        <v>N A</v>
      </c>
      <c r="Q349" t="str">
        <f t="shared" si="143"/>
        <v>N/A</v>
      </c>
      <c r="R349" t="str">
        <f>"130 ARPTP 08 308"</f>
        <v>130 ARPTP 08 308</v>
      </c>
      <c r="S349" t="str">
        <f>"12/16/2019 6:06:44 PM"</f>
        <v>12/16/2019 6:06:44 PM</v>
      </c>
      <c r="T349" t="str">
        <f t="shared" si="134"/>
        <v>5</v>
      </c>
      <c r="U349" t="str">
        <f t="shared" si="144"/>
        <v>N/A</v>
      </c>
      <c r="V349" t="str">
        <f>"5.5500"</f>
        <v>5.5500</v>
      </c>
    </row>
    <row r="350" spans="1:22" x14ac:dyDescent="0.25">
      <c r="A350" s="1" t="str">
        <f t="shared" si="139"/>
        <v>5075-</v>
      </c>
      <c r="B350" s="1" t="str">
        <f t="shared" si="145"/>
        <v>5075-</v>
      </c>
      <c r="C350" s="1" t="str">
        <f>VLOOKUP(B350,'Master truck list'!D:E,2,0)</f>
        <v>5075-20</v>
      </c>
      <c r="D350" s="1" t="str">
        <f>VLOOKUP(C350,'Master truck list'!E:F,2,0)</f>
        <v>OUT OF SERVICE</v>
      </c>
      <c r="E350" s="1" t="str">
        <f>VLOOKUP(C350,'Master truck list'!E:M,9,0)</f>
        <v>BNK TRANSPORT INC</v>
      </c>
      <c r="F350" s="1" t="str">
        <f>VLOOKUP(C350,'Master truck list'!E:G,3,0)</f>
        <v>Company</v>
      </c>
      <c r="G350" s="1">
        <f>VLOOKUP(C350,'Master truck list'!E:R,14,0)</f>
        <v>2466</v>
      </c>
      <c r="H350" t="str">
        <f>"12/17/2019 7:00:33 AM"</f>
        <v>12/17/2019 7:00:33 AM</v>
      </c>
      <c r="I350" t="str">
        <f>""</f>
        <v/>
      </c>
      <c r="J350" t="str">
        <f t="shared" si="140"/>
        <v>Elite</v>
      </c>
      <c r="K350" t="str">
        <f t="shared" si="147"/>
        <v>Device</v>
      </c>
      <c r="L350" t="str">
        <f t="shared" si="150"/>
        <v>777222482</v>
      </c>
      <c r="M350" t="str">
        <f t="shared" si="151"/>
        <v>16596439</v>
      </c>
      <c r="N350" t="str">
        <f t="shared" si="152"/>
        <v>5075-20</v>
      </c>
      <c r="O350" t="str">
        <f t="shared" si="141"/>
        <v>TEXAS</v>
      </c>
      <c r="P350" t="str">
        <f t="shared" si="142"/>
        <v>N A</v>
      </c>
      <c r="Q350" t="str">
        <f t="shared" si="143"/>
        <v>N/A</v>
      </c>
      <c r="R350" t="str">
        <f>"130 CMRNP 13 306"</f>
        <v>130 CMRNP 13 306</v>
      </c>
      <c r="S350" t="str">
        <f>"12/16/2019 6:24:08 PM"</f>
        <v>12/16/2019 6:24:08 PM</v>
      </c>
      <c r="T350" t="str">
        <f t="shared" si="134"/>
        <v>5</v>
      </c>
      <c r="U350" t="str">
        <f t="shared" si="144"/>
        <v>N/A</v>
      </c>
      <c r="V350" t="str">
        <f>"5.5500"</f>
        <v>5.5500</v>
      </c>
    </row>
    <row r="351" spans="1:22" x14ac:dyDescent="0.25">
      <c r="A351" s="1" t="str">
        <f t="shared" si="139"/>
        <v>5075-</v>
      </c>
      <c r="B351" s="1" t="str">
        <f t="shared" si="145"/>
        <v>5075-</v>
      </c>
      <c r="C351" s="1" t="str">
        <f>VLOOKUP(B351,'Master truck list'!D:E,2,0)</f>
        <v>5075-20</v>
      </c>
      <c r="D351" s="1" t="str">
        <f>VLOOKUP(C351,'Master truck list'!E:F,2,0)</f>
        <v>OUT OF SERVICE</v>
      </c>
      <c r="E351" s="1" t="str">
        <f>VLOOKUP(C351,'Master truck list'!E:M,9,0)</f>
        <v>BNK TRANSPORT INC</v>
      </c>
      <c r="F351" s="1" t="str">
        <f>VLOOKUP(C351,'Master truck list'!E:G,3,0)</f>
        <v>Company</v>
      </c>
      <c r="G351" s="1">
        <f>VLOOKUP(C351,'Master truck list'!E:R,14,0)</f>
        <v>2466</v>
      </c>
      <c r="H351" t="str">
        <f>"12/17/2019 7:00:33 AM"</f>
        <v>12/17/2019 7:00:33 AM</v>
      </c>
      <c r="I351" t="str">
        <f>""</f>
        <v/>
      </c>
      <c r="J351" t="str">
        <f t="shared" si="140"/>
        <v>Elite</v>
      </c>
      <c r="K351" t="str">
        <f t="shared" si="147"/>
        <v>Device</v>
      </c>
      <c r="L351" t="str">
        <f t="shared" si="150"/>
        <v>777222482</v>
      </c>
      <c r="M351" t="str">
        <f t="shared" si="151"/>
        <v>16596439</v>
      </c>
      <c r="N351" t="str">
        <f t="shared" si="152"/>
        <v>5075-20</v>
      </c>
      <c r="O351" t="str">
        <f t="shared" si="141"/>
        <v>TEXAS</v>
      </c>
      <c r="P351" t="str">
        <f t="shared" si="142"/>
        <v>N A</v>
      </c>
      <c r="Q351" t="str">
        <f t="shared" si="143"/>
        <v>N/A</v>
      </c>
      <c r="R351" t="str">
        <f>"130 DKCRP 11 307"</f>
        <v>130 DKCRP 11 307</v>
      </c>
      <c r="S351" t="str">
        <f>"12/16/2019 6:13:51 PM"</f>
        <v>12/16/2019 6:13:51 PM</v>
      </c>
      <c r="T351" t="str">
        <f t="shared" si="134"/>
        <v>5</v>
      </c>
      <c r="U351" t="str">
        <f t="shared" si="144"/>
        <v>N/A</v>
      </c>
      <c r="V351" t="str">
        <f>"5.5500"</f>
        <v>5.5500</v>
      </c>
    </row>
    <row r="352" spans="1:22" x14ac:dyDescent="0.25">
      <c r="A352" s="1" t="str">
        <f t="shared" si="139"/>
        <v>5075-</v>
      </c>
      <c r="B352" s="1" t="str">
        <f t="shared" si="145"/>
        <v>5075-</v>
      </c>
      <c r="C352" s="1" t="str">
        <f>VLOOKUP(B352,'Master truck list'!D:E,2,0)</f>
        <v>5075-20</v>
      </c>
      <c r="D352" s="1" t="str">
        <f>VLOOKUP(C352,'Master truck list'!E:F,2,0)</f>
        <v>OUT OF SERVICE</v>
      </c>
      <c r="E352" s="1" t="str">
        <f>VLOOKUP(C352,'Master truck list'!E:M,9,0)</f>
        <v>BNK TRANSPORT INC</v>
      </c>
      <c r="F352" s="1" t="str">
        <f>VLOOKUP(C352,'Master truck list'!E:G,3,0)</f>
        <v>Company</v>
      </c>
      <c r="G352" s="1">
        <f>VLOOKUP(C352,'Master truck list'!E:R,14,0)</f>
        <v>2466</v>
      </c>
      <c r="H352" t="str">
        <f>"12/18/2019 7:00:28 AM"</f>
        <v>12/18/2019 7:00:28 AM</v>
      </c>
      <c r="I352" t="str">
        <f>""</f>
        <v/>
      </c>
      <c r="J352" t="str">
        <f t="shared" si="140"/>
        <v>Elite</v>
      </c>
      <c r="K352" t="str">
        <f t="shared" si="147"/>
        <v>Device</v>
      </c>
      <c r="L352" t="str">
        <f t="shared" si="150"/>
        <v>777222482</v>
      </c>
      <c r="M352" t="str">
        <f t="shared" si="151"/>
        <v>16596439</v>
      </c>
      <c r="N352" t="str">
        <f t="shared" si="152"/>
        <v>5075-20</v>
      </c>
      <c r="O352" t="str">
        <f t="shared" si="141"/>
        <v>TEXAS</v>
      </c>
      <c r="P352" t="str">
        <f t="shared" si="142"/>
        <v>N A</v>
      </c>
      <c r="Q352" t="str">
        <f t="shared" si="143"/>
        <v>N/A</v>
      </c>
      <c r="R352" t="str">
        <f>"PGBW MLG12 09 MLG1"</f>
        <v>PGBW MLG12 09 MLG1</v>
      </c>
      <c r="S352" t="str">
        <f>"12/16/2019 11:27:35 PM"</f>
        <v>12/16/2019 11:27:35 PM</v>
      </c>
      <c r="T352" t="str">
        <f t="shared" si="134"/>
        <v>5</v>
      </c>
      <c r="U352" t="str">
        <f t="shared" si="144"/>
        <v>N/A</v>
      </c>
      <c r="V352" t="str">
        <f>"4.6400"</f>
        <v>4.6400</v>
      </c>
    </row>
    <row r="353" spans="1:22" x14ac:dyDescent="0.25">
      <c r="A353" s="1" t="str">
        <f t="shared" si="139"/>
        <v>5075-</v>
      </c>
      <c r="B353" s="1" t="str">
        <f t="shared" si="145"/>
        <v>5075-</v>
      </c>
      <c r="C353" s="1" t="str">
        <f>VLOOKUP(B353,'Master truck list'!D:E,2,0)</f>
        <v>5075-20</v>
      </c>
      <c r="D353" s="1" t="str">
        <f>VLOOKUP(C353,'Master truck list'!E:F,2,0)</f>
        <v>OUT OF SERVICE</v>
      </c>
      <c r="E353" s="1" t="str">
        <f>VLOOKUP(C353,'Master truck list'!E:M,9,0)</f>
        <v>BNK TRANSPORT INC</v>
      </c>
      <c r="F353" s="1" t="str">
        <f>VLOOKUP(C353,'Master truck list'!E:G,3,0)</f>
        <v>Company</v>
      </c>
      <c r="G353" s="1">
        <f>VLOOKUP(C353,'Master truck list'!E:R,14,0)</f>
        <v>2466</v>
      </c>
      <c r="H353" t="str">
        <f>"12/18/2019 7:00:28 AM"</f>
        <v>12/18/2019 7:00:28 AM</v>
      </c>
      <c r="I353" t="str">
        <f>""</f>
        <v/>
      </c>
      <c r="J353" t="str">
        <f t="shared" si="140"/>
        <v>Elite</v>
      </c>
      <c r="K353" t="str">
        <f t="shared" si="147"/>
        <v>Device</v>
      </c>
      <c r="L353" t="str">
        <f t="shared" si="150"/>
        <v>777222482</v>
      </c>
      <c r="M353" t="str">
        <f t="shared" si="151"/>
        <v>16596439</v>
      </c>
      <c r="N353" t="str">
        <f t="shared" si="152"/>
        <v>5075-20</v>
      </c>
      <c r="O353" t="str">
        <f t="shared" si="141"/>
        <v>TEXAS</v>
      </c>
      <c r="P353" t="str">
        <f t="shared" si="142"/>
        <v>N A</v>
      </c>
      <c r="Q353" t="str">
        <f t="shared" si="143"/>
        <v>N/A</v>
      </c>
      <c r="R353" t="str">
        <f>"130 ARPTP 04 308"</f>
        <v>130 ARPTP 04 308</v>
      </c>
      <c r="S353" t="str">
        <f>"12/17/2019 2:30:54 PM"</f>
        <v>12/17/2019 2:30:54 PM</v>
      </c>
      <c r="T353" t="str">
        <f t="shared" si="134"/>
        <v>5</v>
      </c>
      <c r="U353" t="str">
        <f t="shared" si="144"/>
        <v>N/A</v>
      </c>
      <c r="V353" t="str">
        <f>"5.5500"</f>
        <v>5.5500</v>
      </c>
    </row>
    <row r="354" spans="1:22" x14ac:dyDescent="0.25">
      <c r="A354" s="1" t="str">
        <f t="shared" si="139"/>
        <v>5075-</v>
      </c>
      <c r="B354" s="1" t="str">
        <f t="shared" si="145"/>
        <v>5075-</v>
      </c>
      <c r="C354" s="1" t="str">
        <f>VLOOKUP(B354,'Master truck list'!D:E,2,0)</f>
        <v>5075-20</v>
      </c>
      <c r="D354" s="1" t="str">
        <f>VLOOKUP(C354,'Master truck list'!E:F,2,0)</f>
        <v>OUT OF SERVICE</v>
      </c>
      <c r="E354" s="1" t="str">
        <f>VLOOKUP(C354,'Master truck list'!E:M,9,0)</f>
        <v>BNK TRANSPORT INC</v>
      </c>
      <c r="F354" s="1" t="str">
        <f>VLOOKUP(C354,'Master truck list'!E:G,3,0)</f>
        <v>Company</v>
      </c>
      <c r="G354" s="1">
        <f>VLOOKUP(C354,'Master truck list'!E:R,14,0)</f>
        <v>2466</v>
      </c>
      <c r="H354" t="str">
        <f>"12/19/2019 7:00:35 AM"</f>
        <v>12/19/2019 7:00:35 AM</v>
      </c>
      <c r="I354" t="str">
        <f>""</f>
        <v/>
      </c>
      <c r="J354" t="str">
        <f t="shared" si="140"/>
        <v>Elite</v>
      </c>
      <c r="K354" t="str">
        <f t="shared" si="147"/>
        <v>Device</v>
      </c>
      <c r="L354" t="str">
        <f t="shared" si="150"/>
        <v>777222482</v>
      </c>
      <c r="M354" t="str">
        <f t="shared" si="151"/>
        <v>16596439</v>
      </c>
      <c r="N354" t="str">
        <f t="shared" si="152"/>
        <v>5075-20</v>
      </c>
      <c r="O354" t="str">
        <f t="shared" si="141"/>
        <v>TEXAS</v>
      </c>
      <c r="P354" t="str">
        <f t="shared" si="142"/>
        <v>N A</v>
      </c>
      <c r="Q354" t="str">
        <f t="shared" si="143"/>
        <v>N/A</v>
      </c>
      <c r="R354" t="str">
        <f>"45SE MLPEB 01 611"</f>
        <v>45SE MLPEB 01 611</v>
      </c>
      <c r="S354" t="str">
        <f>"12/18/2019 8:58:04 PM"</f>
        <v>12/18/2019 8:58:04 PM</v>
      </c>
      <c r="T354" t="str">
        <f t="shared" si="134"/>
        <v>5</v>
      </c>
      <c r="U354" t="str">
        <f t="shared" si="144"/>
        <v>N/A</v>
      </c>
      <c r="V354" t="str">
        <f>"3.3000"</f>
        <v>3.3000</v>
      </c>
    </row>
    <row r="355" spans="1:22" x14ac:dyDescent="0.25">
      <c r="A355" s="1" t="str">
        <f t="shared" si="139"/>
        <v>5075-</v>
      </c>
      <c r="B355" s="1" t="str">
        <f t="shared" si="145"/>
        <v>5075-</v>
      </c>
      <c r="C355" s="1" t="str">
        <f>VLOOKUP(B355,'Master truck list'!D:E,2,0)</f>
        <v>5075-20</v>
      </c>
      <c r="D355" s="1" t="str">
        <f>VLOOKUP(C355,'Master truck list'!E:F,2,0)</f>
        <v>OUT OF SERVICE</v>
      </c>
      <c r="E355" s="1" t="str">
        <f>VLOOKUP(C355,'Master truck list'!E:M,9,0)</f>
        <v>BNK TRANSPORT INC</v>
      </c>
      <c r="F355" s="1" t="str">
        <f>VLOOKUP(C355,'Master truck list'!E:G,3,0)</f>
        <v>Company</v>
      </c>
      <c r="G355" s="1">
        <f>VLOOKUP(C355,'Master truck list'!E:R,14,0)</f>
        <v>2466</v>
      </c>
      <c r="H355" t="str">
        <f>"12/19/2019 7:00:35 AM"</f>
        <v>12/19/2019 7:00:35 AM</v>
      </c>
      <c r="I355" t="str">
        <f>""</f>
        <v/>
      </c>
      <c r="J355" t="str">
        <f t="shared" si="140"/>
        <v>Elite</v>
      </c>
      <c r="K355" t="str">
        <f t="shared" si="147"/>
        <v>Device</v>
      </c>
      <c r="L355" t="str">
        <f t="shared" si="150"/>
        <v>777222482</v>
      </c>
      <c r="M355" t="str">
        <f t="shared" si="151"/>
        <v>16596439</v>
      </c>
      <c r="N355" t="str">
        <f t="shared" si="152"/>
        <v>5075-20</v>
      </c>
      <c r="O355" t="str">
        <f t="shared" si="141"/>
        <v>TEXAS</v>
      </c>
      <c r="P355" t="str">
        <f t="shared" si="142"/>
        <v>N A</v>
      </c>
      <c r="Q355" t="str">
        <f t="shared" si="143"/>
        <v>N/A</v>
      </c>
      <c r="R355" t="str">
        <f>"130 ARPTP 09 308"</f>
        <v>130 ARPTP 09 308</v>
      </c>
      <c r="S355" t="str">
        <f>"12/18/2019 9:08:39 PM"</f>
        <v>12/18/2019 9:08:39 PM</v>
      </c>
      <c r="T355" t="str">
        <f t="shared" si="134"/>
        <v>5</v>
      </c>
      <c r="U355" t="str">
        <f t="shared" si="144"/>
        <v>N/A</v>
      </c>
      <c r="V355" t="str">
        <f>"5.5500"</f>
        <v>5.5500</v>
      </c>
    </row>
    <row r="356" spans="1:22" x14ac:dyDescent="0.25">
      <c r="A356" s="1" t="str">
        <f t="shared" si="139"/>
        <v>5075-</v>
      </c>
      <c r="B356" s="1" t="str">
        <f t="shared" si="145"/>
        <v>5075-</v>
      </c>
      <c r="C356" s="1" t="str">
        <f>VLOOKUP(B356,'Master truck list'!D:E,2,0)</f>
        <v>5075-20</v>
      </c>
      <c r="D356" s="1" t="str">
        <f>VLOOKUP(C356,'Master truck list'!E:F,2,0)</f>
        <v>OUT OF SERVICE</v>
      </c>
      <c r="E356" s="1" t="str">
        <f>VLOOKUP(C356,'Master truck list'!E:M,9,0)</f>
        <v>BNK TRANSPORT INC</v>
      </c>
      <c r="F356" s="1" t="str">
        <f>VLOOKUP(C356,'Master truck list'!E:G,3,0)</f>
        <v>Company</v>
      </c>
      <c r="G356" s="1">
        <f>VLOOKUP(C356,'Master truck list'!E:R,14,0)</f>
        <v>2466</v>
      </c>
      <c r="H356" t="str">
        <f>"12/19/2019 7:00:35 AM"</f>
        <v>12/19/2019 7:00:35 AM</v>
      </c>
      <c r="I356" t="str">
        <f>""</f>
        <v/>
      </c>
      <c r="J356" t="str">
        <f t="shared" si="140"/>
        <v>Elite</v>
      </c>
      <c r="K356" t="str">
        <f t="shared" si="147"/>
        <v>Device</v>
      </c>
      <c r="L356" t="str">
        <f t="shared" si="150"/>
        <v>777222482</v>
      </c>
      <c r="M356" t="str">
        <f t="shared" si="151"/>
        <v>16596439</v>
      </c>
      <c r="N356" t="str">
        <f t="shared" si="152"/>
        <v>5075-20</v>
      </c>
      <c r="O356" t="str">
        <f t="shared" si="141"/>
        <v>TEXAS</v>
      </c>
      <c r="P356" t="str">
        <f t="shared" si="142"/>
        <v>N A</v>
      </c>
      <c r="Q356" t="str">
        <f t="shared" si="143"/>
        <v>N/A</v>
      </c>
      <c r="R356" t="str">
        <f>"130 CMRNP 13 306"</f>
        <v>130 CMRNP 13 306</v>
      </c>
      <c r="S356" t="str">
        <f>"12/18/2019 9:26:07 PM"</f>
        <v>12/18/2019 9:26:07 PM</v>
      </c>
      <c r="T356" t="str">
        <f t="shared" si="134"/>
        <v>5</v>
      </c>
      <c r="U356" t="str">
        <f t="shared" si="144"/>
        <v>N/A</v>
      </c>
      <c r="V356" t="str">
        <f>"5.5500"</f>
        <v>5.5500</v>
      </c>
    </row>
    <row r="357" spans="1:22" x14ac:dyDescent="0.25">
      <c r="A357" s="1" t="str">
        <f t="shared" si="139"/>
        <v>5075-</v>
      </c>
      <c r="B357" s="1" t="str">
        <f t="shared" si="145"/>
        <v>5075-</v>
      </c>
      <c r="C357" s="1" t="str">
        <f>VLOOKUP(B357,'Master truck list'!D:E,2,0)</f>
        <v>5075-20</v>
      </c>
      <c r="D357" s="1" t="str">
        <f>VLOOKUP(C357,'Master truck list'!E:F,2,0)</f>
        <v>OUT OF SERVICE</v>
      </c>
      <c r="E357" s="1" t="str">
        <f>VLOOKUP(C357,'Master truck list'!E:M,9,0)</f>
        <v>BNK TRANSPORT INC</v>
      </c>
      <c r="F357" s="1" t="str">
        <f>VLOOKUP(C357,'Master truck list'!E:G,3,0)</f>
        <v>Company</v>
      </c>
      <c r="G357" s="1">
        <f>VLOOKUP(C357,'Master truck list'!E:R,14,0)</f>
        <v>2466</v>
      </c>
      <c r="H357" t="str">
        <f>"12/18/2019 7:00:28 AM"</f>
        <v>12/18/2019 7:00:28 AM</v>
      </c>
      <c r="I357" t="str">
        <f>""</f>
        <v/>
      </c>
      <c r="J357" t="str">
        <f t="shared" si="140"/>
        <v>Elite</v>
      </c>
      <c r="K357" t="str">
        <f t="shared" si="147"/>
        <v>Device</v>
      </c>
      <c r="L357" t="str">
        <f t="shared" si="150"/>
        <v>777222482</v>
      </c>
      <c r="M357" t="str">
        <f t="shared" si="151"/>
        <v>16596439</v>
      </c>
      <c r="N357" t="str">
        <f t="shared" si="152"/>
        <v>5075-20</v>
      </c>
      <c r="O357" t="str">
        <f t="shared" si="141"/>
        <v>TEXAS</v>
      </c>
      <c r="P357" t="str">
        <f t="shared" si="142"/>
        <v>N A</v>
      </c>
      <c r="Q357" t="str">
        <f t="shared" si="143"/>
        <v>N/A</v>
      </c>
      <c r="R357" t="str">
        <f>"130 DKCRP 06 307"</f>
        <v>130 DKCRP 06 307</v>
      </c>
      <c r="S357" t="str">
        <f>"12/17/2019 2:23:49 PM"</f>
        <v>12/17/2019 2:23:49 PM</v>
      </c>
      <c r="T357" t="str">
        <f t="shared" si="134"/>
        <v>5</v>
      </c>
      <c r="U357" t="str">
        <f t="shared" si="144"/>
        <v>N/A</v>
      </c>
      <c r="V357" t="str">
        <f>"5.5500"</f>
        <v>5.5500</v>
      </c>
    </row>
    <row r="358" spans="1:22" x14ac:dyDescent="0.25">
      <c r="A358" s="1" t="str">
        <f t="shared" si="139"/>
        <v>5075-</v>
      </c>
      <c r="B358" s="1" t="str">
        <f t="shared" si="145"/>
        <v>5075-</v>
      </c>
      <c r="C358" s="1" t="str">
        <f>VLOOKUP(B358,'Master truck list'!D:E,2,0)</f>
        <v>5075-20</v>
      </c>
      <c r="D358" s="1" t="str">
        <f>VLOOKUP(C358,'Master truck list'!E:F,2,0)</f>
        <v>OUT OF SERVICE</v>
      </c>
      <c r="E358" s="1" t="str">
        <f>VLOOKUP(C358,'Master truck list'!E:M,9,0)</f>
        <v>BNK TRANSPORT INC</v>
      </c>
      <c r="F358" s="1" t="str">
        <f>VLOOKUP(C358,'Master truck list'!E:G,3,0)</f>
        <v>Company</v>
      </c>
      <c r="G358" s="1">
        <f>VLOOKUP(C358,'Master truck list'!E:R,14,0)</f>
        <v>2466</v>
      </c>
      <c r="H358" t="str">
        <f>"12/18/2019 7:00:28 AM"</f>
        <v>12/18/2019 7:00:28 AM</v>
      </c>
      <c r="I358" t="str">
        <f>""</f>
        <v/>
      </c>
      <c r="J358" t="str">
        <f t="shared" si="140"/>
        <v>Elite</v>
      </c>
      <c r="K358" t="str">
        <f t="shared" si="147"/>
        <v>Device</v>
      </c>
      <c r="L358" t="str">
        <f t="shared" si="150"/>
        <v>777222482</v>
      </c>
      <c r="M358" t="str">
        <f t="shared" si="151"/>
        <v>16596439</v>
      </c>
      <c r="N358" t="str">
        <f t="shared" si="152"/>
        <v>5075-20</v>
      </c>
      <c r="O358" t="str">
        <f t="shared" si="141"/>
        <v>TEXAS</v>
      </c>
      <c r="P358" t="str">
        <f t="shared" si="142"/>
        <v>N A</v>
      </c>
      <c r="Q358" t="str">
        <f t="shared" si="143"/>
        <v>N/A</v>
      </c>
      <c r="R358" t="str">
        <f>"130 MGCRP 06 305"</f>
        <v>130 MGCRP 06 305</v>
      </c>
      <c r="S358" t="str">
        <f>"12/17/2019 2:02:55 PM"</f>
        <v>12/17/2019 2:02:55 PM</v>
      </c>
      <c r="T358" t="str">
        <f t="shared" si="134"/>
        <v>5</v>
      </c>
      <c r="U358" t="str">
        <f t="shared" si="144"/>
        <v>N/A</v>
      </c>
      <c r="V358" t="str">
        <f>"5.5500"</f>
        <v>5.5500</v>
      </c>
    </row>
    <row r="359" spans="1:22" x14ac:dyDescent="0.25">
      <c r="A359" s="1" t="str">
        <f t="shared" si="139"/>
        <v>5075-</v>
      </c>
      <c r="B359" s="1" t="str">
        <f t="shared" si="145"/>
        <v>5075-</v>
      </c>
      <c r="C359" s="1" t="str">
        <f>VLOOKUP(B359,'Master truck list'!D:E,2,0)</f>
        <v>5075-20</v>
      </c>
      <c r="D359" s="1" t="str">
        <f>VLOOKUP(C359,'Master truck list'!E:F,2,0)</f>
        <v>OUT OF SERVICE</v>
      </c>
      <c r="E359" s="1" t="str">
        <f>VLOOKUP(C359,'Master truck list'!E:M,9,0)</f>
        <v>BNK TRANSPORT INC</v>
      </c>
      <c r="F359" s="1" t="str">
        <f>VLOOKUP(C359,'Master truck list'!E:G,3,0)</f>
        <v>Company</v>
      </c>
      <c r="G359" s="1">
        <f>VLOOKUP(C359,'Master truck list'!E:R,14,0)</f>
        <v>2466</v>
      </c>
      <c r="H359" t="str">
        <f>"12/18/2019 7:00:28 AM"</f>
        <v>12/18/2019 7:00:28 AM</v>
      </c>
      <c r="I359" t="str">
        <f>""</f>
        <v/>
      </c>
      <c r="J359" t="str">
        <f t="shared" si="140"/>
        <v>Elite</v>
      </c>
      <c r="K359" t="str">
        <f t="shared" si="147"/>
        <v>Device</v>
      </c>
      <c r="L359" t="str">
        <f t="shared" si="150"/>
        <v>777222482</v>
      </c>
      <c r="M359" t="str">
        <f t="shared" si="151"/>
        <v>16596439</v>
      </c>
      <c r="N359" t="str">
        <f t="shared" si="152"/>
        <v>5075-20</v>
      </c>
      <c r="O359" t="str">
        <f t="shared" si="141"/>
        <v>TEXAS</v>
      </c>
      <c r="P359" t="str">
        <f t="shared" si="142"/>
        <v>N A</v>
      </c>
      <c r="Q359" t="str">
        <f t="shared" si="143"/>
        <v>N/A</v>
      </c>
      <c r="R359" t="str">
        <f>"130 CMRNP 08 306"</f>
        <v>130 CMRNP 08 306</v>
      </c>
      <c r="S359" t="str">
        <f>"12/17/2019 2:13:52 PM"</f>
        <v>12/17/2019 2:13:52 PM</v>
      </c>
      <c r="T359" t="str">
        <f t="shared" si="134"/>
        <v>5</v>
      </c>
      <c r="U359" t="str">
        <f t="shared" si="144"/>
        <v>N/A</v>
      </c>
      <c r="V359" t="str">
        <f>"5.5500"</f>
        <v>5.5500</v>
      </c>
    </row>
    <row r="360" spans="1:22" x14ac:dyDescent="0.25">
      <c r="A360" s="1" t="str">
        <f t="shared" si="139"/>
        <v>5075-</v>
      </c>
      <c r="B360" s="1" t="str">
        <f t="shared" si="145"/>
        <v>5075-</v>
      </c>
      <c r="C360" s="1" t="str">
        <f>VLOOKUP(B360,'Master truck list'!D:E,2,0)</f>
        <v>5075-20</v>
      </c>
      <c r="D360" s="1" t="str">
        <f>VLOOKUP(C360,'Master truck list'!E:F,2,0)</f>
        <v>OUT OF SERVICE</v>
      </c>
      <c r="E360" s="1" t="str">
        <f>VLOOKUP(C360,'Master truck list'!E:M,9,0)</f>
        <v>BNK TRANSPORT INC</v>
      </c>
      <c r="F360" s="1" t="str">
        <f>VLOOKUP(C360,'Master truck list'!E:G,3,0)</f>
        <v>Company</v>
      </c>
      <c r="G360" s="1">
        <f>VLOOKUP(C360,'Master truck list'!E:R,14,0)</f>
        <v>2466</v>
      </c>
      <c r="H360" t="str">
        <f>"12/18/2019 7:00:28 AM"</f>
        <v>12/18/2019 7:00:28 AM</v>
      </c>
      <c r="I360" t="str">
        <f>""</f>
        <v/>
      </c>
      <c r="J360" t="str">
        <f t="shared" si="140"/>
        <v>Elite</v>
      </c>
      <c r="K360" t="str">
        <f t="shared" si="147"/>
        <v>Device</v>
      </c>
      <c r="L360" t="str">
        <f t="shared" si="150"/>
        <v>777222482</v>
      </c>
      <c r="M360" t="str">
        <f t="shared" si="151"/>
        <v>16596439</v>
      </c>
      <c r="N360" t="str">
        <f t="shared" si="152"/>
        <v>5075-20</v>
      </c>
      <c r="O360" t="str">
        <f t="shared" si="141"/>
        <v>TEXAS</v>
      </c>
      <c r="P360" t="str">
        <f t="shared" si="142"/>
        <v>N A</v>
      </c>
      <c r="Q360" t="str">
        <f t="shared" si="143"/>
        <v>N/A</v>
      </c>
      <c r="R360" t="str">
        <f>"45SE MLPWB 01 611"</f>
        <v>45SE MLPWB 01 611</v>
      </c>
      <c r="S360" t="str">
        <f>"12/17/2019 2:41:27 PM"</f>
        <v>12/17/2019 2:41:27 PM</v>
      </c>
      <c r="T360" t="str">
        <f t="shared" si="134"/>
        <v>5</v>
      </c>
      <c r="U360" t="str">
        <f t="shared" si="144"/>
        <v>N/A</v>
      </c>
      <c r="V360" t="str">
        <f>"3.3000"</f>
        <v>3.3000</v>
      </c>
    </row>
    <row r="361" spans="1:22" x14ac:dyDescent="0.25">
      <c r="A361" s="1" t="str">
        <f t="shared" si="139"/>
        <v>540-1</v>
      </c>
      <c r="B361" s="1" t="str">
        <f t="shared" si="145"/>
        <v>540-1</v>
      </c>
      <c r="C361" s="1" t="str">
        <f>VLOOKUP(B361,'Master truck list'!D:E,2,0)</f>
        <v>540-18AT</v>
      </c>
      <c r="D361" s="1" t="str">
        <f>VLOOKUP(C361,'Master truck list'!E:F,2,0)</f>
        <v>ACTIVE</v>
      </c>
      <c r="E361" s="1" t="str">
        <f>VLOOKUP(C361,'Master truck list'!E:M,9,0)</f>
        <v>BNK TRANSPORT INC</v>
      </c>
      <c r="F361" s="1" t="str">
        <f>VLOOKUP(C361,'Master truck list'!E:G,3,0)</f>
        <v>Company</v>
      </c>
      <c r="G361" s="1">
        <f>VLOOKUP(C361,'Master truck list'!E:R,14,0)</f>
        <v>1029</v>
      </c>
      <c r="H361" t="str">
        <f t="shared" ref="H361:H370" si="153">"12/21/2019 7:00:28 AM"</f>
        <v>12/21/2019 7:00:28 AM</v>
      </c>
      <c r="I361" t="str">
        <f>""</f>
        <v/>
      </c>
      <c r="J361" t="str">
        <f t="shared" si="140"/>
        <v>Elite</v>
      </c>
      <c r="K361" t="str">
        <f t="shared" si="147"/>
        <v>Device</v>
      </c>
      <c r="L361" t="str">
        <f>"777226679"</f>
        <v>777226679</v>
      </c>
      <c r="M361" t="str">
        <f>"16600636"</f>
        <v>16600636</v>
      </c>
      <c r="N361" t="str">
        <f>"540-18AT"</f>
        <v>540-18AT</v>
      </c>
      <c r="O361" t="str">
        <f t="shared" si="141"/>
        <v>TEXAS</v>
      </c>
      <c r="P361" t="str">
        <f t="shared" si="142"/>
        <v>N A</v>
      </c>
      <c r="Q361" t="str">
        <f t="shared" si="143"/>
        <v>N/A</v>
      </c>
      <c r="R361" t="str">
        <f>"130 ARPTP 04 308"</f>
        <v>130 ARPTP 04 308</v>
      </c>
      <c r="S361" t="str">
        <f>"12/20/2019 2:06:30 PM"</f>
        <v>12/20/2019 2:06:30 PM</v>
      </c>
      <c r="T361" t="str">
        <f t="shared" si="134"/>
        <v>5</v>
      </c>
      <c r="U361" t="str">
        <f t="shared" si="144"/>
        <v>N/A</v>
      </c>
      <c r="V361" t="str">
        <f>"5.5500"</f>
        <v>5.5500</v>
      </c>
    </row>
    <row r="362" spans="1:22" x14ac:dyDescent="0.25">
      <c r="A362" s="1" t="str">
        <f t="shared" si="139"/>
        <v>540-1</v>
      </c>
      <c r="B362" s="1" t="str">
        <f t="shared" si="145"/>
        <v>540-1</v>
      </c>
      <c r="C362" s="1" t="str">
        <f>VLOOKUP(B362,'Master truck list'!D:E,2,0)</f>
        <v>540-18AT</v>
      </c>
      <c r="D362" s="1" t="str">
        <f>VLOOKUP(C362,'Master truck list'!E:F,2,0)</f>
        <v>ACTIVE</v>
      </c>
      <c r="E362" s="1" t="str">
        <f>VLOOKUP(C362,'Master truck list'!E:M,9,0)</f>
        <v>BNK TRANSPORT INC</v>
      </c>
      <c r="F362" s="1" t="str">
        <f>VLOOKUP(C362,'Master truck list'!E:G,3,0)</f>
        <v>Company</v>
      </c>
      <c r="G362" s="1">
        <f>VLOOKUP(C362,'Master truck list'!E:R,14,0)</f>
        <v>1029</v>
      </c>
      <c r="H362" t="str">
        <f t="shared" si="153"/>
        <v>12/21/2019 7:00:28 AM</v>
      </c>
      <c r="I362" t="str">
        <f>""</f>
        <v/>
      </c>
      <c r="J362" t="str">
        <f t="shared" si="140"/>
        <v>Elite</v>
      </c>
      <c r="K362" t="str">
        <f t="shared" si="147"/>
        <v>Device</v>
      </c>
      <c r="L362" t="str">
        <f>"777226679"</f>
        <v>777226679</v>
      </c>
      <c r="M362" t="str">
        <f>"16600636"</f>
        <v>16600636</v>
      </c>
      <c r="N362" t="str">
        <f>"540-18AT"</f>
        <v>540-18AT</v>
      </c>
      <c r="O362" t="str">
        <f t="shared" si="141"/>
        <v>TEXAS</v>
      </c>
      <c r="P362" t="str">
        <f t="shared" si="142"/>
        <v>N A</v>
      </c>
      <c r="Q362" t="str">
        <f t="shared" si="143"/>
        <v>N/A</v>
      </c>
      <c r="R362" t="str">
        <f>"130 DKCRP 06 307"</f>
        <v>130 DKCRP 06 307</v>
      </c>
      <c r="S362" t="str">
        <f>"12/20/2019 1:58:40 PM"</f>
        <v>12/20/2019 1:58:40 PM</v>
      </c>
      <c r="T362" t="str">
        <f t="shared" si="134"/>
        <v>5</v>
      </c>
      <c r="U362" t="str">
        <f t="shared" si="144"/>
        <v>N/A</v>
      </c>
      <c r="V362" t="str">
        <f>"5.5500"</f>
        <v>5.5500</v>
      </c>
    </row>
    <row r="363" spans="1:22" x14ac:dyDescent="0.25">
      <c r="A363" s="1" t="str">
        <f t="shared" si="139"/>
        <v>540-1</v>
      </c>
      <c r="B363" s="1" t="str">
        <f t="shared" si="145"/>
        <v>540-1</v>
      </c>
      <c r="C363" s="1" t="str">
        <f>VLOOKUP(B363,'Master truck list'!D:E,2,0)</f>
        <v>540-18AT</v>
      </c>
      <c r="D363" s="1" t="str">
        <f>VLOOKUP(C363,'Master truck list'!E:F,2,0)</f>
        <v>ACTIVE</v>
      </c>
      <c r="E363" s="1" t="str">
        <f>VLOOKUP(C363,'Master truck list'!E:M,9,0)</f>
        <v>BNK TRANSPORT INC</v>
      </c>
      <c r="F363" s="1" t="str">
        <f>VLOOKUP(C363,'Master truck list'!E:G,3,0)</f>
        <v>Company</v>
      </c>
      <c r="G363" s="1">
        <f>VLOOKUP(C363,'Master truck list'!E:R,14,0)</f>
        <v>1029</v>
      </c>
      <c r="H363" t="str">
        <f t="shared" si="153"/>
        <v>12/21/2019 7:00:28 AM</v>
      </c>
      <c r="I363" t="str">
        <f>""</f>
        <v/>
      </c>
      <c r="J363" t="str">
        <f t="shared" si="140"/>
        <v>Elite</v>
      </c>
      <c r="K363" t="str">
        <f t="shared" si="147"/>
        <v>Device</v>
      </c>
      <c r="L363" t="str">
        <f>"777226679"</f>
        <v>777226679</v>
      </c>
      <c r="M363" t="str">
        <f>"16600636"</f>
        <v>16600636</v>
      </c>
      <c r="N363" t="str">
        <f>"540-18AT"</f>
        <v>540-18AT</v>
      </c>
      <c r="O363" t="str">
        <f t="shared" si="141"/>
        <v>TEXAS</v>
      </c>
      <c r="P363" t="str">
        <f t="shared" si="142"/>
        <v>N A</v>
      </c>
      <c r="Q363" t="str">
        <f t="shared" si="143"/>
        <v>N/A</v>
      </c>
      <c r="R363" t="str">
        <f>"130 CMRNP 08 306"</f>
        <v>130 CMRNP 08 306</v>
      </c>
      <c r="S363" t="str">
        <f>"12/20/2019 1:47:10 PM"</f>
        <v>12/20/2019 1:47:10 PM</v>
      </c>
      <c r="T363" t="str">
        <f t="shared" si="134"/>
        <v>5</v>
      </c>
      <c r="U363" t="str">
        <f t="shared" si="144"/>
        <v>N/A</v>
      </c>
      <c r="V363" t="str">
        <f>"5.5500"</f>
        <v>5.5500</v>
      </c>
    </row>
    <row r="364" spans="1:22" x14ac:dyDescent="0.25">
      <c r="A364" s="1" t="str">
        <f t="shared" si="139"/>
        <v>540-1</v>
      </c>
      <c r="B364" s="1" t="str">
        <f t="shared" si="145"/>
        <v>540-1</v>
      </c>
      <c r="C364" s="1" t="str">
        <f>VLOOKUP(B364,'Master truck list'!D:E,2,0)</f>
        <v>540-18AT</v>
      </c>
      <c r="D364" s="1" t="str">
        <f>VLOOKUP(C364,'Master truck list'!E:F,2,0)</f>
        <v>ACTIVE</v>
      </c>
      <c r="E364" s="1" t="str">
        <f>VLOOKUP(C364,'Master truck list'!E:M,9,0)</f>
        <v>BNK TRANSPORT INC</v>
      </c>
      <c r="F364" s="1" t="str">
        <f>VLOOKUP(C364,'Master truck list'!E:G,3,0)</f>
        <v>Company</v>
      </c>
      <c r="G364" s="1">
        <f>VLOOKUP(C364,'Master truck list'!E:R,14,0)</f>
        <v>1029</v>
      </c>
      <c r="H364" t="str">
        <f t="shared" si="153"/>
        <v>12/21/2019 7:00:28 AM</v>
      </c>
      <c r="I364" t="str">
        <f>""</f>
        <v/>
      </c>
      <c r="J364" t="str">
        <f t="shared" si="140"/>
        <v>Elite</v>
      </c>
      <c r="K364" t="str">
        <f t="shared" si="147"/>
        <v>Device</v>
      </c>
      <c r="L364" t="str">
        <f>"777226679"</f>
        <v>777226679</v>
      </c>
      <c r="M364" t="str">
        <f>"16600636"</f>
        <v>16600636</v>
      </c>
      <c r="N364" t="str">
        <f>"540-18AT"</f>
        <v>540-18AT</v>
      </c>
      <c r="O364" t="str">
        <f t="shared" si="141"/>
        <v>TEXAS</v>
      </c>
      <c r="P364" t="str">
        <f t="shared" si="142"/>
        <v>N A</v>
      </c>
      <c r="Q364" t="str">
        <f t="shared" si="143"/>
        <v>N/A</v>
      </c>
      <c r="R364" t="str">
        <f>"45SE MLPWB 01 611"</f>
        <v>45SE MLPWB 01 611</v>
      </c>
      <c r="S364" t="str">
        <f>"12/20/2019 2:17:58 PM"</f>
        <v>12/20/2019 2:17:58 PM</v>
      </c>
      <c r="T364" t="str">
        <f t="shared" si="134"/>
        <v>5</v>
      </c>
      <c r="U364" t="str">
        <f t="shared" si="144"/>
        <v>N/A</v>
      </c>
      <c r="V364" t="str">
        <f>"3.3000"</f>
        <v>3.3000</v>
      </c>
    </row>
    <row r="365" spans="1:22" x14ac:dyDescent="0.25">
      <c r="A365" s="1" t="str">
        <f t="shared" si="139"/>
        <v>540-1</v>
      </c>
      <c r="B365" s="1" t="str">
        <f t="shared" si="145"/>
        <v>540-1</v>
      </c>
      <c r="C365" s="1" t="str">
        <f>VLOOKUP(B365,'Master truck list'!D:E,2,0)</f>
        <v>540-18AT</v>
      </c>
      <c r="D365" s="1" t="str">
        <f>VLOOKUP(C365,'Master truck list'!E:F,2,0)</f>
        <v>ACTIVE</v>
      </c>
      <c r="E365" s="1" t="str">
        <f>VLOOKUP(C365,'Master truck list'!E:M,9,0)</f>
        <v>BNK TRANSPORT INC</v>
      </c>
      <c r="F365" s="1" t="str">
        <f>VLOOKUP(C365,'Master truck list'!E:G,3,0)</f>
        <v>Company</v>
      </c>
      <c r="G365" s="1">
        <f>VLOOKUP(C365,'Master truck list'!E:R,14,0)</f>
        <v>1029</v>
      </c>
      <c r="H365" t="str">
        <f t="shared" si="153"/>
        <v>12/21/2019 7:00:28 AM</v>
      </c>
      <c r="I365" t="str">
        <f>""</f>
        <v/>
      </c>
      <c r="J365" t="str">
        <f t="shared" si="140"/>
        <v>Elite</v>
      </c>
      <c r="K365" t="str">
        <f t="shared" si="147"/>
        <v>Device</v>
      </c>
      <c r="L365" t="str">
        <f>"777226679"</f>
        <v>777226679</v>
      </c>
      <c r="M365" t="str">
        <f>"16600636"</f>
        <v>16600636</v>
      </c>
      <c r="N365" t="str">
        <f>"540-18AT"</f>
        <v>540-18AT</v>
      </c>
      <c r="O365" t="str">
        <f t="shared" si="141"/>
        <v>TEXAS</v>
      </c>
      <c r="P365" t="str">
        <f t="shared" si="142"/>
        <v>N A</v>
      </c>
      <c r="Q365" t="str">
        <f t="shared" si="143"/>
        <v>N/A</v>
      </c>
      <c r="R365" t="str">
        <f>"130 MGCRP 06 305"</f>
        <v>130 MGCRP 06 305</v>
      </c>
      <c r="S365" t="str">
        <f>"12/20/2019 1:35:52 PM"</f>
        <v>12/20/2019 1:35:52 PM</v>
      </c>
      <c r="T365" t="str">
        <f t="shared" si="134"/>
        <v>5</v>
      </c>
      <c r="U365" t="str">
        <f t="shared" si="144"/>
        <v>N/A</v>
      </c>
      <c r="V365" t="str">
        <f>"5.5500"</f>
        <v>5.5500</v>
      </c>
    </row>
    <row r="366" spans="1:22" x14ac:dyDescent="0.25">
      <c r="A366" s="1" t="str">
        <f t="shared" si="139"/>
        <v>5055-</v>
      </c>
      <c r="B366" s="1" t="str">
        <f t="shared" si="145"/>
        <v>5055-</v>
      </c>
      <c r="C366" s="1" t="str">
        <f>VLOOKUP(B366,'Master truck list'!D:E,2,0)</f>
        <v>5055-20</v>
      </c>
      <c r="D366" s="1" t="str">
        <f>VLOOKUP(C366,'Master truck list'!E:F,2,0)</f>
        <v>ACTIVE</v>
      </c>
      <c r="E366" s="1" t="str">
        <f>VLOOKUP(C366,'Master truck list'!E:M,9,0)</f>
        <v>BNK TRANSPORT INC</v>
      </c>
      <c r="F366" s="1" t="str">
        <f>VLOOKUP(C366,'Master truck list'!E:G,3,0)</f>
        <v>Company</v>
      </c>
      <c r="G366" s="1">
        <f>VLOOKUP(C366,'Master truck list'!E:R,14,0)</f>
        <v>2383</v>
      </c>
      <c r="H366" t="str">
        <f t="shared" si="153"/>
        <v>12/21/2019 7:00:28 AM</v>
      </c>
      <c r="I366" t="str">
        <f>""</f>
        <v/>
      </c>
      <c r="J366" t="str">
        <f t="shared" si="140"/>
        <v>Elite</v>
      </c>
      <c r="K366" t="str">
        <f t="shared" si="147"/>
        <v>Device</v>
      </c>
      <c r="L366" t="str">
        <f t="shared" ref="L366:L379" si="154">"777222849"</f>
        <v>777222849</v>
      </c>
      <c r="M366" t="str">
        <f t="shared" ref="M366:M379" si="155">"16596806"</f>
        <v>16596806</v>
      </c>
      <c r="N366" t="str">
        <f t="shared" ref="N366:N379" si="156">"5055-20"</f>
        <v>5055-20</v>
      </c>
      <c r="O366" t="str">
        <f t="shared" si="141"/>
        <v>TEXAS</v>
      </c>
      <c r="P366" t="str">
        <f t="shared" si="142"/>
        <v>N A</v>
      </c>
      <c r="Q366" t="str">
        <f t="shared" si="143"/>
        <v>N/A</v>
      </c>
      <c r="R366" t="str">
        <f>"45SE MLPEB 02 611"</f>
        <v>45SE MLPEB 02 611</v>
      </c>
      <c r="S366" t="str">
        <f>"12/20/2019 2:00:45 PM"</f>
        <v>12/20/2019 2:00:45 PM</v>
      </c>
      <c r="T366" t="str">
        <f t="shared" si="134"/>
        <v>5</v>
      </c>
      <c r="U366" t="str">
        <f t="shared" si="144"/>
        <v>N/A</v>
      </c>
      <c r="V366" t="str">
        <f>"3.3000"</f>
        <v>3.3000</v>
      </c>
    </row>
    <row r="367" spans="1:22" x14ac:dyDescent="0.25">
      <c r="A367" s="1" t="str">
        <f t="shared" si="139"/>
        <v>5055-</v>
      </c>
      <c r="B367" s="1" t="str">
        <f t="shared" si="145"/>
        <v>5055-</v>
      </c>
      <c r="C367" s="1" t="str">
        <f>VLOOKUP(B367,'Master truck list'!D:E,2,0)</f>
        <v>5055-20</v>
      </c>
      <c r="D367" s="1" t="str">
        <f>VLOOKUP(C367,'Master truck list'!E:F,2,0)</f>
        <v>ACTIVE</v>
      </c>
      <c r="E367" s="1" t="str">
        <f>VLOOKUP(C367,'Master truck list'!E:M,9,0)</f>
        <v>BNK TRANSPORT INC</v>
      </c>
      <c r="F367" s="1" t="str">
        <f>VLOOKUP(C367,'Master truck list'!E:G,3,0)</f>
        <v>Company</v>
      </c>
      <c r="G367" s="1">
        <f>VLOOKUP(C367,'Master truck list'!E:R,14,0)</f>
        <v>2383</v>
      </c>
      <c r="H367" t="str">
        <f t="shared" si="153"/>
        <v>12/21/2019 7:00:28 AM</v>
      </c>
      <c r="I367" t="str">
        <f>""</f>
        <v/>
      </c>
      <c r="J367" t="str">
        <f t="shared" si="140"/>
        <v>Elite</v>
      </c>
      <c r="K367" t="str">
        <f t="shared" si="147"/>
        <v>Device</v>
      </c>
      <c r="L367" t="str">
        <f t="shared" si="154"/>
        <v>777222849</v>
      </c>
      <c r="M367" t="str">
        <f t="shared" si="155"/>
        <v>16596806</v>
      </c>
      <c r="N367" t="str">
        <f t="shared" si="156"/>
        <v>5055-20</v>
      </c>
      <c r="O367" t="str">
        <f t="shared" si="141"/>
        <v>TEXAS</v>
      </c>
      <c r="P367" t="str">
        <f t="shared" si="142"/>
        <v>N A</v>
      </c>
      <c r="Q367" t="str">
        <f t="shared" si="143"/>
        <v>N/A</v>
      </c>
      <c r="R367" t="str">
        <f>"130 MGCRP 11 305"</f>
        <v>130 MGCRP 11 305</v>
      </c>
      <c r="S367" t="str">
        <f>"12/20/2019 2:44:30 PM"</f>
        <v>12/20/2019 2:44:30 PM</v>
      </c>
      <c r="T367" t="str">
        <f>"2"</f>
        <v>2</v>
      </c>
      <c r="U367" t="str">
        <f t="shared" si="144"/>
        <v>N/A</v>
      </c>
      <c r="V367" t="str">
        <f>"1.8500"</f>
        <v>1.8500</v>
      </c>
    </row>
    <row r="368" spans="1:22" x14ac:dyDescent="0.25">
      <c r="A368" s="1" t="str">
        <f t="shared" si="139"/>
        <v>5055-</v>
      </c>
      <c r="B368" s="1" t="str">
        <f t="shared" si="145"/>
        <v>5055-</v>
      </c>
      <c r="C368" s="1" t="str">
        <f>VLOOKUP(B368,'Master truck list'!D:E,2,0)</f>
        <v>5055-20</v>
      </c>
      <c r="D368" s="1" t="str">
        <f>VLOOKUP(C368,'Master truck list'!E:F,2,0)</f>
        <v>ACTIVE</v>
      </c>
      <c r="E368" s="1" t="str">
        <f>VLOOKUP(C368,'Master truck list'!E:M,9,0)</f>
        <v>BNK TRANSPORT INC</v>
      </c>
      <c r="F368" s="1" t="str">
        <f>VLOOKUP(C368,'Master truck list'!E:G,3,0)</f>
        <v>Company</v>
      </c>
      <c r="G368" s="1">
        <f>VLOOKUP(C368,'Master truck list'!E:R,14,0)</f>
        <v>2383</v>
      </c>
      <c r="H368" t="str">
        <f t="shared" si="153"/>
        <v>12/21/2019 7:00:28 AM</v>
      </c>
      <c r="I368" t="str">
        <f>""</f>
        <v/>
      </c>
      <c r="J368" t="str">
        <f t="shared" si="140"/>
        <v>Elite</v>
      </c>
      <c r="K368" t="str">
        <f t="shared" si="147"/>
        <v>Device</v>
      </c>
      <c r="L368" t="str">
        <f t="shared" si="154"/>
        <v>777222849</v>
      </c>
      <c r="M368" t="str">
        <f t="shared" si="155"/>
        <v>16596806</v>
      </c>
      <c r="N368" t="str">
        <f t="shared" si="156"/>
        <v>5055-20</v>
      </c>
      <c r="O368" t="str">
        <f t="shared" si="141"/>
        <v>TEXAS</v>
      </c>
      <c r="P368" t="str">
        <f t="shared" si="142"/>
        <v>N A</v>
      </c>
      <c r="Q368" t="str">
        <f t="shared" si="143"/>
        <v>N/A</v>
      </c>
      <c r="R368" t="str">
        <f>"130 ARPTP 09 308"</f>
        <v>130 ARPTP 09 308</v>
      </c>
      <c r="S368" t="str">
        <f>"12/20/2019 2:11:23 PM"</f>
        <v>12/20/2019 2:11:23 PM</v>
      </c>
      <c r="T368" t="str">
        <f t="shared" ref="T368:T377" si="157">"5"</f>
        <v>5</v>
      </c>
      <c r="U368" t="str">
        <f t="shared" si="144"/>
        <v>N/A</v>
      </c>
      <c r="V368" t="str">
        <f>"5.5500"</f>
        <v>5.5500</v>
      </c>
    </row>
    <row r="369" spans="1:22" x14ac:dyDescent="0.25">
      <c r="A369" s="1" t="str">
        <f t="shared" si="139"/>
        <v>5055-</v>
      </c>
      <c r="B369" s="1" t="str">
        <f t="shared" si="145"/>
        <v>5055-</v>
      </c>
      <c r="C369" s="1" t="str">
        <f>VLOOKUP(B369,'Master truck list'!D:E,2,0)</f>
        <v>5055-20</v>
      </c>
      <c r="D369" s="1" t="str">
        <f>VLOOKUP(C369,'Master truck list'!E:F,2,0)</f>
        <v>ACTIVE</v>
      </c>
      <c r="E369" s="1" t="str">
        <f>VLOOKUP(C369,'Master truck list'!E:M,9,0)</f>
        <v>BNK TRANSPORT INC</v>
      </c>
      <c r="F369" s="1" t="str">
        <f>VLOOKUP(C369,'Master truck list'!E:G,3,0)</f>
        <v>Company</v>
      </c>
      <c r="G369" s="1">
        <f>VLOOKUP(C369,'Master truck list'!E:R,14,0)</f>
        <v>2383</v>
      </c>
      <c r="H369" t="str">
        <f t="shared" si="153"/>
        <v>12/21/2019 7:00:28 AM</v>
      </c>
      <c r="I369" t="str">
        <f>""</f>
        <v/>
      </c>
      <c r="J369" t="str">
        <f t="shared" si="140"/>
        <v>Elite</v>
      </c>
      <c r="K369" t="str">
        <f t="shared" si="147"/>
        <v>Device</v>
      </c>
      <c r="L369" t="str">
        <f t="shared" si="154"/>
        <v>777222849</v>
      </c>
      <c r="M369" t="str">
        <f t="shared" si="155"/>
        <v>16596806</v>
      </c>
      <c r="N369" t="str">
        <f t="shared" si="156"/>
        <v>5055-20</v>
      </c>
      <c r="O369" t="str">
        <f t="shared" si="141"/>
        <v>TEXAS</v>
      </c>
      <c r="P369" t="str">
        <f t="shared" si="142"/>
        <v>N A</v>
      </c>
      <c r="Q369" t="str">
        <f t="shared" si="143"/>
        <v>N/A</v>
      </c>
      <c r="R369" t="str">
        <f>"130 DKCRP 11 307"</f>
        <v>130 DKCRP 11 307</v>
      </c>
      <c r="S369" t="str">
        <f>"12/20/2019 2:18:48 PM"</f>
        <v>12/20/2019 2:18:48 PM</v>
      </c>
      <c r="T369" t="str">
        <f t="shared" si="157"/>
        <v>5</v>
      </c>
      <c r="U369" t="str">
        <f t="shared" si="144"/>
        <v>N/A</v>
      </c>
      <c r="V369" t="str">
        <f>"5.5500"</f>
        <v>5.5500</v>
      </c>
    </row>
    <row r="370" spans="1:22" x14ac:dyDescent="0.25">
      <c r="A370" s="1" t="str">
        <f t="shared" si="139"/>
        <v>5055-</v>
      </c>
      <c r="B370" s="1" t="str">
        <f t="shared" si="145"/>
        <v>5055-</v>
      </c>
      <c r="C370" s="1" t="str">
        <f>VLOOKUP(B370,'Master truck list'!D:E,2,0)</f>
        <v>5055-20</v>
      </c>
      <c r="D370" s="1" t="str">
        <f>VLOOKUP(C370,'Master truck list'!E:F,2,0)</f>
        <v>ACTIVE</v>
      </c>
      <c r="E370" s="1" t="str">
        <f>VLOOKUP(C370,'Master truck list'!E:M,9,0)</f>
        <v>BNK TRANSPORT INC</v>
      </c>
      <c r="F370" s="1" t="str">
        <f>VLOOKUP(C370,'Master truck list'!E:G,3,0)</f>
        <v>Company</v>
      </c>
      <c r="G370" s="1">
        <f>VLOOKUP(C370,'Master truck list'!E:R,14,0)</f>
        <v>2383</v>
      </c>
      <c r="H370" t="str">
        <f t="shared" si="153"/>
        <v>12/21/2019 7:00:28 AM</v>
      </c>
      <c r="I370" t="str">
        <f>""</f>
        <v/>
      </c>
      <c r="J370" t="str">
        <f t="shared" si="140"/>
        <v>Elite</v>
      </c>
      <c r="K370" t="str">
        <f t="shared" si="147"/>
        <v>Device</v>
      </c>
      <c r="L370" t="str">
        <f t="shared" si="154"/>
        <v>777222849</v>
      </c>
      <c r="M370" t="str">
        <f t="shared" si="155"/>
        <v>16596806</v>
      </c>
      <c r="N370" t="str">
        <f t="shared" si="156"/>
        <v>5055-20</v>
      </c>
      <c r="O370" t="str">
        <f t="shared" si="141"/>
        <v>TEXAS</v>
      </c>
      <c r="P370" t="str">
        <f t="shared" si="142"/>
        <v>N A</v>
      </c>
      <c r="Q370" t="str">
        <f t="shared" si="143"/>
        <v>N/A</v>
      </c>
      <c r="R370" t="str">
        <f>"130 CMRNP 13 306"</f>
        <v>130 CMRNP 13 306</v>
      </c>
      <c r="S370" t="str">
        <f>"12/20/2019 2:29:54 PM"</f>
        <v>12/20/2019 2:29:54 PM</v>
      </c>
      <c r="T370" t="str">
        <f t="shared" si="157"/>
        <v>5</v>
      </c>
      <c r="U370" t="str">
        <f t="shared" si="144"/>
        <v>N/A</v>
      </c>
      <c r="V370" t="str">
        <f>"5.5500"</f>
        <v>5.5500</v>
      </c>
    </row>
    <row r="371" spans="1:22" x14ac:dyDescent="0.25">
      <c r="A371" s="1" t="str">
        <f t="shared" si="139"/>
        <v>5055-</v>
      </c>
      <c r="B371" s="1" t="str">
        <f t="shared" si="145"/>
        <v>5055-</v>
      </c>
      <c r="C371" s="1" t="str">
        <f>VLOOKUP(B371,'Master truck list'!D:E,2,0)</f>
        <v>5055-20</v>
      </c>
      <c r="D371" s="1" t="str">
        <f>VLOOKUP(C371,'Master truck list'!E:F,2,0)</f>
        <v>ACTIVE</v>
      </c>
      <c r="E371" s="1" t="str">
        <f>VLOOKUP(C371,'Master truck list'!E:M,9,0)</f>
        <v>BNK TRANSPORT INC</v>
      </c>
      <c r="F371" s="1" t="str">
        <f>VLOOKUP(C371,'Master truck list'!E:G,3,0)</f>
        <v>Company</v>
      </c>
      <c r="G371" s="1">
        <f>VLOOKUP(C371,'Master truck list'!E:R,14,0)</f>
        <v>2383</v>
      </c>
      <c r="H371" t="str">
        <f>"12/18/2019 7:00:28 AM"</f>
        <v>12/18/2019 7:00:28 AM</v>
      </c>
      <c r="I371" t="str">
        <f>""</f>
        <v/>
      </c>
      <c r="J371" t="str">
        <f t="shared" si="140"/>
        <v>Elite</v>
      </c>
      <c r="K371" t="str">
        <f t="shared" si="147"/>
        <v>Device</v>
      </c>
      <c r="L371" t="str">
        <f t="shared" si="154"/>
        <v>777222849</v>
      </c>
      <c r="M371" t="str">
        <f t="shared" si="155"/>
        <v>16596806</v>
      </c>
      <c r="N371" t="str">
        <f t="shared" si="156"/>
        <v>5055-20</v>
      </c>
      <c r="O371" t="str">
        <f t="shared" si="141"/>
        <v>TEXAS</v>
      </c>
      <c r="P371" t="str">
        <f t="shared" si="142"/>
        <v>N A</v>
      </c>
      <c r="Q371" t="str">
        <f t="shared" si="143"/>
        <v>N/A</v>
      </c>
      <c r="R371" t="str">
        <f>"130 MGCRP 16 305"</f>
        <v>130 MGCRP 16 305</v>
      </c>
      <c r="S371" t="str">
        <f>"12/17/2019 12:22:17 PM"</f>
        <v>12/17/2019 12:22:17 PM</v>
      </c>
      <c r="T371" t="str">
        <f t="shared" si="157"/>
        <v>5</v>
      </c>
      <c r="U371" t="str">
        <f t="shared" si="144"/>
        <v>N/A</v>
      </c>
      <c r="V371" t="str">
        <f>"5.5500"</f>
        <v>5.5500</v>
      </c>
    </row>
    <row r="372" spans="1:22" x14ac:dyDescent="0.25">
      <c r="A372" s="1" t="str">
        <f t="shared" si="139"/>
        <v>5055-</v>
      </c>
      <c r="B372" s="1" t="str">
        <f t="shared" si="145"/>
        <v>5055-</v>
      </c>
      <c r="C372" s="1" t="str">
        <f>VLOOKUP(B372,'Master truck list'!D:E,2,0)</f>
        <v>5055-20</v>
      </c>
      <c r="D372" s="1" t="str">
        <f>VLOOKUP(C372,'Master truck list'!E:F,2,0)</f>
        <v>ACTIVE</v>
      </c>
      <c r="E372" s="1" t="str">
        <f>VLOOKUP(C372,'Master truck list'!E:M,9,0)</f>
        <v>BNK TRANSPORT INC</v>
      </c>
      <c r="F372" s="1" t="str">
        <f>VLOOKUP(C372,'Master truck list'!E:G,3,0)</f>
        <v>Company</v>
      </c>
      <c r="G372" s="1">
        <f>VLOOKUP(C372,'Master truck list'!E:R,14,0)</f>
        <v>2383</v>
      </c>
      <c r="H372" t="str">
        <f>"12/18/2019 7:00:28 AM"</f>
        <v>12/18/2019 7:00:28 AM</v>
      </c>
      <c r="I372" t="str">
        <f>""</f>
        <v/>
      </c>
      <c r="J372" t="str">
        <f t="shared" si="140"/>
        <v>Elite</v>
      </c>
      <c r="K372" t="str">
        <f t="shared" si="147"/>
        <v>Device</v>
      </c>
      <c r="L372" t="str">
        <f t="shared" si="154"/>
        <v>777222849</v>
      </c>
      <c r="M372" t="str">
        <f t="shared" si="155"/>
        <v>16596806</v>
      </c>
      <c r="N372" t="str">
        <f t="shared" si="156"/>
        <v>5055-20</v>
      </c>
      <c r="O372" t="str">
        <f t="shared" si="141"/>
        <v>TEXAS</v>
      </c>
      <c r="P372" t="str">
        <f t="shared" si="142"/>
        <v>N A</v>
      </c>
      <c r="Q372" t="str">
        <f t="shared" si="143"/>
        <v>N/A</v>
      </c>
      <c r="R372" t="str">
        <f>"130 ARPTP 09 308"</f>
        <v>130 ARPTP 09 308</v>
      </c>
      <c r="S372" t="str">
        <f>"12/17/2019 11:54:02 AM"</f>
        <v>12/17/2019 11:54:02 AM</v>
      </c>
      <c r="T372" t="str">
        <f t="shared" si="157"/>
        <v>5</v>
      </c>
      <c r="U372" t="str">
        <f t="shared" si="144"/>
        <v>N/A</v>
      </c>
      <c r="V372" t="str">
        <f>"5.5500"</f>
        <v>5.5500</v>
      </c>
    </row>
    <row r="373" spans="1:22" x14ac:dyDescent="0.25">
      <c r="A373" s="1" t="str">
        <f t="shared" si="139"/>
        <v>5055-</v>
      </c>
      <c r="B373" s="1" t="str">
        <f t="shared" si="145"/>
        <v>5055-</v>
      </c>
      <c r="C373" s="1" t="str">
        <f>VLOOKUP(B373,'Master truck list'!D:E,2,0)</f>
        <v>5055-20</v>
      </c>
      <c r="D373" s="1" t="str">
        <f>VLOOKUP(C373,'Master truck list'!E:F,2,0)</f>
        <v>ACTIVE</v>
      </c>
      <c r="E373" s="1" t="str">
        <f>VLOOKUP(C373,'Master truck list'!E:M,9,0)</f>
        <v>BNK TRANSPORT INC</v>
      </c>
      <c r="F373" s="1" t="str">
        <f>VLOOKUP(C373,'Master truck list'!E:G,3,0)</f>
        <v>Company</v>
      </c>
      <c r="G373" s="1">
        <f>VLOOKUP(C373,'Master truck list'!E:R,14,0)</f>
        <v>2383</v>
      </c>
      <c r="H373" t="str">
        <f>"12/18/2019 7:00:28 AM"</f>
        <v>12/18/2019 7:00:28 AM</v>
      </c>
      <c r="I373" t="str">
        <f>""</f>
        <v/>
      </c>
      <c r="J373" t="str">
        <f t="shared" si="140"/>
        <v>Elite</v>
      </c>
      <c r="K373" t="str">
        <f t="shared" si="147"/>
        <v>Device</v>
      </c>
      <c r="L373" t="str">
        <f t="shared" si="154"/>
        <v>777222849</v>
      </c>
      <c r="M373" t="str">
        <f t="shared" si="155"/>
        <v>16596806</v>
      </c>
      <c r="N373" t="str">
        <f t="shared" si="156"/>
        <v>5055-20</v>
      </c>
      <c r="O373" t="str">
        <f t="shared" si="141"/>
        <v>TEXAS</v>
      </c>
      <c r="P373" t="str">
        <f t="shared" si="142"/>
        <v>N A</v>
      </c>
      <c r="Q373" t="str">
        <f t="shared" si="143"/>
        <v>N/A</v>
      </c>
      <c r="R373" t="str">
        <f>"45SE MLPEB 02 611"</f>
        <v>45SE MLPEB 02 611</v>
      </c>
      <c r="S373" t="str">
        <f>"12/17/2019 11:43:24 AM"</f>
        <v>12/17/2019 11:43:24 AM</v>
      </c>
      <c r="T373" t="str">
        <f t="shared" si="157"/>
        <v>5</v>
      </c>
      <c r="U373" t="str">
        <f t="shared" si="144"/>
        <v>N/A</v>
      </c>
      <c r="V373" t="str">
        <f>"3.3000"</f>
        <v>3.3000</v>
      </c>
    </row>
    <row r="374" spans="1:22" x14ac:dyDescent="0.25">
      <c r="A374" s="1" t="str">
        <f t="shared" si="139"/>
        <v>5055-</v>
      </c>
      <c r="B374" s="1" t="str">
        <f t="shared" si="145"/>
        <v>5055-</v>
      </c>
      <c r="C374" s="1" t="str">
        <f>VLOOKUP(B374,'Master truck list'!D:E,2,0)</f>
        <v>5055-20</v>
      </c>
      <c r="D374" s="1" t="str">
        <f>VLOOKUP(C374,'Master truck list'!E:F,2,0)</f>
        <v>ACTIVE</v>
      </c>
      <c r="E374" s="1" t="str">
        <f>VLOOKUP(C374,'Master truck list'!E:M,9,0)</f>
        <v>BNK TRANSPORT INC</v>
      </c>
      <c r="F374" s="1" t="str">
        <f>VLOOKUP(C374,'Master truck list'!E:G,3,0)</f>
        <v>Company</v>
      </c>
      <c r="G374" s="1">
        <f>VLOOKUP(C374,'Master truck list'!E:R,14,0)</f>
        <v>2383</v>
      </c>
      <c r="H374" t="str">
        <f>"12/19/2019 7:00:35 AM"</f>
        <v>12/19/2019 7:00:35 AM</v>
      </c>
      <c r="I374" t="str">
        <f>""</f>
        <v/>
      </c>
      <c r="J374" t="str">
        <f t="shared" si="140"/>
        <v>Elite</v>
      </c>
      <c r="K374" t="str">
        <f t="shared" si="147"/>
        <v>Device</v>
      </c>
      <c r="L374" t="str">
        <f t="shared" si="154"/>
        <v>777222849</v>
      </c>
      <c r="M374" t="str">
        <f t="shared" si="155"/>
        <v>16596806</v>
      </c>
      <c r="N374" t="str">
        <f t="shared" si="156"/>
        <v>5055-20</v>
      </c>
      <c r="O374" t="str">
        <f t="shared" si="141"/>
        <v>TEXAS</v>
      </c>
      <c r="P374" t="str">
        <f t="shared" si="142"/>
        <v>N A</v>
      </c>
      <c r="Q374" t="str">
        <f t="shared" si="143"/>
        <v>N/A</v>
      </c>
      <c r="R374" t="str">
        <f>"130 ARPTP 04 308"</f>
        <v>130 ARPTP 04 308</v>
      </c>
      <c r="S374" t="str">
        <f>"12/18/2019 12:05:30 AM"</f>
        <v>12/18/2019 12:05:30 AM</v>
      </c>
      <c r="T374" t="str">
        <f t="shared" si="157"/>
        <v>5</v>
      </c>
      <c r="U374" t="str">
        <f t="shared" si="144"/>
        <v>N/A</v>
      </c>
      <c r="V374" t="str">
        <f>"5.5500"</f>
        <v>5.5500</v>
      </c>
    </row>
    <row r="375" spans="1:22" x14ac:dyDescent="0.25">
      <c r="A375" s="1" t="str">
        <f t="shared" si="139"/>
        <v>5055-</v>
      </c>
      <c r="B375" s="1" t="str">
        <f t="shared" si="145"/>
        <v>5055-</v>
      </c>
      <c r="C375" s="1" t="str">
        <f>VLOOKUP(B375,'Master truck list'!D:E,2,0)</f>
        <v>5055-20</v>
      </c>
      <c r="D375" s="1" t="str">
        <f>VLOOKUP(C375,'Master truck list'!E:F,2,0)</f>
        <v>ACTIVE</v>
      </c>
      <c r="E375" s="1" t="str">
        <f>VLOOKUP(C375,'Master truck list'!E:M,9,0)</f>
        <v>BNK TRANSPORT INC</v>
      </c>
      <c r="F375" s="1" t="str">
        <f>VLOOKUP(C375,'Master truck list'!E:G,3,0)</f>
        <v>Company</v>
      </c>
      <c r="G375" s="1">
        <f>VLOOKUP(C375,'Master truck list'!E:R,14,0)</f>
        <v>2383</v>
      </c>
      <c r="H375" t="str">
        <f>"12/19/2019 7:00:35 AM"</f>
        <v>12/19/2019 7:00:35 AM</v>
      </c>
      <c r="I375" t="str">
        <f>""</f>
        <v/>
      </c>
      <c r="J375" t="str">
        <f t="shared" si="140"/>
        <v>Elite</v>
      </c>
      <c r="K375" t="str">
        <f t="shared" si="147"/>
        <v>Device</v>
      </c>
      <c r="L375" t="str">
        <f t="shared" si="154"/>
        <v>777222849</v>
      </c>
      <c r="M375" t="str">
        <f t="shared" si="155"/>
        <v>16596806</v>
      </c>
      <c r="N375" t="str">
        <f t="shared" si="156"/>
        <v>5055-20</v>
      </c>
      <c r="O375" t="str">
        <f t="shared" si="141"/>
        <v>TEXAS</v>
      </c>
      <c r="P375" t="str">
        <f t="shared" si="142"/>
        <v>N A</v>
      </c>
      <c r="Q375" t="str">
        <f t="shared" si="143"/>
        <v>N/A</v>
      </c>
      <c r="R375" t="str">
        <f>"130 CMRNP 08 306"</f>
        <v>130 CMRNP 08 306</v>
      </c>
      <c r="S375" t="str">
        <f>"12/17/2019 11:48:34 PM"</f>
        <v>12/17/2019 11:48:34 PM</v>
      </c>
      <c r="T375" t="str">
        <f t="shared" si="157"/>
        <v>5</v>
      </c>
      <c r="U375" t="str">
        <f t="shared" si="144"/>
        <v>N/A</v>
      </c>
      <c r="V375" t="str">
        <f>"5.5500"</f>
        <v>5.5500</v>
      </c>
    </row>
    <row r="376" spans="1:22" x14ac:dyDescent="0.25">
      <c r="A376" s="1" t="str">
        <f t="shared" si="139"/>
        <v>5055-</v>
      </c>
      <c r="B376" s="1" t="str">
        <f t="shared" si="145"/>
        <v>5055-</v>
      </c>
      <c r="C376" s="1" t="str">
        <f>VLOOKUP(B376,'Master truck list'!D:E,2,0)</f>
        <v>5055-20</v>
      </c>
      <c r="D376" s="1" t="str">
        <f>VLOOKUP(C376,'Master truck list'!E:F,2,0)</f>
        <v>ACTIVE</v>
      </c>
      <c r="E376" s="1" t="str">
        <f>VLOOKUP(C376,'Master truck list'!E:M,9,0)</f>
        <v>BNK TRANSPORT INC</v>
      </c>
      <c r="F376" s="1" t="str">
        <f>VLOOKUP(C376,'Master truck list'!E:G,3,0)</f>
        <v>Company</v>
      </c>
      <c r="G376" s="1">
        <f>VLOOKUP(C376,'Master truck list'!E:R,14,0)</f>
        <v>2383</v>
      </c>
      <c r="H376" t="str">
        <f>"12/19/2019 7:00:35 AM"</f>
        <v>12/19/2019 7:00:35 AM</v>
      </c>
      <c r="I376" t="str">
        <f>""</f>
        <v/>
      </c>
      <c r="J376" t="str">
        <f t="shared" si="140"/>
        <v>Elite</v>
      </c>
      <c r="K376" t="str">
        <f t="shared" si="147"/>
        <v>Device</v>
      </c>
      <c r="L376" t="str">
        <f t="shared" si="154"/>
        <v>777222849</v>
      </c>
      <c r="M376" t="str">
        <f t="shared" si="155"/>
        <v>16596806</v>
      </c>
      <c r="N376" t="str">
        <f t="shared" si="156"/>
        <v>5055-20</v>
      </c>
      <c r="O376" t="str">
        <f t="shared" si="141"/>
        <v>TEXAS</v>
      </c>
      <c r="P376" t="str">
        <f t="shared" si="142"/>
        <v>N A</v>
      </c>
      <c r="Q376" t="str">
        <f t="shared" si="143"/>
        <v>N/A</v>
      </c>
      <c r="R376" t="str">
        <f>"130 MGCRP 06 305"</f>
        <v>130 MGCRP 06 305</v>
      </c>
      <c r="S376" t="str">
        <f>"12/17/2019 11:37:35 PM"</f>
        <v>12/17/2019 11:37:35 PM</v>
      </c>
      <c r="T376" t="str">
        <f t="shared" si="157"/>
        <v>5</v>
      </c>
      <c r="U376" t="str">
        <f t="shared" si="144"/>
        <v>N/A</v>
      </c>
      <c r="V376" t="str">
        <f>"5.5500"</f>
        <v>5.5500</v>
      </c>
    </row>
    <row r="377" spans="1:22" x14ac:dyDescent="0.25">
      <c r="A377" s="1" t="str">
        <f t="shared" si="139"/>
        <v>5055-</v>
      </c>
      <c r="B377" s="1" t="str">
        <f t="shared" si="145"/>
        <v>5055-</v>
      </c>
      <c r="C377" s="1" t="str">
        <f>VLOOKUP(B377,'Master truck list'!D:E,2,0)</f>
        <v>5055-20</v>
      </c>
      <c r="D377" s="1" t="str">
        <f>VLOOKUP(C377,'Master truck list'!E:F,2,0)</f>
        <v>ACTIVE</v>
      </c>
      <c r="E377" s="1" t="str">
        <f>VLOOKUP(C377,'Master truck list'!E:M,9,0)</f>
        <v>BNK TRANSPORT INC</v>
      </c>
      <c r="F377" s="1" t="str">
        <f>VLOOKUP(C377,'Master truck list'!E:G,3,0)</f>
        <v>Company</v>
      </c>
      <c r="G377" s="1">
        <f>VLOOKUP(C377,'Master truck list'!E:R,14,0)</f>
        <v>2383</v>
      </c>
      <c r="H377" t="str">
        <f>"12/19/2019 7:00:35 AM"</f>
        <v>12/19/2019 7:00:35 AM</v>
      </c>
      <c r="I377" t="str">
        <f>""</f>
        <v/>
      </c>
      <c r="J377" t="str">
        <f t="shared" si="140"/>
        <v>Elite</v>
      </c>
      <c r="K377" t="str">
        <f t="shared" si="147"/>
        <v>Device</v>
      </c>
      <c r="L377" t="str">
        <f t="shared" si="154"/>
        <v>777222849</v>
      </c>
      <c r="M377" t="str">
        <f t="shared" si="155"/>
        <v>16596806</v>
      </c>
      <c r="N377" t="str">
        <f t="shared" si="156"/>
        <v>5055-20</v>
      </c>
      <c r="O377" t="str">
        <f t="shared" si="141"/>
        <v>TEXAS</v>
      </c>
      <c r="P377" t="str">
        <f t="shared" si="142"/>
        <v>N A</v>
      </c>
      <c r="Q377" t="str">
        <f t="shared" si="143"/>
        <v>N/A</v>
      </c>
      <c r="R377" t="str">
        <f>"130 DKCRP 06 307"</f>
        <v>130 DKCRP 06 307</v>
      </c>
      <c r="S377" t="str">
        <f>"12/17/2019 11:58:32 PM"</f>
        <v>12/17/2019 11:58:32 PM</v>
      </c>
      <c r="T377" t="str">
        <f t="shared" si="157"/>
        <v>5</v>
      </c>
      <c r="U377" t="str">
        <f t="shared" si="144"/>
        <v>N/A</v>
      </c>
      <c r="V377" t="str">
        <f>"5.5500"</f>
        <v>5.5500</v>
      </c>
    </row>
    <row r="378" spans="1:22" x14ac:dyDescent="0.25">
      <c r="A378" s="1" t="str">
        <f t="shared" si="139"/>
        <v>5055-</v>
      </c>
      <c r="B378" s="1" t="str">
        <f t="shared" si="145"/>
        <v>5055-</v>
      </c>
      <c r="C378" s="1" t="str">
        <f>VLOOKUP(B378,'Master truck list'!D:E,2,0)</f>
        <v>5055-20</v>
      </c>
      <c r="D378" s="1" t="str">
        <f>VLOOKUP(C378,'Master truck list'!E:F,2,0)</f>
        <v>ACTIVE</v>
      </c>
      <c r="E378" s="1" t="str">
        <f>VLOOKUP(C378,'Master truck list'!E:M,9,0)</f>
        <v>BNK TRANSPORT INC</v>
      </c>
      <c r="F378" s="1" t="str">
        <f>VLOOKUP(C378,'Master truck list'!E:G,3,0)</f>
        <v>Company</v>
      </c>
      <c r="G378" s="1">
        <f>VLOOKUP(C378,'Master truck list'!E:R,14,0)</f>
        <v>2383</v>
      </c>
      <c r="H378" t="str">
        <f>"12/19/2019 7:00:35 AM"</f>
        <v>12/19/2019 7:00:35 AM</v>
      </c>
      <c r="I378" t="str">
        <f>""</f>
        <v/>
      </c>
      <c r="J378" t="str">
        <f t="shared" si="140"/>
        <v>Elite</v>
      </c>
      <c r="K378" t="str">
        <f t="shared" si="147"/>
        <v>Device</v>
      </c>
      <c r="L378" t="str">
        <f t="shared" si="154"/>
        <v>777222849</v>
      </c>
      <c r="M378" t="str">
        <f t="shared" si="155"/>
        <v>16596806</v>
      </c>
      <c r="N378" t="str">
        <f t="shared" si="156"/>
        <v>5055-20</v>
      </c>
      <c r="O378" t="str">
        <f t="shared" si="141"/>
        <v>TEXAS</v>
      </c>
      <c r="P378" t="str">
        <f t="shared" si="142"/>
        <v>N A</v>
      </c>
      <c r="Q378" t="str">
        <f t="shared" si="143"/>
        <v>N/A</v>
      </c>
      <c r="R378" t="str">
        <f>"130 BLUESP 01 4110"</f>
        <v>130 BLUESP 01 4110</v>
      </c>
      <c r="S378" t="str">
        <f>"12/18/2019 12:38:21 AM"</f>
        <v>12/18/2019 12:38:21 AM</v>
      </c>
      <c r="T378" t="str">
        <f>"15"</f>
        <v>15</v>
      </c>
      <c r="U378" t="str">
        <f t="shared" si="144"/>
        <v>N/A</v>
      </c>
      <c r="V378" t="str">
        <f>"20.4900"</f>
        <v>20.4900</v>
      </c>
    </row>
    <row r="379" spans="1:22" x14ac:dyDescent="0.25">
      <c r="A379" s="1" t="str">
        <f t="shared" si="139"/>
        <v>5055-</v>
      </c>
      <c r="B379" s="1" t="str">
        <f t="shared" si="145"/>
        <v>5055-</v>
      </c>
      <c r="C379" s="1" t="str">
        <f>VLOOKUP(B379,'Master truck list'!D:E,2,0)</f>
        <v>5055-20</v>
      </c>
      <c r="D379" s="1" t="str">
        <f>VLOOKUP(C379,'Master truck list'!E:F,2,0)</f>
        <v>ACTIVE</v>
      </c>
      <c r="E379" s="1" t="str">
        <f>VLOOKUP(C379,'Master truck list'!E:M,9,0)</f>
        <v>BNK TRANSPORT INC</v>
      </c>
      <c r="F379" s="1" t="str">
        <f>VLOOKUP(C379,'Master truck list'!E:G,3,0)</f>
        <v>Company</v>
      </c>
      <c r="G379" s="1">
        <f>VLOOKUP(C379,'Master truck list'!E:R,14,0)</f>
        <v>2383</v>
      </c>
      <c r="H379" t="str">
        <f>"12/18/2019 7:00:28 AM"</f>
        <v>12/18/2019 7:00:28 AM</v>
      </c>
      <c r="I379" t="str">
        <f>""</f>
        <v/>
      </c>
      <c r="J379" t="str">
        <f t="shared" si="140"/>
        <v>Elite</v>
      </c>
      <c r="K379" t="str">
        <f t="shared" si="147"/>
        <v>Device</v>
      </c>
      <c r="L379" t="str">
        <f t="shared" si="154"/>
        <v>777222849</v>
      </c>
      <c r="M379" t="str">
        <f t="shared" si="155"/>
        <v>16596806</v>
      </c>
      <c r="N379" t="str">
        <f t="shared" si="156"/>
        <v>5055-20</v>
      </c>
      <c r="O379" t="str">
        <f t="shared" si="141"/>
        <v>TEXAS</v>
      </c>
      <c r="P379" t="str">
        <f t="shared" si="142"/>
        <v>N A</v>
      </c>
      <c r="Q379" t="str">
        <f t="shared" si="143"/>
        <v>N/A</v>
      </c>
      <c r="R379" t="str">
        <f>"130 CMRNP 13 306"</f>
        <v>130 CMRNP 13 306</v>
      </c>
      <c r="S379" t="str">
        <f>"12/17/2019 12:11:00 PM"</f>
        <v>12/17/2019 12:11:00 PM</v>
      </c>
      <c r="T379" t="str">
        <f t="shared" ref="T379:T442" si="158">"5"</f>
        <v>5</v>
      </c>
      <c r="U379" t="str">
        <f t="shared" si="144"/>
        <v>N/A</v>
      </c>
      <c r="V379" t="str">
        <f>"5.5500"</f>
        <v>5.5500</v>
      </c>
    </row>
    <row r="380" spans="1:22" x14ac:dyDescent="0.25">
      <c r="A380" s="1" t="str">
        <f t="shared" si="139"/>
        <v>5082-</v>
      </c>
      <c r="B380" s="1" t="str">
        <f t="shared" si="145"/>
        <v>5082-</v>
      </c>
      <c r="C380" s="1" t="str">
        <f>VLOOKUP(B380,'Master truck list'!D:E,2,0)</f>
        <v>5082-20</v>
      </c>
      <c r="D380" s="1" t="str">
        <f>VLOOKUP(C380,'Master truck list'!E:F,2,0)</f>
        <v>ACTIVE</v>
      </c>
      <c r="E380" s="1" t="str">
        <f>VLOOKUP(C380,'Master truck list'!E:M,9,0)</f>
        <v>BNK TRANSPORT INC</v>
      </c>
      <c r="F380" s="1" t="str">
        <f>VLOOKUP(C380,'Master truck list'!E:G,3,0)</f>
        <v>Company</v>
      </c>
      <c r="G380" s="1">
        <f>VLOOKUP(C380,'Master truck list'!E:R,14,0)</f>
        <v>2472</v>
      </c>
      <c r="H380" t="str">
        <f t="shared" ref="H380:H393" si="159">"12/21/2019 7:00:28 AM"</f>
        <v>12/21/2019 7:00:28 AM</v>
      </c>
      <c r="I380" t="str">
        <f>""</f>
        <v/>
      </c>
      <c r="J380" t="str">
        <f t="shared" si="140"/>
        <v>Elite</v>
      </c>
      <c r="K380" t="str">
        <f t="shared" si="147"/>
        <v>Device</v>
      </c>
      <c r="L380" t="str">
        <f>"777222532"</f>
        <v>777222532</v>
      </c>
      <c r="M380" t="str">
        <f>"16596489"</f>
        <v>16596489</v>
      </c>
      <c r="N380" t="str">
        <f>"5082-20"</f>
        <v>5082-20</v>
      </c>
      <c r="O380" t="str">
        <f t="shared" si="141"/>
        <v>TEXAS</v>
      </c>
      <c r="P380" t="str">
        <f t="shared" si="142"/>
        <v>N A</v>
      </c>
      <c r="Q380" t="str">
        <f t="shared" si="143"/>
        <v>N/A</v>
      </c>
      <c r="R380" t="str">
        <f>"130 ARPTP 04 308"</f>
        <v>130 ARPTP 04 308</v>
      </c>
      <c r="S380" t="str">
        <f>"12/20/2019 2:08:13 PM"</f>
        <v>12/20/2019 2:08:13 PM</v>
      </c>
      <c r="T380" t="str">
        <f t="shared" si="158"/>
        <v>5</v>
      </c>
      <c r="U380" t="str">
        <f t="shared" si="144"/>
        <v>N/A</v>
      </c>
      <c r="V380" t="str">
        <f>"5.5500"</f>
        <v>5.5500</v>
      </c>
    </row>
    <row r="381" spans="1:22" x14ac:dyDescent="0.25">
      <c r="A381" s="1" t="str">
        <f t="shared" si="139"/>
        <v>5082-</v>
      </c>
      <c r="B381" s="1" t="str">
        <f t="shared" si="145"/>
        <v>5082-</v>
      </c>
      <c r="C381" s="1" t="str">
        <f>VLOOKUP(B381,'Master truck list'!D:E,2,0)</f>
        <v>5082-20</v>
      </c>
      <c r="D381" s="1" t="str">
        <f>VLOOKUP(C381,'Master truck list'!E:F,2,0)</f>
        <v>ACTIVE</v>
      </c>
      <c r="E381" s="1" t="str">
        <f>VLOOKUP(C381,'Master truck list'!E:M,9,0)</f>
        <v>BNK TRANSPORT INC</v>
      </c>
      <c r="F381" s="1" t="str">
        <f>VLOOKUP(C381,'Master truck list'!E:G,3,0)</f>
        <v>Company</v>
      </c>
      <c r="G381" s="1">
        <f>VLOOKUP(C381,'Master truck list'!E:R,14,0)</f>
        <v>2472</v>
      </c>
      <c r="H381" t="str">
        <f t="shared" si="159"/>
        <v>12/21/2019 7:00:28 AM</v>
      </c>
      <c r="I381" t="str">
        <f>""</f>
        <v/>
      </c>
      <c r="J381" t="str">
        <f t="shared" si="140"/>
        <v>Elite</v>
      </c>
      <c r="K381" t="str">
        <f t="shared" si="147"/>
        <v>Device</v>
      </c>
      <c r="L381" t="str">
        <f>"777222532"</f>
        <v>777222532</v>
      </c>
      <c r="M381" t="str">
        <f>"16596489"</f>
        <v>16596489</v>
      </c>
      <c r="N381" t="str">
        <f>"5082-20"</f>
        <v>5082-20</v>
      </c>
      <c r="O381" t="str">
        <f t="shared" si="141"/>
        <v>TEXAS</v>
      </c>
      <c r="P381" t="str">
        <f t="shared" si="142"/>
        <v>N A</v>
      </c>
      <c r="Q381" t="str">
        <f t="shared" si="143"/>
        <v>N/A</v>
      </c>
      <c r="R381" t="str">
        <f>"130 DKCRP 07 307"</f>
        <v>130 DKCRP 07 307</v>
      </c>
      <c r="S381" t="str">
        <f>"12/20/2019 2:00:37 PM"</f>
        <v>12/20/2019 2:00:37 PM</v>
      </c>
      <c r="T381" t="str">
        <f t="shared" si="158"/>
        <v>5</v>
      </c>
      <c r="U381" t="str">
        <f t="shared" si="144"/>
        <v>N/A</v>
      </c>
      <c r="V381" t="str">
        <f>"5.5500"</f>
        <v>5.5500</v>
      </c>
    </row>
    <row r="382" spans="1:22" x14ac:dyDescent="0.25">
      <c r="A382" s="1" t="str">
        <f t="shared" si="139"/>
        <v>5082-</v>
      </c>
      <c r="B382" s="1" t="str">
        <f t="shared" si="145"/>
        <v>5082-</v>
      </c>
      <c r="C382" s="1" t="str">
        <f>VLOOKUP(B382,'Master truck list'!D:E,2,0)</f>
        <v>5082-20</v>
      </c>
      <c r="D382" s="1" t="str">
        <f>VLOOKUP(C382,'Master truck list'!E:F,2,0)</f>
        <v>ACTIVE</v>
      </c>
      <c r="E382" s="1" t="str">
        <f>VLOOKUP(C382,'Master truck list'!E:M,9,0)</f>
        <v>BNK TRANSPORT INC</v>
      </c>
      <c r="F382" s="1" t="str">
        <f>VLOOKUP(C382,'Master truck list'!E:G,3,0)</f>
        <v>Company</v>
      </c>
      <c r="G382" s="1">
        <f>VLOOKUP(C382,'Master truck list'!E:R,14,0)</f>
        <v>2472</v>
      </c>
      <c r="H382" t="str">
        <f t="shared" si="159"/>
        <v>12/21/2019 7:00:28 AM</v>
      </c>
      <c r="I382" t="str">
        <f>""</f>
        <v/>
      </c>
      <c r="J382" t="str">
        <f t="shared" si="140"/>
        <v>Elite</v>
      </c>
      <c r="K382" t="str">
        <f t="shared" si="147"/>
        <v>Device</v>
      </c>
      <c r="L382" t="str">
        <f>"777222532"</f>
        <v>777222532</v>
      </c>
      <c r="M382" t="str">
        <f>"16596489"</f>
        <v>16596489</v>
      </c>
      <c r="N382" t="str">
        <f>"5082-20"</f>
        <v>5082-20</v>
      </c>
      <c r="O382" t="str">
        <f t="shared" si="141"/>
        <v>TEXAS</v>
      </c>
      <c r="P382" t="str">
        <f t="shared" si="142"/>
        <v>N A</v>
      </c>
      <c r="Q382" t="str">
        <f t="shared" si="143"/>
        <v>N/A</v>
      </c>
      <c r="R382" t="str">
        <f>"130 CMRNP 08 306"</f>
        <v>130 CMRNP 08 306</v>
      </c>
      <c r="S382" t="str">
        <f>"12/20/2019 1:49:27 PM"</f>
        <v>12/20/2019 1:49:27 PM</v>
      </c>
      <c r="T382" t="str">
        <f t="shared" si="158"/>
        <v>5</v>
      </c>
      <c r="U382" t="str">
        <f t="shared" si="144"/>
        <v>N/A</v>
      </c>
      <c r="V382" t="str">
        <f>"5.5500"</f>
        <v>5.5500</v>
      </c>
    </row>
    <row r="383" spans="1:22" x14ac:dyDescent="0.25">
      <c r="A383" s="1" t="str">
        <f t="shared" si="139"/>
        <v>5082-</v>
      </c>
      <c r="B383" s="1" t="str">
        <f t="shared" si="145"/>
        <v>5082-</v>
      </c>
      <c r="C383" s="1" t="str">
        <f>VLOOKUP(B383,'Master truck list'!D:E,2,0)</f>
        <v>5082-20</v>
      </c>
      <c r="D383" s="1" t="str">
        <f>VLOOKUP(C383,'Master truck list'!E:F,2,0)</f>
        <v>ACTIVE</v>
      </c>
      <c r="E383" s="1" t="str">
        <f>VLOOKUP(C383,'Master truck list'!E:M,9,0)</f>
        <v>BNK TRANSPORT INC</v>
      </c>
      <c r="F383" s="1" t="str">
        <f>VLOOKUP(C383,'Master truck list'!E:G,3,0)</f>
        <v>Company</v>
      </c>
      <c r="G383" s="1">
        <f>VLOOKUP(C383,'Master truck list'!E:R,14,0)</f>
        <v>2472</v>
      </c>
      <c r="H383" t="str">
        <f t="shared" si="159"/>
        <v>12/21/2019 7:00:28 AM</v>
      </c>
      <c r="I383" t="str">
        <f>""</f>
        <v/>
      </c>
      <c r="J383" t="str">
        <f t="shared" si="140"/>
        <v>Elite</v>
      </c>
      <c r="K383" t="str">
        <f t="shared" si="147"/>
        <v>Device</v>
      </c>
      <c r="L383" t="str">
        <f>"777222532"</f>
        <v>777222532</v>
      </c>
      <c r="M383" t="str">
        <f>"16596489"</f>
        <v>16596489</v>
      </c>
      <c r="N383" t="str">
        <f>"5082-20"</f>
        <v>5082-20</v>
      </c>
      <c r="O383" t="str">
        <f t="shared" si="141"/>
        <v>TEXAS</v>
      </c>
      <c r="P383" t="str">
        <f t="shared" si="142"/>
        <v>N A</v>
      </c>
      <c r="Q383" t="str">
        <f t="shared" si="143"/>
        <v>N/A</v>
      </c>
      <c r="R383" t="str">
        <f>"45SE MLPWB 01 611"</f>
        <v>45SE MLPWB 01 611</v>
      </c>
      <c r="S383" t="str">
        <f>"12/20/2019 2:52:56 PM"</f>
        <v>12/20/2019 2:52:56 PM</v>
      </c>
      <c r="T383" t="str">
        <f t="shared" si="158"/>
        <v>5</v>
      </c>
      <c r="U383" t="str">
        <f t="shared" si="144"/>
        <v>N/A</v>
      </c>
      <c r="V383" t="str">
        <f>"3.3000"</f>
        <v>3.3000</v>
      </c>
    </row>
    <row r="384" spans="1:22" x14ac:dyDescent="0.25">
      <c r="A384" s="1" t="str">
        <f t="shared" si="139"/>
        <v>5082-</v>
      </c>
      <c r="B384" s="1" t="str">
        <f t="shared" si="145"/>
        <v>5082-</v>
      </c>
      <c r="C384" s="1" t="str">
        <f>VLOOKUP(B384,'Master truck list'!D:E,2,0)</f>
        <v>5082-20</v>
      </c>
      <c r="D384" s="1" t="str">
        <f>VLOOKUP(C384,'Master truck list'!E:F,2,0)</f>
        <v>ACTIVE</v>
      </c>
      <c r="E384" s="1" t="str">
        <f>VLOOKUP(C384,'Master truck list'!E:M,9,0)</f>
        <v>BNK TRANSPORT INC</v>
      </c>
      <c r="F384" s="1" t="str">
        <f>VLOOKUP(C384,'Master truck list'!E:G,3,0)</f>
        <v>Company</v>
      </c>
      <c r="G384" s="1">
        <f>VLOOKUP(C384,'Master truck list'!E:R,14,0)</f>
        <v>2472</v>
      </c>
      <c r="H384" t="str">
        <f t="shared" si="159"/>
        <v>12/21/2019 7:00:28 AM</v>
      </c>
      <c r="I384" t="str">
        <f>""</f>
        <v/>
      </c>
      <c r="J384" t="str">
        <f t="shared" si="140"/>
        <v>Elite</v>
      </c>
      <c r="K384" t="str">
        <f t="shared" si="147"/>
        <v>Device</v>
      </c>
      <c r="L384" t="str">
        <f>"777222532"</f>
        <v>777222532</v>
      </c>
      <c r="M384" t="str">
        <f>"16596489"</f>
        <v>16596489</v>
      </c>
      <c r="N384" t="str">
        <f>"5082-20"</f>
        <v>5082-20</v>
      </c>
      <c r="O384" t="str">
        <f t="shared" si="141"/>
        <v>TEXAS</v>
      </c>
      <c r="P384" t="str">
        <f t="shared" si="142"/>
        <v>N A</v>
      </c>
      <c r="Q384" t="str">
        <f t="shared" si="143"/>
        <v>N/A</v>
      </c>
      <c r="R384" t="str">
        <f>"130 MGCRP 06 305"</f>
        <v>130 MGCRP 06 305</v>
      </c>
      <c r="S384" t="str">
        <f>"12/20/2019 1:38:00 PM"</f>
        <v>12/20/2019 1:38:00 PM</v>
      </c>
      <c r="T384" t="str">
        <f t="shared" si="158"/>
        <v>5</v>
      </c>
      <c r="U384" t="str">
        <f t="shared" si="144"/>
        <v>N/A</v>
      </c>
      <c r="V384" t="str">
        <f>"5.5500"</f>
        <v>5.5500</v>
      </c>
    </row>
    <row r="385" spans="1:22" x14ac:dyDescent="0.25">
      <c r="A385" s="1" t="str">
        <f t="shared" si="139"/>
        <v>5087-</v>
      </c>
      <c r="B385" s="1" t="str">
        <f t="shared" si="145"/>
        <v>5087-</v>
      </c>
      <c r="C385" s="1" t="str">
        <f>VLOOKUP(B385,'Master truck list'!D:E,2,0)</f>
        <v>5087-20</v>
      </c>
      <c r="D385" s="1" t="str">
        <f>VLOOKUP(C385,'Master truck list'!E:F,2,0)</f>
        <v>ACTIVE</v>
      </c>
      <c r="E385" s="1" t="str">
        <f>VLOOKUP(C385,'Master truck list'!E:M,9,0)</f>
        <v>BNK TRANSPORT INC</v>
      </c>
      <c r="F385" s="1" t="str">
        <f>VLOOKUP(C385,'Master truck list'!E:G,3,0)</f>
        <v>Company</v>
      </c>
      <c r="G385" s="1">
        <f>VLOOKUP(C385,'Master truck list'!E:R,14,0)</f>
        <v>2477</v>
      </c>
      <c r="H385" t="str">
        <f t="shared" si="159"/>
        <v>12/21/2019 7:00:28 AM</v>
      </c>
      <c r="I385" t="str">
        <f>""</f>
        <v/>
      </c>
      <c r="J385" t="str">
        <f t="shared" si="140"/>
        <v>Elite</v>
      </c>
      <c r="K385" t="str">
        <f t="shared" si="147"/>
        <v>Device</v>
      </c>
      <c r="L385" t="str">
        <f>"777222539"</f>
        <v>777222539</v>
      </c>
      <c r="M385" t="str">
        <f>"16596496"</f>
        <v>16596496</v>
      </c>
      <c r="N385" t="str">
        <f>"5087-20"</f>
        <v>5087-20</v>
      </c>
      <c r="O385" t="str">
        <f t="shared" si="141"/>
        <v>TEXAS</v>
      </c>
      <c r="P385" t="str">
        <f t="shared" si="142"/>
        <v>N A</v>
      </c>
      <c r="Q385" t="str">
        <f t="shared" si="143"/>
        <v>N/A</v>
      </c>
      <c r="R385" t="str">
        <f>"45SE MLPEB 02 611"</f>
        <v>45SE MLPEB 02 611</v>
      </c>
      <c r="S385" t="str">
        <f>"12/20/2019 4:25:00 PM"</f>
        <v>12/20/2019 4:25:00 PM</v>
      </c>
      <c r="T385" t="str">
        <f t="shared" si="158"/>
        <v>5</v>
      </c>
      <c r="U385" t="str">
        <f t="shared" si="144"/>
        <v>N/A</v>
      </c>
      <c r="V385" t="str">
        <f>"3.3000"</f>
        <v>3.3000</v>
      </c>
    </row>
    <row r="386" spans="1:22" x14ac:dyDescent="0.25">
      <c r="A386" s="1" t="str">
        <f t="shared" ref="A386:A449" si="160">LEFT(N386,5)</f>
        <v>5087-</v>
      </c>
      <c r="B386" s="1" t="str">
        <f t="shared" si="145"/>
        <v>5087-</v>
      </c>
      <c r="C386" s="1" t="str">
        <f>VLOOKUP(B386,'Master truck list'!D:E,2,0)</f>
        <v>5087-20</v>
      </c>
      <c r="D386" s="1" t="str">
        <f>VLOOKUP(C386,'Master truck list'!E:F,2,0)</f>
        <v>ACTIVE</v>
      </c>
      <c r="E386" s="1" t="str">
        <f>VLOOKUP(C386,'Master truck list'!E:M,9,0)</f>
        <v>BNK TRANSPORT INC</v>
      </c>
      <c r="F386" s="1" t="str">
        <f>VLOOKUP(C386,'Master truck list'!E:G,3,0)</f>
        <v>Company</v>
      </c>
      <c r="G386" s="1">
        <f>VLOOKUP(C386,'Master truck list'!E:R,14,0)</f>
        <v>2477</v>
      </c>
      <c r="H386" t="str">
        <f t="shared" si="159"/>
        <v>12/21/2019 7:00:28 AM</v>
      </c>
      <c r="I386" t="str">
        <f>""</f>
        <v/>
      </c>
      <c r="J386" t="str">
        <f t="shared" ref="J386:J449" si="161">"Elite"</f>
        <v>Elite</v>
      </c>
      <c r="K386" t="str">
        <f t="shared" si="147"/>
        <v>Device</v>
      </c>
      <c r="L386" t="str">
        <f>"777222539"</f>
        <v>777222539</v>
      </c>
      <c r="M386" t="str">
        <f>"16596496"</f>
        <v>16596496</v>
      </c>
      <c r="N386" t="str">
        <f>"5087-20"</f>
        <v>5087-20</v>
      </c>
      <c r="O386" t="str">
        <f t="shared" ref="O386:O449" si="162">"TEXAS"</f>
        <v>TEXAS</v>
      </c>
      <c r="P386" t="str">
        <f t="shared" ref="P386:P449" si="163">"N A"</f>
        <v>N A</v>
      </c>
      <c r="Q386" t="str">
        <f t="shared" ref="Q386:Q449" si="164">"N/A"</f>
        <v>N/A</v>
      </c>
      <c r="R386" t="str">
        <f>"130 MGCRP 11 305"</f>
        <v>130 MGCRP 11 305</v>
      </c>
      <c r="S386" t="str">
        <f>"12/20/2019 5:16:52 PM"</f>
        <v>12/20/2019 5:16:52 PM</v>
      </c>
      <c r="T386" t="str">
        <f t="shared" si="158"/>
        <v>5</v>
      </c>
      <c r="U386" t="str">
        <f t="shared" ref="U386:U449" si="165">"N/A"</f>
        <v>N/A</v>
      </c>
      <c r="V386" t="str">
        <f t="shared" ref="V386:V395" si="166">"5.5500"</f>
        <v>5.5500</v>
      </c>
    </row>
    <row r="387" spans="1:22" x14ac:dyDescent="0.25">
      <c r="A387" s="1" t="str">
        <f t="shared" si="160"/>
        <v>5087-</v>
      </c>
      <c r="B387" s="1" t="str">
        <f t="shared" ref="B387:B450" si="167">SUBSTITUTE(A387," ","")</f>
        <v>5087-</v>
      </c>
      <c r="C387" s="1" t="str">
        <f>VLOOKUP(B387,'Master truck list'!D:E,2,0)</f>
        <v>5087-20</v>
      </c>
      <c r="D387" s="1" t="str">
        <f>VLOOKUP(C387,'Master truck list'!E:F,2,0)</f>
        <v>ACTIVE</v>
      </c>
      <c r="E387" s="1" t="str">
        <f>VLOOKUP(C387,'Master truck list'!E:M,9,0)</f>
        <v>BNK TRANSPORT INC</v>
      </c>
      <c r="F387" s="1" t="str">
        <f>VLOOKUP(C387,'Master truck list'!E:G,3,0)</f>
        <v>Company</v>
      </c>
      <c r="G387" s="1">
        <f>VLOOKUP(C387,'Master truck list'!E:R,14,0)</f>
        <v>2477</v>
      </c>
      <c r="H387" t="str">
        <f t="shared" si="159"/>
        <v>12/21/2019 7:00:28 AM</v>
      </c>
      <c r="I387" t="str">
        <f>""</f>
        <v/>
      </c>
      <c r="J387" t="str">
        <f t="shared" si="161"/>
        <v>Elite</v>
      </c>
      <c r="K387" t="str">
        <f t="shared" si="147"/>
        <v>Device</v>
      </c>
      <c r="L387" t="str">
        <f>"777222539"</f>
        <v>777222539</v>
      </c>
      <c r="M387" t="str">
        <f>"16596496"</f>
        <v>16596496</v>
      </c>
      <c r="N387" t="str">
        <f>"5087-20"</f>
        <v>5087-20</v>
      </c>
      <c r="O387" t="str">
        <f t="shared" si="162"/>
        <v>TEXAS</v>
      </c>
      <c r="P387" t="str">
        <f t="shared" si="163"/>
        <v>N A</v>
      </c>
      <c r="Q387" t="str">
        <f t="shared" si="164"/>
        <v>N/A</v>
      </c>
      <c r="R387" t="str">
        <f>"130 ARPTP 08 308"</f>
        <v>130 ARPTP 08 308</v>
      </c>
      <c r="S387" t="str">
        <f>"12/20/2019 4:35:40 PM"</f>
        <v>12/20/2019 4:35:40 PM</v>
      </c>
      <c r="T387" t="str">
        <f t="shared" si="158"/>
        <v>5</v>
      </c>
      <c r="U387" t="str">
        <f t="shared" si="165"/>
        <v>N/A</v>
      </c>
      <c r="V387" t="str">
        <f t="shared" si="166"/>
        <v>5.5500</v>
      </c>
    </row>
    <row r="388" spans="1:22" x14ac:dyDescent="0.25">
      <c r="A388" s="1" t="str">
        <f t="shared" si="160"/>
        <v>5087-</v>
      </c>
      <c r="B388" s="1" t="str">
        <f t="shared" si="167"/>
        <v>5087-</v>
      </c>
      <c r="C388" s="1" t="str">
        <f>VLOOKUP(B388,'Master truck list'!D:E,2,0)</f>
        <v>5087-20</v>
      </c>
      <c r="D388" s="1" t="str">
        <f>VLOOKUP(C388,'Master truck list'!E:F,2,0)</f>
        <v>ACTIVE</v>
      </c>
      <c r="E388" s="1" t="str">
        <f>VLOOKUP(C388,'Master truck list'!E:M,9,0)</f>
        <v>BNK TRANSPORT INC</v>
      </c>
      <c r="F388" s="1" t="str">
        <f>VLOOKUP(C388,'Master truck list'!E:G,3,0)</f>
        <v>Company</v>
      </c>
      <c r="G388" s="1">
        <f>VLOOKUP(C388,'Master truck list'!E:R,14,0)</f>
        <v>2477</v>
      </c>
      <c r="H388" t="str">
        <f t="shared" si="159"/>
        <v>12/21/2019 7:00:28 AM</v>
      </c>
      <c r="I388" t="str">
        <f>""</f>
        <v/>
      </c>
      <c r="J388" t="str">
        <f t="shared" si="161"/>
        <v>Elite</v>
      </c>
      <c r="K388" t="str">
        <f t="shared" si="147"/>
        <v>Device</v>
      </c>
      <c r="L388" t="str">
        <f>"777222539"</f>
        <v>777222539</v>
      </c>
      <c r="M388" t="str">
        <f>"16596496"</f>
        <v>16596496</v>
      </c>
      <c r="N388" t="str">
        <f>"5087-20"</f>
        <v>5087-20</v>
      </c>
      <c r="O388" t="str">
        <f t="shared" si="162"/>
        <v>TEXAS</v>
      </c>
      <c r="P388" t="str">
        <f t="shared" si="163"/>
        <v>N A</v>
      </c>
      <c r="Q388" t="str">
        <f t="shared" si="164"/>
        <v>N/A</v>
      </c>
      <c r="R388" t="str">
        <f>"130 DKCRP 11 307"</f>
        <v>130 DKCRP 11 307</v>
      </c>
      <c r="S388" t="str">
        <f>"12/20/2019 4:45:22 PM"</f>
        <v>12/20/2019 4:45:22 PM</v>
      </c>
      <c r="T388" t="str">
        <f t="shared" si="158"/>
        <v>5</v>
      </c>
      <c r="U388" t="str">
        <f t="shared" si="165"/>
        <v>N/A</v>
      </c>
      <c r="V388" t="str">
        <f t="shared" si="166"/>
        <v>5.5500</v>
      </c>
    </row>
    <row r="389" spans="1:22" x14ac:dyDescent="0.25">
      <c r="A389" s="1" t="str">
        <f t="shared" si="160"/>
        <v>5087-</v>
      </c>
      <c r="B389" s="1" t="str">
        <f t="shared" si="167"/>
        <v>5087-</v>
      </c>
      <c r="C389" s="1" t="str">
        <f>VLOOKUP(B389,'Master truck list'!D:E,2,0)</f>
        <v>5087-20</v>
      </c>
      <c r="D389" s="1" t="str">
        <f>VLOOKUP(C389,'Master truck list'!E:F,2,0)</f>
        <v>ACTIVE</v>
      </c>
      <c r="E389" s="1" t="str">
        <f>VLOOKUP(C389,'Master truck list'!E:M,9,0)</f>
        <v>BNK TRANSPORT INC</v>
      </c>
      <c r="F389" s="1" t="str">
        <f>VLOOKUP(C389,'Master truck list'!E:G,3,0)</f>
        <v>Company</v>
      </c>
      <c r="G389" s="1">
        <f>VLOOKUP(C389,'Master truck list'!E:R,14,0)</f>
        <v>2477</v>
      </c>
      <c r="H389" t="str">
        <f t="shared" si="159"/>
        <v>12/21/2019 7:00:28 AM</v>
      </c>
      <c r="I389" t="str">
        <f>""</f>
        <v/>
      </c>
      <c r="J389" t="str">
        <f t="shared" si="161"/>
        <v>Elite</v>
      </c>
      <c r="K389" t="str">
        <f t="shared" si="147"/>
        <v>Device</v>
      </c>
      <c r="L389" t="str">
        <f>"777222539"</f>
        <v>777222539</v>
      </c>
      <c r="M389" t="str">
        <f>"16596496"</f>
        <v>16596496</v>
      </c>
      <c r="N389" t="str">
        <f>"5087-20"</f>
        <v>5087-20</v>
      </c>
      <c r="O389" t="str">
        <f t="shared" si="162"/>
        <v>TEXAS</v>
      </c>
      <c r="P389" t="str">
        <f t="shared" si="163"/>
        <v>N A</v>
      </c>
      <c r="Q389" t="str">
        <f t="shared" si="164"/>
        <v>N/A</v>
      </c>
      <c r="R389" t="str">
        <f>"130 CMRNP 13 306"</f>
        <v>130 CMRNP 13 306</v>
      </c>
      <c r="S389" t="str">
        <f>"12/20/2019 5:02:55 PM"</f>
        <v>12/20/2019 5:02:55 PM</v>
      </c>
      <c r="T389" t="str">
        <f t="shared" si="158"/>
        <v>5</v>
      </c>
      <c r="U389" t="str">
        <f t="shared" si="165"/>
        <v>N/A</v>
      </c>
      <c r="V389" t="str">
        <f t="shared" si="166"/>
        <v>5.5500</v>
      </c>
    </row>
    <row r="390" spans="1:22" x14ac:dyDescent="0.25">
      <c r="A390" s="1" t="str">
        <f t="shared" si="160"/>
        <v>5109-</v>
      </c>
      <c r="B390" s="1" t="str">
        <f t="shared" si="167"/>
        <v>5109-</v>
      </c>
      <c r="C390" s="1" t="str">
        <f>VLOOKUP(B390,'Master truck list'!D:E,2,0)</f>
        <v>5109-20</v>
      </c>
      <c r="D390" s="1" t="str">
        <f>VLOOKUP(C390,'Master truck list'!E:F,2,0)</f>
        <v>ACTIVE</v>
      </c>
      <c r="E390" s="1" t="str">
        <f>VLOOKUP(C390,'Master truck list'!E:M,9,0)</f>
        <v>BNK TRANSPORT INC</v>
      </c>
      <c r="F390" s="1" t="str">
        <f>VLOOKUP(C390,'Master truck list'!E:G,3,0)</f>
        <v>Company</v>
      </c>
      <c r="G390" s="1">
        <f>VLOOKUP(C390,'Master truck list'!E:R,14,0)</f>
        <v>2531</v>
      </c>
      <c r="H390" t="str">
        <f t="shared" si="159"/>
        <v>12/21/2019 7:00:28 AM</v>
      </c>
      <c r="I390" t="str">
        <f>""</f>
        <v/>
      </c>
      <c r="J390" t="str">
        <f t="shared" si="161"/>
        <v>Elite</v>
      </c>
      <c r="K390" t="str">
        <f t="shared" si="147"/>
        <v>Device</v>
      </c>
      <c r="L390" t="str">
        <f>"777173826"</f>
        <v>777173826</v>
      </c>
      <c r="M390" t="str">
        <f>"16483552"</f>
        <v>16483552</v>
      </c>
      <c r="N390" t="str">
        <f>"5109-20"</f>
        <v>5109-20</v>
      </c>
      <c r="O390" t="str">
        <f t="shared" si="162"/>
        <v>TEXAS</v>
      </c>
      <c r="P390" t="str">
        <f t="shared" si="163"/>
        <v>N A</v>
      </c>
      <c r="Q390" t="str">
        <f t="shared" si="164"/>
        <v>N/A</v>
      </c>
      <c r="R390" t="str">
        <f>"130 ARPTP 09 308"</f>
        <v>130 ARPTP 09 308</v>
      </c>
      <c r="S390" t="str">
        <f>"12/20/2019 6:35:12 PM"</f>
        <v>12/20/2019 6:35:12 PM</v>
      </c>
      <c r="T390" t="str">
        <f t="shared" si="158"/>
        <v>5</v>
      </c>
      <c r="U390" t="str">
        <f t="shared" si="165"/>
        <v>N/A</v>
      </c>
      <c r="V390" t="str">
        <f t="shared" si="166"/>
        <v>5.5500</v>
      </c>
    </row>
    <row r="391" spans="1:22" x14ac:dyDescent="0.25">
      <c r="A391" s="1" t="str">
        <f t="shared" si="160"/>
        <v>5109-</v>
      </c>
      <c r="B391" s="1" t="str">
        <f t="shared" si="167"/>
        <v>5109-</v>
      </c>
      <c r="C391" s="1" t="str">
        <f>VLOOKUP(B391,'Master truck list'!D:E,2,0)</f>
        <v>5109-20</v>
      </c>
      <c r="D391" s="1" t="str">
        <f>VLOOKUP(C391,'Master truck list'!E:F,2,0)</f>
        <v>ACTIVE</v>
      </c>
      <c r="E391" s="1" t="str">
        <f>VLOOKUP(C391,'Master truck list'!E:M,9,0)</f>
        <v>BNK TRANSPORT INC</v>
      </c>
      <c r="F391" s="1" t="str">
        <f>VLOOKUP(C391,'Master truck list'!E:G,3,0)</f>
        <v>Company</v>
      </c>
      <c r="G391" s="1">
        <f>VLOOKUP(C391,'Master truck list'!E:R,14,0)</f>
        <v>2531</v>
      </c>
      <c r="H391" t="str">
        <f t="shared" si="159"/>
        <v>12/21/2019 7:00:28 AM</v>
      </c>
      <c r="I391" t="str">
        <f>""</f>
        <v/>
      </c>
      <c r="J391" t="str">
        <f t="shared" si="161"/>
        <v>Elite</v>
      </c>
      <c r="K391" t="str">
        <f t="shared" si="147"/>
        <v>Device</v>
      </c>
      <c r="L391" t="str">
        <f>"777173826"</f>
        <v>777173826</v>
      </c>
      <c r="M391" t="str">
        <f>"16483552"</f>
        <v>16483552</v>
      </c>
      <c r="N391" t="str">
        <f>"5109-20"</f>
        <v>5109-20</v>
      </c>
      <c r="O391" t="str">
        <f t="shared" si="162"/>
        <v>TEXAS</v>
      </c>
      <c r="P391" t="str">
        <f t="shared" si="163"/>
        <v>N A</v>
      </c>
      <c r="Q391" t="str">
        <f t="shared" si="164"/>
        <v>N/A</v>
      </c>
      <c r="R391" t="str">
        <f>"130 CMRNP 13 306"</f>
        <v>130 CMRNP 13 306</v>
      </c>
      <c r="S391" t="str">
        <f>"12/20/2019 6:52:44 PM"</f>
        <v>12/20/2019 6:52:44 PM</v>
      </c>
      <c r="T391" t="str">
        <f t="shared" si="158"/>
        <v>5</v>
      </c>
      <c r="U391" t="str">
        <f t="shared" si="165"/>
        <v>N/A</v>
      </c>
      <c r="V391" t="str">
        <f t="shared" si="166"/>
        <v>5.5500</v>
      </c>
    </row>
    <row r="392" spans="1:22" x14ac:dyDescent="0.25">
      <c r="A392" s="1" t="str">
        <f t="shared" si="160"/>
        <v>5109-</v>
      </c>
      <c r="B392" s="1" t="str">
        <f t="shared" si="167"/>
        <v>5109-</v>
      </c>
      <c r="C392" s="1" t="str">
        <f>VLOOKUP(B392,'Master truck list'!D:E,2,0)</f>
        <v>5109-20</v>
      </c>
      <c r="D392" s="1" t="str">
        <f>VLOOKUP(C392,'Master truck list'!E:F,2,0)</f>
        <v>ACTIVE</v>
      </c>
      <c r="E392" s="1" t="str">
        <f>VLOOKUP(C392,'Master truck list'!E:M,9,0)</f>
        <v>BNK TRANSPORT INC</v>
      </c>
      <c r="F392" s="1" t="str">
        <f>VLOOKUP(C392,'Master truck list'!E:G,3,0)</f>
        <v>Company</v>
      </c>
      <c r="G392" s="1">
        <f>VLOOKUP(C392,'Master truck list'!E:R,14,0)</f>
        <v>2531</v>
      </c>
      <c r="H392" t="str">
        <f t="shared" si="159"/>
        <v>12/21/2019 7:00:28 AM</v>
      </c>
      <c r="I392" t="str">
        <f>""</f>
        <v/>
      </c>
      <c r="J392" t="str">
        <f t="shared" si="161"/>
        <v>Elite</v>
      </c>
      <c r="K392" t="str">
        <f t="shared" si="147"/>
        <v>Device</v>
      </c>
      <c r="L392" t="str">
        <f>"777173826"</f>
        <v>777173826</v>
      </c>
      <c r="M392" t="str">
        <f>"16483552"</f>
        <v>16483552</v>
      </c>
      <c r="N392" t="str">
        <f>"5109-20"</f>
        <v>5109-20</v>
      </c>
      <c r="O392" t="str">
        <f t="shared" si="162"/>
        <v>TEXAS</v>
      </c>
      <c r="P392" t="str">
        <f t="shared" si="163"/>
        <v>N A</v>
      </c>
      <c r="Q392" t="str">
        <f t="shared" si="164"/>
        <v>N/A</v>
      </c>
      <c r="R392" t="str">
        <f>"130 DKCRP 11 307"</f>
        <v>130 DKCRP 11 307</v>
      </c>
      <c r="S392" t="str">
        <f>"12/20/2019 6:42:17 PM"</f>
        <v>12/20/2019 6:42:17 PM</v>
      </c>
      <c r="T392" t="str">
        <f t="shared" si="158"/>
        <v>5</v>
      </c>
      <c r="U392" t="str">
        <f t="shared" si="165"/>
        <v>N/A</v>
      </c>
      <c r="V392" t="str">
        <f t="shared" si="166"/>
        <v>5.5500</v>
      </c>
    </row>
    <row r="393" spans="1:22" x14ac:dyDescent="0.25">
      <c r="A393" s="1" t="str">
        <f t="shared" si="160"/>
        <v>5109-</v>
      </c>
      <c r="B393" s="1" t="str">
        <f t="shared" si="167"/>
        <v>5109-</v>
      </c>
      <c r="C393" s="1" t="str">
        <f>VLOOKUP(B393,'Master truck list'!D:E,2,0)</f>
        <v>5109-20</v>
      </c>
      <c r="D393" s="1" t="str">
        <f>VLOOKUP(C393,'Master truck list'!E:F,2,0)</f>
        <v>ACTIVE</v>
      </c>
      <c r="E393" s="1" t="str">
        <f>VLOOKUP(C393,'Master truck list'!E:M,9,0)</f>
        <v>BNK TRANSPORT INC</v>
      </c>
      <c r="F393" s="1" t="str">
        <f>VLOOKUP(C393,'Master truck list'!E:G,3,0)</f>
        <v>Company</v>
      </c>
      <c r="G393" s="1">
        <f>VLOOKUP(C393,'Master truck list'!E:R,14,0)</f>
        <v>2531</v>
      </c>
      <c r="H393" t="str">
        <f t="shared" si="159"/>
        <v>12/21/2019 7:00:28 AM</v>
      </c>
      <c r="I393" t="str">
        <f>""</f>
        <v/>
      </c>
      <c r="J393" t="str">
        <f t="shared" si="161"/>
        <v>Elite</v>
      </c>
      <c r="K393" t="str">
        <f t="shared" si="147"/>
        <v>Device</v>
      </c>
      <c r="L393" t="str">
        <f>"777173826"</f>
        <v>777173826</v>
      </c>
      <c r="M393" t="str">
        <f>"16483552"</f>
        <v>16483552</v>
      </c>
      <c r="N393" t="str">
        <f>"5109-20"</f>
        <v>5109-20</v>
      </c>
      <c r="O393" t="str">
        <f t="shared" si="162"/>
        <v>TEXAS</v>
      </c>
      <c r="P393" t="str">
        <f t="shared" si="163"/>
        <v>N A</v>
      </c>
      <c r="Q393" t="str">
        <f t="shared" si="164"/>
        <v>N/A</v>
      </c>
      <c r="R393" t="str">
        <f>"130 MGCRP 11 305"</f>
        <v>130 MGCRP 11 305</v>
      </c>
      <c r="S393" t="str">
        <f>"12/20/2019 7:03:51 PM"</f>
        <v>12/20/2019 7:03:51 PM</v>
      </c>
      <c r="T393" t="str">
        <f t="shared" si="158"/>
        <v>5</v>
      </c>
      <c r="U393" t="str">
        <f t="shared" si="165"/>
        <v>N/A</v>
      </c>
      <c r="V393" t="str">
        <f t="shared" si="166"/>
        <v>5.5500</v>
      </c>
    </row>
    <row r="394" spans="1:22" x14ac:dyDescent="0.25">
      <c r="A394" s="1" t="str">
        <f t="shared" si="160"/>
        <v>5084-</v>
      </c>
      <c r="B394" s="1" t="str">
        <f t="shared" si="167"/>
        <v>5084-</v>
      </c>
      <c r="C394" s="1" t="str">
        <f>VLOOKUP(B394,'Master truck list'!D:E,2,0)</f>
        <v>5084-20</v>
      </c>
      <c r="D394" s="1" t="str">
        <f>VLOOKUP(C394,'Master truck list'!E:F,2,0)</f>
        <v>ACTIVE</v>
      </c>
      <c r="E394" s="1" t="str">
        <f>VLOOKUP(C394,'Master truck list'!E:M,9,0)</f>
        <v>BNK TRANSPORT INC</v>
      </c>
      <c r="F394" s="1" t="str">
        <f>VLOOKUP(C394,'Master truck list'!E:G,3,0)</f>
        <v>Company</v>
      </c>
      <c r="G394" s="1">
        <f>VLOOKUP(C394,'Master truck list'!E:R,14,0)</f>
        <v>2474</v>
      </c>
      <c r="H394" t="str">
        <f t="shared" ref="H394:H408" si="168">"12/20/2019 7:00:30 AM"</f>
        <v>12/20/2019 7:00:30 AM</v>
      </c>
      <c r="I394" t="str">
        <f>""</f>
        <v/>
      </c>
      <c r="J394" t="str">
        <f t="shared" si="161"/>
        <v>Elite</v>
      </c>
      <c r="K394" t="str">
        <f t="shared" si="147"/>
        <v>Device</v>
      </c>
      <c r="L394" t="str">
        <f t="shared" ref="L394:L403" si="169">"777226284"</f>
        <v>777226284</v>
      </c>
      <c r="M394" t="str">
        <f t="shared" ref="M394:M403" si="170">"16600241"</f>
        <v>16600241</v>
      </c>
      <c r="N394" t="str">
        <f t="shared" ref="N394:N403" si="171">"5084-20"</f>
        <v>5084-20</v>
      </c>
      <c r="O394" t="str">
        <f t="shared" si="162"/>
        <v>TEXAS</v>
      </c>
      <c r="P394" t="str">
        <f t="shared" si="163"/>
        <v>N A</v>
      </c>
      <c r="Q394" t="str">
        <f t="shared" si="164"/>
        <v>N/A</v>
      </c>
      <c r="R394" t="str">
        <f>"130 DKCRP 11 307"</f>
        <v>130 DKCRP 11 307</v>
      </c>
      <c r="S394" t="str">
        <f>"12/19/2019 4:16:49 PM"</f>
        <v>12/19/2019 4:16:49 PM</v>
      </c>
      <c r="T394" t="str">
        <f t="shared" si="158"/>
        <v>5</v>
      </c>
      <c r="U394" t="str">
        <f t="shared" si="165"/>
        <v>N/A</v>
      </c>
      <c r="V394" t="str">
        <f t="shared" si="166"/>
        <v>5.5500</v>
      </c>
    </row>
    <row r="395" spans="1:22" x14ac:dyDescent="0.25">
      <c r="A395" s="1" t="str">
        <f t="shared" si="160"/>
        <v>5084-</v>
      </c>
      <c r="B395" s="1" t="str">
        <f t="shared" si="167"/>
        <v>5084-</v>
      </c>
      <c r="C395" s="1" t="str">
        <f>VLOOKUP(B395,'Master truck list'!D:E,2,0)</f>
        <v>5084-20</v>
      </c>
      <c r="D395" s="1" t="str">
        <f>VLOOKUP(C395,'Master truck list'!E:F,2,0)</f>
        <v>ACTIVE</v>
      </c>
      <c r="E395" s="1" t="str">
        <f>VLOOKUP(C395,'Master truck list'!E:M,9,0)</f>
        <v>BNK TRANSPORT INC</v>
      </c>
      <c r="F395" s="1" t="str">
        <f>VLOOKUP(C395,'Master truck list'!E:G,3,0)</f>
        <v>Company</v>
      </c>
      <c r="G395" s="1">
        <f>VLOOKUP(C395,'Master truck list'!E:R,14,0)</f>
        <v>2474</v>
      </c>
      <c r="H395" t="str">
        <f t="shared" si="168"/>
        <v>12/20/2019 7:00:30 AM</v>
      </c>
      <c r="I395" t="str">
        <f>""</f>
        <v/>
      </c>
      <c r="J395" t="str">
        <f t="shared" si="161"/>
        <v>Elite</v>
      </c>
      <c r="K395" t="str">
        <f t="shared" si="147"/>
        <v>Device</v>
      </c>
      <c r="L395" t="str">
        <f t="shared" si="169"/>
        <v>777226284</v>
      </c>
      <c r="M395" t="str">
        <f t="shared" si="170"/>
        <v>16600241</v>
      </c>
      <c r="N395" t="str">
        <f t="shared" si="171"/>
        <v>5084-20</v>
      </c>
      <c r="O395" t="str">
        <f t="shared" si="162"/>
        <v>TEXAS</v>
      </c>
      <c r="P395" t="str">
        <f t="shared" si="163"/>
        <v>N A</v>
      </c>
      <c r="Q395" t="str">
        <f t="shared" si="164"/>
        <v>N/A</v>
      </c>
      <c r="R395" t="str">
        <f>"130 DKCRP 06 307"</f>
        <v>130 DKCRP 06 307</v>
      </c>
      <c r="S395" t="str">
        <f>"12/19/2019 3:20:43 AM"</f>
        <v>12/19/2019 3:20:43 AM</v>
      </c>
      <c r="T395" t="str">
        <f t="shared" si="158"/>
        <v>5</v>
      </c>
      <c r="U395" t="str">
        <f t="shared" si="165"/>
        <v>N/A</v>
      </c>
      <c r="V395" t="str">
        <f t="shared" si="166"/>
        <v>5.5500</v>
      </c>
    </row>
    <row r="396" spans="1:22" x14ac:dyDescent="0.25">
      <c r="A396" s="1" t="str">
        <f t="shared" si="160"/>
        <v>5084-</v>
      </c>
      <c r="B396" s="1" t="str">
        <f t="shared" si="167"/>
        <v>5084-</v>
      </c>
      <c r="C396" s="1" t="str">
        <f>VLOOKUP(B396,'Master truck list'!D:E,2,0)</f>
        <v>5084-20</v>
      </c>
      <c r="D396" s="1" t="str">
        <f>VLOOKUP(C396,'Master truck list'!E:F,2,0)</f>
        <v>ACTIVE</v>
      </c>
      <c r="E396" s="1" t="str">
        <f>VLOOKUP(C396,'Master truck list'!E:M,9,0)</f>
        <v>BNK TRANSPORT INC</v>
      </c>
      <c r="F396" s="1" t="str">
        <f>VLOOKUP(C396,'Master truck list'!E:G,3,0)</f>
        <v>Company</v>
      </c>
      <c r="G396" s="1">
        <f>VLOOKUP(C396,'Master truck list'!E:R,14,0)</f>
        <v>2474</v>
      </c>
      <c r="H396" t="str">
        <f t="shared" si="168"/>
        <v>12/20/2019 7:00:30 AM</v>
      </c>
      <c r="I396" t="str">
        <f>""</f>
        <v/>
      </c>
      <c r="J396" t="str">
        <f t="shared" si="161"/>
        <v>Elite</v>
      </c>
      <c r="K396" t="str">
        <f t="shared" si="147"/>
        <v>Device</v>
      </c>
      <c r="L396" t="str">
        <f t="shared" si="169"/>
        <v>777226284</v>
      </c>
      <c r="M396" t="str">
        <f t="shared" si="170"/>
        <v>16600241</v>
      </c>
      <c r="N396" t="str">
        <f t="shared" si="171"/>
        <v>5084-20</v>
      </c>
      <c r="O396" t="str">
        <f t="shared" si="162"/>
        <v>TEXAS</v>
      </c>
      <c r="P396" t="str">
        <f t="shared" si="163"/>
        <v>N A</v>
      </c>
      <c r="Q396" t="str">
        <f t="shared" si="164"/>
        <v>N/A</v>
      </c>
      <c r="R396" t="str">
        <f>"45SE MLPWB 01 611"</f>
        <v>45SE MLPWB 01 611</v>
      </c>
      <c r="S396" t="str">
        <f>"12/19/2019 3:38:21 AM"</f>
        <v>12/19/2019 3:38:21 AM</v>
      </c>
      <c r="T396" t="str">
        <f t="shared" si="158"/>
        <v>5</v>
      </c>
      <c r="U396" t="str">
        <f t="shared" si="165"/>
        <v>N/A</v>
      </c>
      <c r="V396" t="str">
        <f>"3.3000"</f>
        <v>3.3000</v>
      </c>
    </row>
    <row r="397" spans="1:22" x14ac:dyDescent="0.25">
      <c r="A397" s="1" t="str">
        <f t="shared" si="160"/>
        <v>5084-</v>
      </c>
      <c r="B397" s="1" t="str">
        <f t="shared" si="167"/>
        <v>5084-</v>
      </c>
      <c r="C397" s="1" t="str">
        <f>VLOOKUP(B397,'Master truck list'!D:E,2,0)</f>
        <v>5084-20</v>
      </c>
      <c r="D397" s="1" t="str">
        <f>VLOOKUP(C397,'Master truck list'!E:F,2,0)</f>
        <v>ACTIVE</v>
      </c>
      <c r="E397" s="1" t="str">
        <f>VLOOKUP(C397,'Master truck list'!E:M,9,0)</f>
        <v>BNK TRANSPORT INC</v>
      </c>
      <c r="F397" s="1" t="str">
        <f>VLOOKUP(C397,'Master truck list'!E:G,3,0)</f>
        <v>Company</v>
      </c>
      <c r="G397" s="1">
        <f>VLOOKUP(C397,'Master truck list'!E:R,14,0)</f>
        <v>2474</v>
      </c>
      <c r="H397" t="str">
        <f t="shared" si="168"/>
        <v>12/20/2019 7:00:30 AM</v>
      </c>
      <c r="I397" t="str">
        <f>""</f>
        <v/>
      </c>
      <c r="J397" t="str">
        <f t="shared" si="161"/>
        <v>Elite</v>
      </c>
      <c r="K397" t="str">
        <f t="shared" si="147"/>
        <v>Device</v>
      </c>
      <c r="L397" t="str">
        <f t="shared" si="169"/>
        <v>777226284</v>
      </c>
      <c r="M397" t="str">
        <f t="shared" si="170"/>
        <v>16600241</v>
      </c>
      <c r="N397" t="str">
        <f t="shared" si="171"/>
        <v>5084-20</v>
      </c>
      <c r="O397" t="str">
        <f t="shared" si="162"/>
        <v>TEXAS</v>
      </c>
      <c r="P397" t="str">
        <f t="shared" si="163"/>
        <v>N A</v>
      </c>
      <c r="Q397" t="str">
        <f t="shared" si="164"/>
        <v>N/A</v>
      </c>
      <c r="R397" t="str">
        <f>"130 MGCRP 11 305"</f>
        <v>130 MGCRP 11 305</v>
      </c>
      <c r="S397" t="str">
        <f>"12/19/2019 4:54:58 PM"</f>
        <v>12/19/2019 4:54:58 PM</v>
      </c>
      <c r="T397" t="str">
        <f t="shared" si="158"/>
        <v>5</v>
      </c>
      <c r="U397" t="str">
        <f t="shared" si="165"/>
        <v>N/A</v>
      </c>
      <c r="V397" t="str">
        <f>"5.5500"</f>
        <v>5.5500</v>
      </c>
    </row>
    <row r="398" spans="1:22" x14ac:dyDescent="0.25">
      <c r="A398" s="1" t="str">
        <f t="shared" si="160"/>
        <v>5084-</v>
      </c>
      <c r="B398" s="1" t="str">
        <f t="shared" si="167"/>
        <v>5084-</v>
      </c>
      <c r="C398" s="1" t="str">
        <f>VLOOKUP(B398,'Master truck list'!D:E,2,0)</f>
        <v>5084-20</v>
      </c>
      <c r="D398" s="1" t="str">
        <f>VLOOKUP(C398,'Master truck list'!E:F,2,0)</f>
        <v>ACTIVE</v>
      </c>
      <c r="E398" s="1" t="str">
        <f>VLOOKUP(C398,'Master truck list'!E:M,9,0)</f>
        <v>BNK TRANSPORT INC</v>
      </c>
      <c r="F398" s="1" t="str">
        <f>VLOOKUP(C398,'Master truck list'!E:G,3,0)</f>
        <v>Company</v>
      </c>
      <c r="G398" s="1">
        <f>VLOOKUP(C398,'Master truck list'!E:R,14,0)</f>
        <v>2474</v>
      </c>
      <c r="H398" t="str">
        <f t="shared" si="168"/>
        <v>12/20/2019 7:00:30 AM</v>
      </c>
      <c r="I398" t="str">
        <f>""</f>
        <v/>
      </c>
      <c r="J398" t="str">
        <f t="shared" si="161"/>
        <v>Elite</v>
      </c>
      <c r="K398" t="str">
        <f t="shared" si="147"/>
        <v>Device</v>
      </c>
      <c r="L398" t="str">
        <f t="shared" si="169"/>
        <v>777226284</v>
      </c>
      <c r="M398" t="str">
        <f t="shared" si="170"/>
        <v>16600241</v>
      </c>
      <c r="N398" t="str">
        <f t="shared" si="171"/>
        <v>5084-20</v>
      </c>
      <c r="O398" t="str">
        <f t="shared" si="162"/>
        <v>TEXAS</v>
      </c>
      <c r="P398" t="str">
        <f t="shared" si="163"/>
        <v>N A</v>
      </c>
      <c r="Q398" t="str">
        <f t="shared" si="164"/>
        <v>N/A</v>
      </c>
      <c r="R398" t="str">
        <f>"130 CMRNP 12 306"</f>
        <v>130 CMRNP 12 306</v>
      </c>
      <c r="S398" t="str">
        <f>"12/19/2019 4:42:23 PM"</f>
        <v>12/19/2019 4:42:23 PM</v>
      </c>
      <c r="T398" t="str">
        <f t="shared" si="158"/>
        <v>5</v>
      </c>
      <c r="U398" t="str">
        <f t="shared" si="165"/>
        <v>N/A</v>
      </c>
      <c r="V398" t="str">
        <f>"5.5500"</f>
        <v>5.5500</v>
      </c>
    </row>
    <row r="399" spans="1:22" x14ac:dyDescent="0.25">
      <c r="A399" s="1" t="str">
        <f t="shared" si="160"/>
        <v>5084-</v>
      </c>
      <c r="B399" s="1" t="str">
        <f t="shared" si="167"/>
        <v>5084-</v>
      </c>
      <c r="C399" s="1" t="str">
        <f>VLOOKUP(B399,'Master truck list'!D:E,2,0)</f>
        <v>5084-20</v>
      </c>
      <c r="D399" s="1" t="str">
        <f>VLOOKUP(C399,'Master truck list'!E:F,2,0)</f>
        <v>ACTIVE</v>
      </c>
      <c r="E399" s="1" t="str">
        <f>VLOOKUP(C399,'Master truck list'!E:M,9,0)</f>
        <v>BNK TRANSPORT INC</v>
      </c>
      <c r="F399" s="1" t="str">
        <f>VLOOKUP(C399,'Master truck list'!E:G,3,0)</f>
        <v>Company</v>
      </c>
      <c r="G399" s="1">
        <f>VLOOKUP(C399,'Master truck list'!E:R,14,0)</f>
        <v>2474</v>
      </c>
      <c r="H399" t="str">
        <f t="shared" si="168"/>
        <v>12/20/2019 7:00:30 AM</v>
      </c>
      <c r="I399" t="str">
        <f>""</f>
        <v/>
      </c>
      <c r="J399" t="str">
        <f t="shared" si="161"/>
        <v>Elite</v>
      </c>
      <c r="K399" t="str">
        <f t="shared" ref="K399:K462" si="172">"Device"</f>
        <v>Device</v>
      </c>
      <c r="L399" t="str">
        <f t="shared" si="169"/>
        <v>777226284</v>
      </c>
      <c r="M399" t="str">
        <f t="shared" si="170"/>
        <v>16600241</v>
      </c>
      <c r="N399" t="str">
        <f t="shared" si="171"/>
        <v>5084-20</v>
      </c>
      <c r="O399" t="str">
        <f t="shared" si="162"/>
        <v>TEXAS</v>
      </c>
      <c r="P399" t="str">
        <f t="shared" si="163"/>
        <v>N A</v>
      </c>
      <c r="Q399" t="str">
        <f t="shared" si="164"/>
        <v>N/A</v>
      </c>
      <c r="R399" t="str">
        <f>"130 MGCRP 06 305"</f>
        <v>130 MGCRP 06 305</v>
      </c>
      <c r="S399" t="str">
        <f>"12/19/2019 2:59:39 AM"</f>
        <v>12/19/2019 2:59:39 AM</v>
      </c>
      <c r="T399" t="str">
        <f t="shared" si="158"/>
        <v>5</v>
      </c>
      <c r="U399" t="str">
        <f t="shared" si="165"/>
        <v>N/A</v>
      </c>
      <c r="V399" t="str">
        <f>"5.5500"</f>
        <v>5.5500</v>
      </c>
    </row>
    <row r="400" spans="1:22" x14ac:dyDescent="0.25">
      <c r="A400" s="1" t="str">
        <f t="shared" si="160"/>
        <v>5084-</v>
      </c>
      <c r="B400" s="1" t="str">
        <f t="shared" si="167"/>
        <v>5084-</v>
      </c>
      <c r="C400" s="1" t="str">
        <f>VLOOKUP(B400,'Master truck list'!D:E,2,0)</f>
        <v>5084-20</v>
      </c>
      <c r="D400" s="1" t="str">
        <f>VLOOKUP(C400,'Master truck list'!E:F,2,0)</f>
        <v>ACTIVE</v>
      </c>
      <c r="E400" s="1" t="str">
        <f>VLOOKUP(C400,'Master truck list'!E:M,9,0)</f>
        <v>BNK TRANSPORT INC</v>
      </c>
      <c r="F400" s="1" t="str">
        <f>VLOOKUP(C400,'Master truck list'!E:G,3,0)</f>
        <v>Company</v>
      </c>
      <c r="G400" s="1">
        <f>VLOOKUP(C400,'Master truck list'!E:R,14,0)</f>
        <v>2474</v>
      </c>
      <c r="H400" t="str">
        <f t="shared" si="168"/>
        <v>12/20/2019 7:00:30 AM</v>
      </c>
      <c r="I400" t="str">
        <f>""</f>
        <v/>
      </c>
      <c r="J400" t="str">
        <f t="shared" si="161"/>
        <v>Elite</v>
      </c>
      <c r="K400" t="str">
        <f t="shared" si="172"/>
        <v>Device</v>
      </c>
      <c r="L400" t="str">
        <f t="shared" si="169"/>
        <v>777226284</v>
      </c>
      <c r="M400" t="str">
        <f t="shared" si="170"/>
        <v>16600241</v>
      </c>
      <c r="N400" t="str">
        <f t="shared" si="171"/>
        <v>5084-20</v>
      </c>
      <c r="O400" t="str">
        <f t="shared" si="162"/>
        <v>TEXAS</v>
      </c>
      <c r="P400" t="str">
        <f t="shared" si="163"/>
        <v>N A</v>
      </c>
      <c r="Q400" t="str">
        <f t="shared" si="164"/>
        <v>N/A</v>
      </c>
      <c r="R400" t="str">
        <f>"45SE MLPEB 02 611"</f>
        <v>45SE MLPEB 02 611</v>
      </c>
      <c r="S400" t="str">
        <f>"12/19/2019 3:54:58 PM"</f>
        <v>12/19/2019 3:54:58 PM</v>
      </c>
      <c r="T400" t="str">
        <f t="shared" si="158"/>
        <v>5</v>
      </c>
      <c r="U400" t="str">
        <f t="shared" si="165"/>
        <v>N/A</v>
      </c>
      <c r="V400" t="str">
        <f>"3.3000"</f>
        <v>3.3000</v>
      </c>
    </row>
    <row r="401" spans="1:22" x14ac:dyDescent="0.25">
      <c r="A401" s="1" t="str">
        <f t="shared" si="160"/>
        <v>5084-</v>
      </c>
      <c r="B401" s="1" t="str">
        <f t="shared" si="167"/>
        <v>5084-</v>
      </c>
      <c r="C401" s="1" t="str">
        <f>VLOOKUP(B401,'Master truck list'!D:E,2,0)</f>
        <v>5084-20</v>
      </c>
      <c r="D401" s="1" t="str">
        <f>VLOOKUP(C401,'Master truck list'!E:F,2,0)</f>
        <v>ACTIVE</v>
      </c>
      <c r="E401" s="1" t="str">
        <f>VLOOKUP(C401,'Master truck list'!E:M,9,0)</f>
        <v>BNK TRANSPORT INC</v>
      </c>
      <c r="F401" s="1" t="str">
        <f>VLOOKUP(C401,'Master truck list'!E:G,3,0)</f>
        <v>Company</v>
      </c>
      <c r="G401" s="1">
        <f>VLOOKUP(C401,'Master truck list'!E:R,14,0)</f>
        <v>2474</v>
      </c>
      <c r="H401" t="str">
        <f t="shared" si="168"/>
        <v>12/20/2019 7:00:30 AM</v>
      </c>
      <c r="I401" t="str">
        <f>""</f>
        <v/>
      </c>
      <c r="J401" t="str">
        <f t="shared" si="161"/>
        <v>Elite</v>
      </c>
      <c r="K401" t="str">
        <f t="shared" si="172"/>
        <v>Device</v>
      </c>
      <c r="L401" t="str">
        <f t="shared" si="169"/>
        <v>777226284</v>
      </c>
      <c r="M401" t="str">
        <f t="shared" si="170"/>
        <v>16600241</v>
      </c>
      <c r="N401" t="str">
        <f t="shared" si="171"/>
        <v>5084-20</v>
      </c>
      <c r="O401" t="str">
        <f t="shared" si="162"/>
        <v>TEXAS</v>
      </c>
      <c r="P401" t="str">
        <f t="shared" si="163"/>
        <v>N A</v>
      </c>
      <c r="Q401" t="str">
        <f t="shared" si="164"/>
        <v>N/A</v>
      </c>
      <c r="R401" t="str">
        <f>"130 ARPTP 04 308"</f>
        <v>130 ARPTP 04 308</v>
      </c>
      <c r="S401" t="str">
        <f>"12/19/2019 3:27:41 AM"</f>
        <v>12/19/2019 3:27:41 AM</v>
      </c>
      <c r="T401" t="str">
        <f t="shared" si="158"/>
        <v>5</v>
      </c>
      <c r="U401" t="str">
        <f t="shared" si="165"/>
        <v>N/A</v>
      </c>
      <c r="V401" t="str">
        <f>"5.5500"</f>
        <v>5.5500</v>
      </c>
    </row>
    <row r="402" spans="1:22" x14ac:dyDescent="0.25">
      <c r="A402" s="1" t="str">
        <f t="shared" si="160"/>
        <v>5084-</v>
      </c>
      <c r="B402" s="1" t="str">
        <f t="shared" si="167"/>
        <v>5084-</v>
      </c>
      <c r="C402" s="1" t="str">
        <f>VLOOKUP(B402,'Master truck list'!D:E,2,0)</f>
        <v>5084-20</v>
      </c>
      <c r="D402" s="1" t="str">
        <f>VLOOKUP(C402,'Master truck list'!E:F,2,0)</f>
        <v>ACTIVE</v>
      </c>
      <c r="E402" s="1" t="str">
        <f>VLOOKUP(C402,'Master truck list'!E:M,9,0)</f>
        <v>BNK TRANSPORT INC</v>
      </c>
      <c r="F402" s="1" t="str">
        <f>VLOOKUP(C402,'Master truck list'!E:G,3,0)</f>
        <v>Company</v>
      </c>
      <c r="G402" s="1">
        <f>VLOOKUP(C402,'Master truck list'!E:R,14,0)</f>
        <v>2474</v>
      </c>
      <c r="H402" t="str">
        <f t="shared" si="168"/>
        <v>12/20/2019 7:00:30 AM</v>
      </c>
      <c r="I402" t="str">
        <f>""</f>
        <v/>
      </c>
      <c r="J402" t="str">
        <f t="shared" si="161"/>
        <v>Elite</v>
      </c>
      <c r="K402" t="str">
        <f t="shared" si="172"/>
        <v>Device</v>
      </c>
      <c r="L402" t="str">
        <f t="shared" si="169"/>
        <v>777226284</v>
      </c>
      <c r="M402" t="str">
        <f t="shared" si="170"/>
        <v>16600241</v>
      </c>
      <c r="N402" t="str">
        <f t="shared" si="171"/>
        <v>5084-20</v>
      </c>
      <c r="O402" t="str">
        <f t="shared" si="162"/>
        <v>TEXAS</v>
      </c>
      <c r="P402" t="str">
        <f t="shared" si="163"/>
        <v>N A</v>
      </c>
      <c r="Q402" t="str">
        <f t="shared" si="164"/>
        <v>N/A</v>
      </c>
      <c r="R402" t="str">
        <f>"130 CMRNP 08 306"</f>
        <v>130 CMRNP 08 306</v>
      </c>
      <c r="S402" t="str">
        <f>"12/19/2019 3:10:39 AM"</f>
        <v>12/19/2019 3:10:39 AM</v>
      </c>
      <c r="T402" t="str">
        <f t="shared" si="158"/>
        <v>5</v>
      </c>
      <c r="U402" t="str">
        <f t="shared" si="165"/>
        <v>N/A</v>
      </c>
      <c r="V402" t="str">
        <f>"5.5500"</f>
        <v>5.5500</v>
      </c>
    </row>
    <row r="403" spans="1:22" x14ac:dyDescent="0.25">
      <c r="A403" s="1" t="str">
        <f t="shared" si="160"/>
        <v>5084-</v>
      </c>
      <c r="B403" s="1" t="str">
        <f t="shared" si="167"/>
        <v>5084-</v>
      </c>
      <c r="C403" s="1" t="str">
        <f>VLOOKUP(B403,'Master truck list'!D:E,2,0)</f>
        <v>5084-20</v>
      </c>
      <c r="D403" s="1" t="str">
        <f>VLOOKUP(C403,'Master truck list'!E:F,2,0)</f>
        <v>ACTIVE</v>
      </c>
      <c r="E403" s="1" t="str">
        <f>VLOOKUP(C403,'Master truck list'!E:M,9,0)</f>
        <v>BNK TRANSPORT INC</v>
      </c>
      <c r="F403" s="1" t="str">
        <f>VLOOKUP(C403,'Master truck list'!E:G,3,0)</f>
        <v>Company</v>
      </c>
      <c r="G403" s="1">
        <f>VLOOKUP(C403,'Master truck list'!E:R,14,0)</f>
        <v>2474</v>
      </c>
      <c r="H403" t="str">
        <f t="shared" si="168"/>
        <v>12/20/2019 7:00:30 AM</v>
      </c>
      <c r="I403" t="str">
        <f>""</f>
        <v/>
      </c>
      <c r="J403" t="str">
        <f t="shared" si="161"/>
        <v>Elite</v>
      </c>
      <c r="K403" t="str">
        <f t="shared" si="172"/>
        <v>Device</v>
      </c>
      <c r="L403" t="str">
        <f t="shared" si="169"/>
        <v>777226284</v>
      </c>
      <c r="M403" t="str">
        <f t="shared" si="170"/>
        <v>16600241</v>
      </c>
      <c r="N403" t="str">
        <f t="shared" si="171"/>
        <v>5084-20</v>
      </c>
      <c r="O403" t="str">
        <f t="shared" si="162"/>
        <v>TEXAS</v>
      </c>
      <c r="P403" t="str">
        <f t="shared" si="163"/>
        <v>N A</v>
      </c>
      <c r="Q403" t="str">
        <f t="shared" si="164"/>
        <v>N/A</v>
      </c>
      <c r="R403" t="str">
        <f>"130 ARPTP 09 308"</f>
        <v>130 ARPTP 09 308</v>
      </c>
      <c r="S403" t="str">
        <f>"12/19/2019 4:05:34 PM"</f>
        <v>12/19/2019 4:05:34 PM</v>
      </c>
      <c r="T403" t="str">
        <f t="shared" si="158"/>
        <v>5</v>
      </c>
      <c r="U403" t="str">
        <f t="shared" si="165"/>
        <v>N/A</v>
      </c>
      <c r="V403" t="str">
        <f>"5.5500"</f>
        <v>5.5500</v>
      </c>
    </row>
    <row r="404" spans="1:22" x14ac:dyDescent="0.25">
      <c r="A404" s="1" t="str">
        <f t="shared" si="160"/>
        <v>5081-</v>
      </c>
      <c r="B404" s="1" t="str">
        <f t="shared" si="167"/>
        <v>5081-</v>
      </c>
      <c r="C404" s="1" t="str">
        <f>VLOOKUP(B404,'Master truck list'!D:E,2,0)</f>
        <v>5081-20</v>
      </c>
      <c r="D404" s="1" t="str">
        <f>VLOOKUP(C404,'Master truck list'!E:F,2,0)</f>
        <v>ACTIVE</v>
      </c>
      <c r="E404" s="1" t="str">
        <f>VLOOKUP(C404,'Master truck list'!E:M,9,0)</f>
        <v>BNK TRANSPORT INC</v>
      </c>
      <c r="F404" s="1" t="str">
        <f>VLOOKUP(C404,'Master truck list'!E:G,3,0)</f>
        <v>Company</v>
      </c>
      <c r="G404" s="1">
        <f>VLOOKUP(C404,'Master truck list'!E:R,14,0)</f>
        <v>2471</v>
      </c>
      <c r="H404" t="str">
        <f t="shared" si="168"/>
        <v>12/20/2019 7:00:30 AM</v>
      </c>
      <c r="I404" t="str">
        <f>""</f>
        <v/>
      </c>
      <c r="J404" t="str">
        <f t="shared" si="161"/>
        <v>Elite</v>
      </c>
      <c r="K404" t="str">
        <f t="shared" si="172"/>
        <v>Device</v>
      </c>
      <c r="L404" t="str">
        <f t="shared" ref="L404:L418" si="173">"777226280"</f>
        <v>777226280</v>
      </c>
      <c r="M404" t="str">
        <f t="shared" ref="M404:M418" si="174">"16600237"</f>
        <v>16600237</v>
      </c>
      <c r="N404" t="str">
        <f t="shared" ref="N404:N418" si="175">"5081-20"</f>
        <v>5081-20</v>
      </c>
      <c r="O404" t="str">
        <f t="shared" si="162"/>
        <v>TEXAS</v>
      </c>
      <c r="P404" t="str">
        <f t="shared" si="163"/>
        <v>N A</v>
      </c>
      <c r="Q404" t="str">
        <f t="shared" si="164"/>
        <v>N/A</v>
      </c>
      <c r="R404" t="str">
        <f>"130 ARPTP 09 308"</f>
        <v>130 ARPTP 09 308</v>
      </c>
      <c r="S404" t="str">
        <f>"12/19/2019 4:24:36 PM"</f>
        <v>12/19/2019 4:24:36 PM</v>
      </c>
      <c r="T404" t="str">
        <f t="shared" si="158"/>
        <v>5</v>
      </c>
      <c r="U404" t="str">
        <f t="shared" si="165"/>
        <v>N/A</v>
      </c>
      <c r="V404" t="str">
        <f>"5.5500"</f>
        <v>5.5500</v>
      </c>
    </row>
    <row r="405" spans="1:22" x14ac:dyDescent="0.25">
      <c r="A405" s="1" t="str">
        <f t="shared" si="160"/>
        <v>5081-</v>
      </c>
      <c r="B405" s="1" t="str">
        <f t="shared" si="167"/>
        <v>5081-</v>
      </c>
      <c r="C405" s="1" t="str">
        <f>VLOOKUP(B405,'Master truck list'!D:E,2,0)</f>
        <v>5081-20</v>
      </c>
      <c r="D405" s="1" t="str">
        <f>VLOOKUP(C405,'Master truck list'!E:F,2,0)</f>
        <v>ACTIVE</v>
      </c>
      <c r="E405" s="1" t="str">
        <f>VLOOKUP(C405,'Master truck list'!E:M,9,0)</f>
        <v>BNK TRANSPORT INC</v>
      </c>
      <c r="F405" s="1" t="str">
        <f>VLOOKUP(C405,'Master truck list'!E:G,3,0)</f>
        <v>Company</v>
      </c>
      <c r="G405" s="1">
        <f>VLOOKUP(C405,'Master truck list'!E:R,14,0)</f>
        <v>2471</v>
      </c>
      <c r="H405" t="str">
        <f t="shared" si="168"/>
        <v>12/20/2019 7:00:30 AM</v>
      </c>
      <c r="I405" t="str">
        <f>""</f>
        <v/>
      </c>
      <c r="J405" t="str">
        <f t="shared" si="161"/>
        <v>Elite</v>
      </c>
      <c r="K405" t="str">
        <f t="shared" si="172"/>
        <v>Device</v>
      </c>
      <c r="L405" t="str">
        <f t="shared" si="173"/>
        <v>777226280</v>
      </c>
      <c r="M405" t="str">
        <f t="shared" si="174"/>
        <v>16600237</v>
      </c>
      <c r="N405" t="str">
        <f t="shared" si="175"/>
        <v>5081-20</v>
      </c>
      <c r="O405" t="str">
        <f t="shared" si="162"/>
        <v>TEXAS</v>
      </c>
      <c r="P405" t="str">
        <f t="shared" si="163"/>
        <v>N A</v>
      </c>
      <c r="Q405" t="str">
        <f t="shared" si="164"/>
        <v>N/A</v>
      </c>
      <c r="R405" t="str">
        <f>"45SE MLPEB 02 611"</f>
        <v>45SE MLPEB 02 611</v>
      </c>
      <c r="S405" t="str">
        <f>"12/19/2019 4:13:45 PM"</f>
        <v>12/19/2019 4:13:45 PM</v>
      </c>
      <c r="T405" t="str">
        <f t="shared" si="158"/>
        <v>5</v>
      </c>
      <c r="U405" t="str">
        <f t="shared" si="165"/>
        <v>N/A</v>
      </c>
      <c r="V405" t="str">
        <f>"3.3000"</f>
        <v>3.3000</v>
      </c>
    </row>
    <row r="406" spans="1:22" x14ac:dyDescent="0.25">
      <c r="A406" s="1" t="str">
        <f t="shared" si="160"/>
        <v>5081-</v>
      </c>
      <c r="B406" s="1" t="str">
        <f t="shared" si="167"/>
        <v>5081-</v>
      </c>
      <c r="C406" s="1" t="str">
        <f>VLOOKUP(B406,'Master truck list'!D:E,2,0)</f>
        <v>5081-20</v>
      </c>
      <c r="D406" s="1" t="str">
        <f>VLOOKUP(C406,'Master truck list'!E:F,2,0)</f>
        <v>ACTIVE</v>
      </c>
      <c r="E406" s="1" t="str">
        <f>VLOOKUP(C406,'Master truck list'!E:M,9,0)</f>
        <v>BNK TRANSPORT INC</v>
      </c>
      <c r="F406" s="1" t="str">
        <f>VLOOKUP(C406,'Master truck list'!E:G,3,0)</f>
        <v>Company</v>
      </c>
      <c r="G406" s="1">
        <f>VLOOKUP(C406,'Master truck list'!E:R,14,0)</f>
        <v>2471</v>
      </c>
      <c r="H406" t="str">
        <f t="shared" si="168"/>
        <v>12/20/2019 7:00:30 AM</v>
      </c>
      <c r="I406" t="str">
        <f>""</f>
        <v/>
      </c>
      <c r="J406" t="str">
        <f t="shared" si="161"/>
        <v>Elite</v>
      </c>
      <c r="K406" t="str">
        <f t="shared" si="172"/>
        <v>Device</v>
      </c>
      <c r="L406" t="str">
        <f t="shared" si="173"/>
        <v>777226280</v>
      </c>
      <c r="M406" t="str">
        <f t="shared" si="174"/>
        <v>16600237</v>
      </c>
      <c r="N406" t="str">
        <f t="shared" si="175"/>
        <v>5081-20</v>
      </c>
      <c r="O406" t="str">
        <f t="shared" si="162"/>
        <v>TEXAS</v>
      </c>
      <c r="P406" t="str">
        <f t="shared" si="163"/>
        <v>N A</v>
      </c>
      <c r="Q406" t="str">
        <f t="shared" si="164"/>
        <v>N/A</v>
      </c>
      <c r="R406" t="str">
        <f>"130 CMRNP 12 306"</f>
        <v>130 CMRNP 12 306</v>
      </c>
      <c r="S406" t="str">
        <f>"12/19/2019 4:56:11 PM"</f>
        <v>12/19/2019 4:56:11 PM</v>
      </c>
      <c r="T406" t="str">
        <f t="shared" si="158"/>
        <v>5</v>
      </c>
      <c r="U406" t="str">
        <f t="shared" si="165"/>
        <v>N/A</v>
      </c>
      <c r="V406" t="str">
        <f>"5.5500"</f>
        <v>5.5500</v>
      </c>
    </row>
    <row r="407" spans="1:22" x14ac:dyDescent="0.25">
      <c r="A407" s="1" t="str">
        <f t="shared" si="160"/>
        <v>5081-</v>
      </c>
      <c r="B407" s="1" t="str">
        <f t="shared" si="167"/>
        <v>5081-</v>
      </c>
      <c r="C407" s="1" t="str">
        <f>VLOOKUP(B407,'Master truck list'!D:E,2,0)</f>
        <v>5081-20</v>
      </c>
      <c r="D407" s="1" t="str">
        <f>VLOOKUP(C407,'Master truck list'!E:F,2,0)</f>
        <v>ACTIVE</v>
      </c>
      <c r="E407" s="1" t="str">
        <f>VLOOKUP(C407,'Master truck list'!E:M,9,0)</f>
        <v>BNK TRANSPORT INC</v>
      </c>
      <c r="F407" s="1" t="str">
        <f>VLOOKUP(C407,'Master truck list'!E:G,3,0)</f>
        <v>Company</v>
      </c>
      <c r="G407" s="1">
        <f>VLOOKUP(C407,'Master truck list'!E:R,14,0)</f>
        <v>2471</v>
      </c>
      <c r="H407" t="str">
        <f t="shared" si="168"/>
        <v>12/20/2019 7:00:30 AM</v>
      </c>
      <c r="I407" t="str">
        <f>""</f>
        <v/>
      </c>
      <c r="J407" t="str">
        <f t="shared" si="161"/>
        <v>Elite</v>
      </c>
      <c r="K407" t="str">
        <f t="shared" si="172"/>
        <v>Device</v>
      </c>
      <c r="L407" t="str">
        <f t="shared" si="173"/>
        <v>777226280</v>
      </c>
      <c r="M407" t="str">
        <f t="shared" si="174"/>
        <v>16600237</v>
      </c>
      <c r="N407" t="str">
        <f t="shared" si="175"/>
        <v>5081-20</v>
      </c>
      <c r="O407" t="str">
        <f t="shared" si="162"/>
        <v>TEXAS</v>
      </c>
      <c r="P407" t="str">
        <f t="shared" si="163"/>
        <v>N A</v>
      </c>
      <c r="Q407" t="str">
        <f t="shared" si="164"/>
        <v>N/A</v>
      </c>
      <c r="R407" t="str">
        <f>"130 MGCRP 11 305"</f>
        <v>130 MGCRP 11 305</v>
      </c>
      <c r="S407" t="str">
        <f>"12/19/2019 5:08:24 PM"</f>
        <v>12/19/2019 5:08:24 PM</v>
      </c>
      <c r="T407" t="str">
        <f t="shared" si="158"/>
        <v>5</v>
      </c>
      <c r="U407" t="str">
        <f t="shared" si="165"/>
        <v>N/A</v>
      </c>
      <c r="V407" t="str">
        <f>"5.5500"</f>
        <v>5.5500</v>
      </c>
    </row>
    <row r="408" spans="1:22" x14ac:dyDescent="0.25">
      <c r="A408" s="1" t="str">
        <f t="shared" si="160"/>
        <v>5081-</v>
      </c>
      <c r="B408" s="1" t="str">
        <f t="shared" si="167"/>
        <v>5081-</v>
      </c>
      <c r="C408" s="1" t="str">
        <f>VLOOKUP(B408,'Master truck list'!D:E,2,0)</f>
        <v>5081-20</v>
      </c>
      <c r="D408" s="1" t="str">
        <f>VLOOKUP(C408,'Master truck list'!E:F,2,0)</f>
        <v>ACTIVE</v>
      </c>
      <c r="E408" s="1" t="str">
        <f>VLOOKUP(C408,'Master truck list'!E:M,9,0)</f>
        <v>BNK TRANSPORT INC</v>
      </c>
      <c r="F408" s="1" t="str">
        <f>VLOOKUP(C408,'Master truck list'!E:G,3,0)</f>
        <v>Company</v>
      </c>
      <c r="G408" s="1">
        <f>VLOOKUP(C408,'Master truck list'!E:R,14,0)</f>
        <v>2471</v>
      </c>
      <c r="H408" t="str">
        <f t="shared" si="168"/>
        <v>12/20/2019 7:00:30 AM</v>
      </c>
      <c r="I408" t="str">
        <f>""</f>
        <v/>
      </c>
      <c r="J408" t="str">
        <f t="shared" si="161"/>
        <v>Elite</v>
      </c>
      <c r="K408" t="str">
        <f t="shared" si="172"/>
        <v>Device</v>
      </c>
      <c r="L408" t="str">
        <f t="shared" si="173"/>
        <v>777226280</v>
      </c>
      <c r="M408" t="str">
        <f t="shared" si="174"/>
        <v>16600237</v>
      </c>
      <c r="N408" t="str">
        <f t="shared" si="175"/>
        <v>5081-20</v>
      </c>
      <c r="O408" t="str">
        <f t="shared" si="162"/>
        <v>TEXAS</v>
      </c>
      <c r="P408" t="str">
        <f t="shared" si="163"/>
        <v>N A</v>
      </c>
      <c r="Q408" t="str">
        <f t="shared" si="164"/>
        <v>N/A</v>
      </c>
      <c r="R408" t="str">
        <f>"130 DKCRP 11 307"</f>
        <v>130 DKCRP 11 307</v>
      </c>
      <c r="S408" t="str">
        <f>"12/19/2019 4:34:12 PM"</f>
        <v>12/19/2019 4:34:12 PM</v>
      </c>
      <c r="T408" t="str">
        <f t="shared" si="158"/>
        <v>5</v>
      </c>
      <c r="U408" t="str">
        <f t="shared" si="165"/>
        <v>N/A</v>
      </c>
      <c r="V408" t="str">
        <f>"5.5500"</f>
        <v>5.5500</v>
      </c>
    </row>
    <row r="409" spans="1:22" x14ac:dyDescent="0.25">
      <c r="A409" s="1" t="str">
        <f t="shared" si="160"/>
        <v>5081-</v>
      </c>
      <c r="B409" s="1" t="str">
        <f t="shared" si="167"/>
        <v>5081-</v>
      </c>
      <c r="C409" s="1" t="str">
        <f>VLOOKUP(B409,'Master truck list'!D:E,2,0)</f>
        <v>5081-20</v>
      </c>
      <c r="D409" s="1" t="str">
        <f>VLOOKUP(C409,'Master truck list'!E:F,2,0)</f>
        <v>ACTIVE</v>
      </c>
      <c r="E409" s="1" t="str">
        <f>VLOOKUP(C409,'Master truck list'!E:M,9,0)</f>
        <v>BNK TRANSPORT INC</v>
      </c>
      <c r="F409" s="1" t="str">
        <f>VLOOKUP(C409,'Master truck list'!E:G,3,0)</f>
        <v>Company</v>
      </c>
      <c r="G409" s="1">
        <f>VLOOKUP(C409,'Master truck list'!E:R,14,0)</f>
        <v>2471</v>
      </c>
      <c r="H409" t="str">
        <f>"12/21/2019 7:00:28 AM"</f>
        <v>12/21/2019 7:00:28 AM</v>
      </c>
      <c r="I409" t="str">
        <f>""</f>
        <v/>
      </c>
      <c r="J409" t="str">
        <f t="shared" si="161"/>
        <v>Elite</v>
      </c>
      <c r="K409" t="str">
        <f t="shared" si="172"/>
        <v>Device</v>
      </c>
      <c r="L409" t="str">
        <f t="shared" si="173"/>
        <v>777226280</v>
      </c>
      <c r="M409" t="str">
        <f t="shared" si="174"/>
        <v>16600237</v>
      </c>
      <c r="N409" t="str">
        <f t="shared" si="175"/>
        <v>5081-20</v>
      </c>
      <c r="O409" t="str">
        <f t="shared" si="162"/>
        <v>TEXAS</v>
      </c>
      <c r="P409" t="str">
        <f t="shared" si="163"/>
        <v>N A</v>
      </c>
      <c r="Q409" t="str">
        <f t="shared" si="164"/>
        <v>N/A</v>
      </c>
      <c r="R409" t="str">
        <f>"130 ARPTP 04 308"</f>
        <v>130 ARPTP 04 308</v>
      </c>
      <c r="S409" t="str">
        <f>"12/20/2019 12:11:40 PM"</f>
        <v>12/20/2019 12:11:40 PM</v>
      </c>
      <c r="T409" t="str">
        <f t="shared" si="158"/>
        <v>5</v>
      </c>
      <c r="U409" t="str">
        <f t="shared" si="165"/>
        <v>N/A</v>
      </c>
      <c r="V409" t="str">
        <f>"5.5500"</f>
        <v>5.5500</v>
      </c>
    </row>
    <row r="410" spans="1:22" x14ac:dyDescent="0.25">
      <c r="A410" s="1" t="str">
        <f t="shared" si="160"/>
        <v>5081-</v>
      </c>
      <c r="B410" s="1" t="str">
        <f t="shared" si="167"/>
        <v>5081-</v>
      </c>
      <c r="C410" s="1" t="str">
        <f>VLOOKUP(B410,'Master truck list'!D:E,2,0)</f>
        <v>5081-20</v>
      </c>
      <c r="D410" s="1" t="str">
        <f>VLOOKUP(C410,'Master truck list'!E:F,2,0)</f>
        <v>ACTIVE</v>
      </c>
      <c r="E410" s="1" t="str">
        <f>VLOOKUP(C410,'Master truck list'!E:M,9,0)</f>
        <v>BNK TRANSPORT INC</v>
      </c>
      <c r="F410" s="1" t="str">
        <f>VLOOKUP(C410,'Master truck list'!E:G,3,0)</f>
        <v>Company</v>
      </c>
      <c r="G410" s="1">
        <f>VLOOKUP(C410,'Master truck list'!E:R,14,0)</f>
        <v>2471</v>
      </c>
      <c r="H410" t="str">
        <f>"12/18/2019 7:00:28 AM"</f>
        <v>12/18/2019 7:00:28 AM</v>
      </c>
      <c r="I410" t="str">
        <f>""</f>
        <v/>
      </c>
      <c r="J410" t="str">
        <f t="shared" si="161"/>
        <v>Elite</v>
      </c>
      <c r="K410" t="str">
        <f t="shared" si="172"/>
        <v>Device</v>
      </c>
      <c r="L410" t="str">
        <f t="shared" si="173"/>
        <v>777226280</v>
      </c>
      <c r="M410" t="str">
        <f t="shared" si="174"/>
        <v>16600237</v>
      </c>
      <c r="N410" t="str">
        <f t="shared" si="175"/>
        <v>5081-20</v>
      </c>
      <c r="O410" t="str">
        <f t="shared" si="162"/>
        <v>TEXAS</v>
      </c>
      <c r="P410" t="str">
        <f t="shared" si="163"/>
        <v>N A</v>
      </c>
      <c r="Q410" t="str">
        <f t="shared" si="164"/>
        <v>N/A</v>
      </c>
      <c r="R410" t="str">
        <f>"130 CMRNP 13 306"</f>
        <v>130 CMRNP 13 306</v>
      </c>
      <c r="S410" t="str">
        <f>"12/17/2019 5:12:33 PM"</f>
        <v>12/17/2019 5:12:33 PM</v>
      </c>
      <c r="T410" t="str">
        <f t="shared" si="158"/>
        <v>5</v>
      </c>
      <c r="U410" t="str">
        <f t="shared" si="165"/>
        <v>N/A</v>
      </c>
      <c r="V410" t="str">
        <f>"5.5500"</f>
        <v>5.5500</v>
      </c>
    </row>
    <row r="411" spans="1:22" x14ac:dyDescent="0.25">
      <c r="A411" s="1" t="str">
        <f t="shared" si="160"/>
        <v>5081-</v>
      </c>
      <c r="B411" s="1" t="str">
        <f t="shared" si="167"/>
        <v>5081-</v>
      </c>
      <c r="C411" s="1" t="str">
        <f>VLOOKUP(B411,'Master truck list'!D:E,2,0)</f>
        <v>5081-20</v>
      </c>
      <c r="D411" s="1" t="str">
        <f>VLOOKUP(C411,'Master truck list'!E:F,2,0)</f>
        <v>ACTIVE</v>
      </c>
      <c r="E411" s="1" t="str">
        <f>VLOOKUP(C411,'Master truck list'!E:M,9,0)</f>
        <v>BNK TRANSPORT INC</v>
      </c>
      <c r="F411" s="1" t="str">
        <f>VLOOKUP(C411,'Master truck list'!E:G,3,0)</f>
        <v>Company</v>
      </c>
      <c r="G411" s="1">
        <f>VLOOKUP(C411,'Master truck list'!E:R,14,0)</f>
        <v>2471</v>
      </c>
      <c r="H411" t="str">
        <f>"12/18/2019 7:00:28 AM"</f>
        <v>12/18/2019 7:00:28 AM</v>
      </c>
      <c r="I411" t="str">
        <f>""</f>
        <v/>
      </c>
      <c r="J411" t="str">
        <f t="shared" si="161"/>
        <v>Elite</v>
      </c>
      <c r="K411" t="str">
        <f t="shared" si="172"/>
        <v>Device</v>
      </c>
      <c r="L411" t="str">
        <f t="shared" si="173"/>
        <v>777226280</v>
      </c>
      <c r="M411" t="str">
        <f t="shared" si="174"/>
        <v>16600237</v>
      </c>
      <c r="N411" t="str">
        <f t="shared" si="175"/>
        <v>5081-20</v>
      </c>
      <c r="O411" t="str">
        <f t="shared" si="162"/>
        <v>TEXAS</v>
      </c>
      <c r="P411" t="str">
        <f t="shared" si="163"/>
        <v>N A</v>
      </c>
      <c r="Q411" t="str">
        <f t="shared" si="164"/>
        <v>N/A</v>
      </c>
      <c r="R411" t="str">
        <f>"45SE MLPEB 02 611"</f>
        <v>45SE MLPEB 02 611</v>
      </c>
      <c r="S411" t="str">
        <f>"12/17/2019 4:34:22 PM"</f>
        <v>12/17/2019 4:34:22 PM</v>
      </c>
      <c r="T411" t="str">
        <f t="shared" si="158"/>
        <v>5</v>
      </c>
      <c r="U411" t="str">
        <f t="shared" si="165"/>
        <v>N/A</v>
      </c>
      <c r="V411" t="str">
        <f>"3.3000"</f>
        <v>3.3000</v>
      </c>
    </row>
    <row r="412" spans="1:22" x14ac:dyDescent="0.25">
      <c r="A412" s="1" t="str">
        <f t="shared" si="160"/>
        <v>5081-</v>
      </c>
      <c r="B412" s="1" t="str">
        <f t="shared" si="167"/>
        <v>5081-</v>
      </c>
      <c r="C412" s="1" t="str">
        <f>VLOOKUP(B412,'Master truck list'!D:E,2,0)</f>
        <v>5081-20</v>
      </c>
      <c r="D412" s="1" t="str">
        <f>VLOOKUP(C412,'Master truck list'!E:F,2,0)</f>
        <v>ACTIVE</v>
      </c>
      <c r="E412" s="1" t="str">
        <f>VLOOKUP(C412,'Master truck list'!E:M,9,0)</f>
        <v>BNK TRANSPORT INC</v>
      </c>
      <c r="F412" s="1" t="str">
        <f>VLOOKUP(C412,'Master truck list'!E:G,3,0)</f>
        <v>Company</v>
      </c>
      <c r="G412" s="1">
        <f>VLOOKUP(C412,'Master truck list'!E:R,14,0)</f>
        <v>2471</v>
      </c>
      <c r="H412" t="str">
        <f>"12/18/2019 7:00:28 AM"</f>
        <v>12/18/2019 7:00:28 AM</v>
      </c>
      <c r="I412" t="str">
        <f>""</f>
        <v/>
      </c>
      <c r="J412" t="str">
        <f t="shared" si="161"/>
        <v>Elite</v>
      </c>
      <c r="K412" t="str">
        <f t="shared" si="172"/>
        <v>Device</v>
      </c>
      <c r="L412" t="str">
        <f t="shared" si="173"/>
        <v>777226280</v>
      </c>
      <c r="M412" t="str">
        <f t="shared" si="174"/>
        <v>16600237</v>
      </c>
      <c r="N412" t="str">
        <f t="shared" si="175"/>
        <v>5081-20</v>
      </c>
      <c r="O412" t="str">
        <f t="shared" si="162"/>
        <v>TEXAS</v>
      </c>
      <c r="P412" t="str">
        <f t="shared" si="163"/>
        <v>N A</v>
      </c>
      <c r="Q412" t="str">
        <f t="shared" si="164"/>
        <v>N/A</v>
      </c>
      <c r="R412" t="str">
        <f>"130 DKCRP 11 307"</f>
        <v>130 DKCRP 11 307</v>
      </c>
      <c r="S412" t="str">
        <f>"12/17/2019 4:53:41 PM"</f>
        <v>12/17/2019 4:53:41 PM</v>
      </c>
      <c r="T412" t="str">
        <f t="shared" si="158"/>
        <v>5</v>
      </c>
      <c r="U412" t="str">
        <f t="shared" si="165"/>
        <v>N/A</v>
      </c>
      <c r="V412" t="str">
        <f>"5.5500"</f>
        <v>5.5500</v>
      </c>
    </row>
    <row r="413" spans="1:22" x14ac:dyDescent="0.25">
      <c r="A413" s="1" t="str">
        <f t="shared" si="160"/>
        <v>5081-</v>
      </c>
      <c r="B413" s="1" t="str">
        <f t="shared" si="167"/>
        <v>5081-</v>
      </c>
      <c r="C413" s="1" t="str">
        <f>VLOOKUP(B413,'Master truck list'!D:E,2,0)</f>
        <v>5081-20</v>
      </c>
      <c r="D413" s="1" t="str">
        <f>VLOOKUP(C413,'Master truck list'!E:F,2,0)</f>
        <v>ACTIVE</v>
      </c>
      <c r="E413" s="1" t="str">
        <f>VLOOKUP(C413,'Master truck list'!E:M,9,0)</f>
        <v>BNK TRANSPORT INC</v>
      </c>
      <c r="F413" s="1" t="str">
        <f>VLOOKUP(C413,'Master truck list'!E:G,3,0)</f>
        <v>Company</v>
      </c>
      <c r="G413" s="1">
        <f>VLOOKUP(C413,'Master truck list'!E:R,14,0)</f>
        <v>2471</v>
      </c>
      <c r="H413" t="str">
        <f>"12/18/2019 7:00:28 AM"</f>
        <v>12/18/2019 7:00:28 AM</v>
      </c>
      <c r="I413" t="str">
        <f>""</f>
        <v/>
      </c>
      <c r="J413" t="str">
        <f t="shared" si="161"/>
        <v>Elite</v>
      </c>
      <c r="K413" t="str">
        <f t="shared" si="172"/>
        <v>Device</v>
      </c>
      <c r="L413" t="str">
        <f t="shared" si="173"/>
        <v>777226280</v>
      </c>
      <c r="M413" t="str">
        <f t="shared" si="174"/>
        <v>16600237</v>
      </c>
      <c r="N413" t="str">
        <f t="shared" si="175"/>
        <v>5081-20</v>
      </c>
      <c r="O413" t="str">
        <f t="shared" si="162"/>
        <v>TEXAS</v>
      </c>
      <c r="P413" t="str">
        <f t="shared" si="163"/>
        <v>N A</v>
      </c>
      <c r="Q413" t="str">
        <f t="shared" si="164"/>
        <v>N/A</v>
      </c>
      <c r="R413" t="str">
        <f>"130 ARPTP 09 308"</f>
        <v>130 ARPTP 09 308</v>
      </c>
      <c r="S413" t="str">
        <f>"12/17/2019 4:45:15 PM"</f>
        <v>12/17/2019 4:45:15 PM</v>
      </c>
      <c r="T413" t="str">
        <f t="shared" si="158"/>
        <v>5</v>
      </c>
      <c r="U413" t="str">
        <f t="shared" si="165"/>
        <v>N/A</v>
      </c>
      <c r="V413" t="str">
        <f>"5.5500"</f>
        <v>5.5500</v>
      </c>
    </row>
    <row r="414" spans="1:22" x14ac:dyDescent="0.25">
      <c r="A414" s="1" t="str">
        <f t="shared" si="160"/>
        <v>5081-</v>
      </c>
      <c r="B414" s="1" t="str">
        <f t="shared" si="167"/>
        <v>5081-</v>
      </c>
      <c r="C414" s="1" t="str">
        <f>VLOOKUP(B414,'Master truck list'!D:E,2,0)</f>
        <v>5081-20</v>
      </c>
      <c r="D414" s="1" t="str">
        <f>VLOOKUP(C414,'Master truck list'!E:F,2,0)</f>
        <v>ACTIVE</v>
      </c>
      <c r="E414" s="1" t="str">
        <f>VLOOKUP(C414,'Master truck list'!E:M,9,0)</f>
        <v>BNK TRANSPORT INC</v>
      </c>
      <c r="F414" s="1" t="str">
        <f>VLOOKUP(C414,'Master truck list'!E:G,3,0)</f>
        <v>Company</v>
      </c>
      <c r="G414" s="1">
        <f>VLOOKUP(C414,'Master truck list'!E:R,14,0)</f>
        <v>2471</v>
      </c>
      <c r="H414" t="str">
        <f>"12/18/2019 7:00:28 AM"</f>
        <v>12/18/2019 7:00:28 AM</v>
      </c>
      <c r="I414" t="str">
        <f>""</f>
        <v/>
      </c>
      <c r="J414" t="str">
        <f t="shared" si="161"/>
        <v>Elite</v>
      </c>
      <c r="K414" t="str">
        <f t="shared" si="172"/>
        <v>Device</v>
      </c>
      <c r="L414" t="str">
        <f t="shared" si="173"/>
        <v>777226280</v>
      </c>
      <c r="M414" t="str">
        <f t="shared" si="174"/>
        <v>16600237</v>
      </c>
      <c r="N414" t="str">
        <f t="shared" si="175"/>
        <v>5081-20</v>
      </c>
      <c r="O414" t="str">
        <f t="shared" si="162"/>
        <v>TEXAS</v>
      </c>
      <c r="P414" t="str">
        <f t="shared" si="163"/>
        <v>N A</v>
      </c>
      <c r="Q414" t="str">
        <f t="shared" si="164"/>
        <v>N/A</v>
      </c>
      <c r="R414" t="str">
        <f>"130 MGCRP 11 305"</f>
        <v>130 MGCRP 11 305</v>
      </c>
      <c r="S414" t="str">
        <f>"12/17/2019 5:23:58 PM"</f>
        <v>12/17/2019 5:23:58 PM</v>
      </c>
      <c r="T414" t="str">
        <f t="shared" si="158"/>
        <v>5</v>
      </c>
      <c r="U414" t="str">
        <f t="shared" si="165"/>
        <v>N/A</v>
      </c>
      <c r="V414" t="str">
        <f>"5.5500"</f>
        <v>5.5500</v>
      </c>
    </row>
    <row r="415" spans="1:22" x14ac:dyDescent="0.25">
      <c r="A415" s="1" t="str">
        <f t="shared" si="160"/>
        <v>5081-</v>
      </c>
      <c r="B415" s="1" t="str">
        <f t="shared" si="167"/>
        <v>5081-</v>
      </c>
      <c r="C415" s="1" t="str">
        <f>VLOOKUP(B415,'Master truck list'!D:E,2,0)</f>
        <v>5081-20</v>
      </c>
      <c r="D415" s="1" t="str">
        <f>VLOOKUP(C415,'Master truck list'!E:F,2,0)</f>
        <v>ACTIVE</v>
      </c>
      <c r="E415" s="1" t="str">
        <f>VLOOKUP(C415,'Master truck list'!E:M,9,0)</f>
        <v>BNK TRANSPORT INC</v>
      </c>
      <c r="F415" s="1" t="str">
        <f>VLOOKUP(C415,'Master truck list'!E:G,3,0)</f>
        <v>Company</v>
      </c>
      <c r="G415" s="1">
        <f>VLOOKUP(C415,'Master truck list'!E:R,14,0)</f>
        <v>2471</v>
      </c>
      <c r="H415" t="str">
        <f>"12/21/2019 7:00:28 AM"</f>
        <v>12/21/2019 7:00:28 AM</v>
      </c>
      <c r="I415" t="str">
        <f>""</f>
        <v/>
      </c>
      <c r="J415" t="str">
        <f t="shared" si="161"/>
        <v>Elite</v>
      </c>
      <c r="K415" t="str">
        <f t="shared" si="172"/>
        <v>Device</v>
      </c>
      <c r="L415" t="str">
        <f t="shared" si="173"/>
        <v>777226280</v>
      </c>
      <c r="M415" t="str">
        <f t="shared" si="174"/>
        <v>16600237</v>
      </c>
      <c r="N415" t="str">
        <f t="shared" si="175"/>
        <v>5081-20</v>
      </c>
      <c r="O415" t="str">
        <f t="shared" si="162"/>
        <v>TEXAS</v>
      </c>
      <c r="P415" t="str">
        <f t="shared" si="163"/>
        <v>N A</v>
      </c>
      <c r="Q415" t="str">
        <f t="shared" si="164"/>
        <v>N/A</v>
      </c>
      <c r="R415" t="str">
        <f>"130 MGCRP 06 305"</f>
        <v>130 MGCRP 06 305</v>
      </c>
      <c r="S415" t="str">
        <f>"12/20/2019 11:42:47 AM"</f>
        <v>12/20/2019 11:42:47 AM</v>
      </c>
      <c r="T415" t="str">
        <f t="shared" si="158"/>
        <v>5</v>
      </c>
      <c r="U415" t="str">
        <f t="shared" si="165"/>
        <v>N/A</v>
      </c>
      <c r="V415" t="str">
        <f>"5.5500"</f>
        <v>5.5500</v>
      </c>
    </row>
    <row r="416" spans="1:22" x14ac:dyDescent="0.25">
      <c r="A416" s="1" t="str">
        <f t="shared" si="160"/>
        <v>5081-</v>
      </c>
      <c r="B416" s="1" t="str">
        <f t="shared" si="167"/>
        <v>5081-</v>
      </c>
      <c r="C416" s="1" t="str">
        <f>VLOOKUP(B416,'Master truck list'!D:E,2,0)</f>
        <v>5081-20</v>
      </c>
      <c r="D416" s="1" t="str">
        <f>VLOOKUP(C416,'Master truck list'!E:F,2,0)</f>
        <v>ACTIVE</v>
      </c>
      <c r="E416" s="1" t="str">
        <f>VLOOKUP(C416,'Master truck list'!E:M,9,0)</f>
        <v>BNK TRANSPORT INC</v>
      </c>
      <c r="F416" s="1" t="str">
        <f>VLOOKUP(C416,'Master truck list'!E:G,3,0)</f>
        <v>Company</v>
      </c>
      <c r="G416" s="1">
        <f>VLOOKUP(C416,'Master truck list'!E:R,14,0)</f>
        <v>2471</v>
      </c>
      <c r="H416" t="str">
        <f>"12/21/2019 7:00:28 AM"</f>
        <v>12/21/2019 7:00:28 AM</v>
      </c>
      <c r="I416" t="str">
        <f>""</f>
        <v/>
      </c>
      <c r="J416" t="str">
        <f t="shared" si="161"/>
        <v>Elite</v>
      </c>
      <c r="K416" t="str">
        <f t="shared" si="172"/>
        <v>Device</v>
      </c>
      <c r="L416" t="str">
        <f t="shared" si="173"/>
        <v>777226280</v>
      </c>
      <c r="M416" t="str">
        <f t="shared" si="174"/>
        <v>16600237</v>
      </c>
      <c r="N416" t="str">
        <f t="shared" si="175"/>
        <v>5081-20</v>
      </c>
      <c r="O416" t="str">
        <f t="shared" si="162"/>
        <v>TEXAS</v>
      </c>
      <c r="P416" t="str">
        <f t="shared" si="163"/>
        <v>N A</v>
      </c>
      <c r="Q416" t="str">
        <f t="shared" si="164"/>
        <v>N/A</v>
      </c>
      <c r="R416" t="str">
        <f>"45SE MLPWB 01 611"</f>
        <v>45SE MLPWB 01 611</v>
      </c>
      <c r="S416" t="str">
        <f>"12/20/2019 12:22:31 PM"</f>
        <v>12/20/2019 12:22:31 PM</v>
      </c>
      <c r="T416" t="str">
        <f t="shared" si="158"/>
        <v>5</v>
      </c>
      <c r="U416" t="str">
        <f t="shared" si="165"/>
        <v>N/A</v>
      </c>
      <c r="V416" t="str">
        <f>"3.3000"</f>
        <v>3.3000</v>
      </c>
    </row>
    <row r="417" spans="1:22" x14ac:dyDescent="0.25">
      <c r="A417" s="1" t="str">
        <f t="shared" si="160"/>
        <v>5081-</v>
      </c>
      <c r="B417" s="1" t="str">
        <f t="shared" si="167"/>
        <v>5081-</v>
      </c>
      <c r="C417" s="1" t="str">
        <f>VLOOKUP(B417,'Master truck list'!D:E,2,0)</f>
        <v>5081-20</v>
      </c>
      <c r="D417" s="1" t="str">
        <f>VLOOKUP(C417,'Master truck list'!E:F,2,0)</f>
        <v>ACTIVE</v>
      </c>
      <c r="E417" s="1" t="str">
        <f>VLOOKUP(C417,'Master truck list'!E:M,9,0)</f>
        <v>BNK TRANSPORT INC</v>
      </c>
      <c r="F417" s="1" t="str">
        <f>VLOOKUP(C417,'Master truck list'!E:G,3,0)</f>
        <v>Company</v>
      </c>
      <c r="G417" s="1">
        <f>VLOOKUP(C417,'Master truck list'!E:R,14,0)</f>
        <v>2471</v>
      </c>
      <c r="H417" t="str">
        <f>"12/21/2019 7:00:28 AM"</f>
        <v>12/21/2019 7:00:28 AM</v>
      </c>
      <c r="I417" t="str">
        <f>""</f>
        <v/>
      </c>
      <c r="J417" t="str">
        <f t="shared" si="161"/>
        <v>Elite</v>
      </c>
      <c r="K417" t="str">
        <f t="shared" si="172"/>
        <v>Device</v>
      </c>
      <c r="L417" t="str">
        <f t="shared" si="173"/>
        <v>777226280</v>
      </c>
      <c r="M417" t="str">
        <f t="shared" si="174"/>
        <v>16600237</v>
      </c>
      <c r="N417" t="str">
        <f t="shared" si="175"/>
        <v>5081-20</v>
      </c>
      <c r="O417" t="str">
        <f t="shared" si="162"/>
        <v>TEXAS</v>
      </c>
      <c r="P417" t="str">
        <f t="shared" si="163"/>
        <v>N A</v>
      </c>
      <c r="Q417" t="str">
        <f t="shared" si="164"/>
        <v>N/A</v>
      </c>
      <c r="R417" t="str">
        <f>"130 CMRNP 08 306"</f>
        <v>130 CMRNP 08 306</v>
      </c>
      <c r="S417" t="str">
        <f>"12/20/2019 11:54:08 AM"</f>
        <v>12/20/2019 11:54:08 AM</v>
      </c>
      <c r="T417" t="str">
        <f t="shared" si="158"/>
        <v>5</v>
      </c>
      <c r="U417" t="str">
        <f t="shared" si="165"/>
        <v>N/A</v>
      </c>
      <c r="V417" t="str">
        <f>"5.5500"</f>
        <v>5.5500</v>
      </c>
    </row>
    <row r="418" spans="1:22" x14ac:dyDescent="0.25">
      <c r="A418" s="1" t="str">
        <f t="shared" si="160"/>
        <v>5081-</v>
      </c>
      <c r="B418" s="1" t="str">
        <f t="shared" si="167"/>
        <v>5081-</v>
      </c>
      <c r="C418" s="1" t="str">
        <f>VLOOKUP(B418,'Master truck list'!D:E,2,0)</f>
        <v>5081-20</v>
      </c>
      <c r="D418" s="1" t="str">
        <f>VLOOKUP(C418,'Master truck list'!E:F,2,0)</f>
        <v>ACTIVE</v>
      </c>
      <c r="E418" s="1" t="str">
        <f>VLOOKUP(C418,'Master truck list'!E:M,9,0)</f>
        <v>BNK TRANSPORT INC</v>
      </c>
      <c r="F418" s="1" t="str">
        <f>VLOOKUP(C418,'Master truck list'!E:G,3,0)</f>
        <v>Company</v>
      </c>
      <c r="G418" s="1">
        <f>VLOOKUP(C418,'Master truck list'!E:R,14,0)</f>
        <v>2471</v>
      </c>
      <c r="H418" t="str">
        <f>"12/21/2019 7:00:28 AM"</f>
        <v>12/21/2019 7:00:28 AM</v>
      </c>
      <c r="I418" t="str">
        <f>""</f>
        <v/>
      </c>
      <c r="J418" t="str">
        <f t="shared" si="161"/>
        <v>Elite</v>
      </c>
      <c r="K418" t="str">
        <f t="shared" si="172"/>
        <v>Device</v>
      </c>
      <c r="L418" t="str">
        <f t="shared" si="173"/>
        <v>777226280</v>
      </c>
      <c r="M418" t="str">
        <f t="shared" si="174"/>
        <v>16600237</v>
      </c>
      <c r="N418" t="str">
        <f t="shared" si="175"/>
        <v>5081-20</v>
      </c>
      <c r="O418" t="str">
        <f t="shared" si="162"/>
        <v>TEXAS</v>
      </c>
      <c r="P418" t="str">
        <f t="shared" si="163"/>
        <v>N A</v>
      </c>
      <c r="Q418" t="str">
        <f t="shared" si="164"/>
        <v>N/A</v>
      </c>
      <c r="R418" t="str">
        <f>"130 DKCRP 06 307"</f>
        <v>130 DKCRP 06 307</v>
      </c>
      <c r="S418" t="str">
        <f>"12/20/2019 12:04:21 PM"</f>
        <v>12/20/2019 12:04:21 PM</v>
      </c>
      <c r="T418" t="str">
        <f t="shared" si="158"/>
        <v>5</v>
      </c>
      <c r="U418" t="str">
        <f t="shared" si="165"/>
        <v>N/A</v>
      </c>
      <c r="V418" t="str">
        <f>"5.5500"</f>
        <v>5.5500</v>
      </c>
    </row>
    <row r="419" spans="1:22" x14ac:dyDescent="0.25">
      <c r="A419" s="1" t="str">
        <f t="shared" si="160"/>
        <v>19330</v>
      </c>
      <c r="B419" s="1" t="str">
        <f t="shared" si="167"/>
        <v>19330</v>
      </c>
      <c r="C419" s="1" t="str">
        <f>VLOOKUP(B419,'Master truck list'!D:E,2,0)</f>
        <v>19330-20</v>
      </c>
      <c r="D419" s="1" t="str">
        <f>VLOOKUP(C419,'Master truck list'!E:F,2,0)</f>
        <v>ACTIVE</v>
      </c>
      <c r="E419" s="1" t="str">
        <f>VLOOKUP(C419,'Master truck list'!E:M,9,0)</f>
        <v>BKFS LOGISTICS</v>
      </c>
      <c r="F419" s="1" t="str">
        <f>VLOOKUP(C419,'Master truck list'!E:G,3,0)</f>
        <v>Company</v>
      </c>
      <c r="G419" s="1">
        <f>VLOOKUP(C419,'Master truck list'!E:R,14,0)</f>
        <v>2503</v>
      </c>
      <c r="H419" t="str">
        <f>"12/20/2019 7:00:30 AM"</f>
        <v>12/20/2019 7:00:30 AM</v>
      </c>
      <c r="I419" t="str">
        <f>""</f>
        <v/>
      </c>
      <c r="J419" t="str">
        <f t="shared" si="161"/>
        <v>Elite</v>
      </c>
      <c r="K419" t="str">
        <f t="shared" si="172"/>
        <v>Device</v>
      </c>
      <c r="L419" t="str">
        <f>"777215986"</f>
        <v>777215986</v>
      </c>
      <c r="M419" t="str">
        <f>"16551108"</f>
        <v>16551108</v>
      </c>
      <c r="N419" t="str">
        <f>"19330-20"</f>
        <v>19330-20</v>
      </c>
      <c r="O419" t="str">
        <f t="shared" si="162"/>
        <v>TEXAS</v>
      </c>
      <c r="P419" t="str">
        <f t="shared" si="163"/>
        <v>N A</v>
      </c>
      <c r="Q419" t="str">
        <f t="shared" si="164"/>
        <v>N/A</v>
      </c>
      <c r="R419" t="str">
        <f>"130 MGCRP 11 305"</f>
        <v>130 MGCRP 11 305</v>
      </c>
      <c r="S419" t="str">
        <f>"12/19/2019 8:14:22 PM"</f>
        <v>12/19/2019 8:14:22 PM</v>
      </c>
      <c r="T419" t="str">
        <f t="shared" si="158"/>
        <v>5</v>
      </c>
      <c r="U419" t="str">
        <f t="shared" si="165"/>
        <v>N/A</v>
      </c>
      <c r="V419" t="str">
        <f>"5.5500"</f>
        <v>5.5500</v>
      </c>
    </row>
    <row r="420" spans="1:22" x14ac:dyDescent="0.25">
      <c r="A420" s="1" t="str">
        <f t="shared" si="160"/>
        <v>19330</v>
      </c>
      <c r="B420" s="1" t="str">
        <f t="shared" si="167"/>
        <v>19330</v>
      </c>
      <c r="C420" s="1" t="str">
        <f>VLOOKUP(B420,'Master truck list'!D:E,2,0)</f>
        <v>19330-20</v>
      </c>
      <c r="D420" s="1" t="str">
        <f>VLOOKUP(C420,'Master truck list'!E:F,2,0)</f>
        <v>ACTIVE</v>
      </c>
      <c r="E420" s="1" t="str">
        <f>VLOOKUP(C420,'Master truck list'!E:M,9,0)</f>
        <v>BKFS LOGISTICS</v>
      </c>
      <c r="F420" s="1" t="str">
        <f>VLOOKUP(C420,'Master truck list'!E:G,3,0)</f>
        <v>Company</v>
      </c>
      <c r="G420" s="1">
        <f>VLOOKUP(C420,'Master truck list'!E:R,14,0)</f>
        <v>2503</v>
      </c>
      <c r="H420" t="str">
        <f>"12/20/2019 7:00:30 AM"</f>
        <v>12/20/2019 7:00:30 AM</v>
      </c>
      <c r="I420" t="str">
        <f>""</f>
        <v/>
      </c>
      <c r="J420" t="str">
        <f t="shared" si="161"/>
        <v>Elite</v>
      </c>
      <c r="K420" t="str">
        <f t="shared" si="172"/>
        <v>Device</v>
      </c>
      <c r="L420" t="str">
        <f>"777215986"</f>
        <v>777215986</v>
      </c>
      <c r="M420" t="str">
        <f>"16551108"</f>
        <v>16551108</v>
      </c>
      <c r="N420" t="str">
        <f>"19330-20"</f>
        <v>19330-20</v>
      </c>
      <c r="O420" t="str">
        <f t="shared" si="162"/>
        <v>TEXAS</v>
      </c>
      <c r="P420" t="str">
        <f t="shared" si="163"/>
        <v>N A</v>
      </c>
      <c r="Q420" t="str">
        <f t="shared" si="164"/>
        <v>N/A</v>
      </c>
      <c r="R420" t="str">
        <f>"45SE MLPEB 02 611"</f>
        <v>45SE MLPEB 02 611</v>
      </c>
      <c r="S420" t="str">
        <f>"12/19/2019 7:34:47 PM"</f>
        <v>12/19/2019 7:34:47 PM</v>
      </c>
      <c r="T420" t="str">
        <f t="shared" si="158"/>
        <v>5</v>
      </c>
      <c r="U420" t="str">
        <f t="shared" si="165"/>
        <v>N/A</v>
      </c>
      <c r="V420" t="str">
        <f>"3.3000"</f>
        <v>3.3000</v>
      </c>
    </row>
    <row r="421" spans="1:22" x14ac:dyDescent="0.25">
      <c r="A421" s="1" t="str">
        <f t="shared" si="160"/>
        <v>19330</v>
      </c>
      <c r="B421" s="1" t="str">
        <f t="shared" si="167"/>
        <v>19330</v>
      </c>
      <c r="C421" s="1" t="str">
        <f>VLOOKUP(B421,'Master truck list'!D:E,2,0)</f>
        <v>19330-20</v>
      </c>
      <c r="D421" s="1" t="str">
        <f>VLOOKUP(C421,'Master truck list'!E:F,2,0)</f>
        <v>ACTIVE</v>
      </c>
      <c r="E421" s="1" t="str">
        <f>VLOOKUP(C421,'Master truck list'!E:M,9,0)</f>
        <v>BKFS LOGISTICS</v>
      </c>
      <c r="F421" s="1" t="str">
        <f>VLOOKUP(C421,'Master truck list'!E:G,3,0)</f>
        <v>Company</v>
      </c>
      <c r="G421" s="1">
        <f>VLOOKUP(C421,'Master truck list'!E:R,14,0)</f>
        <v>2503</v>
      </c>
      <c r="H421" t="str">
        <f>"12/20/2019 7:00:30 AM"</f>
        <v>12/20/2019 7:00:30 AM</v>
      </c>
      <c r="I421" t="str">
        <f>""</f>
        <v/>
      </c>
      <c r="J421" t="str">
        <f t="shared" si="161"/>
        <v>Elite</v>
      </c>
      <c r="K421" t="str">
        <f t="shared" si="172"/>
        <v>Device</v>
      </c>
      <c r="L421" t="str">
        <f>"777215986"</f>
        <v>777215986</v>
      </c>
      <c r="M421" t="str">
        <f>"16551108"</f>
        <v>16551108</v>
      </c>
      <c r="N421" t="str">
        <f>"19330-20"</f>
        <v>19330-20</v>
      </c>
      <c r="O421" t="str">
        <f t="shared" si="162"/>
        <v>TEXAS</v>
      </c>
      <c r="P421" t="str">
        <f t="shared" si="163"/>
        <v>N A</v>
      </c>
      <c r="Q421" t="str">
        <f t="shared" si="164"/>
        <v>N/A</v>
      </c>
      <c r="R421" t="str">
        <f>"130 DKCRP 11 307"</f>
        <v>130 DKCRP 11 307</v>
      </c>
      <c r="S421" t="str">
        <f>"12/19/2019 7:52:47 PM"</f>
        <v>12/19/2019 7:52:47 PM</v>
      </c>
      <c r="T421" t="str">
        <f t="shared" si="158"/>
        <v>5</v>
      </c>
      <c r="U421" t="str">
        <f t="shared" si="165"/>
        <v>N/A</v>
      </c>
      <c r="V421" t="str">
        <f>"5.5500"</f>
        <v>5.5500</v>
      </c>
    </row>
    <row r="422" spans="1:22" x14ac:dyDescent="0.25">
      <c r="A422" s="1" t="str">
        <f t="shared" si="160"/>
        <v>19330</v>
      </c>
      <c r="B422" s="1" t="str">
        <f t="shared" si="167"/>
        <v>19330</v>
      </c>
      <c r="C422" s="1" t="str">
        <f>VLOOKUP(B422,'Master truck list'!D:E,2,0)</f>
        <v>19330-20</v>
      </c>
      <c r="D422" s="1" t="str">
        <f>VLOOKUP(C422,'Master truck list'!E:F,2,0)</f>
        <v>ACTIVE</v>
      </c>
      <c r="E422" s="1" t="str">
        <f>VLOOKUP(C422,'Master truck list'!E:M,9,0)</f>
        <v>BKFS LOGISTICS</v>
      </c>
      <c r="F422" s="1" t="str">
        <f>VLOOKUP(C422,'Master truck list'!E:G,3,0)</f>
        <v>Company</v>
      </c>
      <c r="G422" s="1">
        <f>VLOOKUP(C422,'Master truck list'!E:R,14,0)</f>
        <v>2503</v>
      </c>
      <c r="H422" t="str">
        <f>"12/20/2019 7:00:30 AM"</f>
        <v>12/20/2019 7:00:30 AM</v>
      </c>
      <c r="I422" t="str">
        <f>""</f>
        <v/>
      </c>
      <c r="J422" t="str">
        <f t="shared" si="161"/>
        <v>Elite</v>
      </c>
      <c r="K422" t="str">
        <f t="shared" si="172"/>
        <v>Device</v>
      </c>
      <c r="L422" t="str">
        <f>"777215986"</f>
        <v>777215986</v>
      </c>
      <c r="M422" t="str">
        <f>"16551108"</f>
        <v>16551108</v>
      </c>
      <c r="N422" t="str">
        <f>"19330-20"</f>
        <v>19330-20</v>
      </c>
      <c r="O422" t="str">
        <f t="shared" si="162"/>
        <v>TEXAS</v>
      </c>
      <c r="P422" t="str">
        <f t="shared" si="163"/>
        <v>N A</v>
      </c>
      <c r="Q422" t="str">
        <f t="shared" si="164"/>
        <v>N/A</v>
      </c>
      <c r="R422" t="str">
        <f>"130 ARPTP 09 308"</f>
        <v>130 ARPTP 09 308</v>
      </c>
      <c r="S422" t="str">
        <f>"12/19/2019 7:45:39 PM"</f>
        <v>12/19/2019 7:45:39 PM</v>
      </c>
      <c r="T422" t="str">
        <f t="shared" si="158"/>
        <v>5</v>
      </c>
      <c r="U422" t="str">
        <f t="shared" si="165"/>
        <v>N/A</v>
      </c>
      <c r="V422" t="str">
        <f>"5.5500"</f>
        <v>5.5500</v>
      </c>
    </row>
    <row r="423" spans="1:22" x14ac:dyDescent="0.25">
      <c r="A423" s="1" t="str">
        <f t="shared" si="160"/>
        <v>19330</v>
      </c>
      <c r="B423" s="1" t="str">
        <f t="shared" si="167"/>
        <v>19330</v>
      </c>
      <c r="C423" s="1" t="str">
        <f>VLOOKUP(B423,'Master truck list'!D:E,2,0)</f>
        <v>19330-20</v>
      </c>
      <c r="D423" s="1" t="str">
        <f>VLOOKUP(C423,'Master truck list'!E:F,2,0)</f>
        <v>ACTIVE</v>
      </c>
      <c r="E423" s="1" t="str">
        <f>VLOOKUP(C423,'Master truck list'!E:M,9,0)</f>
        <v>BKFS LOGISTICS</v>
      </c>
      <c r="F423" s="1" t="str">
        <f>VLOOKUP(C423,'Master truck list'!E:G,3,0)</f>
        <v>Company</v>
      </c>
      <c r="G423" s="1">
        <f>VLOOKUP(C423,'Master truck list'!E:R,14,0)</f>
        <v>2503</v>
      </c>
      <c r="H423" t="str">
        <f>"12/20/2019 7:00:30 AM"</f>
        <v>12/20/2019 7:00:30 AM</v>
      </c>
      <c r="I423" t="str">
        <f>""</f>
        <v/>
      </c>
      <c r="J423" t="str">
        <f t="shared" si="161"/>
        <v>Elite</v>
      </c>
      <c r="K423" t="str">
        <f t="shared" si="172"/>
        <v>Device</v>
      </c>
      <c r="L423" t="str">
        <f>"777215986"</f>
        <v>777215986</v>
      </c>
      <c r="M423" t="str">
        <f>"16551108"</f>
        <v>16551108</v>
      </c>
      <c r="N423" t="str">
        <f>"19330-20"</f>
        <v>19330-20</v>
      </c>
      <c r="O423" t="str">
        <f t="shared" si="162"/>
        <v>TEXAS</v>
      </c>
      <c r="P423" t="str">
        <f t="shared" si="163"/>
        <v>N A</v>
      </c>
      <c r="Q423" t="str">
        <f t="shared" si="164"/>
        <v>N/A</v>
      </c>
      <c r="R423" t="str">
        <f>"130 CMRNP 13 306"</f>
        <v>130 CMRNP 13 306</v>
      </c>
      <c r="S423" t="str">
        <f>"12/19/2019 8:03:03 PM"</f>
        <v>12/19/2019 8:03:03 PM</v>
      </c>
      <c r="T423" t="str">
        <f t="shared" si="158"/>
        <v>5</v>
      </c>
      <c r="U423" t="str">
        <f t="shared" si="165"/>
        <v>N/A</v>
      </c>
      <c r="V423" t="str">
        <f>"5.5500"</f>
        <v>5.5500</v>
      </c>
    </row>
    <row r="424" spans="1:22" x14ac:dyDescent="0.25">
      <c r="A424" s="1" t="str">
        <f t="shared" si="160"/>
        <v>19332</v>
      </c>
      <c r="B424" s="1" t="str">
        <f t="shared" si="167"/>
        <v>19332</v>
      </c>
      <c r="C424" s="1" t="str">
        <f>VLOOKUP(B424,'Master truck list'!D:E,2,0)</f>
        <v>19332-20</v>
      </c>
      <c r="D424" s="1" t="str">
        <f>VLOOKUP(C424,'Master truck list'!E:F,2,0)</f>
        <v>ACTIVE</v>
      </c>
      <c r="E424" s="1" t="str">
        <f>VLOOKUP(C424,'Master truck list'!E:M,9,0)</f>
        <v>BKFS LOGISTICS</v>
      </c>
      <c r="F424" s="1" t="str">
        <f>VLOOKUP(C424,'Master truck list'!E:G,3,0)</f>
        <v>Company</v>
      </c>
      <c r="G424" s="1">
        <f>VLOOKUP(C424,'Master truck list'!E:R,14,0)</f>
        <v>2505</v>
      </c>
      <c r="H424" t="str">
        <f>"12/19/2019 7:00:35 AM"</f>
        <v>12/19/2019 7:00:35 AM</v>
      </c>
      <c r="I424" t="str">
        <f>""</f>
        <v/>
      </c>
      <c r="J424" t="str">
        <f t="shared" si="161"/>
        <v>Elite</v>
      </c>
      <c r="K424" t="str">
        <f t="shared" si="172"/>
        <v>Device</v>
      </c>
      <c r="L424" t="str">
        <f>"777215979"</f>
        <v>777215979</v>
      </c>
      <c r="M424" t="str">
        <f>"16551101"</f>
        <v>16551101</v>
      </c>
      <c r="N424" t="str">
        <f>"19332-20"</f>
        <v>19332-20</v>
      </c>
      <c r="O424" t="str">
        <f t="shared" si="162"/>
        <v>TEXAS</v>
      </c>
      <c r="P424" t="str">
        <f t="shared" si="163"/>
        <v>N A</v>
      </c>
      <c r="Q424" t="str">
        <f t="shared" si="164"/>
        <v>N/A</v>
      </c>
      <c r="R424" t="str">
        <f>"130 MGCRP 11 305"</f>
        <v>130 MGCRP 11 305</v>
      </c>
      <c r="S424" t="str">
        <f>"12/18/2019 2:19:34 PM"</f>
        <v>12/18/2019 2:19:34 PM</v>
      </c>
      <c r="T424" t="str">
        <f t="shared" si="158"/>
        <v>5</v>
      </c>
      <c r="U424" t="str">
        <f t="shared" si="165"/>
        <v>N/A</v>
      </c>
      <c r="V424" t="str">
        <f>"5.5500"</f>
        <v>5.5500</v>
      </c>
    </row>
    <row r="425" spans="1:22" x14ac:dyDescent="0.25">
      <c r="A425" s="1" t="str">
        <f t="shared" si="160"/>
        <v>19332</v>
      </c>
      <c r="B425" s="1" t="str">
        <f t="shared" si="167"/>
        <v>19332</v>
      </c>
      <c r="C425" s="1" t="str">
        <f>VLOOKUP(B425,'Master truck list'!D:E,2,0)</f>
        <v>19332-20</v>
      </c>
      <c r="D425" s="1" t="str">
        <f>VLOOKUP(C425,'Master truck list'!E:F,2,0)</f>
        <v>ACTIVE</v>
      </c>
      <c r="E425" s="1" t="str">
        <f>VLOOKUP(C425,'Master truck list'!E:M,9,0)</f>
        <v>BKFS LOGISTICS</v>
      </c>
      <c r="F425" s="1" t="str">
        <f>VLOOKUP(C425,'Master truck list'!E:G,3,0)</f>
        <v>Company</v>
      </c>
      <c r="G425" s="1">
        <f>VLOOKUP(C425,'Master truck list'!E:R,14,0)</f>
        <v>2505</v>
      </c>
      <c r="H425" t="str">
        <f>"12/19/2019 7:00:35 AM"</f>
        <v>12/19/2019 7:00:35 AM</v>
      </c>
      <c r="I425" t="str">
        <f>""</f>
        <v/>
      </c>
      <c r="J425" t="str">
        <f t="shared" si="161"/>
        <v>Elite</v>
      </c>
      <c r="K425" t="str">
        <f t="shared" si="172"/>
        <v>Device</v>
      </c>
      <c r="L425" t="str">
        <f>"777215979"</f>
        <v>777215979</v>
      </c>
      <c r="M425" t="str">
        <f>"16551101"</f>
        <v>16551101</v>
      </c>
      <c r="N425" t="str">
        <f>"19332-20"</f>
        <v>19332-20</v>
      </c>
      <c r="O425" t="str">
        <f t="shared" si="162"/>
        <v>TEXAS</v>
      </c>
      <c r="P425" t="str">
        <f t="shared" si="163"/>
        <v>N A</v>
      </c>
      <c r="Q425" t="str">
        <f t="shared" si="164"/>
        <v>N/A</v>
      </c>
      <c r="R425" t="str">
        <f>"45SE MLPEB 02 611"</f>
        <v>45SE MLPEB 02 611</v>
      </c>
      <c r="S425" t="str">
        <f>"12/18/2019 1:39:37 PM"</f>
        <v>12/18/2019 1:39:37 PM</v>
      </c>
      <c r="T425" t="str">
        <f t="shared" si="158"/>
        <v>5</v>
      </c>
      <c r="U425" t="str">
        <f t="shared" si="165"/>
        <v>N/A</v>
      </c>
      <c r="V425" t="str">
        <f>"3.3000"</f>
        <v>3.3000</v>
      </c>
    </row>
    <row r="426" spans="1:22" x14ac:dyDescent="0.25">
      <c r="A426" s="1" t="str">
        <f t="shared" si="160"/>
        <v>19332</v>
      </c>
      <c r="B426" s="1" t="str">
        <f t="shared" si="167"/>
        <v>19332</v>
      </c>
      <c r="C426" s="1" t="str">
        <f>VLOOKUP(B426,'Master truck list'!D:E,2,0)</f>
        <v>19332-20</v>
      </c>
      <c r="D426" s="1" t="str">
        <f>VLOOKUP(C426,'Master truck list'!E:F,2,0)</f>
        <v>ACTIVE</v>
      </c>
      <c r="E426" s="1" t="str">
        <f>VLOOKUP(C426,'Master truck list'!E:M,9,0)</f>
        <v>BKFS LOGISTICS</v>
      </c>
      <c r="F426" s="1" t="str">
        <f>VLOOKUP(C426,'Master truck list'!E:G,3,0)</f>
        <v>Company</v>
      </c>
      <c r="G426" s="1">
        <f>VLOOKUP(C426,'Master truck list'!E:R,14,0)</f>
        <v>2505</v>
      </c>
      <c r="H426" t="str">
        <f>"12/19/2019 7:00:35 AM"</f>
        <v>12/19/2019 7:00:35 AM</v>
      </c>
      <c r="I426" t="str">
        <f>""</f>
        <v/>
      </c>
      <c r="J426" t="str">
        <f t="shared" si="161"/>
        <v>Elite</v>
      </c>
      <c r="K426" t="str">
        <f t="shared" si="172"/>
        <v>Device</v>
      </c>
      <c r="L426" t="str">
        <f>"777215979"</f>
        <v>777215979</v>
      </c>
      <c r="M426" t="str">
        <f>"16551101"</f>
        <v>16551101</v>
      </c>
      <c r="N426" t="str">
        <f>"19332-20"</f>
        <v>19332-20</v>
      </c>
      <c r="O426" t="str">
        <f t="shared" si="162"/>
        <v>TEXAS</v>
      </c>
      <c r="P426" t="str">
        <f t="shared" si="163"/>
        <v>N A</v>
      </c>
      <c r="Q426" t="str">
        <f t="shared" si="164"/>
        <v>N/A</v>
      </c>
      <c r="R426" t="str">
        <f>"130 ARPTP 08 308"</f>
        <v>130 ARPTP 08 308</v>
      </c>
      <c r="S426" t="str">
        <f>"12/18/2019 1:50:34 PM"</f>
        <v>12/18/2019 1:50:34 PM</v>
      </c>
      <c r="T426" t="str">
        <f t="shared" si="158"/>
        <v>5</v>
      </c>
      <c r="U426" t="str">
        <f t="shared" si="165"/>
        <v>N/A</v>
      </c>
      <c r="V426" t="str">
        <f t="shared" ref="V426:V431" si="176">"5.5500"</f>
        <v>5.5500</v>
      </c>
    </row>
    <row r="427" spans="1:22" x14ac:dyDescent="0.25">
      <c r="A427" s="1" t="str">
        <f t="shared" si="160"/>
        <v>19332</v>
      </c>
      <c r="B427" s="1" t="str">
        <f t="shared" si="167"/>
        <v>19332</v>
      </c>
      <c r="C427" s="1" t="str">
        <f>VLOOKUP(B427,'Master truck list'!D:E,2,0)</f>
        <v>19332-20</v>
      </c>
      <c r="D427" s="1" t="str">
        <f>VLOOKUP(C427,'Master truck list'!E:F,2,0)</f>
        <v>ACTIVE</v>
      </c>
      <c r="E427" s="1" t="str">
        <f>VLOOKUP(C427,'Master truck list'!E:M,9,0)</f>
        <v>BKFS LOGISTICS</v>
      </c>
      <c r="F427" s="1" t="str">
        <f>VLOOKUP(C427,'Master truck list'!E:G,3,0)</f>
        <v>Company</v>
      </c>
      <c r="G427" s="1">
        <f>VLOOKUP(C427,'Master truck list'!E:R,14,0)</f>
        <v>2505</v>
      </c>
      <c r="H427" t="str">
        <f>"12/19/2019 7:00:35 AM"</f>
        <v>12/19/2019 7:00:35 AM</v>
      </c>
      <c r="I427" t="str">
        <f>""</f>
        <v/>
      </c>
      <c r="J427" t="str">
        <f t="shared" si="161"/>
        <v>Elite</v>
      </c>
      <c r="K427" t="str">
        <f t="shared" si="172"/>
        <v>Device</v>
      </c>
      <c r="L427" t="str">
        <f>"777215979"</f>
        <v>777215979</v>
      </c>
      <c r="M427" t="str">
        <f>"16551101"</f>
        <v>16551101</v>
      </c>
      <c r="N427" t="str">
        <f>"19332-20"</f>
        <v>19332-20</v>
      </c>
      <c r="O427" t="str">
        <f t="shared" si="162"/>
        <v>TEXAS</v>
      </c>
      <c r="P427" t="str">
        <f t="shared" si="163"/>
        <v>N A</v>
      </c>
      <c r="Q427" t="str">
        <f t="shared" si="164"/>
        <v>N/A</v>
      </c>
      <c r="R427" t="str">
        <f>"130 DKCRP 11 307"</f>
        <v>130 DKCRP 11 307</v>
      </c>
      <c r="S427" t="str">
        <f>"12/18/2019 1:57:46 PM"</f>
        <v>12/18/2019 1:57:46 PM</v>
      </c>
      <c r="T427" t="str">
        <f t="shared" si="158"/>
        <v>5</v>
      </c>
      <c r="U427" t="str">
        <f t="shared" si="165"/>
        <v>N/A</v>
      </c>
      <c r="V427" t="str">
        <f t="shared" si="176"/>
        <v>5.5500</v>
      </c>
    </row>
    <row r="428" spans="1:22" x14ac:dyDescent="0.25">
      <c r="A428" s="1" t="str">
        <f t="shared" si="160"/>
        <v>19332</v>
      </c>
      <c r="B428" s="1" t="str">
        <f t="shared" si="167"/>
        <v>19332</v>
      </c>
      <c r="C428" s="1" t="str">
        <f>VLOOKUP(B428,'Master truck list'!D:E,2,0)</f>
        <v>19332-20</v>
      </c>
      <c r="D428" s="1" t="str">
        <f>VLOOKUP(C428,'Master truck list'!E:F,2,0)</f>
        <v>ACTIVE</v>
      </c>
      <c r="E428" s="1" t="str">
        <f>VLOOKUP(C428,'Master truck list'!E:M,9,0)</f>
        <v>BKFS LOGISTICS</v>
      </c>
      <c r="F428" s="1" t="str">
        <f>VLOOKUP(C428,'Master truck list'!E:G,3,0)</f>
        <v>Company</v>
      </c>
      <c r="G428" s="1">
        <f>VLOOKUP(C428,'Master truck list'!E:R,14,0)</f>
        <v>2505</v>
      </c>
      <c r="H428" t="str">
        <f>"12/19/2019 7:00:35 AM"</f>
        <v>12/19/2019 7:00:35 AM</v>
      </c>
      <c r="I428" t="str">
        <f>""</f>
        <v/>
      </c>
      <c r="J428" t="str">
        <f t="shared" si="161"/>
        <v>Elite</v>
      </c>
      <c r="K428" t="str">
        <f t="shared" si="172"/>
        <v>Device</v>
      </c>
      <c r="L428" t="str">
        <f>"777215979"</f>
        <v>777215979</v>
      </c>
      <c r="M428" t="str">
        <f>"16551101"</f>
        <v>16551101</v>
      </c>
      <c r="N428" t="str">
        <f>"19332-20"</f>
        <v>19332-20</v>
      </c>
      <c r="O428" t="str">
        <f t="shared" si="162"/>
        <v>TEXAS</v>
      </c>
      <c r="P428" t="str">
        <f t="shared" si="163"/>
        <v>N A</v>
      </c>
      <c r="Q428" t="str">
        <f t="shared" si="164"/>
        <v>N/A</v>
      </c>
      <c r="R428" t="str">
        <f>"130 CMRNP 13 306"</f>
        <v>130 CMRNP 13 306</v>
      </c>
      <c r="S428" t="str">
        <f>"12/18/2019 2:08:08 PM"</f>
        <v>12/18/2019 2:08:08 PM</v>
      </c>
      <c r="T428" t="str">
        <f t="shared" si="158"/>
        <v>5</v>
      </c>
      <c r="U428" t="str">
        <f t="shared" si="165"/>
        <v>N/A</v>
      </c>
      <c r="V428" t="str">
        <f t="shared" si="176"/>
        <v>5.5500</v>
      </c>
    </row>
    <row r="429" spans="1:22" x14ac:dyDescent="0.25">
      <c r="A429" s="1" t="str">
        <f t="shared" si="160"/>
        <v>19333</v>
      </c>
      <c r="B429" s="1" t="str">
        <f t="shared" si="167"/>
        <v>19333</v>
      </c>
      <c r="C429" s="1" t="str">
        <f>VLOOKUP(B429,'Master truck list'!D:E,2,0)</f>
        <v>19333-20</v>
      </c>
      <c r="D429" s="1" t="str">
        <f>VLOOKUP(C429,'Master truck list'!E:F,2,0)</f>
        <v>ACTIVE</v>
      </c>
      <c r="E429" s="1" t="str">
        <f>VLOOKUP(C429,'Master truck list'!E:M,9,0)</f>
        <v>BKFS LOGISTICS</v>
      </c>
      <c r="F429" s="1" t="str">
        <f>VLOOKUP(C429,'Master truck list'!E:G,3,0)</f>
        <v>Company</v>
      </c>
      <c r="G429" s="1">
        <f>VLOOKUP(C429,'Master truck list'!E:R,14,0)</f>
        <v>2511</v>
      </c>
      <c r="H429" t="str">
        <f>"12/21/2019 7:00:28 AM"</f>
        <v>12/21/2019 7:00:28 AM</v>
      </c>
      <c r="I429" t="str">
        <f>""</f>
        <v/>
      </c>
      <c r="J429" t="str">
        <f t="shared" si="161"/>
        <v>Elite</v>
      </c>
      <c r="K429" t="str">
        <f t="shared" si="172"/>
        <v>Device</v>
      </c>
      <c r="L429" t="str">
        <f>"777206340"</f>
        <v>777206340</v>
      </c>
      <c r="M429" t="str">
        <f>"16531437"</f>
        <v>16531437</v>
      </c>
      <c r="N429" t="str">
        <f>"19333-20"</f>
        <v>19333-20</v>
      </c>
      <c r="O429" t="str">
        <f t="shared" si="162"/>
        <v>TEXAS</v>
      </c>
      <c r="P429" t="str">
        <f t="shared" si="163"/>
        <v>N A</v>
      </c>
      <c r="Q429" t="str">
        <f t="shared" si="164"/>
        <v>N/A</v>
      </c>
      <c r="R429" t="str">
        <f>"130 DKCRP 10 307"</f>
        <v>130 DKCRP 10 307</v>
      </c>
      <c r="S429" t="str">
        <f>"12/20/2019 3:12:15 PM"</f>
        <v>12/20/2019 3:12:15 PM</v>
      </c>
      <c r="T429" t="str">
        <f t="shared" si="158"/>
        <v>5</v>
      </c>
      <c r="U429" t="str">
        <f t="shared" si="165"/>
        <v>N/A</v>
      </c>
      <c r="V429" t="str">
        <f t="shared" si="176"/>
        <v>5.5500</v>
      </c>
    </row>
    <row r="430" spans="1:22" x14ac:dyDescent="0.25">
      <c r="A430" s="1" t="str">
        <f t="shared" si="160"/>
        <v>19333</v>
      </c>
      <c r="B430" s="1" t="str">
        <f t="shared" si="167"/>
        <v>19333</v>
      </c>
      <c r="C430" s="1" t="str">
        <f>VLOOKUP(B430,'Master truck list'!D:E,2,0)</f>
        <v>19333-20</v>
      </c>
      <c r="D430" s="1" t="str">
        <f>VLOOKUP(C430,'Master truck list'!E:F,2,0)</f>
        <v>ACTIVE</v>
      </c>
      <c r="E430" s="1" t="str">
        <f>VLOOKUP(C430,'Master truck list'!E:M,9,0)</f>
        <v>BKFS LOGISTICS</v>
      </c>
      <c r="F430" s="1" t="str">
        <f>VLOOKUP(C430,'Master truck list'!E:G,3,0)</f>
        <v>Company</v>
      </c>
      <c r="G430" s="1">
        <f>VLOOKUP(C430,'Master truck list'!E:R,14,0)</f>
        <v>2511</v>
      </c>
      <c r="H430" t="str">
        <f>"12/21/2019 7:00:28 AM"</f>
        <v>12/21/2019 7:00:28 AM</v>
      </c>
      <c r="I430" t="str">
        <f>""</f>
        <v/>
      </c>
      <c r="J430" t="str">
        <f t="shared" si="161"/>
        <v>Elite</v>
      </c>
      <c r="K430" t="str">
        <f t="shared" si="172"/>
        <v>Device</v>
      </c>
      <c r="L430" t="str">
        <f>"777206340"</f>
        <v>777206340</v>
      </c>
      <c r="M430" t="str">
        <f>"16531437"</f>
        <v>16531437</v>
      </c>
      <c r="N430" t="str">
        <f>"19333-20"</f>
        <v>19333-20</v>
      </c>
      <c r="O430" t="str">
        <f t="shared" si="162"/>
        <v>TEXAS</v>
      </c>
      <c r="P430" t="str">
        <f t="shared" si="163"/>
        <v>N A</v>
      </c>
      <c r="Q430" t="str">
        <f t="shared" si="164"/>
        <v>N/A</v>
      </c>
      <c r="R430" t="str">
        <f>"130 ARPTP 09 308"</f>
        <v>130 ARPTP 09 308</v>
      </c>
      <c r="S430" t="str">
        <f>"12/20/2019 3:04:53 PM"</f>
        <v>12/20/2019 3:04:53 PM</v>
      </c>
      <c r="T430" t="str">
        <f t="shared" si="158"/>
        <v>5</v>
      </c>
      <c r="U430" t="str">
        <f t="shared" si="165"/>
        <v>N/A</v>
      </c>
      <c r="V430" t="str">
        <f t="shared" si="176"/>
        <v>5.5500</v>
      </c>
    </row>
    <row r="431" spans="1:22" x14ac:dyDescent="0.25">
      <c r="A431" s="1" t="str">
        <f t="shared" si="160"/>
        <v>19333</v>
      </c>
      <c r="B431" s="1" t="str">
        <f t="shared" si="167"/>
        <v>19333</v>
      </c>
      <c r="C431" s="1" t="str">
        <f>VLOOKUP(B431,'Master truck list'!D:E,2,0)</f>
        <v>19333-20</v>
      </c>
      <c r="D431" s="1" t="str">
        <f>VLOOKUP(C431,'Master truck list'!E:F,2,0)</f>
        <v>ACTIVE</v>
      </c>
      <c r="E431" s="1" t="str">
        <f>VLOOKUP(C431,'Master truck list'!E:M,9,0)</f>
        <v>BKFS LOGISTICS</v>
      </c>
      <c r="F431" s="1" t="str">
        <f>VLOOKUP(C431,'Master truck list'!E:G,3,0)</f>
        <v>Company</v>
      </c>
      <c r="G431" s="1">
        <f>VLOOKUP(C431,'Master truck list'!E:R,14,0)</f>
        <v>2511</v>
      </c>
      <c r="H431" t="str">
        <f>"12/21/2019 7:00:28 AM"</f>
        <v>12/21/2019 7:00:28 AM</v>
      </c>
      <c r="I431" t="str">
        <f>""</f>
        <v/>
      </c>
      <c r="J431" t="str">
        <f t="shared" si="161"/>
        <v>Elite</v>
      </c>
      <c r="K431" t="str">
        <f t="shared" si="172"/>
        <v>Device</v>
      </c>
      <c r="L431" t="str">
        <f>"777206340"</f>
        <v>777206340</v>
      </c>
      <c r="M431" t="str">
        <f>"16531437"</f>
        <v>16531437</v>
      </c>
      <c r="N431" t="str">
        <f>"19333-20"</f>
        <v>19333-20</v>
      </c>
      <c r="O431" t="str">
        <f t="shared" si="162"/>
        <v>TEXAS</v>
      </c>
      <c r="P431" t="str">
        <f t="shared" si="163"/>
        <v>N A</v>
      </c>
      <c r="Q431" t="str">
        <f t="shared" si="164"/>
        <v>N/A</v>
      </c>
      <c r="R431" t="str">
        <f>"130 CMRNP 13 306"</f>
        <v>130 CMRNP 13 306</v>
      </c>
      <c r="S431" t="str">
        <f>"12/20/2019 3:26:13 PM"</f>
        <v>12/20/2019 3:26:13 PM</v>
      </c>
      <c r="T431" t="str">
        <f t="shared" si="158"/>
        <v>5</v>
      </c>
      <c r="U431" t="str">
        <f t="shared" si="165"/>
        <v>N/A</v>
      </c>
      <c r="V431" t="str">
        <f t="shared" si="176"/>
        <v>5.5500</v>
      </c>
    </row>
    <row r="432" spans="1:22" x14ac:dyDescent="0.25">
      <c r="A432" s="1" t="str">
        <f t="shared" si="160"/>
        <v>19333</v>
      </c>
      <c r="B432" s="1" t="str">
        <f t="shared" si="167"/>
        <v>19333</v>
      </c>
      <c r="C432" s="1" t="str">
        <f>VLOOKUP(B432,'Master truck list'!D:E,2,0)</f>
        <v>19333-20</v>
      </c>
      <c r="D432" s="1" t="str">
        <f>VLOOKUP(C432,'Master truck list'!E:F,2,0)</f>
        <v>ACTIVE</v>
      </c>
      <c r="E432" s="1" t="str">
        <f>VLOOKUP(C432,'Master truck list'!E:M,9,0)</f>
        <v>BKFS LOGISTICS</v>
      </c>
      <c r="F432" s="1" t="str">
        <f>VLOOKUP(C432,'Master truck list'!E:G,3,0)</f>
        <v>Company</v>
      </c>
      <c r="G432" s="1">
        <f>VLOOKUP(C432,'Master truck list'!E:R,14,0)</f>
        <v>2511</v>
      </c>
      <c r="H432" t="str">
        <f>"12/21/2019 7:00:28 AM"</f>
        <v>12/21/2019 7:00:28 AM</v>
      </c>
      <c r="I432" t="str">
        <f>""</f>
        <v/>
      </c>
      <c r="J432" t="str">
        <f t="shared" si="161"/>
        <v>Elite</v>
      </c>
      <c r="K432" t="str">
        <f t="shared" si="172"/>
        <v>Device</v>
      </c>
      <c r="L432" t="str">
        <f>"777206340"</f>
        <v>777206340</v>
      </c>
      <c r="M432" t="str">
        <f>"16531437"</f>
        <v>16531437</v>
      </c>
      <c r="N432" t="str">
        <f>"19333-20"</f>
        <v>19333-20</v>
      </c>
      <c r="O432" t="str">
        <f t="shared" si="162"/>
        <v>TEXAS</v>
      </c>
      <c r="P432" t="str">
        <f t="shared" si="163"/>
        <v>N A</v>
      </c>
      <c r="Q432" t="str">
        <f t="shared" si="164"/>
        <v>N/A</v>
      </c>
      <c r="R432" t="str">
        <f>"45SE MLPEB 02 611"</f>
        <v>45SE MLPEB 02 611</v>
      </c>
      <c r="S432" t="str">
        <f>"12/20/2019 2:54:22 PM"</f>
        <v>12/20/2019 2:54:22 PM</v>
      </c>
      <c r="T432" t="str">
        <f t="shared" si="158"/>
        <v>5</v>
      </c>
      <c r="U432" t="str">
        <f t="shared" si="165"/>
        <v>N/A</v>
      </c>
      <c r="V432" t="str">
        <f>"3.3000"</f>
        <v>3.3000</v>
      </c>
    </row>
    <row r="433" spans="1:22" x14ac:dyDescent="0.25">
      <c r="A433" s="1" t="str">
        <f t="shared" si="160"/>
        <v>19333</v>
      </c>
      <c r="B433" s="1" t="str">
        <f t="shared" si="167"/>
        <v>19333</v>
      </c>
      <c r="C433" s="1" t="str">
        <f>VLOOKUP(B433,'Master truck list'!D:E,2,0)</f>
        <v>19333-20</v>
      </c>
      <c r="D433" s="1" t="str">
        <f>VLOOKUP(C433,'Master truck list'!E:F,2,0)</f>
        <v>ACTIVE</v>
      </c>
      <c r="E433" s="1" t="str">
        <f>VLOOKUP(C433,'Master truck list'!E:M,9,0)</f>
        <v>BKFS LOGISTICS</v>
      </c>
      <c r="F433" s="1" t="str">
        <f>VLOOKUP(C433,'Master truck list'!E:G,3,0)</f>
        <v>Company</v>
      </c>
      <c r="G433" s="1">
        <f>VLOOKUP(C433,'Master truck list'!E:R,14,0)</f>
        <v>2511</v>
      </c>
      <c r="H433" t="str">
        <f>"12/21/2019 7:00:28 AM"</f>
        <v>12/21/2019 7:00:28 AM</v>
      </c>
      <c r="I433" t="str">
        <f>""</f>
        <v/>
      </c>
      <c r="J433" t="str">
        <f t="shared" si="161"/>
        <v>Elite</v>
      </c>
      <c r="K433" t="str">
        <f t="shared" si="172"/>
        <v>Device</v>
      </c>
      <c r="L433" t="str">
        <f>"777206340"</f>
        <v>777206340</v>
      </c>
      <c r="M433" t="str">
        <f>"16531437"</f>
        <v>16531437</v>
      </c>
      <c r="N433" t="str">
        <f>"19333-20"</f>
        <v>19333-20</v>
      </c>
      <c r="O433" t="str">
        <f t="shared" si="162"/>
        <v>TEXAS</v>
      </c>
      <c r="P433" t="str">
        <f t="shared" si="163"/>
        <v>N A</v>
      </c>
      <c r="Q433" t="str">
        <f t="shared" si="164"/>
        <v>N/A</v>
      </c>
      <c r="R433" t="str">
        <f>"130 MGCRP 11 305"</f>
        <v>130 MGCRP 11 305</v>
      </c>
      <c r="S433" t="str">
        <f>"12/20/2019 3:38:06 PM"</f>
        <v>12/20/2019 3:38:06 PM</v>
      </c>
      <c r="T433" t="str">
        <f t="shared" si="158"/>
        <v>5</v>
      </c>
      <c r="U433" t="str">
        <f t="shared" si="165"/>
        <v>N/A</v>
      </c>
      <c r="V433" t="str">
        <f>"5.5500"</f>
        <v>5.5500</v>
      </c>
    </row>
    <row r="434" spans="1:22" x14ac:dyDescent="0.25">
      <c r="A434" s="1" t="str">
        <f t="shared" si="160"/>
        <v>5073-</v>
      </c>
      <c r="B434" s="1" t="str">
        <f t="shared" si="167"/>
        <v>5073-</v>
      </c>
      <c r="C434" s="1" t="str">
        <f>VLOOKUP(B434,'Master truck list'!D:E,2,0)</f>
        <v>5073-20</v>
      </c>
      <c r="D434" s="1" t="str">
        <f>VLOOKUP(C434,'Master truck list'!E:F,2,0)</f>
        <v>ACTIVE</v>
      </c>
      <c r="E434" s="1" t="str">
        <f>VLOOKUP(C434,'Master truck list'!E:M,9,0)</f>
        <v>BNK TRANSPORT INC</v>
      </c>
      <c r="F434" s="1" t="str">
        <f>VLOOKUP(C434,'Master truck list'!E:G,3,0)</f>
        <v>Company</v>
      </c>
      <c r="G434" s="1">
        <f>VLOOKUP(C434,'Master truck list'!E:R,14,0)</f>
        <v>2464</v>
      </c>
      <c r="H434" t="str">
        <f>"12/18/2019 7:00:28 AM"</f>
        <v>12/18/2019 7:00:28 AM</v>
      </c>
      <c r="I434" t="str">
        <f>""</f>
        <v/>
      </c>
      <c r="J434" t="str">
        <f t="shared" si="161"/>
        <v>Elite</v>
      </c>
      <c r="K434" t="str">
        <f t="shared" si="172"/>
        <v>Device</v>
      </c>
      <c r="L434" t="str">
        <f t="shared" ref="L434:L443" si="177">"777173824"</f>
        <v>777173824</v>
      </c>
      <c r="M434" t="str">
        <f t="shared" ref="M434:M443" si="178">"16483550"</f>
        <v>16483550</v>
      </c>
      <c r="N434" t="str">
        <f t="shared" ref="N434:N443" si="179">"5073-20"</f>
        <v>5073-20</v>
      </c>
      <c r="O434" t="str">
        <f t="shared" si="162"/>
        <v>TEXAS</v>
      </c>
      <c r="P434" t="str">
        <f t="shared" si="163"/>
        <v>N A</v>
      </c>
      <c r="Q434" t="str">
        <f t="shared" si="164"/>
        <v>N/A</v>
      </c>
      <c r="R434" t="str">
        <f>"130 MGCRP 11 305"</f>
        <v>130 MGCRP 11 305</v>
      </c>
      <c r="S434" t="str">
        <f>"12/17/2019 2:55:00 PM"</f>
        <v>12/17/2019 2:55:00 PM</v>
      </c>
      <c r="T434" t="str">
        <f t="shared" si="158"/>
        <v>5</v>
      </c>
      <c r="U434" t="str">
        <f t="shared" si="165"/>
        <v>N/A</v>
      </c>
      <c r="V434" t="str">
        <f>"5.5500"</f>
        <v>5.5500</v>
      </c>
    </row>
    <row r="435" spans="1:22" x14ac:dyDescent="0.25">
      <c r="A435" s="1" t="str">
        <f t="shared" si="160"/>
        <v>5073-</v>
      </c>
      <c r="B435" s="1" t="str">
        <f t="shared" si="167"/>
        <v>5073-</v>
      </c>
      <c r="C435" s="1" t="str">
        <f>VLOOKUP(B435,'Master truck list'!D:E,2,0)</f>
        <v>5073-20</v>
      </c>
      <c r="D435" s="1" t="str">
        <f>VLOOKUP(C435,'Master truck list'!E:F,2,0)</f>
        <v>ACTIVE</v>
      </c>
      <c r="E435" s="1" t="str">
        <f>VLOOKUP(C435,'Master truck list'!E:M,9,0)</f>
        <v>BNK TRANSPORT INC</v>
      </c>
      <c r="F435" s="1" t="str">
        <f>VLOOKUP(C435,'Master truck list'!E:G,3,0)</f>
        <v>Company</v>
      </c>
      <c r="G435" s="1">
        <f>VLOOKUP(C435,'Master truck list'!E:R,14,0)</f>
        <v>2464</v>
      </c>
      <c r="H435" t="str">
        <f>"12/18/2019 7:00:28 AM"</f>
        <v>12/18/2019 7:00:28 AM</v>
      </c>
      <c r="I435" t="str">
        <f>""</f>
        <v/>
      </c>
      <c r="J435" t="str">
        <f t="shared" si="161"/>
        <v>Elite</v>
      </c>
      <c r="K435" t="str">
        <f t="shared" si="172"/>
        <v>Device</v>
      </c>
      <c r="L435" t="str">
        <f t="shared" si="177"/>
        <v>777173824</v>
      </c>
      <c r="M435" t="str">
        <f t="shared" si="178"/>
        <v>16483550</v>
      </c>
      <c r="N435" t="str">
        <f t="shared" si="179"/>
        <v>5073-20</v>
      </c>
      <c r="O435" t="str">
        <f t="shared" si="162"/>
        <v>TEXAS</v>
      </c>
      <c r="P435" t="str">
        <f t="shared" si="163"/>
        <v>N A</v>
      </c>
      <c r="Q435" t="str">
        <f t="shared" si="164"/>
        <v>N/A</v>
      </c>
      <c r="R435" t="str">
        <f>"130 ARPTP 09 308"</f>
        <v>130 ARPTP 09 308</v>
      </c>
      <c r="S435" t="str">
        <f>"12/17/2019 2:26:48 PM"</f>
        <v>12/17/2019 2:26:48 PM</v>
      </c>
      <c r="T435" t="str">
        <f t="shared" si="158"/>
        <v>5</v>
      </c>
      <c r="U435" t="str">
        <f t="shared" si="165"/>
        <v>N/A</v>
      </c>
      <c r="V435" t="str">
        <f>"5.5500"</f>
        <v>5.5500</v>
      </c>
    </row>
    <row r="436" spans="1:22" x14ac:dyDescent="0.25">
      <c r="A436" s="1" t="str">
        <f t="shared" si="160"/>
        <v>5073-</v>
      </c>
      <c r="B436" s="1" t="str">
        <f t="shared" si="167"/>
        <v>5073-</v>
      </c>
      <c r="C436" s="1" t="str">
        <f>VLOOKUP(B436,'Master truck list'!D:E,2,0)</f>
        <v>5073-20</v>
      </c>
      <c r="D436" s="1" t="str">
        <f>VLOOKUP(C436,'Master truck list'!E:F,2,0)</f>
        <v>ACTIVE</v>
      </c>
      <c r="E436" s="1" t="str">
        <f>VLOOKUP(C436,'Master truck list'!E:M,9,0)</f>
        <v>BNK TRANSPORT INC</v>
      </c>
      <c r="F436" s="1" t="str">
        <f>VLOOKUP(C436,'Master truck list'!E:G,3,0)</f>
        <v>Company</v>
      </c>
      <c r="G436" s="1">
        <f>VLOOKUP(C436,'Master truck list'!E:R,14,0)</f>
        <v>2464</v>
      </c>
      <c r="H436" t="str">
        <f>"12/18/2019 7:00:28 AM"</f>
        <v>12/18/2019 7:00:28 AM</v>
      </c>
      <c r="I436" t="str">
        <f>""</f>
        <v/>
      </c>
      <c r="J436" t="str">
        <f t="shared" si="161"/>
        <v>Elite</v>
      </c>
      <c r="K436" t="str">
        <f t="shared" si="172"/>
        <v>Device</v>
      </c>
      <c r="L436" t="str">
        <f t="shared" si="177"/>
        <v>777173824</v>
      </c>
      <c r="M436" t="str">
        <f t="shared" si="178"/>
        <v>16483550</v>
      </c>
      <c r="N436" t="str">
        <f t="shared" si="179"/>
        <v>5073-20</v>
      </c>
      <c r="O436" t="str">
        <f t="shared" si="162"/>
        <v>TEXAS</v>
      </c>
      <c r="P436" t="str">
        <f t="shared" si="163"/>
        <v>N A</v>
      </c>
      <c r="Q436" t="str">
        <f t="shared" si="164"/>
        <v>N/A</v>
      </c>
      <c r="R436" t="str">
        <f>"45SE MLPEB 01 611"</f>
        <v>45SE MLPEB 01 611</v>
      </c>
      <c r="S436" t="str">
        <f>"12/17/2019 2:16:12 PM"</f>
        <v>12/17/2019 2:16:12 PM</v>
      </c>
      <c r="T436" t="str">
        <f t="shared" si="158"/>
        <v>5</v>
      </c>
      <c r="U436" t="str">
        <f t="shared" si="165"/>
        <v>N/A</v>
      </c>
      <c r="V436" t="str">
        <f>"3.3000"</f>
        <v>3.3000</v>
      </c>
    </row>
    <row r="437" spans="1:22" x14ac:dyDescent="0.25">
      <c r="A437" s="1" t="str">
        <f t="shared" si="160"/>
        <v>5073-</v>
      </c>
      <c r="B437" s="1" t="str">
        <f t="shared" si="167"/>
        <v>5073-</v>
      </c>
      <c r="C437" s="1" t="str">
        <f>VLOOKUP(B437,'Master truck list'!D:E,2,0)</f>
        <v>5073-20</v>
      </c>
      <c r="D437" s="1" t="str">
        <f>VLOOKUP(C437,'Master truck list'!E:F,2,0)</f>
        <v>ACTIVE</v>
      </c>
      <c r="E437" s="1" t="str">
        <f>VLOOKUP(C437,'Master truck list'!E:M,9,0)</f>
        <v>BNK TRANSPORT INC</v>
      </c>
      <c r="F437" s="1" t="str">
        <f>VLOOKUP(C437,'Master truck list'!E:G,3,0)</f>
        <v>Company</v>
      </c>
      <c r="G437" s="1">
        <f>VLOOKUP(C437,'Master truck list'!E:R,14,0)</f>
        <v>2464</v>
      </c>
      <c r="H437" t="str">
        <f>"12/18/2019 7:00:28 AM"</f>
        <v>12/18/2019 7:00:28 AM</v>
      </c>
      <c r="I437" t="str">
        <f>""</f>
        <v/>
      </c>
      <c r="J437" t="str">
        <f t="shared" si="161"/>
        <v>Elite</v>
      </c>
      <c r="K437" t="str">
        <f t="shared" si="172"/>
        <v>Device</v>
      </c>
      <c r="L437" t="str">
        <f t="shared" si="177"/>
        <v>777173824</v>
      </c>
      <c r="M437" t="str">
        <f t="shared" si="178"/>
        <v>16483550</v>
      </c>
      <c r="N437" t="str">
        <f t="shared" si="179"/>
        <v>5073-20</v>
      </c>
      <c r="O437" t="str">
        <f t="shared" si="162"/>
        <v>TEXAS</v>
      </c>
      <c r="P437" t="str">
        <f t="shared" si="163"/>
        <v>N A</v>
      </c>
      <c r="Q437" t="str">
        <f t="shared" si="164"/>
        <v>N/A</v>
      </c>
      <c r="R437" t="str">
        <f>"130 DKCRP 10 307"</f>
        <v>130 DKCRP 10 307</v>
      </c>
      <c r="S437" t="str">
        <f>"12/17/2019 2:33:46 PM"</f>
        <v>12/17/2019 2:33:46 PM</v>
      </c>
      <c r="T437" t="str">
        <f t="shared" si="158"/>
        <v>5</v>
      </c>
      <c r="U437" t="str">
        <f t="shared" si="165"/>
        <v>N/A</v>
      </c>
      <c r="V437" t="str">
        <f t="shared" ref="V437:V442" si="180">"5.5500"</f>
        <v>5.5500</v>
      </c>
    </row>
    <row r="438" spans="1:22" x14ac:dyDescent="0.25">
      <c r="A438" s="1" t="str">
        <f t="shared" si="160"/>
        <v>5073-</v>
      </c>
      <c r="B438" s="1" t="str">
        <f t="shared" si="167"/>
        <v>5073-</v>
      </c>
      <c r="C438" s="1" t="str">
        <f>VLOOKUP(B438,'Master truck list'!D:E,2,0)</f>
        <v>5073-20</v>
      </c>
      <c r="D438" s="1" t="str">
        <f>VLOOKUP(C438,'Master truck list'!E:F,2,0)</f>
        <v>ACTIVE</v>
      </c>
      <c r="E438" s="1" t="str">
        <f>VLOOKUP(C438,'Master truck list'!E:M,9,0)</f>
        <v>BNK TRANSPORT INC</v>
      </c>
      <c r="F438" s="1" t="str">
        <f>VLOOKUP(C438,'Master truck list'!E:G,3,0)</f>
        <v>Company</v>
      </c>
      <c r="G438" s="1">
        <f>VLOOKUP(C438,'Master truck list'!E:R,14,0)</f>
        <v>2464</v>
      </c>
      <c r="H438" t="str">
        <f>"12/18/2019 7:00:28 AM"</f>
        <v>12/18/2019 7:00:28 AM</v>
      </c>
      <c r="I438" t="str">
        <f>""</f>
        <v/>
      </c>
      <c r="J438" t="str">
        <f t="shared" si="161"/>
        <v>Elite</v>
      </c>
      <c r="K438" t="str">
        <f t="shared" si="172"/>
        <v>Device</v>
      </c>
      <c r="L438" t="str">
        <f t="shared" si="177"/>
        <v>777173824</v>
      </c>
      <c r="M438" t="str">
        <f t="shared" si="178"/>
        <v>16483550</v>
      </c>
      <c r="N438" t="str">
        <f t="shared" si="179"/>
        <v>5073-20</v>
      </c>
      <c r="O438" t="str">
        <f t="shared" si="162"/>
        <v>TEXAS</v>
      </c>
      <c r="P438" t="str">
        <f t="shared" si="163"/>
        <v>N A</v>
      </c>
      <c r="Q438" t="str">
        <f t="shared" si="164"/>
        <v>N/A</v>
      </c>
      <c r="R438" t="str">
        <f>"130 CMRNP 13 306"</f>
        <v>130 CMRNP 13 306</v>
      </c>
      <c r="S438" t="str">
        <f>"12/17/2019 2:43:58 PM"</f>
        <v>12/17/2019 2:43:58 PM</v>
      </c>
      <c r="T438" t="str">
        <f t="shared" si="158"/>
        <v>5</v>
      </c>
      <c r="U438" t="str">
        <f t="shared" si="165"/>
        <v>N/A</v>
      </c>
      <c r="V438" t="str">
        <f t="shared" si="180"/>
        <v>5.5500</v>
      </c>
    </row>
    <row r="439" spans="1:22" x14ac:dyDescent="0.25">
      <c r="A439" s="1" t="str">
        <f t="shared" si="160"/>
        <v>5073-</v>
      </c>
      <c r="B439" s="1" t="str">
        <f t="shared" si="167"/>
        <v>5073-</v>
      </c>
      <c r="C439" s="1" t="str">
        <f>VLOOKUP(B439,'Master truck list'!D:E,2,0)</f>
        <v>5073-20</v>
      </c>
      <c r="D439" s="1" t="str">
        <f>VLOOKUP(C439,'Master truck list'!E:F,2,0)</f>
        <v>ACTIVE</v>
      </c>
      <c r="E439" s="1" t="str">
        <f>VLOOKUP(C439,'Master truck list'!E:M,9,0)</f>
        <v>BNK TRANSPORT INC</v>
      </c>
      <c r="F439" s="1" t="str">
        <f>VLOOKUP(C439,'Master truck list'!E:G,3,0)</f>
        <v>Company</v>
      </c>
      <c r="G439" s="1">
        <f>VLOOKUP(C439,'Master truck list'!E:R,14,0)</f>
        <v>2464</v>
      </c>
      <c r="H439" t="str">
        <f>"12/17/2019 7:00:33 AM"</f>
        <v>12/17/2019 7:00:33 AM</v>
      </c>
      <c r="I439" t="str">
        <f>""</f>
        <v/>
      </c>
      <c r="J439" t="str">
        <f t="shared" si="161"/>
        <v>Elite</v>
      </c>
      <c r="K439" t="str">
        <f t="shared" si="172"/>
        <v>Device</v>
      </c>
      <c r="L439" t="str">
        <f t="shared" si="177"/>
        <v>777173824</v>
      </c>
      <c r="M439" t="str">
        <f t="shared" si="178"/>
        <v>16483550</v>
      </c>
      <c r="N439" t="str">
        <f t="shared" si="179"/>
        <v>5073-20</v>
      </c>
      <c r="O439" t="str">
        <f t="shared" si="162"/>
        <v>TEXAS</v>
      </c>
      <c r="P439" t="str">
        <f t="shared" si="163"/>
        <v>N A</v>
      </c>
      <c r="Q439" t="str">
        <f t="shared" si="164"/>
        <v>N/A</v>
      </c>
      <c r="R439" t="str">
        <f>"130 DKCRP 06 307"</f>
        <v>130 DKCRP 06 307</v>
      </c>
      <c r="S439" t="str">
        <f>"12/16/2019 1:55:19 PM"</f>
        <v>12/16/2019 1:55:19 PM</v>
      </c>
      <c r="T439" t="str">
        <f t="shared" si="158"/>
        <v>5</v>
      </c>
      <c r="U439" t="str">
        <f t="shared" si="165"/>
        <v>N/A</v>
      </c>
      <c r="V439" t="str">
        <f t="shared" si="180"/>
        <v>5.5500</v>
      </c>
    </row>
    <row r="440" spans="1:22" x14ac:dyDescent="0.25">
      <c r="A440" s="1" t="str">
        <f t="shared" si="160"/>
        <v>5073-</v>
      </c>
      <c r="B440" s="1" t="str">
        <f t="shared" si="167"/>
        <v>5073-</v>
      </c>
      <c r="C440" s="1" t="str">
        <f>VLOOKUP(B440,'Master truck list'!D:E,2,0)</f>
        <v>5073-20</v>
      </c>
      <c r="D440" s="1" t="str">
        <f>VLOOKUP(C440,'Master truck list'!E:F,2,0)</f>
        <v>ACTIVE</v>
      </c>
      <c r="E440" s="1" t="str">
        <f>VLOOKUP(C440,'Master truck list'!E:M,9,0)</f>
        <v>BNK TRANSPORT INC</v>
      </c>
      <c r="F440" s="1" t="str">
        <f>VLOOKUP(C440,'Master truck list'!E:G,3,0)</f>
        <v>Company</v>
      </c>
      <c r="G440" s="1">
        <f>VLOOKUP(C440,'Master truck list'!E:R,14,0)</f>
        <v>2464</v>
      </c>
      <c r="H440" t="str">
        <f>"12/17/2019 7:00:33 AM"</f>
        <v>12/17/2019 7:00:33 AM</v>
      </c>
      <c r="I440" t="str">
        <f>""</f>
        <v/>
      </c>
      <c r="J440" t="str">
        <f t="shared" si="161"/>
        <v>Elite</v>
      </c>
      <c r="K440" t="str">
        <f t="shared" si="172"/>
        <v>Device</v>
      </c>
      <c r="L440" t="str">
        <f t="shared" si="177"/>
        <v>777173824</v>
      </c>
      <c r="M440" t="str">
        <f t="shared" si="178"/>
        <v>16483550</v>
      </c>
      <c r="N440" t="str">
        <f t="shared" si="179"/>
        <v>5073-20</v>
      </c>
      <c r="O440" t="str">
        <f t="shared" si="162"/>
        <v>TEXAS</v>
      </c>
      <c r="P440" t="str">
        <f t="shared" si="163"/>
        <v>N A</v>
      </c>
      <c r="Q440" t="str">
        <f t="shared" si="164"/>
        <v>N/A</v>
      </c>
      <c r="R440" t="str">
        <f>"130 MGCRP 06 305"</f>
        <v>130 MGCRP 06 305</v>
      </c>
      <c r="S440" t="str">
        <f>"12/16/2019 1:34:18 PM"</f>
        <v>12/16/2019 1:34:18 PM</v>
      </c>
      <c r="T440" t="str">
        <f t="shared" si="158"/>
        <v>5</v>
      </c>
      <c r="U440" t="str">
        <f t="shared" si="165"/>
        <v>N/A</v>
      </c>
      <c r="V440" t="str">
        <f t="shared" si="180"/>
        <v>5.5500</v>
      </c>
    </row>
    <row r="441" spans="1:22" x14ac:dyDescent="0.25">
      <c r="A441" s="1" t="str">
        <f t="shared" si="160"/>
        <v>5073-</v>
      </c>
      <c r="B441" s="1" t="str">
        <f t="shared" si="167"/>
        <v>5073-</v>
      </c>
      <c r="C441" s="1" t="str">
        <f>VLOOKUP(B441,'Master truck list'!D:E,2,0)</f>
        <v>5073-20</v>
      </c>
      <c r="D441" s="1" t="str">
        <f>VLOOKUP(C441,'Master truck list'!E:F,2,0)</f>
        <v>ACTIVE</v>
      </c>
      <c r="E441" s="1" t="str">
        <f>VLOOKUP(C441,'Master truck list'!E:M,9,0)</f>
        <v>BNK TRANSPORT INC</v>
      </c>
      <c r="F441" s="1" t="str">
        <f>VLOOKUP(C441,'Master truck list'!E:G,3,0)</f>
        <v>Company</v>
      </c>
      <c r="G441" s="1">
        <f>VLOOKUP(C441,'Master truck list'!E:R,14,0)</f>
        <v>2464</v>
      </c>
      <c r="H441" t="str">
        <f>"12/17/2019 7:00:33 AM"</f>
        <v>12/17/2019 7:00:33 AM</v>
      </c>
      <c r="I441" t="str">
        <f>""</f>
        <v/>
      </c>
      <c r="J441" t="str">
        <f t="shared" si="161"/>
        <v>Elite</v>
      </c>
      <c r="K441" t="str">
        <f t="shared" si="172"/>
        <v>Device</v>
      </c>
      <c r="L441" t="str">
        <f t="shared" si="177"/>
        <v>777173824</v>
      </c>
      <c r="M441" t="str">
        <f t="shared" si="178"/>
        <v>16483550</v>
      </c>
      <c r="N441" t="str">
        <f t="shared" si="179"/>
        <v>5073-20</v>
      </c>
      <c r="O441" t="str">
        <f t="shared" si="162"/>
        <v>TEXAS</v>
      </c>
      <c r="P441" t="str">
        <f t="shared" si="163"/>
        <v>N A</v>
      </c>
      <c r="Q441" t="str">
        <f t="shared" si="164"/>
        <v>N/A</v>
      </c>
      <c r="R441" t="str">
        <f>"130 ARPTP 04 308"</f>
        <v>130 ARPTP 04 308</v>
      </c>
      <c r="S441" t="str">
        <f>"12/16/2019 2:02:17 PM"</f>
        <v>12/16/2019 2:02:17 PM</v>
      </c>
      <c r="T441" t="str">
        <f t="shared" si="158"/>
        <v>5</v>
      </c>
      <c r="U441" t="str">
        <f t="shared" si="165"/>
        <v>N/A</v>
      </c>
      <c r="V441" t="str">
        <f t="shared" si="180"/>
        <v>5.5500</v>
      </c>
    </row>
    <row r="442" spans="1:22" x14ac:dyDescent="0.25">
      <c r="A442" s="1" t="str">
        <f t="shared" si="160"/>
        <v>5073-</v>
      </c>
      <c r="B442" s="1" t="str">
        <f t="shared" si="167"/>
        <v>5073-</v>
      </c>
      <c r="C442" s="1" t="str">
        <f>VLOOKUP(B442,'Master truck list'!D:E,2,0)</f>
        <v>5073-20</v>
      </c>
      <c r="D442" s="1" t="str">
        <f>VLOOKUP(C442,'Master truck list'!E:F,2,0)</f>
        <v>ACTIVE</v>
      </c>
      <c r="E442" s="1" t="str">
        <f>VLOOKUP(C442,'Master truck list'!E:M,9,0)</f>
        <v>BNK TRANSPORT INC</v>
      </c>
      <c r="F442" s="1" t="str">
        <f>VLOOKUP(C442,'Master truck list'!E:G,3,0)</f>
        <v>Company</v>
      </c>
      <c r="G442" s="1">
        <f>VLOOKUP(C442,'Master truck list'!E:R,14,0)</f>
        <v>2464</v>
      </c>
      <c r="H442" t="str">
        <f>"12/17/2019 7:00:33 AM"</f>
        <v>12/17/2019 7:00:33 AM</v>
      </c>
      <c r="I442" t="str">
        <f>""</f>
        <v/>
      </c>
      <c r="J442" t="str">
        <f t="shared" si="161"/>
        <v>Elite</v>
      </c>
      <c r="K442" t="str">
        <f t="shared" si="172"/>
        <v>Device</v>
      </c>
      <c r="L442" t="str">
        <f t="shared" si="177"/>
        <v>777173824</v>
      </c>
      <c r="M442" t="str">
        <f t="shared" si="178"/>
        <v>16483550</v>
      </c>
      <c r="N442" t="str">
        <f t="shared" si="179"/>
        <v>5073-20</v>
      </c>
      <c r="O442" t="str">
        <f t="shared" si="162"/>
        <v>TEXAS</v>
      </c>
      <c r="P442" t="str">
        <f t="shared" si="163"/>
        <v>N A</v>
      </c>
      <c r="Q442" t="str">
        <f t="shared" si="164"/>
        <v>N/A</v>
      </c>
      <c r="R442" t="str">
        <f>"130 CMRNP 08 306"</f>
        <v>130 CMRNP 08 306</v>
      </c>
      <c r="S442" t="str">
        <f>"12/16/2019 1:45:19 PM"</f>
        <v>12/16/2019 1:45:19 PM</v>
      </c>
      <c r="T442" t="str">
        <f t="shared" si="158"/>
        <v>5</v>
      </c>
      <c r="U442" t="str">
        <f t="shared" si="165"/>
        <v>N/A</v>
      </c>
      <c r="V442" t="str">
        <f t="shared" si="180"/>
        <v>5.5500</v>
      </c>
    </row>
    <row r="443" spans="1:22" x14ac:dyDescent="0.25">
      <c r="A443" s="1" t="str">
        <f t="shared" si="160"/>
        <v>5073-</v>
      </c>
      <c r="B443" s="1" t="str">
        <f t="shared" si="167"/>
        <v>5073-</v>
      </c>
      <c r="C443" s="1" t="str">
        <f>VLOOKUP(B443,'Master truck list'!D:E,2,0)</f>
        <v>5073-20</v>
      </c>
      <c r="D443" s="1" t="str">
        <f>VLOOKUP(C443,'Master truck list'!E:F,2,0)</f>
        <v>ACTIVE</v>
      </c>
      <c r="E443" s="1" t="str">
        <f>VLOOKUP(C443,'Master truck list'!E:M,9,0)</f>
        <v>BNK TRANSPORT INC</v>
      </c>
      <c r="F443" s="1" t="str">
        <f>VLOOKUP(C443,'Master truck list'!E:G,3,0)</f>
        <v>Company</v>
      </c>
      <c r="G443" s="1">
        <f>VLOOKUP(C443,'Master truck list'!E:R,14,0)</f>
        <v>2464</v>
      </c>
      <c r="H443" t="str">
        <f>"12/17/2019 7:00:33 AM"</f>
        <v>12/17/2019 7:00:33 AM</v>
      </c>
      <c r="I443" t="str">
        <f>""</f>
        <v/>
      </c>
      <c r="J443" t="str">
        <f t="shared" si="161"/>
        <v>Elite</v>
      </c>
      <c r="K443" t="str">
        <f t="shared" si="172"/>
        <v>Device</v>
      </c>
      <c r="L443" t="str">
        <f t="shared" si="177"/>
        <v>777173824</v>
      </c>
      <c r="M443" t="str">
        <f t="shared" si="178"/>
        <v>16483550</v>
      </c>
      <c r="N443" t="str">
        <f t="shared" si="179"/>
        <v>5073-20</v>
      </c>
      <c r="O443" t="str">
        <f t="shared" si="162"/>
        <v>TEXAS</v>
      </c>
      <c r="P443" t="str">
        <f t="shared" si="163"/>
        <v>N A</v>
      </c>
      <c r="Q443" t="str">
        <f t="shared" si="164"/>
        <v>N/A</v>
      </c>
      <c r="R443" t="str">
        <f>"45SE MLPWB 01 611"</f>
        <v>45SE MLPWB 01 611</v>
      </c>
      <c r="S443" t="str">
        <f>"12/16/2019 2:12:51 PM"</f>
        <v>12/16/2019 2:12:51 PM</v>
      </c>
      <c r="T443" t="str">
        <f t="shared" ref="T443:T491" si="181">"5"</f>
        <v>5</v>
      </c>
      <c r="U443" t="str">
        <f t="shared" si="165"/>
        <v>N/A</v>
      </c>
      <c r="V443" t="str">
        <f>"3.3000"</f>
        <v>3.3000</v>
      </c>
    </row>
    <row r="444" spans="1:22" x14ac:dyDescent="0.25">
      <c r="A444" s="1" t="str">
        <f t="shared" si="160"/>
        <v>5085-</v>
      </c>
      <c r="B444" s="1" t="str">
        <f t="shared" si="167"/>
        <v>5085-</v>
      </c>
      <c r="C444" s="1" t="str">
        <f>VLOOKUP(B444,'Master truck list'!D:E,2,0)</f>
        <v>5085-20</v>
      </c>
      <c r="D444" s="1" t="str">
        <f>VLOOKUP(C444,'Master truck list'!E:F,2,0)</f>
        <v>ACTIVE</v>
      </c>
      <c r="E444" s="1" t="str">
        <f>VLOOKUP(C444,'Master truck list'!E:M,9,0)</f>
        <v>BNK TRANSPORT INC</v>
      </c>
      <c r="F444" s="1" t="str">
        <f>VLOOKUP(C444,'Master truck list'!E:G,3,0)</f>
        <v>Company</v>
      </c>
      <c r="G444" s="1">
        <f>VLOOKUP(C444,'Master truck list'!E:R,14,0)</f>
        <v>2475</v>
      </c>
      <c r="H444" t="str">
        <f t="shared" ref="H444:H453" si="182">"12/18/2019 7:00:28 AM"</f>
        <v>12/18/2019 7:00:28 AM</v>
      </c>
      <c r="I444" t="str">
        <f>""</f>
        <v/>
      </c>
      <c r="J444" t="str">
        <f t="shared" si="161"/>
        <v>Elite</v>
      </c>
      <c r="K444" t="str">
        <f t="shared" si="172"/>
        <v>Device</v>
      </c>
      <c r="L444" t="str">
        <f t="shared" ref="L444:L463" si="183">"777226279"</f>
        <v>777226279</v>
      </c>
      <c r="M444" t="str">
        <f t="shared" ref="M444:M463" si="184">"16600236"</f>
        <v>16600236</v>
      </c>
      <c r="N444" t="str">
        <f t="shared" ref="N444:N463" si="185">"5085-20"</f>
        <v>5085-20</v>
      </c>
      <c r="O444" t="str">
        <f t="shared" si="162"/>
        <v>TEXAS</v>
      </c>
      <c r="P444" t="str">
        <f t="shared" si="163"/>
        <v>N A</v>
      </c>
      <c r="Q444" t="str">
        <f t="shared" si="164"/>
        <v>N/A</v>
      </c>
      <c r="R444" t="str">
        <f>"130 CMRNP 13 306"</f>
        <v>130 CMRNP 13 306</v>
      </c>
      <c r="S444" t="str">
        <f>"12/17/2019 10:08:43 AM"</f>
        <v>12/17/2019 10:08:43 AM</v>
      </c>
      <c r="T444" t="str">
        <f t="shared" si="181"/>
        <v>5</v>
      </c>
      <c r="U444" t="str">
        <f t="shared" si="165"/>
        <v>N/A</v>
      </c>
      <c r="V444" t="str">
        <f>"5.5500"</f>
        <v>5.5500</v>
      </c>
    </row>
    <row r="445" spans="1:22" x14ac:dyDescent="0.25">
      <c r="A445" s="1" t="str">
        <f t="shared" si="160"/>
        <v>5085-</v>
      </c>
      <c r="B445" s="1" t="str">
        <f t="shared" si="167"/>
        <v>5085-</v>
      </c>
      <c r="C445" s="1" t="str">
        <f>VLOOKUP(B445,'Master truck list'!D:E,2,0)</f>
        <v>5085-20</v>
      </c>
      <c r="D445" s="1" t="str">
        <f>VLOOKUP(C445,'Master truck list'!E:F,2,0)</f>
        <v>ACTIVE</v>
      </c>
      <c r="E445" s="1" t="str">
        <f>VLOOKUP(C445,'Master truck list'!E:M,9,0)</f>
        <v>BNK TRANSPORT INC</v>
      </c>
      <c r="F445" s="1" t="str">
        <f>VLOOKUP(C445,'Master truck list'!E:G,3,0)</f>
        <v>Company</v>
      </c>
      <c r="G445" s="1">
        <f>VLOOKUP(C445,'Master truck list'!E:R,14,0)</f>
        <v>2475</v>
      </c>
      <c r="H445" t="str">
        <f t="shared" si="182"/>
        <v>12/18/2019 7:00:28 AM</v>
      </c>
      <c r="I445" t="str">
        <f>""</f>
        <v/>
      </c>
      <c r="J445" t="str">
        <f t="shared" si="161"/>
        <v>Elite</v>
      </c>
      <c r="K445" t="str">
        <f t="shared" si="172"/>
        <v>Device</v>
      </c>
      <c r="L445" t="str">
        <f t="shared" si="183"/>
        <v>777226279</v>
      </c>
      <c r="M445" t="str">
        <f t="shared" si="184"/>
        <v>16600236</v>
      </c>
      <c r="N445" t="str">
        <f t="shared" si="185"/>
        <v>5085-20</v>
      </c>
      <c r="O445" t="str">
        <f t="shared" si="162"/>
        <v>TEXAS</v>
      </c>
      <c r="P445" t="str">
        <f t="shared" si="163"/>
        <v>N A</v>
      </c>
      <c r="Q445" t="str">
        <f t="shared" si="164"/>
        <v>N/A</v>
      </c>
      <c r="R445" t="str">
        <f>"130 ARPTP 09 308"</f>
        <v>130 ARPTP 09 308</v>
      </c>
      <c r="S445" t="str">
        <f>"12/17/2019 9:51:34 AM"</f>
        <v>12/17/2019 9:51:34 AM</v>
      </c>
      <c r="T445" t="str">
        <f t="shared" si="181"/>
        <v>5</v>
      </c>
      <c r="U445" t="str">
        <f t="shared" si="165"/>
        <v>N/A</v>
      </c>
      <c r="V445" t="str">
        <f>"5.5500"</f>
        <v>5.5500</v>
      </c>
    </row>
    <row r="446" spans="1:22" x14ac:dyDescent="0.25">
      <c r="A446" s="1" t="str">
        <f t="shared" si="160"/>
        <v>5085-</v>
      </c>
      <c r="B446" s="1" t="str">
        <f t="shared" si="167"/>
        <v>5085-</v>
      </c>
      <c r="C446" s="1" t="str">
        <f>VLOOKUP(B446,'Master truck list'!D:E,2,0)</f>
        <v>5085-20</v>
      </c>
      <c r="D446" s="1" t="str">
        <f>VLOOKUP(C446,'Master truck list'!E:F,2,0)</f>
        <v>ACTIVE</v>
      </c>
      <c r="E446" s="1" t="str">
        <f>VLOOKUP(C446,'Master truck list'!E:M,9,0)</f>
        <v>BNK TRANSPORT INC</v>
      </c>
      <c r="F446" s="1" t="str">
        <f>VLOOKUP(C446,'Master truck list'!E:G,3,0)</f>
        <v>Company</v>
      </c>
      <c r="G446" s="1">
        <f>VLOOKUP(C446,'Master truck list'!E:R,14,0)</f>
        <v>2475</v>
      </c>
      <c r="H446" t="str">
        <f t="shared" si="182"/>
        <v>12/18/2019 7:00:28 AM</v>
      </c>
      <c r="I446" t="str">
        <f>""</f>
        <v/>
      </c>
      <c r="J446" t="str">
        <f t="shared" si="161"/>
        <v>Elite</v>
      </c>
      <c r="K446" t="str">
        <f t="shared" si="172"/>
        <v>Device</v>
      </c>
      <c r="L446" t="str">
        <f t="shared" si="183"/>
        <v>777226279</v>
      </c>
      <c r="M446" t="str">
        <f t="shared" si="184"/>
        <v>16600236</v>
      </c>
      <c r="N446" t="str">
        <f t="shared" si="185"/>
        <v>5085-20</v>
      </c>
      <c r="O446" t="str">
        <f t="shared" si="162"/>
        <v>TEXAS</v>
      </c>
      <c r="P446" t="str">
        <f t="shared" si="163"/>
        <v>N A</v>
      </c>
      <c r="Q446" t="str">
        <f t="shared" si="164"/>
        <v>N/A</v>
      </c>
      <c r="R446" t="str">
        <f>"130 ARPTP 04 308"</f>
        <v>130 ARPTP 04 308</v>
      </c>
      <c r="S446" t="str">
        <f>"12/17/2019 6:39:21 PM"</f>
        <v>12/17/2019 6:39:21 PM</v>
      </c>
      <c r="T446" t="str">
        <f t="shared" si="181"/>
        <v>5</v>
      </c>
      <c r="U446" t="str">
        <f t="shared" si="165"/>
        <v>N/A</v>
      </c>
      <c r="V446" t="str">
        <f>"5.5500"</f>
        <v>5.5500</v>
      </c>
    </row>
    <row r="447" spans="1:22" x14ac:dyDescent="0.25">
      <c r="A447" s="1" t="str">
        <f t="shared" si="160"/>
        <v>5085-</v>
      </c>
      <c r="B447" s="1" t="str">
        <f t="shared" si="167"/>
        <v>5085-</v>
      </c>
      <c r="C447" s="1" t="str">
        <f>VLOOKUP(B447,'Master truck list'!D:E,2,0)</f>
        <v>5085-20</v>
      </c>
      <c r="D447" s="1" t="str">
        <f>VLOOKUP(C447,'Master truck list'!E:F,2,0)</f>
        <v>ACTIVE</v>
      </c>
      <c r="E447" s="1" t="str">
        <f>VLOOKUP(C447,'Master truck list'!E:M,9,0)</f>
        <v>BNK TRANSPORT INC</v>
      </c>
      <c r="F447" s="1" t="str">
        <f>VLOOKUP(C447,'Master truck list'!E:G,3,0)</f>
        <v>Company</v>
      </c>
      <c r="G447" s="1">
        <f>VLOOKUP(C447,'Master truck list'!E:R,14,0)</f>
        <v>2475</v>
      </c>
      <c r="H447" t="str">
        <f t="shared" si="182"/>
        <v>12/18/2019 7:00:28 AM</v>
      </c>
      <c r="I447" t="str">
        <f>""</f>
        <v/>
      </c>
      <c r="J447" t="str">
        <f t="shared" si="161"/>
        <v>Elite</v>
      </c>
      <c r="K447" t="str">
        <f t="shared" si="172"/>
        <v>Device</v>
      </c>
      <c r="L447" t="str">
        <f t="shared" si="183"/>
        <v>777226279</v>
      </c>
      <c r="M447" t="str">
        <f t="shared" si="184"/>
        <v>16600236</v>
      </c>
      <c r="N447" t="str">
        <f t="shared" si="185"/>
        <v>5085-20</v>
      </c>
      <c r="O447" t="str">
        <f t="shared" si="162"/>
        <v>TEXAS</v>
      </c>
      <c r="P447" t="str">
        <f t="shared" si="163"/>
        <v>N A</v>
      </c>
      <c r="Q447" t="str">
        <f t="shared" si="164"/>
        <v>N/A</v>
      </c>
      <c r="R447" t="str">
        <f>"130 CMRNP 08 306"</f>
        <v>130 CMRNP 08 306</v>
      </c>
      <c r="S447" t="str">
        <f>"12/17/2019 6:22:17 PM"</f>
        <v>12/17/2019 6:22:17 PM</v>
      </c>
      <c r="T447" t="str">
        <f t="shared" si="181"/>
        <v>5</v>
      </c>
      <c r="U447" t="str">
        <f t="shared" si="165"/>
        <v>N/A</v>
      </c>
      <c r="V447" t="str">
        <f>"5.5500"</f>
        <v>5.5500</v>
      </c>
    </row>
    <row r="448" spans="1:22" x14ac:dyDescent="0.25">
      <c r="A448" s="1" t="str">
        <f t="shared" si="160"/>
        <v>5085-</v>
      </c>
      <c r="B448" s="1" t="str">
        <f t="shared" si="167"/>
        <v>5085-</v>
      </c>
      <c r="C448" s="1" t="str">
        <f>VLOOKUP(B448,'Master truck list'!D:E,2,0)</f>
        <v>5085-20</v>
      </c>
      <c r="D448" s="1" t="str">
        <f>VLOOKUP(C448,'Master truck list'!E:F,2,0)</f>
        <v>ACTIVE</v>
      </c>
      <c r="E448" s="1" t="str">
        <f>VLOOKUP(C448,'Master truck list'!E:M,9,0)</f>
        <v>BNK TRANSPORT INC</v>
      </c>
      <c r="F448" s="1" t="str">
        <f>VLOOKUP(C448,'Master truck list'!E:G,3,0)</f>
        <v>Company</v>
      </c>
      <c r="G448" s="1">
        <f>VLOOKUP(C448,'Master truck list'!E:R,14,0)</f>
        <v>2475</v>
      </c>
      <c r="H448" t="str">
        <f t="shared" si="182"/>
        <v>12/18/2019 7:00:28 AM</v>
      </c>
      <c r="I448" t="str">
        <f>""</f>
        <v/>
      </c>
      <c r="J448" t="str">
        <f t="shared" si="161"/>
        <v>Elite</v>
      </c>
      <c r="K448" t="str">
        <f t="shared" si="172"/>
        <v>Device</v>
      </c>
      <c r="L448" t="str">
        <f t="shared" si="183"/>
        <v>777226279</v>
      </c>
      <c r="M448" t="str">
        <f t="shared" si="184"/>
        <v>16600236</v>
      </c>
      <c r="N448" t="str">
        <f t="shared" si="185"/>
        <v>5085-20</v>
      </c>
      <c r="O448" t="str">
        <f t="shared" si="162"/>
        <v>TEXAS</v>
      </c>
      <c r="P448" t="str">
        <f t="shared" si="163"/>
        <v>N A</v>
      </c>
      <c r="Q448" t="str">
        <f t="shared" si="164"/>
        <v>N/A</v>
      </c>
      <c r="R448" t="str">
        <f>"130 MGCRP 11 305"</f>
        <v>130 MGCRP 11 305</v>
      </c>
      <c r="S448" t="str">
        <f>"12/17/2019 10:19:54 AM"</f>
        <v>12/17/2019 10:19:54 AM</v>
      </c>
      <c r="T448" t="str">
        <f t="shared" si="181"/>
        <v>5</v>
      </c>
      <c r="U448" t="str">
        <f t="shared" si="165"/>
        <v>N/A</v>
      </c>
      <c r="V448" t="str">
        <f>"5.5500"</f>
        <v>5.5500</v>
      </c>
    </row>
    <row r="449" spans="1:22" x14ac:dyDescent="0.25">
      <c r="A449" s="1" t="str">
        <f t="shared" si="160"/>
        <v>5085-</v>
      </c>
      <c r="B449" s="1" t="str">
        <f t="shared" si="167"/>
        <v>5085-</v>
      </c>
      <c r="C449" s="1" t="str">
        <f>VLOOKUP(B449,'Master truck list'!D:E,2,0)</f>
        <v>5085-20</v>
      </c>
      <c r="D449" s="1" t="str">
        <f>VLOOKUP(C449,'Master truck list'!E:F,2,0)</f>
        <v>ACTIVE</v>
      </c>
      <c r="E449" s="1" t="str">
        <f>VLOOKUP(C449,'Master truck list'!E:M,9,0)</f>
        <v>BNK TRANSPORT INC</v>
      </c>
      <c r="F449" s="1" t="str">
        <f>VLOOKUP(C449,'Master truck list'!E:G,3,0)</f>
        <v>Company</v>
      </c>
      <c r="G449" s="1">
        <f>VLOOKUP(C449,'Master truck list'!E:R,14,0)</f>
        <v>2475</v>
      </c>
      <c r="H449" t="str">
        <f t="shared" si="182"/>
        <v>12/18/2019 7:00:28 AM</v>
      </c>
      <c r="I449" t="str">
        <f>""</f>
        <v/>
      </c>
      <c r="J449" t="str">
        <f t="shared" si="161"/>
        <v>Elite</v>
      </c>
      <c r="K449" t="str">
        <f t="shared" si="172"/>
        <v>Device</v>
      </c>
      <c r="L449" t="str">
        <f t="shared" si="183"/>
        <v>777226279</v>
      </c>
      <c r="M449" t="str">
        <f t="shared" si="184"/>
        <v>16600236</v>
      </c>
      <c r="N449" t="str">
        <f t="shared" si="185"/>
        <v>5085-20</v>
      </c>
      <c r="O449" t="str">
        <f t="shared" si="162"/>
        <v>TEXAS</v>
      </c>
      <c r="P449" t="str">
        <f t="shared" si="163"/>
        <v>N A</v>
      </c>
      <c r="Q449" t="str">
        <f t="shared" si="164"/>
        <v>N/A</v>
      </c>
      <c r="R449" t="str">
        <f>"45SE MLPWB 01 611"</f>
        <v>45SE MLPWB 01 611</v>
      </c>
      <c r="S449" t="str">
        <f>"12/17/2019 6:49:52 PM"</f>
        <v>12/17/2019 6:49:52 PM</v>
      </c>
      <c r="T449" t="str">
        <f t="shared" si="181"/>
        <v>5</v>
      </c>
      <c r="U449" t="str">
        <f t="shared" si="165"/>
        <v>N/A</v>
      </c>
      <c r="V449" t="str">
        <f>"3.3000"</f>
        <v>3.3000</v>
      </c>
    </row>
    <row r="450" spans="1:22" x14ac:dyDescent="0.25">
      <c r="A450" s="1" t="str">
        <f t="shared" ref="A450:A513" si="186">LEFT(N450,5)</f>
        <v>5085-</v>
      </c>
      <c r="B450" s="1" t="str">
        <f t="shared" si="167"/>
        <v>5085-</v>
      </c>
      <c r="C450" s="1" t="str">
        <f>VLOOKUP(B450,'Master truck list'!D:E,2,0)</f>
        <v>5085-20</v>
      </c>
      <c r="D450" s="1" t="str">
        <f>VLOOKUP(C450,'Master truck list'!E:F,2,0)</f>
        <v>ACTIVE</v>
      </c>
      <c r="E450" s="1" t="str">
        <f>VLOOKUP(C450,'Master truck list'!E:M,9,0)</f>
        <v>BNK TRANSPORT INC</v>
      </c>
      <c r="F450" s="1" t="str">
        <f>VLOOKUP(C450,'Master truck list'!E:G,3,0)</f>
        <v>Company</v>
      </c>
      <c r="G450" s="1">
        <f>VLOOKUP(C450,'Master truck list'!E:R,14,0)</f>
        <v>2475</v>
      </c>
      <c r="H450" t="str">
        <f t="shared" si="182"/>
        <v>12/18/2019 7:00:28 AM</v>
      </c>
      <c r="I450" t="str">
        <f>""</f>
        <v/>
      </c>
      <c r="J450" t="str">
        <f t="shared" ref="J450:J513" si="187">"Elite"</f>
        <v>Elite</v>
      </c>
      <c r="K450" t="str">
        <f t="shared" si="172"/>
        <v>Device</v>
      </c>
      <c r="L450" t="str">
        <f t="shared" si="183"/>
        <v>777226279</v>
      </c>
      <c r="M450" t="str">
        <f t="shared" si="184"/>
        <v>16600236</v>
      </c>
      <c r="N450" t="str">
        <f t="shared" si="185"/>
        <v>5085-20</v>
      </c>
      <c r="O450" t="str">
        <f t="shared" ref="O450:O513" si="188">"TEXAS"</f>
        <v>TEXAS</v>
      </c>
      <c r="P450" t="str">
        <f t="shared" ref="P450:P513" si="189">"N A"</f>
        <v>N A</v>
      </c>
      <c r="Q450" t="str">
        <f t="shared" ref="Q450:Q513" si="190">"N/A"</f>
        <v>N/A</v>
      </c>
      <c r="R450" t="str">
        <f>"130 DKCRP 11 307"</f>
        <v>130 DKCRP 11 307</v>
      </c>
      <c r="S450" t="str">
        <f>"12/17/2019 9:58:33 AM"</f>
        <v>12/17/2019 9:58:33 AM</v>
      </c>
      <c r="T450" t="str">
        <f t="shared" si="181"/>
        <v>5</v>
      </c>
      <c r="U450" t="str">
        <f t="shared" ref="U450:U513" si="191">"N/A"</f>
        <v>N/A</v>
      </c>
      <c r="V450" t="str">
        <f>"5.5500"</f>
        <v>5.5500</v>
      </c>
    </row>
    <row r="451" spans="1:22" x14ac:dyDescent="0.25">
      <c r="A451" s="1" t="str">
        <f t="shared" si="186"/>
        <v>5085-</v>
      </c>
      <c r="B451" s="1" t="str">
        <f t="shared" ref="B451:B514" si="192">SUBSTITUTE(A451," ","")</f>
        <v>5085-</v>
      </c>
      <c r="C451" s="1" t="str">
        <f>VLOOKUP(B451,'Master truck list'!D:E,2,0)</f>
        <v>5085-20</v>
      </c>
      <c r="D451" s="1" t="str">
        <f>VLOOKUP(C451,'Master truck list'!E:F,2,0)</f>
        <v>ACTIVE</v>
      </c>
      <c r="E451" s="1" t="str">
        <f>VLOOKUP(C451,'Master truck list'!E:M,9,0)</f>
        <v>BNK TRANSPORT INC</v>
      </c>
      <c r="F451" s="1" t="str">
        <f>VLOOKUP(C451,'Master truck list'!E:G,3,0)</f>
        <v>Company</v>
      </c>
      <c r="G451" s="1">
        <f>VLOOKUP(C451,'Master truck list'!E:R,14,0)</f>
        <v>2475</v>
      </c>
      <c r="H451" t="str">
        <f t="shared" si="182"/>
        <v>12/18/2019 7:00:28 AM</v>
      </c>
      <c r="I451" t="str">
        <f>""</f>
        <v/>
      </c>
      <c r="J451" t="str">
        <f t="shared" si="187"/>
        <v>Elite</v>
      </c>
      <c r="K451" t="str">
        <f t="shared" si="172"/>
        <v>Device</v>
      </c>
      <c r="L451" t="str">
        <f t="shared" si="183"/>
        <v>777226279</v>
      </c>
      <c r="M451" t="str">
        <f t="shared" si="184"/>
        <v>16600236</v>
      </c>
      <c r="N451" t="str">
        <f t="shared" si="185"/>
        <v>5085-20</v>
      </c>
      <c r="O451" t="str">
        <f t="shared" si="188"/>
        <v>TEXAS</v>
      </c>
      <c r="P451" t="str">
        <f t="shared" si="189"/>
        <v>N A</v>
      </c>
      <c r="Q451" t="str">
        <f t="shared" si="190"/>
        <v>N/A</v>
      </c>
      <c r="R451" t="str">
        <f>"45SE MLPEB 02 611"</f>
        <v>45SE MLPEB 02 611</v>
      </c>
      <c r="S451" t="str">
        <f>"12/17/2019 9:40:55 AM"</f>
        <v>12/17/2019 9:40:55 AM</v>
      </c>
      <c r="T451" t="str">
        <f t="shared" si="181"/>
        <v>5</v>
      </c>
      <c r="U451" t="str">
        <f t="shared" si="191"/>
        <v>N/A</v>
      </c>
      <c r="V451" t="str">
        <f>"3.3000"</f>
        <v>3.3000</v>
      </c>
    </row>
    <row r="452" spans="1:22" x14ac:dyDescent="0.25">
      <c r="A452" s="1" t="str">
        <f t="shared" si="186"/>
        <v>5085-</v>
      </c>
      <c r="B452" s="1" t="str">
        <f t="shared" si="192"/>
        <v>5085-</v>
      </c>
      <c r="C452" s="1" t="str">
        <f>VLOOKUP(B452,'Master truck list'!D:E,2,0)</f>
        <v>5085-20</v>
      </c>
      <c r="D452" s="1" t="str">
        <f>VLOOKUP(C452,'Master truck list'!E:F,2,0)</f>
        <v>ACTIVE</v>
      </c>
      <c r="E452" s="1" t="str">
        <f>VLOOKUP(C452,'Master truck list'!E:M,9,0)</f>
        <v>BNK TRANSPORT INC</v>
      </c>
      <c r="F452" s="1" t="str">
        <f>VLOOKUP(C452,'Master truck list'!E:G,3,0)</f>
        <v>Company</v>
      </c>
      <c r="G452" s="1">
        <f>VLOOKUP(C452,'Master truck list'!E:R,14,0)</f>
        <v>2475</v>
      </c>
      <c r="H452" t="str">
        <f t="shared" si="182"/>
        <v>12/18/2019 7:00:28 AM</v>
      </c>
      <c r="I452" t="str">
        <f>""</f>
        <v/>
      </c>
      <c r="J452" t="str">
        <f t="shared" si="187"/>
        <v>Elite</v>
      </c>
      <c r="K452" t="str">
        <f t="shared" si="172"/>
        <v>Device</v>
      </c>
      <c r="L452" t="str">
        <f t="shared" si="183"/>
        <v>777226279</v>
      </c>
      <c r="M452" t="str">
        <f t="shared" si="184"/>
        <v>16600236</v>
      </c>
      <c r="N452" t="str">
        <f t="shared" si="185"/>
        <v>5085-20</v>
      </c>
      <c r="O452" t="str">
        <f t="shared" si="188"/>
        <v>TEXAS</v>
      </c>
      <c r="P452" t="str">
        <f t="shared" si="189"/>
        <v>N A</v>
      </c>
      <c r="Q452" t="str">
        <f t="shared" si="190"/>
        <v>N/A</v>
      </c>
      <c r="R452" t="str">
        <f>"130 MGCRP 06 305"</f>
        <v>130 MGCRP 06 305</v>
      </c>
      <c r="S452" t="str">
        <f>"12/17/2019 6:11:15 PM"</f>
        <v>12/17/2019 6:11:15 PM</v>
      </c>
      <c r="T452" t="str">
        <f t="shared" si="181"/>
        <v>5</v>
      </c>
      <c r="U452" t="str">
        <f t="shared" si="191"/>
        <v>N/A</v>
      </c>
      <c r="V452" t="str">
        <f>"5.5500"</f>
        <v>5.5500</v>
      </c>
    </row>
    <row r="453" spans="1:22" x14ac:dyDescent="0.25">
      <c r="A453" s="1" t="str">
        <f t="shared" si="186"/>
        <v>5085-</v>
      </c>
      <c r="B453" s="1" t="str">
        <f t="shared" si="192"/>
        <v>5085-</v>
      </c>
      <c r="C453" s="1" t="str">
        <f>VLOOKUP(B453,'Master truck list'!D:E,2,0)</f>
        <v>5085-20</v>
      </c>
      <c r="D453" s="1" t="str">
        <f>VLOOKUP(C453,'Master truck list'!E:F,2,0)</f>
        <v>ACTIVE</v>
      </c>
      <c r="E453" s="1" t="str">
        <f>VLOOKUP(C453,'Master truck list'!E:M,9,0)</f>
        <v>BNK TRANSPORT INC</v>
      </c>
      <c r="F453" s="1" t="str">
        <f>VLOOKUP(C453,'Master truck list'!E:G,3,0)</f>
        <v>Company</v>
      </c>
      <c r="G453" s="1">
        <f>VLOOKUP(C453,'Master truck list'!E:R,14,0)</f>
        <v>2475</v>
      </c>
      <c r="H453" t="str">
        <f t="shared" si="182"/>
        <v>12/18/2019 7:00:28 AM</v>
      </c>
      <c r="I453" t="str">
        <f>""</f>
        <v/>
      </c>
      <c r="J453" t="str">
        <f t="shared" si="187"/>
        <v>Elite</v>
      </c>
      <c r="K453" t="str">
        <f t="shared" si="172"/>
        <v>Device</v>
      </c>
      <c r="L453" t="str">
        <f t="shared" si="183"/>
        <v>777226279</v>
      </c>
      <c r="M453" t="str">
        <f t="shared" si="184"/>
        <v>16600236</v>
      </c>
      <c r="N453" t="str">
        <f t="shared" si="185"/>
        <v>5085-20</v>
      </c>
      <c r="O453" t="str">
        <f t="shared" si="188"/>
        <v>TEXAS</v>
      </c>
      <c r="P453" t="str">
        <f t="shared" si="189"/>
        <v>N A</v>
      </c>
      <c r="Q453" t="str">
        <f t="shared" si="190"/>
        <v>N/A</v>
      </c>
      <c r="R453" t="str">
        <f>"130 DKCRP 06 307"</f>
        <v>130 DKCRP 06 307</v>
      </c>
      <c r="S453" t="str">
        <f>"12/17/2019 6:32:13 PM"</f>
        <v>12/17/2019 6:32:13 PM</v>
      </c>
      <c r="T453" t="str">
        <f t="shared" si="181"/>
        <v>5</v>
      </c>
      <c r="U453" t="str">
        <f t="shared" si="191"/>
        <v>N/A</v>
      </c>
      <c r="V453" t="str">
        <f>"5.5500"</f>
        <v>5.5500</v>
      </c>
    </row>
    <row r="454" spans="1:22" x14ac:dyDescent="0.25">
      <c r="A454" s="1" t="str">
        <f t="shared" si="186"/>
        <v>5085-</v>
      </c>
      <c r="B454" s="1" t="str">
        <f t="shared" si="192"/>
        <v>5085-</v>
      </c>
      <c r="C454" s="1" t="str">
        <f>VLOOKUP(B454,'Master truck list'!D:E,2,0)</f>
        <v>5085-20</v>
      </c>
      <c r="D454" s="1" t="str">
        <f>VLOOKUP(C454,'Master truck list'!E:F,2,0)</f>
        <v>ACTIVE</v>
      </c>
      <c r="E454" s="1" t="str">
        <f>VLOOKUP(C454,'Master truck list'!E:M,9,0)</f>
        <v>BNK TRANSPORT INC</v>
      </c>
      <c r="F454" s="1" t="str">
        <f>VLOOKUP(C454,'Master truck list'!E:G,3,0)</f>
        <v>Company</v>
      </c>
      <c r="G454" s="1">
        <f>VLOOKUP(C454,'Master truck list'!E:R,14,0)</f>
        <v>2475</v>
      </c>
      <c r="H454" t="str">
        <f t="shared" ref="H454:H463" si="193">"12/20/2019 7:00:30 AM"</f>
        <v>12/20/2019 7:00:30 AM</v>
      </c>
      <c r="I454" t="str">
        <f>""</f>
        <v/>
      </c>
      <c r="J454" t="str">
        <f t="shared" si="187"/>
        <v>Elite</v>
      </c>
      <c r="K454" t="str">
        <f t="shared" si="172"/>
        <v>Device</v>
      </c>
      <c r="L454" t="str">
        <f t="shared" si="183"/>
        <v>777226279</v>
      </c>
      <c r="M454" t="str">
        <f t="shared" si="184"/>
        <v>16600236</v>
      </c>
      <c r="N454" t="str">
        <f t="shared" si="185"/>
        <v>5085-20</v>
      </c>
      <c r="O454" t="str">
        <f t="shared" si="188"/>
        <v>TEXAS</v>
      </c>
      <c r="P454" t="str">
        <f t="shared" si="189"/>
        <v>N A</v>
      </c>
      <c r="Q454" t="str">
        <f t="shared" si="190"/>
        <v>N/A</v>
      </c>
      <c r="R454" t="str">
        <f>"130 DKCRP 11 307"</f>
        <v>130 DKCRP 11 307</v>
      </c>
      <c r="S454" t="str">
        <f>"12/19/2019 10:07:39 AM"</f>
        <v>12/19/2019 10:07:39 AM</v>
      </c>
      <c r="T454" t="str">
        <f t="shared" si="181"/>
        <v>5</v>
      </c>
      <c r="U454" t="str">
        <f t="shared" si="191"/>
        <v>N/A</v>
      </c>
      <c r="V454" t="str">
        <f>"5.5500"</f>
        <v>5.5500</v>
      </c>
    </row>
    <row r="455" spans="1:22" x14ac:dyDescent="0.25">
      <c r="A455" s="1" t="str">
        <f t="shared" si="186"/>
        <v>5085-</v>
      </c>
      <c r="B455" s="1" t="str">
        <f t="shared" si="192"/>
        <v>5085-</v>
      </c>
      <c r="C455" s="1" t="str">
        <f>VLOOKUP(B455,'Master truck list'!D:E,2,0)</f>
        <v>5085-20</v>
      </c>
      <c r="D455" s="1" t="str">
        <f>VLOOKUP(C455,'Master truck list'!E:F,2,0)</f>
        <v>ACTIVE</v>
      </c>
      <c r="E455" s="1" t="str">
        <f>VLOOKUP(C455,'Master truck list'!E:M,9,0)</f>
        <v>BNK TRANSPORT INC</v>
      </c>
      <c r="F455" s="1" t="str">
        <f>VLOOKUP(C455,'Master truck list'!E:G,3,0)</f>
        <v>Company</v>
      </c>
      <c r="G455" s="1">
        <f>VLOOKUP(C455,'Master truck list'!E:R,14,0)</f>
        <v>2475</v>
      </c>
      <c r="H455" t="str">
        <f t="shared" si="193"/>
        <v>12/20/2019 7:00:30 AM</v>
      </c>
      <c r="I455" t="str">
        <f>""</f>
        <v/>
      </c>
      <c r="J455" t="str">
        <f t="shared" si="187"/>
        <v>Elite</v>
      </c>
      <c r="K455" t="str">
        <f t="shared" si="172"/>
        <v>Device</v>
      </c>
      <c r="L455" t="str">
        <f t="shared" si="183"/>
        <v>777226279</v>
      </c>
      <c r="M455" t="str">
        <f t="shared" si="184"/>
        <v>16600236</v>
      </c>
      <c r="N455" t="str">
        <f t="shared" si="185"/>
        <v>5085-20</v>
      </c>
      <c r="O455" t="str">
        <f t="shared" si="188"/>
        <v>TEXAS</v>
      </c>
      <c r="P455" t="str">
        <f t="shared" si="189"/>
        <v>N A</v>
      </c>
      <c r="Q455" t="str">
        <f t="shared" si="190"/>
        <v>N/A</v>
      </c>
      <c r="R455" t="str">
        <f>"130 DKCRP 07 307"</f>
        <v>130 DKCRP 07 307</v>
      </c>
      <c r="S455" t="str">
        <f>"12/19/2019 6:06:02 PM"</f>
        <v>12/19/2019 6:06:02 PM</v>
      </c>
      <c r="T455" t="str">
        <f t="shared" si="181"/>
        <v>5</v>
      </c>
      <c r="U455" t="str">
        <f t="shared" si="191"/>
        <v>N/A</v>
      </c>
      <c r="V455" t="str">
        <f>"5.5500"</f>
        <v>5.5500</v>
      </c>
    </row>
    <row r="456" spans="1:22" x14ac:dyDescent="0.25">
      <c r="A456" s="1" t="str">
        <f t="shared" si="186"/>
        <v>5085-</v>
      </c>
      <c r="B456" s="1" t="str">
        <f t="shared" si="192"/>
        <v>5085-</v>
      </c>
      <c r="C456" s="1" t="str">
        <f>VLOOKUP(B456,'Master truck list'!D:E,2,0)</f>
        <v>5085-20</v>
      </c>
      <c r="D456" s="1" t="str">
        <f>VLOOKUP(C456,'Master truck list'!E:F,2,0)</f>
        <v>ACTIVE</v>
      </c>
      <c r="E456" s="1" t="str">
        <f>VLOOKUP(C456,'Master truck list'!E:M,9,0)</f>
        <v>BNK TRANSPORT INC</v>
      </c>
      <c r="F456" s="1" t="str">
        <f>VLOOKUP(C456,'Master truck list'!E:G,3,0)</f>
        <v>Company</v>
      </c>
      <c r="G456" s="1">
        <f>VLOOKUP(C456,'Master truck list'!E:R,14,0)</f>
        <v>2475</v>
      </c>
      <c r="H456" t="str">
        <f t="shared" si="193"/>
        <v>12/20/2019 7:00:30 AM</v>
      </c>
      <c r="I456" t="str">
        <f>""</f>
        <v/>
      </c>
      <c r="J456" t="str">
        <f t="shared" si="187"/>
        <v>Elite</v>
      </c>
      <c r="K456" t="str">
        <f t="shared" si="172"/>
        <v>Device</v>
      </c>
      <c r="L456" t="str">
        <f t="shared" si="183"/>
        <v>777226279</v>
      </c>
      <c r="M456" t="str">
        <f t="shared" si="184"/>
        <v>16600236</v>
      </c>
      <c r="N456" t="str">
        <f t="shared" si="185"/>
        <v>5085-20</v>
      </c>
      <c r="O456" t="str">
        <f t="shared" si="188"/>
        <v>TEXAS</v>
      </c>
      <c r="P456" t="str">
        <f t="shared" si="189"/>
        <v>N A</v>
      </c>
      <c r="Q456" t="str">
        <f t="shared" si="190"/>
        <v>N/A</v>
      </c>
      <c r="R456" t="str">
        <f>"130 MGCRP 06 305"</f>
        <v>130 MGCRP 06 305</v>
      </c>
      <c r="S456" t="str">
        <f>"12/19/2019 5:44:50 PM"</f>
        <v>12/19/2019 5:44:50 PM</v>
      </c>
      <c r="T456" t="str">
        <f t="shared" si="181"/>
        <v>5</v>
      </c>
      <c r="U456" t="str">
        <f t="shared" si="191"/>
        <v>N/A</v>
      </c>
      <c r="V456" t="str">
        <f>"5.5500"</f>
        <v>5.5500</v>
      </c>
    </row>
    <row r="457" spans="1:22" x14ac:dyDescent="0.25">
      <c r="A457" s="1" t="str">
        <f t="shared" si="186"/>
        <v>5085-</v>
      </c>
      <c r="B457" s="1" t="str">
        <f t="shared" si="192"/>
        <v>5085-</v>
      </c>
      <c r="C457" s="1" t="str">
        <f>VLOOKUP(B457,'Master truck list'!D:E,2,0)</f>
        <v>5085-20</v>
      </c>
      <c r="D457" s="1" t="str">
        <f>VLOOKUP(C457,'Master truck list'!E:F,2,0)</f>
        <v>ACTIVE</v>
      </c>
      <c r="E457" s="1" t="str">
        <f>VLOOKUP(C457,'Master truck list'!E:M,9,0)</f>
        <v>BNK TRANSPORT INC</v>
      </c>
      <c r="F457" s="1" t="str">
        <f>VLOOKUP(C457,'Master truck list'!E:G,3,0)</f>
        <v>Company</v>
      </c>
      <c r="G457" s="1">
        <f>VLOOKUP(C457,'Master truck list'!E:R,14,0)</f>
        <v>2475</v>
      </c>
      <c r="H457" t="str">
        <f t="shared" si="193"/>
        <v>12/20/2019 7:00:30 AM</v>
      </c>
      <c r="I457" t="str">
        <f>""</f>
        <v/>
      </c>
      <c r="J457" t="str">
        <f t="shared" si="187"/>
        <v>Elite</v>
      </c>
      <c r="K457" t="str">
        <f t="shared" si="172"/>
        <v>Device</v>
      </c>
      <c r="L457" t="str">
        <f t="shared" si="183"/>
        <v>777226279</v>
      </c>
      <c r="M457" t="str">
        <f t="shared" si="184"/>
        <v>16600236</v>
      </c>
      <c r="N457" t="str">
        <f t="shared" si="185"/>
        <v>5085-20</v>
      </c>
      <c r="O457" t="str">
        <f t="shared" si="188"/>
        <v>TEXAS</v>
      </c>
      <c r="P457" t="str">
        <f t="shared" si="189"/>
        <v>N A</v>
      </c>
      <c r="Q457" t="str">
        <f t="shared" si="190"/>
        <v>N/A</v>
      </c>
      <c r="R457" t="str">
        <f>"45SE MLPEB 02 611"</f>
        <v>45SE MLPEB 02 611</v>
      </c>
      <c r="S457" t="str">
        <f>"12/19/2019 9:50:07 AM"</f>
        <v>12/19/2019 9:50:07 AM</v>
      </c>
      <c r="T457" t="str">
        <f t="shared" si="181"/>
        <v>5</v>
      </c>
      <c r="U457" t="str">
        <f t="shared" si="191"/>
        <v>N/A</v>
      </c>
      <c r="V457" t="str">
        <f>"3.3000"</f>
        <v>3.3000</v>
      </c>
    </row>
    <row r="458" spans="1:22" x14ac:dyDescent="0.25">
      <c r="A458" s="1" t="str">
        <f t="shared" si="186"/>
        <v>5085-</v>
      </c>
      <c r="B458" s="1" t="str">
        <f t="shared" si="192"/>
        <v>5085-</v>
      </c>
      <c r="C458" s="1" t="str">
        <f>VLOOKUP(B458,'Master truck list'!D:E,2,0)</f>
        <v>5085-20</v>
      </c>
      <c r="D458" s="1" t="str">
        <f>VLOOKUP(C458,'Master truck list'!E:F,2,0)</f>
        <v>ACTIVE</v>
      </c>
      <c r="E458" s="1" t="str">
        <f>VLOOKUP(C458,'Master truck list'!E:M,9,0)</f>
        <v>BNK TRANSPORT INC</v>
      </c>
      <c r="F458" s="1" t="str">
        <f>VLOOKUP(C458,'Master truck list'!E:G,3,0)</f>
        <v>Company</v>
      </c>
      <c r="G458" s="1">
        <f>VLOOKUP(C458,'Master truck list'!E:R,14,0)</f>
        <v>2475</v>
      </c>
      <c r="H458" t="str">
        <f t="shared" si="193"/>
        <v>12/20/2019 7:00:30 AM</v>
      </c>
      <c r="I458" t="str">
        <f>""</f>
        <v/>
      </c>
      <c r="J458" t="str">
        <f t="shared" si="187"/>
        <v>Elite</v>
      </c>
      <c r="K458" t="str">
        <f t="shared" si="172"/>
        <v>Device</v>
      </c>
      <c r="L458" t="str">
        <f t="shared" si="183"/>
        <v>777226279</v>
      </c>
      <c r="M458" t="str">
        <f t="shared" si="184"/>
        <v>16600236</v>
      </c>
      <c r="N458" t="str">
        <f t="shared" si="185"/>
        <v>5085-20</v>
      </c>
      <c r="O458" t="str">
        <f t="shared" si="188"/>
        <v>TEXAS</v>
      </c>
      <c r="P458" t="str">
        <f t="shared" si="189"/>
        <v>N A</v>
      </c>
      <c r="Q458" t="str">
        <f t="shared" si="190"/>
        <v>N/A</v>
      </c>
      <c r="R458" t="str">
        <f>"130 MGCRP 11 305"</f>
        <v>130 MGCRP 11 305</v>
      </c>
      <c r="S458" t="str">
        <f>"12/19/2019 10:28:45 AM"</f>
        <v>12/19/2019 10:28:45 AM</v>
      </c>
      <c r="T458" t="str">
        <f t="shared" si="181"/>
        <v>5</v>
      </c>
      <c r="U458" t="str">
        <f t="shared" si="191"/>
        <v>N/A</v>
      </c>
      <c r="V458" t="str">
        <f>"5.5500"</f>
        <v>5.5500</v>
      </c>
    </row>
    <row r="459" spans="1:22" x14ac:dyDescent="0.25">
      <c r="A459" s="1" t="str">
        <f t="shared" si="186"/>
        <v>5085-</v>
      </c>
      <c r="B459" s="1" t="str">
        <f t="shared" si="192"/>
        <v>5085-</v>
      </c>
      <c r="C459" s="1" t="str">
        <f>VLOOKUP(B459,'Master truck list'!D:E,2,0)</f>
        <v>5085-20</v>
      </c>
      <c r="D459" s="1" t="str">
        <f>VLOOKUP(C459,'Master truck list'!E:F,2,0)</f>
        <v>ACTIVE</v>
      </c>
      <c r="E459" s="1" t="str">
        <f>VLOOKUP(C459,'Master truck list'!E:M,9,0)</f>
        <v>BNK TRANSPORT INC</v>
      </c>
      <c r="F459" s="1" t="str">
        <f>VLOOKUP(C459,'Master truck list'!E:G,3,0)</f>
        <v>Company</v>
      </c>
      <c r="G459" s="1">
        <f>VLOOKUP(C459,'Master truck list'!E:R,14,0)</f>
        <v>2475</v>
      </c>
      <c r="H459" t="str">
        <f t="shared" si="193"/>
        <v>12/20/2019 7:00:30 AM</v>
      </c>
      <c r="I459" t="str">
        <f>""</f>
        <v/>
      </c>
      <c r="J459" t="str">
        <f t="shared" si="187"/>
        <v>Elite</v>
      </c>
      <c r="K459" t="str">
        <f t="shared" si="172"/>
        <v>Device</v>
      </c>
      <c r="L459" t="str">
        <f t="shared" si="183"/>
        <v>777226279</v>
      </c>
      <c r="M459" t="str">
        <f t="shared" si="184"/>
        <v>16600236</v>
      </c>
      <c r="N459" t="str">
        <f t="shared" si="185"/>
        <v>5085-20</v>
      </c>
      <c r="O459" t="str">
        <f t="shared" si="188"/>
        <v>TEXAS</v>
      </c>
      <c r="P459" t="str">
        <f t="shared" si="189"/>
        <v>N A</v>
      </c>
      <c r="Q459" t="str">
        <f t="shared" si="190"/>
        <v>N/A</v>
      </c>
      <c r="R459" t="str">
        <f>"130 CMRNP 12 306"</f>
        <v>130 CMRNP 12 306</v>
      </c>
      <c r="S459" t="str">
        <f>"12/19/2019 10:17:43 AM"</f>
        <v>12/19/2019 10:17:43 AM</v>
      </c>
      <c r="T459" t="str">
        <f t="shared" si="181"/>
        <v>5</v>
      </c>
      <c r="U459" t="str">
        <f t="shared" si="191"/>
        <v>N/A</v>
      </c>
      <c r="V459" t="str">
        <f>"5.5500"</f>
        <v>5.5500</v>
      </c>
    </row>
    <row r="460" spans="1:22" x14ac:dyDescent="0.25">
      <c r="A460" s="1" t="str">
        <f t="shared" si="186"/>
        <v>5085-</v>
      </c>
      <c r="B460" s="1" t="str">
        <f t="shared" si="192"/>
        <v>5085-</v>
      </c>
      <c r="C460" s="1" t="str">
        <f>VLOOKUP(B460,'Master truck list'!D:E,2,0)</f>
        <v>5085-20</v>
      </c>
      <c r="D460" s="1" t="str">
        <f>VLOOKUP(C460,'Master truck list'!E:F,2,0)</f>
        <v>ACTIVE</v>
      </c>
      <c r="E460" s="1" t="str">
        <f>VLOOKUP(C460,'Master truck list'!E:M,9,0)</f>
        <v>BNK TRANSPORT INC</v>
      </c>
      <c r="F460" s="1" t="str">
        <f>VLOOKUP(C460,'Master truck list'!E:G,3,0)</f>
        <v>Company</v>
      </c>
      <c r="G460" s="1">
        <f>VLOOKUP(C460,'Master truck list'!E:R,14,0)</f>
        <v>2475</v>
      </c>
      <c r="H460" t="str">
        <f t="shared" si="193"/>
        <v>12/20/2019 7:00:30 AM</v>
      </c>
      <c r="I460" t="str">
        <f>""</f>
        <v/>
      </c>
      <c r="J460" t="str">
        <f t="shared" si="187"/>
        <v>Elite</v>
      </c>
      <c r="K460" t="str">
        <f t="shared" si="172"/>
        <v>Device</v>
      </c>
      <c r="L460" t="str">
        <f t="shared" si="183"/>
        <v>777226279</v>
      </c>
      <c r="M460" t="str">
        <f t="shared" si="184"/>
        <v>16600236</v>
      </c>
      <c r="N460" t="str">
        <f t="shared" si="185"/>
        <v>5085-20</v>
      </c>
      <c r="O460" t="str">
        <f t="shared" si="188"/>
        <v>TEXAS</v>
      </c>
      <c r="P460" t="str">
        <f t="shared" si="189"/>
        <v>N A</v>
      </c>
      <c r="Q460" t="str">
        <f t="shared" si="190"/>
        <v>N/A</v>
      </c>
      <c r="R460" t="str">
        <f>"45SE MLPWB 01 611"</f>
        <v>45SE MLPWB 01 611</v>
      </c>
      <c r="S460" t="str">
        <f>"12/19/2019 6:29:15 PM"</f>
        <v>12/19/2019 6:29:15 PM</v>
      </c>
      <c r="T460" t="str">
        <f t="shared" si="181"/>
        <v>5</v>
      </c>
      <c r="U460" t="str">
        <f t="shared" si="191"/>
        <v>N/A</v>
      </c>
      <c r="V460" t="str">
        <f>"3.3000"</f>
        <v>3.3000</v>
      </c>
    </row>
    <row r="461" spans="1:22" x14ac:dyDescent="0.25">
      <c r="A461" s="1" t="str">
        <f t="shared" si="186"/>
        <v>5085-</v>
      </c>
      <c r="B461" s="1" t="str">
        <f t="shared" si="192"/>
        <v>5085-</v>
      </c>
      <c r="C461" s="1" t="str">
        <f>VLOOKUP(B461,'Master truck list'!D:E,2,0)</f>
        <v>5085-20</v>
      </c>
      <c r="D461" s="1" t="str">
        <f>VLOOKUP(C461,'Master truck list'!E:F,2,0)</f>
        <v>ACTIVE</v>
      </c>
      <c r="E461" s="1" t="str">
        <f>VLOOKUP(C461,'Master truck list'!E:M,9,0)</f>
        <v>BNK TRANSPORT INC</v>
      </c>
      <c r="F461" s="1" t="str">
        <f>VLOOKUP(C461,'Master truck list'!E:G,3,0)</f>
        <v>Company</v>
      </c>
      <c r="G461" s="1">
        <f>VLOOKUP(C461,'Master truck list'!E:R,14,0)</f>
        <v>2475</v>
      </c>
      <c r="H461" t="str">
        <f t="shared" si="193"/>
        <v>12/20/2019 7:00:30 AM</v>
      </c>
      <c r="I461" t="str">
        <f>""</f>
        <v/>
      </c>
      <c r="J461" t="str">
        <f t="shared" si="187"/>
        <v>Elite</v>
      </c>
      <c r="K461" t="str">
        <f t="shared" si="172"/>
        <v>Device</v>
      </c>
      <c r="L461" t="str">
        <f t="shared" si="183"/>
        <v>777226279</v>
      </c>
      <c r="M461" t="str">
        <f t="shared" si="184"/>
        <v>16600236</v>
      </c>
      <c r="N461" t="str">
        <f t="shared" si="185"/>
        <v>5085-20</v>
      </c>
      <c r="O461" t="str">
        <f t="shared" si="188"/>
        <v>TEXAS</v>
      </c>
      <c r="P461" t="str">
        <f t="shared" si="189"/>
        <v>N A</v>
      </c>
      <c r="Q461" t="str">
        <f t="shared" si="190"/>
        <v>N/A</v>
      </c>
      <c r="R461" t="str">
        <f>"130 ARPTP 09 308"</f>
        <v>130 ARPTP 09 308</v>
      </c>
      <c r="S461" t="str">
        <f>"12/19/2019 10:00:43 AM"</f>
        <v>12/19/2019 10:00:43 AM</v>
      </c>
      <c r="T461" t="str">
        <f t="shared" si="181"/>
        <v>5</v>
      </c>
      <c r="U461" t="str">
        <f t="shared" si="191"/>
        <v>N/A</v>
      </c>
      <c r="V461" t="str">
        <f>"5.5500"</f>
        <v>5.5500</v>
      </c>
    </row>
    <row r="462" spans="1:22" x14ac:dyDescent="0.25">
      <c r="A462" s="1" t="str">
        <f t="shared" si="186"/>
        <v>5085-</v>
      </c>
      <c r="B462" s="1" t="str">
        <f t="shared" si="192"/>
        <v>5085-</v>
      </c>
      <c r="C462" s="1" t="str">
        <f>VLOOKUP(B462,'Master truck list'!D:E,2,0)</f>
        <v>5085-20</v>
      </c>
      <c r="D462" s="1" t="str">
        <f>VLOOKUP(C462,'Master truck list'!E:F,2,0)</f>
        <v>ACTIVE</v>
      </c>
      <c r="E462" s="1" t="str">
        <f>VLOOKUP(C462,'Master truck list'!E:M,9,0)</f>
        <v>BNK TRANSPORT INC</v>
      </c>
      <c r="F462" s="1" t="str">
        <f>VLOOKUP(C462,'Master truck list'!E:G,3,0)</f>
        <v>Company</v>
      </c>
      <c r="G462" s="1">
        <f>VLOOKUP(C462,'Master truck list'!E:R,14,0)</f>
        <v>2475</v>
      </c>
      <c r="H462" t="str">
        <f t="shared" si="193"/>
        <v>12/20/2019 7:00:30 AM</v>
      </c>
      <c r="I462" t="str">
        <f>""</f>
        <v/>
      </c>
      <c r="J462" t="str">
        <f t="shared" si="187"/>
        <v>Elite</v>
      </c>
      <c r="K462" t="str">
        <f t="shared" si="172"/>
        <v>Device</v>
      </c>
      <c r="L462" t="str">
        <f t="shared" si="183"/>
        <v>777226279</v>
      </c>
      <c r="M462" t="str">
        <f t="shared" si="184"/>
        <v>16600236</v>
      </c>
      <c r="N462" t="str">
        <f t="shared" si="185"/>
        <v>5085-20</v>
      </c>
      <c r="O462" t="str">
        <f t="shared" si="188"/>
        <v>TEXAS</v>
      </c>
      <c r="P462" t="str">
        <f t="shared" si="189"/>
        <v>N A</v>
      </c>
      <c r="Q462" t="str">
        <f t="shared" si="190"/>
        <v>N/A</v>
      </c>
      <c r="R462" t="str">
        <f>"130 CMRNP 08 306"</f>
        <v>130 CMRNP 08 306</v>
      </c>
      <c r="S462" t="str">
        <f>"12/19/2019 5:55:49 PM"</f>
        <v>12/19/2019 5:55:49 PM</v>
      </c>
      <c r="T462" t="str">
        <f t="shared" si="181"/>
        <v>5</v>
      </c>
      <c r="U462" t="str">
        <f t="shared" si="191"/>
        <v>N/A</v>
      </c>
      <c r="V462" t="str">
        <f>"5.5500"</f>
        <v>5.5500</v>
      </c>
    </row>
    <row r="463" spans="1:22" x14ac:dyDescent="0.25">
      <c r="A463" s="1" t="str">
        <f t="shared" si="186"/>
        <v>5085-</v>
      </c>
      <c r="B463" s="1" t="str">
        <f t="shared" si="192"/>
        <v>5085-</v>
      </c>
      <c r="C463" s="1" t="str">
        <f>VLOOKUP(B463,'Master truck list'!D:E,2,0)</f>
        <v>5085-20</v>
      </c>
      <c r="D463" s="1" t="str">
        <f>VLOOKUP(C463,'Master truck list'!E:F,2,0)</f>
        <v>ACTIVE</v>
      </c>
      <c r="E463" s="1" t="str">
        <f>VLOOKUP(C463,'Master truck list'!E:M,9,0)</f>
        <v>BNK TRANSPORT INC</v>
      </c>
      <c r="F463" s="1" t="str">
        <f>VLOOKUP(C463,'Master truck list'!E:G,3,0)</f>
        <v>Company</v>
      </c>
      <c r="G463" s="1">
        <f>VLOOKUP(C463,'Master truck list'!E:R,14,0)</f>
        <v>2475</v>
      </c>
      <c r="H463" t="str">
        <f t="shared" si="193"/>
        <v>12/20/2019 7:00:30 AM</v>
      </c>
      <c r="I463" t="str">
        <f>""</f>
        <v/>
      </c>
      <c r="J463" t="str">
        <f t="shared" si="187"/>
        <v>Elite</v>
      </c>
      <c r="K463" t="str">
        <f t="shared" ref="K463:K526" si="194">"Device"</f>
        <v>Device</v>
      </c>
      <c r="L463" t="str">
        <f t="shared" si="183"/>
        <v>777226279</v>
      </c>
      <c r="M463" t="str">
        <f t="shared" si="184"/>
        <v>16600236</v>
      </c>
      <c r="N463" t="str">
        <f t="shared" si="185"/>
        <v>5085-20</v>
      </c>
      <c r="O463" t="str">
        <f t="shared" si="188"/>
        <v>TEXAS</v>
      </c>
      <c r="P463" t="str">
        <f t="shared" si="189"/>
        <v>N A</v>
      </c>
      <c r="Q463" t="str">
        <f t="shared" si="190"/>
        <v>N/A</v>
      </c>
      <c r="R463" t="str">
        <f>"130 ARPTP 04 308"</f>
        <v>130 ARPTP 04 308</v>
      </c>
      <c r="S463" t="str">
        <f>"12/19/2019 6:16:18 PM"</f>
        <v>12/19/2019 6:16:18 PM</v>
      </c>
      <c r="T463" t="str">
        <f t="shared" si="181"/>
        <v>5</v>
      </c>
      <c r="U463" t="str">
        <f t="shared" si="191"/>
        <v>N/A</v>
      </c>
      <c r="V463" t="str">
        <f>"5.5500"</f>
        <v>5.5500</v>
      </c>
    </row>
    <row r="464" spans="1:22" x14ac:dyDescent="0.25">
      <c r="A464" s="1" t="str">
        <f t="shared" si="186"/>
        <v>5108-</v>
      </c>
      <c r="B464" s="1" t="str">
        <f t="shared" si="192"/>
        <v>5108-</v>
      </c>
      <c r="C464" s="1" t="str">
        <f>VLOOKUP(B464,'Master truck list'!D:E,2,0)</f>
        <v>5108-20</v>
      </c>
      <c r="D464" s="1" t="str">
        <f>VLOOKUP(C464,'Master truck list'!E:F,2,0)</f>
        <v>ACTIVE</v>
      </c>
      <c r="E464" s="1" t="str">
        <f>VLOOKUP(C464,'Master truck list'!E:M,9,0)</f>
        <v>BNK TRANSPORT INC</v>
      </c>
      <c r="F464" s="1" t="str">
        <f>VLOOKUP(C464,'Master truck list'!E:G,3,0)</f>
        <v>Company</v>
      </c>
      <c r="G464" s="1">
        <f>VLOOKUP(C464,'Master truck list'!E:R,14,0)</f>
        <v>2530</v>
      </c>
      <c r="H464" t="str">
        <f>"12/17/2019 7:00:33 AM"</f>
        <v>12/17/2019 7:00:33 AM</v>
      </c>
      <c r="I464" t="str">
        <f>""</f>
        <v/>
      </c>
      <c r="J464" t="str">
        <f t="shared" si="187"/>
        <v>Elite</v>
      </c>
      <c r="K464" t="str">
        <f t="shared" si="194"/>
        <v>Device</v>
      </c>
      <c r="L464" t="str">
        <f>"777225032"</f>
        <v>777225032</v>
      </c>
      <c r="M464" t="str">
        <f>"16598989"</f>
        <v>16598989</v>
      </c>
      <c r="N464" t="str">
        <f>"5108-20"</f>
        <v>5108-20</v>
      </c>
      <c r="O464" t="str">
        <f t="shared" si="188"/>
        <v>TEXAS</v>
      </c>
      <c r="P464" t="str">
        <f t="shared" si="189"/>
        <v>N A</v>
      </c>
      <c r="Q464" t="str">
        <f t="shared" si="190"/>
        <v>N/A</v>
      </c>
      <c r="R464" t="str">
        <f>"130 MGCRP 06 305"</f>
        <v>130 MGCRP 06 305</v>
      </c>
      <c r="S464" t="str">
        <f>"12/16/2019 7:30:08 AM"</f>
        <v>12/16/2019 7:30:08 AM</v>
      </c>
      <c r="T464" t="str">
        <f t="shared" si="181"/>
        <v>5</v>
      </c>
      <c r="U464" t="str">
        <f t="shared" si="191"/>
        <v>N/A</v>
      </c>
      <c r="V464" t="str">
        <f>"5.5500"</f>
        <v>5.5500</v>
      </c>
    </row>
    <row r="465" spans="1:22" x14ac:dyDescent="0.25">
      <c r="A465" s="1" t="str">
        <f t="shared" si="186"/>
        <v>5108-</v>
      </c>
      <c r="B465" s="1" t="str">
        <f t="shared" si="192"/>
        <v>5108-</v>
      </c>
      <c r="C465" s="1" t="str">
        <f>VLOOKUP(B465,'Master truck list'!D:E,2,0)</f>
        <v>5108-20</v>
      </c>
      <c r="D465" s="1" t="str">
        <f>VLOOKUP(C465,'Master truck list'!E:F,2,0)</f>
        <v>ACTIVE</v>
      </c>
      <c r="E465" s="1" t="str">
        <f>VLOOKUP(C465,'Master truck list'!E:M,9,0)</f>
        <v>BNK TRANSPORT INC</v>
      </c>
      <c r="F465" s="1" t="str">
        <f>VLOOKUP(C465,'Master truck list'!E:G,3,0)</f>
        <v>Company</v>
      </c>
      <c r="G465" s="1">
        <f>VLOOKUP(C465,'Master truck list'!E:R,14,0)</f>
        <v>2530</v>
      </c>
      <c r="H465" t="str">
        <f>"12/17/2019 7:00:33 AM"</f>
        <v>12/17/2019 7:00:33 AM</v>
      </c>
      <c r="I465" t="str">
        <f>""</f>
        <v/>
      </c>
      <c r="J465" t="str">
        <f t="shared" si="187"/>
        <v>Elite</v>
      </c>
      <c r="K465" t="str">
        <f t="shared" si="194"/>
        <v>Device</v>
      </c>
      <c r="L465" t="str">
        <f>"777225032"</f>
        <v>777225032</v>
      </c>
      <c r="M465" t="str">
        <f>"16598989"</f>
        <v>16598989</v>
      </c>
      <c r="N465" t="str">
        <f>"5108-20"</f>
        <v>5108-20</v>
      </c>
      <c r="O465" t="str">
        <f t="shared" si="188"/>
        <v>TEXAS</v>
      </c>
      <c r="P465" t="str">
        <f t="shared" si="189"/>
        <v>N A</v>
      </c>
      <c r="Q465" t="str">
        <f t="shared" si="190"/>
        <v>N/A</v>
      </c>
      <c r="R465" t="str">
        <f>"130 DKCRP 06 307"</f>
        <v>130 DKCRP 06 307</v>
      </c>
      <c r="S465" t="str">
        <f>"12/16/2019 7:51:10 AM"</f>
        <v>12/16/2019 7:51:10 AM</v>
      </c>
      <c r="T465" t="str">
        <f t="shared" si="181"/>
        <v>5</v>
      </c>
      <c r="U465" t="str">
        <f t="shared" si="191"/>
        <v>N/A</v>
      </c>
      <c r="V465" t="str">
        <f>"5.5500"</f>
        <v>5.5500</v>
      </c>
    </row>
    <row r="466" spans="1:22" x14ac:dyDescent="0.25">
      <c r="A466" s="1" t="str">
        <f t="shared" si="186"/>
        <v>5108-</v>
      </c>
      <c r="B466" s="1" t="str">
        <f t="shared" si="192"/>
        <v>5108-</v>
      </c>
      <c r="C466" s="1" t="str">
        <f>VLOOKUP(B466,'Master truck list'!D:E,2,0)</f>
        <v>5108-20</v>
      </c>
      <c r="D466" s="1" t="str">
        <f>VLOOKUP(C466,'Master truck list'!E:F,2,0)</f>
        <v>ACTIVE</v>
      </c>
      <c r="E466" s="1" t="str">
        <f>VLOOKUP(C466,'Master truck list'!E:M,9,0)</f>
        <v>BNK TRANSPORT INC</v>
      </c>
      <c r="F466" s="1" t="str">
        <f>VLOOKUP(C466,'Master truck list'!E:G,3,0)</f>
        <v>Company</v>
      </c>
      <c r="G466" s="1">
        <f>VLOOKUP(C466,'Master truck list'!E:R,14,0)</f>
        <v>2530</v>
      </c>
      <c r="H466" t="str">
        <f>"12/17/2019 7:00:33 AM"</f>
        <v>12/17/2019 7:00:33 AM</v>
      </c>
      <c r="I466" t="str">
        <f>""</f>
        <v/>
      </c>
      <c r="J466" t="str">
        <f t="shared" si="187"/>
        <v>Elite</v>
      </c>
      <c r="K466" t="str">
        <f t="shared" si="194"/>
        <v>Device</v>
      </c>
      <c r="L466" t="str">
        <f>"777225032"</f>
        <v>777225032</v>
      </c>
      <c r="M466" t="str">
        <f>"16598989"</f>
        <v>16598989</v>
      </c>
      <c r="N466" t="str">
        <f>"5108-20"</f>
        <v>5108-20</v>
      </c>
      <c r="O466" t="str">
        <f t="shared" si="188"/>
        <v>TEXAS</v>
      </c>
      <c r="P466" t="str">
        <f t="shared" si="189"/>
        <v>N A</v>
      </c>
      <c r="Q466" t="str">
        <f t="shared" si="190"/>
        <v>N/A</v>
      </c>
      <c r="R466" t="str">
        <f>"45SE MLPWB 01 611"</f>
        <v>45SE MLPWB 01 611</v>
      </c>
      <c r="S466" t="str">
        <f>"12/16/2019 8:08:45 AM"</f>
        <v>12/16/2019 8:08:45 AM</v>
      </c>
      <c r="T466" t="str">
        <f t="shared" si="181"/>
        <v>5</v>
      </c>
      <c r="U466" t="str">
        <f t="shared" si="191"/>
        <v>N/A</v>
      </c>
      <c r="V466" t="str">
        <f>"3.3000"</f>
        <v>3.3000</v>
      </c>
    </row>
    <row r="467" spans="1:22" x14ac:dyDescent="0.25">
      <c r="A467" s="1" t="str">
        <f t="shared" si="186"/>
        <v>5108-</v>
      </c>
      <c r="B467" s="1" t="str">
        <f t="shared" si="192"/>
        <v>5108-</v>
      </c>
      <c r="C467" s="1" t="str">
        <f>VLOOKUP(B467,'Master truck list'!D:E,2,0)</f>
        <v>5108-20</v>
      </c>
      <c r="D467" s="1" t="str">
        <f>VLOOKUP(C467,'Master truck list'!E:F,2,0)</f>
        <v>ACTIVE</v>
      </c>
      <c r="E467" s="1" t="str">
        <f>VLOOKUP(C467,'Master truck list'!E:M,9,0)</f>
        <v>BNK TRANSPORT INC</v>
      </c>
      <c r="F467" s="1" t="str">
        <f>VLOOKUP(C467,'Master truck list'!E:G,3,0)</f>
        <v>Company</v>
      </c>
      <c r="G467" s="1">
        <f>VLOOKUP(C467,'Master truck list'!E:R,14,0)</f>
        <v>2530</v>
      </c>
      <c r="H467" t="str">
        <f>"12/17/2019 7:00:33 AM"</f>
        <v>12/17/2019 7:00:33 AM</v>
      </c>
      <c r="I467" t="str">
        <f>""</f>
        <v/>
      </c>
      <c r="J467" t="str">
        <f t="shared" si="187"/>
        <v>Elite</v>
      </c>
      <c r="K467" t="str">
        <f t="shared" si="194"/>
        <v>Device</v>
      </c>
      <c r="L467" t="str">
        <f>"777225032"</f>
        <v>777225032</v>
      </c>
      <c r="M467" t="str">
        <f>"16598989"</f>
        <v>16598989</v>
      </c>
      <c r="N467" t="str">
        <f>"5108-20"</f>
        <v>5108-20</v>
      </c>
      <c r="O467" t="str">
        <f t="shared" si="188"/>
        <v>TEXAS</v>
      </c>
      <c r="P467" t="str">
        <f t="shared" si="189"/>
        <v>N A</v>
      </c>
      <c r="Q467" t="str">
        <f t="shared" si="190"/>
        <v>N/A</v>
      </c>
      <c r="R467" t="str">
        <f>"130 CMRNP 08 306"</f>
        <v>130 CMRNP 08 306</v>
      </c>
      <c r="S467" t="str">
        <f>"12/16/2019 7:41:06 AM"</f>
        <v>12/16/2019 7:41:06 AM</v>
      </c>
      <c r="T467" t="str">
        <f t="shared" si="181"/>
        <v>5</v>
      </c>
      <c r="U467" t="str">
        <f t="shared" si="191"/>
        <v>N/A</v>
      </c>
      <c r="V467" t="str">
        <f t="shared" ref="V467:V475" si="195">"5.5500"</f>
        <v>5.5500</v>
      </c>
    </row>
    <row r="468" spans="1:22" x14ac:dyDescent="0.25">
      <c r="A468" s="1" t="str">
        <f t="shared" si="186"/>
        <v>5108-</v>
      </c>
      <c r="B468" s="1" t="str">
        <f t="shared" si="192"/>
        <v>5108-</v>
      </c>
      <c r="C468" s="1" t="str">
        <f>VLOOKUP(B468,'Master truck list'!D:E,2,0)</f>
        <v>5108-20</v>
      </c>
      <c r="D468" s="1" t="str">
        <f>VLOOKUP(C468,'Master truck list'!E:F,2,0)</f>
        <v>ACTIVE</v>
      </c>
      <c r="E468" s="1" t="str">
        <f>VLOOKUP(C468,'Master truck list'!E:M,9,0)</f>
        <v>BNK TRANSPORT INC</v>
      </c>
      <c r="F468" s="1" t="str">
        <f>VLOOKUP(C468,'Master truck list'!E:G,3,0)</f>
        <v>Company</v>
      </c>
      <c r="G468" s="1">
        <f>VLOOKUP(C468,'Master truck list'!E:R,14,0)</f>
        <v>2530</v>
      </c>
      <c r="H468" t="str">
        <f>"12/17/2019 7:00:33 AM"</f>
        <v>12/17/2019 7:00:33 AM</v>
      </c>
      <c r="I468" t="str">
        <f>""</f>
        <v/>
      </c>
      <c r="J468" t="str">
        <f t="shared" si="187"/>
        <v>Elite</v>
      </c>
      <c r="K468" t="str">
        <f t="shared" si="194"/>
        <v>Device</v>
      </c>
      <c r="L468" t="str">
        <f>"777225032"</f>
        <v>777225032</v>
      </c>
      <c r="M468" t="str">
        <f>"16598989"</f>
        <v>16598989</v>
      </c>
      <c r="N468" t="str">
        <f>"5108-20"</f>
        <v>5108-20</v>
      </c>
      <c r="O468" t="str">
        <f t="shared" si="188"/>
        <v>TEXAS</v>
      </c>
      <c r="P468" t="str">
        <f t="shared" si="189"/>
        <v>N A</v>
      </c>
      <c r="Q468" t="str">
        <f t="shared" si="190"/>
        <v>N/A</v>
      </c>
      <c r="R468" t="str">
        <f>"130 ARPTP 04 308"</f>
        <v>130 ARPTP 04 308</v>
      </c>
      <c r="S468" t="str">
        <f>"12/16/2019 7:58:10 AM"</f>
        <v>12/16/2019 7:58:10 AM</v>
      </c>
      <c r="T468" t="str">
        <f t="shared" si="181"/>
        <v>5</v>
      </c>
      <c r="U468" t="str">
        <f t="shared" si="191"/>
        <v>N/A</v>
      </c>
      <c r="V468" t="str">
        <f t="shared" si="195"/>
        <v>5.5500</v>
      </c>
    </row>
    <row r="469" spans="1:22" x14ac:dyDescent="0.25">
      <c r="A469" s="1" t="str">
        <f t="shared" si="186"/>
        <v>5077-</v>
      </c>
      <c r="B469" s="1" t="str">
        <f t="shared" si="192"/>
        <v>5077-</v>
      </c>
      <c r="C469" s="1" t="str">
        <f>VLOOKUP(B469,'Master truck list'!D:E,2,0)</f>
        <v>5077-20</v>
      </c>
      <c r="D469" s="1" t="str">
        <f>VLOOKUP(C469,'Master truck list'!E:F,2,0)</f>
        <v>ACTIVE</v>
      </c>
      <c r="E469" s="1" t="str">
        <f>VLOOKUP(C469,'Master truck list'!E:M,9,0)</f>
        <v>BNK TRANSPORT INC</v>
      </c>
      <c r="F469" s="1" t="str">
        <f>VLOOKUP(C469,'Master truck list'!E:G,3,0)</f>
        <v>Company</v>
      </c>
      <c r="G469" s="1">
        <f>VLOOKUP(C469,'Master truck list'!E:R,14,0)</f>
        <v>2468</v>
      </c>
      <c r="H469" t="str">
        <f>"12/21/2019 7:00:28 AM"</f>
        <v>12/21/2019 7:00:28 AM</v>
      </c>
      <c r="I469" t="str">
        <f>""</f>
        <v/>
      </c>
      <c r="J469" t="str">
        <f t="shared" si="187"/>
        <v>Elite</v>
      </c>
      <c r="K469" t="str">
        <f t="shared" si="194"/>
        <v>Device</v>
      </c>
      <c r="L469" t="str">
        <f>"777222838"</f>
        <v>777222838</v>
      </c>
      <c r="M469" t="str">
        <f>"16596795"</f>
        <v>16596795</v>
      </c>
      <c r="N469" t="str">
        <f>"5077-20"</f>
        <v>5077-20</v>
      </c>
      <c r="O469" t="str">
        <f t="shared" si="188"/>
        <v>TEXAS</v>
      </c>
      <c r="P469" t="str">
        <f t="shared" si="189"/>
        <v>N A</v>
      </c>
      <c r="Q469" t="str">
        <f t="shared" si="190"/>
        <v>N/A</v>
      </c>
      <c r="R469" t="str">
        <f>"130 CMRNP 13 306"</f>
        <v>130 CMRNP 13 306</v>
      </c>
      <c r="S469" t="str">
        <f>"12/20/2019 6:46:49 PM"</f>
        <v>12/20/2019 6:46:49 PM</v>
      </c>
      <c r="T469" t="str">
        <f t="shared" si="181"/>
        <v>5</v>
      </c>
      <c r="U469" t="str">
        <f t="shared" si="191"/>
        <v>N/A</v>
      </c>
      <c r="V469" t="str">
        <f t="shared" si="195"/>
        <v>5.5500</v>
      </c>
    </row>
    <row r="470" spans="1:22" x14ac:dyDescent="0.25">
      <c r="A470" s="1" t="str">
        <f t="shared" si="186"/>
        <v>5077-</v>
      </c>
      <c r="B470" s="1" t="str">
        <f t="shared" si="192"/>
        <v>5077-</v>
      </c>
      <c r="C470" s="1" t="str">
        <f>VLOOKUP(B470,'Master truck list'!D:E,2,0)</f>
        <v>5077-20</v>
      </c>
      <c r="D470" s="1" t="str">
        <f>VLOOKUP(C470,'Master truck list'!E:F,2,0)</f>
        <v>ACTIVE</v>
      </c>
      <c r="E470" s="1" t="str">
        <f>VLOOKUP(C470,'Master truck list'!E:M,9,0)</f>
        <v>BNK TRANSPORT INC</v>
      </c>
      <c r="F470" s="1" t="str">
        <f>VLOOKUP(C470,'Master truck list'!E:G,3,0)</f>
        <v>Company</v>
      </c>
      <c r="G470" s="1">
        <f>VLOOKUP(C470,'Master truck list'!E:R,14,0)</f>
        <v>2468</v>
      </c>
      <c r="H470" t="str">
        <f>"12/21/2019 7:00:28 AM"</f>
        <v>12/21/2019 7:00:28 AM</v>
      </c>
      <c r="I470" t="str">
        <f>""</f>
        <v/>
      </c>
      <c r="J470" t="str">
        <f t="shared" si="187"/>
        <v>Elite</v>
      </c>
      <c r="K470" t="str">
        <f t="shared" si="194"/>
        <v>Device</v>
      </c>
      <c r="L470" t="str">
        <f>"777222838"</f>
        <v>777222838</v>
      </c>
      <c r="M470" t="str">
        <f>"16596795"</f>
        <v>16596795</v>
      </c>
      <c r="N470" t="str">
        <f>"5077-20"</f>
        <v>5077-20</v>
      </c>
      <c r="O470" t="str">
        <f t="shared" si="188"/>
        <v>TEXAS</v>
      </c>
      <c r="P470" t="str">
        <f t="shared" si="189"/>
        <v>N A</v>
      </c>
      <c r="Q470" t="str">
        <f t="shared" si="190"/>
        <v>N/A</v>
      </c>
      <c r="R470" t="str">
        <f>"130 ARPTP 09 308"</f>
        <v>130 ARPTP 09 308</v>
      </c>
      <c r="S470" t="str">
        <f>"12/20/2019 6:24:01 PM"</f>
        <v>12/20/2019 6:24:01 PM</v>
      </c>
      <c r="T470" t="str">
        <f t="shared" si="181"/>
        <v>5</v>
      </c>
      <c r="U470" t="str">
        <f t="shared" si="191"/>
        <v>N/A</v>
      </c>
      <c r="V470" t="str">
        <f t="shared" si="195"/>
        <v>5.5500</v>
      </c>
    </row>
    <row r="471" spans="1:22" x14ac:dyDescent="0.25">
      <c r="A471" s="1" t="str">
        <f t="shared" si="186"/>
        <v>5077-</v>
      </c>
      <c r="B471" s="1" t="str">
        <f t="shared" si="192"/>
        <v>5077-</v>
      </c>
      <c r="C471" s="1" t="str">
        <f>VLOOKUP(B471,'Master truck list'!D:E,2,0)</f>
        <v>5077-20</v>
      </c>
      <c r="D471" s="1" t="str">
        <f>VLOOKUP(C471,'Master truck list'!E:F,2,0)</f>
        <v>ACTIVE</v>
      </c>
      <c r="E471" s="1" t="str">
        <f>VLOOKUP(C471,'Master truck list'!E:M,9,0)</f>
        <v>BNK TRANSPORT INC</v>
      </c>
      <c r="F471" s="1" t="str">
        <f>VLOOKUP(C471,'Master truck list'!E:G,3,0)</f>
        <v>Company</v>
      </c>
      <c r="G471" s="1">
        <f>VLOOKUP(C471,'Master truck list'!E:R,14,0)</f>
        <v>2468</v>
      </c>
      <c r="H471" t="str">
        <f>"12/21/2019 7:00:28 AM"</f>
        <v>12/21/2019 7:00:28 AM</v>
      </c>
      <c r="I471" t="str">
        <f>""</f>
        <v/>
      </c>
      <c r="J471" t="str">
        <f t="shared" si="187"/>
        <v>Elite</v>
      </c>
      <c r="K471" t="str">
        <f t="shared" si="194"/>
        <v>Device</v>
      </c>
      <c r="L471" t="str">
        <f>"777222838"</f>
        <v>777222838</v>
      </c>
      <c r="M471" t="str">
        <f>"16596795"</f>
        <v>16596795</v>
      </c>
      <c r="N471" t="str">
        <f>"5077-20"</f>
        <v>5077-20</v>
      </c>
      <c r="O471" t="str">
        <f t="shared" si="188"/>
        <v>TEXAS</v>
      </c>
      <c r="P471" t="str">
        <f t="shared" si="189"/>
        <v>N A</v>
      </c>
      <c r="Q471" t="str">
        <f t="shared" si="190"/>
        <v>N/A</v>
      </c>
      <c r="R471" t="str">
        <f>"130 MGCRP 11 305"</f>
        <v>130 MGCRP 11 305</v>
      </c>
      <c r="S471" t="str">
        <f>"12/20/2019 6:58:43 PM"</f>
        <v>12/20/2019 6:58:43 PM</v>
      </c>
      <c r="T471" t="str">
        <f t="shared" si="181"/>
        <v>5</v>
      </c>
      <c r="U471" t="str">
        <f t="shared" si="191"/>
        <v>N/A</v>
      </c>
      <c r="V471" t="str">
        <f t="shared" si="195"/>
        <v>5.5500</v>
      </c>
    </row>
    <row r="472" spans="1:22" x14ac:dyDescent="0.25">
      <c r="A472" s="1" t="str">
        <f t="shared" si="186"/>
        <v>5077-</v>
      </c>
      <c r="B472" s="1" t="str">
        <f t="shared" si="192"/>
        <v>5077-</v>
      </c>
      <c r="C472" s="1" t="str">
        <f>VLOOKUP(B472,'Master truck list'!D:E,2,0)</f>
        <v>5077-20</v>
      </c>
      <c r="D472" s="1" t="str">
        <f>VLOOKUP(C472,'Master truck list'!E:F,2,0)</f>
        <v>ACTIVE</v>
      </c>
      <c r="E472" s="1" t="str">
        <f>VLOOKUP(C472,'Master truck list'!E:M,9,0)</f>
        <v>BNK TRANSPORT INC</v>
      </c>
      <c r="F472" s="1" t="str">
        <f>VLOOKUP(C472,'Master truck list'!E:G,3,0)</f>
        <v>Company</v>
      </c>
      <c r="G472" s="1">
        <f>VLOOKUP(C472,'Master truck list'!E:R,14,0)</f>
        <v>2468</v>
      </c>
      <c r="H472" t="str">
        <f>"12/21/2019 7:00:28 AM"</f>
        <v>12/21/2019 7:00:28 AM</v>
      </c>
      <c r="I472" t="str">
        <f>""</f>
        <v/>
      </c>
      <c r="J472" t="str">
        <f t="shared" si="187"/>
        <v>Elite</v>
      </c>
      <c r="K472" t="str">
        <f t="shared" si="194"/>
        <v>Device</v>
      </c>
      <c r="L472" t="str">
        <f>"777222838"</f>
        <v>777222838</v>
      </c>
      <c r="M472" t="str">
        <f>"16596795"</f>
        <v>16596795</v>
      </c>
      <c r="N472" t="str">
        <f>"5077-20"</f>
        <v>5077-20</v>
      </c>
      <c r="O472" t="str">
        <f t="shared" si="188"/>
        <v>TEXAS</v>
      </c>
      <c r="P472" t="str">
        <f t="shared" si="189"/>
        <v>N A</v>
      </c>
      <c r="Q472" t="str">
        <f t="shared" si="190"/>
        <v>N/A</v>
      </c>
      <c r="R472" t="str">
        <f>"130 DKCRP 11 307"</f>
        <v>130 DKCRP 11 307</v>
      </c>
      <c r="S472" t="str">
        <f>"12/20/2019 6:32:04 PM"</f>
        <v>12/20/2019 6:32:04 PM</v>
      </c>
      <c r="T472" t="str">
        <f t="shared" si="181"/>
        <v>5</v>
      </c>
      <c r="U472" t="str">
        <f t="shared" si="191"/>
        <v>N/A</v>
      </c>
      <c r="V472" t="str">
        <f t="shared" si="195"/>
        <v>5.5500</v>
      </c>
    </row>
    <row r="473" spans="1:22" x14ac:dyDescent="0.25">
      <c r="A473" s="1" t="str">
        <f t="shared" si="186"/>
        <v>5038-</v>
      </c>
      <c r="B473" s="1" t="str">
        <f t="shared" si="192"/>
        <v>5038-</v>
      </c>
      <c r="C473" s="1" t="str">
        <f>VLOOKUP(B473,'Master truck list'!D:E,2,0)</f>
        <v>5038-20</v>
      </c>
      <c r="D473" s="1" t="str">
        <f>VLOOKUP(C473,'Master truck list'!E:F,2,0)</f>
        <v>ACTIVE</v>
      </c>
      <c r="E473" s="1" t="str">
        <f>VLOOKUP(C473,'Master truck list'!E:M,9,0)</f>
        <v>BNK TRANSPORT INC</v>
      </c>
      <c r="F473" s="1" t="str">
        <f>VLOOKUP(C473,'Master truck list'!E:G,3,0)</f>
        <v>Company</v>
      </c>
      <c r="G473" s="1">
        <f>VLOOKUP(C473,'Master truck list'!E:R,14,0)</f>
        <v>2302</v>
      </c>
      <c r="H473" t="str">
        <f t="shared" ref="H473:H482" si="196">"12/17/2019 7:00:33 AM"</f>
        <v>12/17/2019 7:00:33 AM</v>
      </c>
      <c r="I473" t="str">
        <f>""</f>
        <v/>
      </c>
      <c r="J473" t="str">
        <f t="shared" si="187"/>
        <v>Elite</v>
      </c>
      <c r="K473" t="str">
        <f t="shared" si="194"/>
        <v>Device</v>
      </c>
      <c r="L473" t="str">
        <f>"777174204"</f>
        <v>777174204</v>
      </c>
      <c r="M473" t="str">
        <f>"16483930"</f>
        <v>16483930</v>
      </c>
      <c r="N473" t="str">
        <f>"5038-20"</f>
        <v>5038-20</v>
      </c>
      <c r="O473" t="str">
        <f t="shared" si="188"/>
        <v>TEXAS</v>
      </c>
      <c r="P473" t="str">
        <f t="shared" si="189"/>
        <v>N A</v>
      </c>
      <c r="Q473" t="str">
        <f t="shared" si="190"/>
        <v>N/A</v>
      </c>
      <c r="R473" t="str">
        <f>"130 ARPTP 04 308"</f>
        <v>130 ARPTP 04 308</v>
      </c>
      <c r="S473" t="str">
        <f>"12/16/2019 9:16:20 AM"</f>
        <v>12/16/2019 9:16:20 AM</v>
      </c>
      <c r="T473" t="str">
        <f t="shared" si="181"/>
        <v>5</v>
      </c>
      <c r="U473" t="str">
        <f t="shared" si="191"/>
        <v>N/A</v>
      </c>
      <c r="V473" t="str">
        <f t="shared" si="195"/>
        <v>5.5500</v>
      </c>
    </row>
    <row r="474" spans="1:22" x14ac:dyDescent="0.25">
      <c r="A474" s="1" t="str">
        <f t="shared" si="186"/>
        <v>5038-</v>
      </c>
      <c r="B474" s="1" t="str">
        <f t="shared" si="192"/>
        <v>5038-</v>
      </c>
      <c r="C474" s="1" t="str">
        <f>VLOOKUP(B474,'Master truck list'!D:E,2,0)</f>
        <v>5038-20</v>
      </c>
      <c r="D474" s="1" t="str">
        <f>VLOOKUP(C474,'Master truck list'!E:F,2,0)</f>
        <v>ACTIVE</v>
      </c>
      <c r="E474" s="1" t="str">
        <f>VLOOKUP(C474,'Master truck list'!E:M,9,0)</f>
        <v>BNK TRANSPORT INC</v>
      </c>
      <c r="F474" s="1" t="str">
        <f>VLOOKUP(C474,'Master truck list'!E:G,3,0)</f>
        <v>Company</v>
      </c>
      <c r="G474" s="1">
        <f>VLOOKUP(C474,'Master truck list'!E:R,14,0)</f>
        <v>2302</v>
      </c>
      <c r="H474" t="str">
        <f t="shared" si="196"/>
        <v>12/17/2019 7:00:33 AM</v>
      </c>
      <c r="I474" t="str">
        <f>""</f>
        <v/>
      </c>
      <c r="J474" t="str">
        <f t="shared" si="187"/>
        <v>Elite</v>
      </c>
      <c r="K474" t="str">
        <f t="shared" si="194"/>
        <v>Device</v>
      </c>
      <c r="L474" t="str">
        <f>"777174204"</f>
        <v>777174204</v>
      </c>
      <c r="M474" t="str">
        <f>"16483930"</f>
        <v>16483930</v>
      </c>
      <c r="N474" t="str">
        <f>"5038-20"</f>
        <v>5038-20</v>
      </c>
      <c r="O474" t="str">
        <f t="shared" si="188"/>
        <v>TEXAS</v>
      </c>
      <c r="P474" t="str">
        <f t="shared" si="189"/>
        <v>N A</v>
      </c>
      <c r="Q474" t="str">
        <f t="shared" si="190"/>
        <v>N/A</v>
      </c>
      <c r="R474" t="str">
        <f>"130 CMRNP 08 306"</f>
        <v>130 CMRNP 08 306</v>
      </c>
      <c r="S474" t="str">
        <f>"12/16/2019 8:59:28 AM"</f>
        <v>12/16/2019 8:59:28 AM</v>
      </c>
      <c r="T474" t="str">
        <f t="shared" si="181"/>
        <v>5</v>
      </c>
      <c r="U474" t="str">
        <f t="shared" si="191"/>
        <v>N/A</v>
      </c>
      <c r="V474" t="str">
        <f t="shared" si="195"/>
        <v>5.5500</v>
      </c>
    </row>
    <row r="475" spans="1:22" x14ac:dyDescent="0.25">
      <c r="A475" s="1" t="str">
        <f t="shared" si="186"/>
        <v>5038-</v>
      </c>
      <c r="B475" s="1" t="str">
        <f t="shared" si="192"/>
        <v>5038-</v>
      </c>
      <c r="C475" s="1" t="str">
        <f>VLOOKUP(B475,'Master truck list'!D:E,2,0)</f>
        <v>5038-20</v>
      </c>
      <c r="D475" s="1" t="str">
        <f>VLOOKUP(C475,'Master truck list'!E:F,2,0)</f>
        <v>ACTIVE</v>
      </c>
      <c r="E475" s="1" t="str">
        <f>VLOOKUP(C475,'Master truck list'!E:M,9,0)</f>
        <v>BNK TRANSPORT INC</v>
      </c>
      <c r="F475" s="1" t="str">
        <f>VLOOKUP(C475,'Master truck list'!E:G,3,0)</f>
        <v>Company</v>
      </c>
      <c r="G475" s="1">
        <f>VLOOKUP(C475,'Master truck list'!E:R,14,0)</f>
        <v>2302</v>
      </c>
      <c r="H475" t="str">
        <f t="shared" si="196"/>
        <v>12/17/2019 7:00:33 AM</v>
      </c>
      <c r="I475" t="str">
        <f>""</f>
        <v/>
      </c>
      <c r="J475" t="str">
        <f t="shared" si="187"/>
        <v>Elite</v>
      </c>
      <c r="K475" t="str">
        <f t="shared" si="194"/>
        <v>Device</v>
      </c>
      <c r="L475" t="str">
        <f>"777174204"</f>
        <v>777174204</v>
      </c>
      <c r="M475" t="str">
        <f>"16483930"</f>
        <v>16483930</v>
      </c>
      <c r="N475" t="str">
        <f>"5038-20"</f>
        <v>5038-20</v>
      </c>
      <c r="O475" t="str">
        <f t="shared" si="188"/>
        <v>TEXAS</v>
      </c>
      <c r="P475" t="str">
        <f t="shared" si="189"/>
        <v>N A</v>
      </c>
      <c r="Q475" t="str">
        <f t="shared" si="190"/>
        <v>N/A</v>
      </c>
      <c r="R475" t="str">
        <f>"130 MGCRP 07 305"</f>
        <v>130 MGCRP 07 305</v>
      </c>
      <c r="S475" t="str">
        <f>"12/16/2019 8:48:32 AM"</f>
        <v>12/16/2019 8:48:32 AM</v>
      </c>
      <c r="T475" t="str">
        <f t="shared" si="181"/>
        <v>5</v>
      </c>
      <c r="U475" t="str">
        <f t="shared" si="191"/>
        <v>N/A</v>
      </c>
      <c r="V475" t="str">
        <f t="shared" si="195"/>
        <v>5.5500</v>
      </c>
    </row>
    <row r="476" spans="1:22" x14ac:dyDescent="0.25">
      <c r="A476" s="1" t="str">
        <f t="shared" si="186"/>
        <v>5038-</v>
      </c>
      <c r="B476" s="1" t="str">
        <f t="shared" si="192"/>
        <v>5038-</v>
      </c>
      <c r="C476" s="1" t="str">
        <f>VLOOKUP(B476,'Master truck list'!D:E,2,0)</f>
        <v>5038-20</v>
      </c>
      <c r="D476" s="1" t="str">
        <f>VLOOKUP(C476,'Master truck list'!E:F,2,0)</f>
        <v>ACTIVE</v>
      </c>
      <c r="E476" s="1" t="str">
        <f>VLOOKUP(C476,'Master truck list'!E:M,9,0)</f>
        <v>BNK TRANSPORT INC</v>
      </c>
      <c r="F476" s="1" t="str">
        <f>VLOOKUP(C476,'Master truck list'!E:G,3,0)</f>
        <v>Company</v>
      </c>
      <c r="G476" s="1">
        <f>VLOOKUP(C476,'Master truck list'!E:R,14,0)</f>
        <v>2302</v>
      </c>
      <c r="H476" t="str">
        <f t="shared" si="196"/>
        <v>12/17/2019 7:00:33 AM</v>
      </c>
      <c r="I476" t="str">
        <f>""</f>
        <v/>
      </c>
      <c r="J476" t="str">
        <f t="shared" si="187"/>
        <v>Elite</v>
      </c>
      <c r="K476" t="str">
        <f t="shared" si="194"/>
        <v>Device</v>
      </c>
      <c r="L476" t="str">
        <f>"777174204"</f>
        <v>777174204</v>
      </c>
      <c r="M476" t="str">
        <f>"16483930"</f>
        <v>16483930</v>
      </c>
      <c r="N476" t="str">
        <f>"5038-20"</f>
        <v>5038-20</v>
      </c>
      <c r="O476" t="str">
        <f t="shared" si="188"/>
        <v>TEXAS</v>
      </c>
      <c r="P476" t="str">
        <f t="shared" si="189"/>
        <v>N A</v>
      </c>
      <c r="Q476" t="str">
        <f t="shared" si="190"/>
        <v>N/A</v>
      </c>
      <c r="R476" t="str">
        <f>"45SE MLPWB 01 611"</f>
        <v>45SE MLPWB 01 611</v>
      </c>
      <c r="S476" t="str">
        <f>"12/16/2019 9:26:52 AM"</f>
        <v>12/16/2019 9:26:52 AM</v>
      </c>
      <c r="T476" t="str">
        <f t="shared" si="181"/>
        <v>5</v>
      </c>
      <c r="U476" t="str">
        <f t="shared" si="191"/>
        <v>N/A</v>
      </c>
      <c r="V476" t="str">
        <f>"3.3000"</f>
        <v>3.3000</v>
      </c>
    </row>
    <row r="477" spans="1:22" x14ac:dyDescent="0.25">
      <c r="A477" s="1" t="str">
        <f t="shared" si="186"/>
        <v>5038-</v>
      </c>
      <c r="B477" s="1" t="str">
        <f t="shared" si="192"/>
        <v>5038-</v>
      </c>
      <c r="C477" s="1" t="str">
        <f>VLOOKUP(B477,'Master truck list'!D:E,2,0)</f>
        <v>5038-20</v>
      </c>
      <c r="D477" s="1" t="str">
        <f>VLOOKUP(C477,'Master truck list'!E:F,2,0)</f>
        <v>ACTIVE</v>
      </c>
      <c r="E477" s="1" t="str">
        <f>VLOOKUP(C477,'Master truck list'!E:M,9,0)</f>
        <v>BNK TRANSPORT INC</v>
      </c>
      <c r="F477" s="1" t="str">
        <f>VLOOKUP(C477,'Master truck list'!E:G,3,0)</f>
        <v>Company</v>
      </c>
      <c r="G477" s="1">
        <f>VLOOKUP(C477,'Master truck list'!E:R,14,0)</f>
        <v>2302</v>
      </c>
      <c r="H477" t="str">
        <f t="shared" si="196"/>
        <v>12/17/2019 7:00:33 AM</v>
      </c>
      <c r="I477" t="str">
        <f>""</f>
        <v/>
      </c>
      <c r="J477" t="str">
        <f t="shared" si="187"/>
        <v>Elite</v>
      </c>
      <c r="K477" t="str">
        <f t="shared" si="194"/>
        <v>Device</v>
      </c>
      <c r="L477" t="str">
        <f>"777174204"</f>
        <v>777174204</v>
      </c>
      <c r="M477" t="str">
        <f>"16483930"</f>
        <v>16483930</v>
      </c>
      <c r="N477" t="str">
        <f>"5038-20"</f>
        <v>5038-20</v>
      </c>
      <c r="O477" t="str">
        <f t="shared" si="188"/>
        <v>TEXAS</v>
      </c>
      <c r="P477" t="str">
        <f t="shared" si="189"/>
        <v>N A</v>
      </c>
      <c r="Q477" t="str">
        <f t="shared" si="190"/>
        <v>N/A</v>
      </c>
      <c r="R477" t="str">
        <f>"130 DKCRP 07 307"</f>
        <v>130 DKCRP 07 307</v>
      </c>
      <c r="S477" t="str">
        <f>"12/16/2019 9:09:25 AM"</f>
        <v>12/16/2019 9:09:25 AM</v>
      </c>
      <c r="T477" t="str">
        <f t="shared" si="181"/>
        <v>5</v>
      </c>
      <c r="U477" t="str">
        <f t="shared" si="191"/>
        <v>N/A</v>
      </c>
      <c r="V477" t="str">
        <f>"5.5500"</f>
        <v>5.5500</v>
      </c>
    </row>
    <row r="478" spans="1:22" x14ac:dyDescent="0.25">
      <c r="A478" s="1" t="str">
        <f t="shared" si="186"/>
        <v>5076-</v>
      </c>
      <c r="B478" s="1" t="str">
        <f t="shared" si="192"/>
        <v>5076-</v>
      </c>
      <c r="C478" s="1" t="str">
        <f>VLOOKUP(B478,'Master truck list'!D:E,2,0)</f>
        <v>5076-20</v>
      </c>
      <c r="D478" s="1" t="str">
        <f>VLOOKUP(C478,'Master truck list'!E:F,2,0)</f>
        <v>ACTIVE</v>
      </c>
      <c r="E478" s="1" t="str">
        <f>VLOOKUP(C478,'Master truck list'!E:M,9,0)</f>
        <v>BNK TRANSPORT INC</v>
      </c>
      <c r="F478" s="1" t="str">
        <f>VLOOKUP(C478,'Master truck list'!E:G,3,0)</f>
        <v>Company</v>
      </c>
      <c r="G478" s="1">
        <f>VLOOKUP(C478,'Master truck list'!E:R,14,0)</f>
        <v>2467</v>
      </c>
      <c r="H478" t="str">
        <f t="shared" si="196"/>
        <v>12/17/2019 7:00:33 AM</v>
      </c>
      <c r="I478" t="str">
        <f>""</f>
        <v/>
      </c>
      <c r="J478" t="str">
        <f t="shared" si="187"/>
        <v>Elite</v>
      </c>
      <c r="K478" t="str">
        <f t="shared" si="194"/>
        <v>Device</v>
      </c>
      <c r="L478" t="str">
        <f>"777227246"</f>
        <v>777227246</v>
      </c>
      <c r="M478" t="str">
        <f>"16601203"</f>
        <v>16601203</v>
      </c>
      <c r="N478" t="str">
        <f>"5076-20"</f>
        <v>5076-20</v>
      </c>
      <c r="O478" t="str">
        <f t="shared" si="188"/>
        <v>TEXAS</v>
      </c>
      <c r="P478" t="str">
        <f t="shared" si="189"/>
        <v>N A</v>
      </c>
      <c r="Q478" t="str">
        <f t="shared" si="190"/>
        <v>N/A</v>
      </c>
      <c r="R478" t="str">
        <f>"130 DKCRP 06 307"</f>
        <v>130 DKCRP 06 307</v>
      </c>
      <c r="S478" t="str">
        <f>"12/16/2019 3:45:54 PM"</f>
        <v>12/16/2019 3:45:54 PM</v>
      </c>
      <c r="T478" t="str">
        <f t="shared" si="181"/>
        <v>5</v>
      </c>
      <c r="U478" t="str">
        <f t="shared" si="191"/>
        <v>N/A</v>
      </c>
      <c r="V478" t="str">
        <f>"5.5500"</f>
        <v>5.5500</v>
      </c>
    </row>
    <row r="479" spans="1:22" x14ac:dyDescent="0.25">
      <c r="A479" s="1" t="str">
        <f t="shared" si="186"/>
        <v>5076-</v>
      </c>
      <c r="B479" s="1" t="str">
        <f t="shared" si="192"/>
        <v>5076-</v>
      </c>
      <c r="C479" s="1" t="str">
        <f>VLOOKUP(B479,'Master truck list'!D:E,2,0)</f>
        <v>5076-20</v>
      </c>
      <c r="D479" s="1" t="str">
        <f>VLOOKUP(C479,'Master truck list'!E:F,2,0)</f>
        <v>ACTIVE</v>
      </c>
      <c r="E479" s="1" t="str">
        <f>VLOOKUP(C479,'Master truck list'!E:M,9,0)</f>
        <v>BNK TRANSPORT INC</v>
      </c>
      <c r="F479" s="1" t="str">
        <f>VLOOKUP(C479,'Master truck list'!E:G,3,0)</f>
        <v>Company</v>
      </c>
      <c r="G479" s="1">
        <f>VLOOKUP(C479,'Master truck list'!E:R,14,0)</f>
        <v>2467</v>
      </c>
      <c r="H479" t="str">
        <f t="shared" si="196"/>
        <v>12/17/2019 7:00:33 AM</v>
      </c>
      <c r="I479" t="str">
        <f>""</f>
        <v/>
      </c>
      <c r="J479" t="str">
        <f t="shared" si="187"/>
        <v>Elite</v>
      </c>
      <c r="K479" t="str">
        <f t="shared" si="194"/>
        <v>Device</v>
      </c>
      <c r="L479" t="str">
        <f>"777227246"</f>
        <v>777227246</v>
      </c>
      <c r="M479" t="str">
        <f>"16601203"</f>
        <v>16601203</v>
      </c>
      <c r="N479" t="str">
        <f>"5076-20"</f>
        <v>5076-20</v>
      </c>
      <c r="O479" t="str">
        <f t="shared" si="188"/>
        <v>TEXAS</v>
      </c>
      <c r="P479" t="str">
        <f t="shared" si="189"/>
        <v>N A</v>
      </c>
      <c r="Q479" t="str">
        <f t="shared" si="190"/>
        <v>N/A</v>
      </c>
      <c r="R479" t="str">
        <f>"130 CMRNP 08 306"</f>
        <v>130 CMRNP 08 306</v>
      </c>
      <c r="S479" t="str">
        <f>"12/16/2019 3:35:40 PM"</f>
        <v>12/16/2019 3:35:40 PM</v>
      </c>
      <c r="T479" t="str">
        <f t="shared" si="181"/>
        <v>5</v>
      </c>
      <c r="U479" t="str">
        <f t="shared" si="191"/>
        <v>N/A</v>
      </c>
      <c r="V479" t="str">
        <f>"5.5500"</f>
        <v>5.5500</v>
      </c>
    </row>
    <row r="480" spans="1:22" x14ac:dyDescent="0.25">
      <c r="A480" s="1" t="str">
        <f t="shared" si="186"/>
        <v>5076-</v>
      </c>
      <c r="B480" s="1" t="str">
        <f t="shared" si="192"/>
        <v>5076-</v>
      </c>
      <c r="C480" s="1" t="str">
        <f>VLOOKUP(B480,'Master truck list'!D:E,2,0)</f>
        <v>5076-20</v>
      </c>
      <c r="D480" s="1" t="str">
        <f>VLOOKUP(C480,'Master truck list'!E:F,2,0)</f>
        <v>ACTIVE</v>
      </c>
      <c r="E480" s="1" t="str">
        <f>VLOOKUP(C480,'Master truck list'!E:M,9,0)</f>
        <v>BNK TRANSPORT INC</v>
      </c>
      <c r="F480" s="1" t="str">
        <f>VLOOKUP(C480,'Master truck list'!E:G,3,0)</f>
        <v>Company</v>
      </c>
      <c r="G480" s="1">
        <f>VLOOKUP(C480,'Master truck list'!E:R,14,0)</f>
        <v>2467</v>
      </c>
      <c r="H480" t="str">
        <f t="shared" si="196"/>
        <v>12/17/2019 7:00:33 AM</v>
      </c>
      <c r="I480" t="str">
        <f>""</f>
        <v/>
      </c>
      <c r="J480" t="str">
        <f t="shared" si="187"/>
        <v>Elite</v>
      </c>
      <c r="K480" t="str">
        <f t="shared" si="194"/>
        <v>Device</v>
      </c>
      <c r="L480" t="str">
        <f>"777227246"</f>
        <v>777227246</v>
      </c>
      <c r="M480" t="str">
        <f>"16601203"</f>
        <v>16601203</v>
      </c>
      <c r="N480" t="str">
        <f>"5076-20"</f>
        <v>5076-20</v>
      </c>
      <c r="O480" t="str">
        <f t="shared" si="188"/>
        <v>TEXAS</v>
      </c>
      <c r="P480" t="str">
        <f t="shared" si="189"/>
        <v>N A</v>
      </c>
      <c r="Q480" t="str">
        <f t="shared" si="190"/>
        <v>N/A</v>
      </c>
      <c r="R480" t="str">
        <f>"45SE MLPWB 01 611"</f>
        <v>45SE MLPWB 01 611</v>
      </c>
      <c r="S480" t="str">
        <f>"12/16/2019 4:04:36 PM"</f>
        <v>12/16/2019 4:04:36 PM</v>
      </c>
      <c r="T480" t="str">
        <f t="shared" si="181"/>
        <v>5</v>
      </c>
      <c r="U480" t="str">
        <f t="shared" si="191"/>
        <v>N/A</v>
      </c>
      <c r="V480" t="str">
        <f>"3.3000"</f>
        <v>3.3000</v>
      </c>
    </row>
    <row r="481" spans="1:22" x14ac:dyDescent="0.25">
      <c r="A481" s="1" t="str">
        <f t="shared" si="186"/>
        <v>5076-</v>
      </c>
      <c r="B481" s="1" t="str">
        <f t="shared" si="192"/>
        <v>5076-</v>
      </c>
      <c r="C481" s="1" t="str">
        <f>VLOOKUP(B481,'Master truck list'!D:E,2,0)</f>
        <v>5076-20</v>
      </c>
      <c r="D481" s="1" t="str">
        <f>VLOOKUP(C481,'Master truck list'!E:F,2,0)</f>
        <v>ACTIVE</v>
      </c>
      <c r="E481" s="1" t="str">
        <f>VLOOKUP(C481,'Master truck list'!E:M,9,0)</f>
        <v>BNK TRANSPORT INC</v>
      </c>
      <c r="F481" s="1" t="str">
        <f>VLOOKUP(C481,'Master truck list'!E:G,3,0)</f>
        <v>Company</v>
      </c>
      <c r="G481" s="1">
        <f>VLOOKUP(C481,'Master truck list'!E:R,14,0)</f>
        <v>2467</v>
      </c>
      <c r="H481" t="str">
        <f t="shared" si="196"/>
        <v>12/17/2019 7:00:33 AM</v>
      </c>
      <c r="I481" t="str">
        <f>""</f>
        <v/>
      </c>
      <c r="J481" t="str">
        <f t="shared" si="187"/>
        <v>Elite</v>
      </c>
      <c r="K481" t="str">
        <f t="shared" si="194"/>
        <v>Device</v>
      </c>
      <c r="L481" t="str">
        <f>"777227246"</f>
        <v>777227246</v>
      </c>
      <c r="M481" t="str">
        <f>"16601203"</f>
        <v>16601203</v>
      </c>
      <c r="N481" t="str">
        <f>"5076-20"</f>
        <v>5076-20</v>
      </c>
      <c r="O481" t="str">
        <f t="shared" si="188"/>
        <v>TEXAS</v>
      </c>
      <c r="P481" t="str">
        <f t="shared" si="189"/>
        <v>N A</v>
      </c>
      <c r="Q481" t="str">
        <f t="shared" si="190"/>
        <v>N/A</v>
      </c>
      <c r="R481" t="str">
        <f>"130 MGCRP 06 305"</f>
        <v>130 MGCRP 06 305</v>
      </c>
      <c r="S481" t="str">
        <f>"12/16/2019 3:24:42 PM"</f>
        <v>12/16/2019 3:24:42 PM</v>
      </c>
      <c r="T481" t="str">
        <f t="shared" si="181"/>
        <v>5</v>
      </c>
      <c r="U481" t="str">
        <f t="shared" si="191"/>
        <v>N/A</v>
      </c>
      <c r="V481" t="str">
        <f>"5.5500"</f>
        <v>5.5500</v>
      </c>
    </row>
    <row r="482" spans="1:22" x14ac:dyDescent="0.25">
      <c r="A482" s="1" t="str">
        <f t="shared" si="186"/>
        <v>5076-</v>
      </c>
      <c r="B482" s="1" t="str">
        <f t="shared" si="192"/>
        <v>5076-</v>
      </c>
      <c r="C482" s="1" t="str">
        <f>VLOOKUP(B482,'Master truck list'!D:E,2,0)</f>
        <v>5076-20</v>
      </c>
      <c r="D482" s="1" t="str">
        <f>VLOOKUP(C482,'Master truck list'!E:F,2,0)</f>
        <v>ACTIVE</v>
      </c>
      <c r="E482" s="1" t="str">
        <f>VLOOKUP(C482,'Master truck list'!E:M,9,0)</f>
        <v>BNK TRANSPORT INC</v>
      </c>
      <c r="F482" s="1" t="str">
        <f>VLOOKUP(C482,'Master truck list'!E:G,3,0)</f>
        <v>Company</v>
      </c>
      <c r="G482" s="1">
        <f>VLOOKUP(C482,'Master truck list'!E:R,14,0)</f>
        <v>2467</v>
      </c>
      <c r="H482" t="str">
        <f t="shared" si="196"/>
        <v>12/17/2019 7:00:33 AM</v>
      </c>
      <c r="I482" t="str">
        <f>""</f>
        <v/>
      </c>
      <c r="J482" t="str">
        <f t="shared" si="187"/>
        <v>Elite</v>
      </c>
      <c r="K482" t="str">
        <f t="shared" si="194"/>
        <v>Device</v>
      </c>
      <c r="L482" t="str">
        <f>"777227246"</f>
        <v>777227246</v>
      </c>
      <c r="M482" t="str">
        <f>"16601203"</f>
        <v>16601203</v>
      </c>
      <c r="N482" t="str">
        <f>"5076-20"</f>
        <v>5076-20</v>
      </c>
      <c r="O482" t="str">
        <f t="shared" si="188"/>
        <v>TEXAS</v>
      </c>
      <c r="P482" t="str">
        <f t="shared" si="189"/>
        <v>N A</v>
      </c>
      <c r="Q482" t="str">
        <f t="shared" si="190"/>
        <v>N/A</v>
      </c>
      <c r="R482" t="str">
        <f>"130 ARPTP 04 308"</f>
        <v>130 ARPTP 04 308</v>
      </c>
      <c r="S482" t="str">
        <f>"12/16/2019 3:53:18 PM"</f>
        <v>12/16/2019 3:53:18 PM</v>
      </c>
      <c r="T482" t="str">
        <f t="shared" si="181"/>
        <v>5</v>
      </c>
      <c r="U482" t="str">
        <f t="shared" si="191"/>
        <v>N/A</v>
      </c>
      <c r="V482" t="str">
        <f>"5.5500"</f>
        <v>5.5500</v>
      </c>
    </row>
    <row r="483" spans="1:22" x14ac:dyDescent="0.25">
      <c r="A483" s="1" t="str">
        <f t="shared" si="186"/>
        <v>5097-</v>
      </c>
      <c r="B483" s="1" t="str">
        <f t="shared" si="192"/>
        <v>5097-</v>
      </c>
      <c r="C483" s="1" t="str">
        <f>VLOOKUP(B483,'Master truck list'!D:E,2,0)</f>
        <v>5097-20</v>
      </c>
      <c r="D483" s="1" t="str">
        <f>VLOOKUP(C483,'Master truck list'!E:F,2,0)</f>
        <v>ACTIVE</v>
      </c>
      <c r="E483" s="1" t="str">
        <f>VLOOKUP(C483,'Master truck list'!E:M,9,0)</f>
        <v>BNK TRANSPORT INC</v>
      </c>
      <c r="F483" s="1" t="str">
        <f>VLOOKUP(C483,'Master truck list'!E:G,3,0)</f>
        <v>Company</v>
      </c>
      <c r="G483" s="1">
        <f>VLOOKUP(C483,'Master truck list'!E:R,14,0)</f>
        <v>2546</v>
      </c>
      <c r="H483" t="str">
        <f>"12/20/2019 7:00:30 AM"</f>
        <v>12/20/2019 7:00:30 AM</v>
      </c>
      <c r="I483" t="str">
        <f>""</f>
        <v/>
      </c>
      <c r="J483" t="str">
        <f t="shared" si="187"/>
        <v>Elite</v>
      </c>
      <c r="K483" t="str">
        <f t="shared" si="194"/>
        <v>Device</v>
      </c>
      <c r="L483" t="str">
        <f>"777226908"</f>
        <v>777226908</v>
      </c>
      <c r="M483" t="str">
        <f>"16600865"</f>
        <v>16600865</v>
      </c>
      <c r="N483" t="str">
        <f>"5097-20"</f>
        <v>5097-20</v>
      </c>
      <c r="O483" t="str">
        <f t="shared" si="188"/>
        <v>TEXAS</v>
      </c>
      <c r="P483" t="str">
        <f t="shared" si="189"/>
        <v>N A</v>
      </c>
      <c r="Q483" t="str">
        <f t="shared" si="190"/>
        <v>N/A</v>
      </c>
      <c r="R483" t="str">
        <f>"130 DKCRP 06 307"</f>
        <v>130 DKCRP 06 307</v>
      </c>
      <c r="S483" t="str">
        <f>"12/19/2019 3:34:57 PM"</f>
        <v>12/19/2019 3:34:57 PM</v>
      </c>
      <c r="T483" t="str">
        <f t="shared" si="181"/>
        <v>5</v>
      </c>
      <c r="U483" t="str">
        <f t="shared" si="191"/>
        <v>N/A</v>
      </c>
      <c r="V483" t="str">
        <f>"5.5500"</f>
        <v>5.5500</v>
      </c>
    </row>
    <row r="484" spans="1:22" x14ac:dyDescent="0.25">
      <c r="A484" s="1" t="str">
        <f t="shared" si="186"/>
        <v>5097-</v>
      </c>
      <c r="B484" s="1" t="str">
        <f t="shared" si="192"/>
        <v>5097-</v>
      </c>
      <c r="C484" s="1" t="str">
        <f>VLOOKUP(B484,'Master truck list'!D:E,2,0)</f>
        <v>5097-20</v>
      </c>
      <c r="D484" s="1" t="str">
        <f>VLOOKUP(C484,'Master truck list'!E:F,2,0)</f>
        <v>ACTIVE</v>
      </c>
      <c r="E484" s="1" t="str">
        <f>VLOOKUP(C484,'Master truck list'!E:M,9,0)</f>
        <v>BNK TRANSPORT INC</v>
      </c>
      <c r="F484" s="1" t="str">
        <f>VLOOKUP(C484,'Master truck list'!E:G,3,0)</f>
        <v>Company</v>
      </c>
      <c r="G484" s="1">
        <f>VLOOKUP(C484,'Master truck list'!E:R,14,0)</f>
        <v>2546</v>
      </c>
      <c r="H484" t="str">
        <f>"12/20/2019 7:00:30 AM"</f>
        <v>12/20/2019 7:00:30 AM</v>
      </c>
      <c r="I484" t="str">
        <f>""</f>
        <v/>
      </c>
      <c r="J484" t="str">
        <f t="shared" si="187"/>
        <v>Elite</v>
      </c>
      <c r="K484" t="str">
        <f t="shared" si="194"/>
        <v>Device</v>
      </c>
      <c r="L484" t="str">
        <f>"777226908"</f>
        <v>777226908</v>
      </c>
      <c r="M484" t="str">
        <f>"16600865"</f>
        <v>16600865</v>
      </c>
      <c r="N484" t="str">
        <f>"5097-20"</f>
        <v>5097-20</v>
      </c>
      <c r="O484" t="str">
        <f t="shared" si="188"/>
        <v>TEXAS</v>
      </c>
      <c r="P484" t="str">
        <f t="shared" si="189"/>
        <v>N A</v>
      </c>
      <c r="Q484" t="str">
        <f t="shared" si="190"/>
        <v>N/A</v>
      </c>
      <c r="R484" t="str">
        <f>"45SE MLPWB 01 611"</f>
        <v>45SE MLPWB 01 611</v>
      </c>
      <c r="S484" t="str">
        <f>"12/19/2019 3:52:50 PM"</f>
        <v>12/19/2019 3:52:50 PM</v>
      </c>
      <c r="T484" t="str">
        <f t="shared" si="181"/>
        <v>5</v>
      </c>
      <c r="U484" t="str">
        <f t="shared" si="191"/>
        <v>N/A</v>
      </c>
      <c r="V484" t="str">
        <f>"3.3000"</f>
        <v>3.3000</v>
      </c>
    </row>
    <row r="485" spans="1:22" x14ac:dyDescent="0.25">
      <c r="A485" s="1" t="str">
        <f t="shared" si="186"/>
        <v>5097-</v>
      </c>
      <c r="B485" s="1" t="str">
        <f t="shared" si="192"/>
        <v>5097-</v>
      </c>
      <c r="C485" s="1" t="str">
        <f>VLOOKUP(B485,'Master truck list'!D:E,2,0)</f>
        <v>5097-20</v>
      </c>
      <c r="D485" s="1" t="str">
        <f>VLOOKUP(C485,'Master truck list'!E:F,2,0)</f>
        <v>ACTIVE</v>
      </c>
      <c r="E485" s="1" t="str">
        <f>VLOOKUP(C485,'Master truck list'!E:M,9,0)</f>
        <v>BNK TRANSPORT INC</v>
      </c>
      <c r="F485" s="1" t="str">
        <f>VLOOKUP(C485,'Master truck list'!E:G,3,0)</f>
        <v>Company</v>
      </c>
      <c r="G485" s="1">
        <f>VLOOKUP(C485,'Master truck list'!E:R,14,0)</f>
        <v>2546</v>
      </c>
      <c r="H485" t="str">
        <f>"12/20/2019 7:00:30 AM"</f>
        <v>12/20/2019 7:00:30 AM</v>
      </c>
      <c r="I485" t="str">
        <f>""</f>
        <v/>
      </c>
      <c r="J485" t="str">
        <f t="shared" si="187"/>
        <v>Elite</v>
      </c>
      <c r="K485" t="str">
        <f t="shared" si="194"/>
        <v>Device</v>
      </c>
      <c r="L485" t="str">
        <f>"777226908"</f>
        <v>777226908</v>
      </c>
      <c r="M485" t="str">
        <f>"16600865"</f>
        <v>16600865</v>
      </c>
      <c r="N485" t="str">
        <f>"5097-20"</f>
        <v>5097-20</v>
      </c>
      <c r="O485" t="str">
        <f t="shared" si="188"/>
        <v>TEXAS</v>
      </c>
      <c r="P485" t="str">
        <f t="shared" si="189"/>
        <v>N A</v>
      </c>
      <c r="Q485" t="str">
        <f t="shared" si="190"/>
        <v>N/A</v>
      </c>
      <c r="R485" t="str">
        <f>"130 CMRNP 08 306"</f>
        <v>130 CMRNP 08 306</v>
      </c>
      <c r="S485" t="str">
        <f>"12/19/2019 3:24:36 PM"</f>
        <v>12/19/2019 3:24:36 PM</v>
      </c>
      <c r="T485" t="str">
        <f t="shared" si="181"/>
        <v>5</v>
      </c>
      <c r="U485" t="str">
        <f t="shared" si="191"/>
        <v>N/A</v>
      </c>
      <c r="V485" t="str">
        <f t="shared" ref="V485:V490" si="197">"5.5500"</f>
        <v>5.5500</v>
      </c>
    </row>
    <row r="486" spans="1:22" x14ac:dyDescent="0.25">
      <c r="A486" s="1" t="str">
        <f t="shared" si="186"/>
        <v>5097-</v>
      </c>
      <c r="B486" s="1" t="str">
        <f t="shared" si="192"/>
        <v>5097-</v>
      </c>
      <c r="C486" s="1" t="str">
        <f>VLOOKUP(B486,'Master truck list'!D:E,2,0)</f>
        <v>5097-20</v>
      </c>
      <c r="D486" s="1" t="str">
        <f>VLOOKUP(C486,'Master truck list'!E:F,2,0)</f>
        <v>ACTIVE</v>
      </c>
      <c r="E486" s="1" t="str">
        <f>VLOOKUP(C486,'Master truck list'!E:M,9,0)</f>
        <v>BNK TRANSPORT INC</v>
      </c>
      <c r="F486" s="1" t="str">
        <f>VLOOKUP(C486,'Master truck list'!E:G,3,0)</f>
        <v>Company</v>
      </c>
      <c r="G486" s="1">
        <f>VLOOKUP(C486,'Master truck list'!E:R,14,0)</f>
        <v>2546</v>
      </c>
      <c r="H486" t="str">
        <f>"12/20/2019 7:00:30 AM"</f>
        <v>12/20/2019 7:00:30 AM</v>
      </c>
      <c r="I486" t="str">
        <f>""</f>
        <v/>
      </c>
      <c r="J486" t="str">
        <f t="shared" si="187"/>
        <v>Elite</v>
      </c>
      <c r="K486" t="str">
        <f t="shared" si="194"/>
        <v>Device</v>
      </c>
      <c r="L486" t="str">
        <f>"777226908"</f>
        <v>777226908</v>
      </c>
      <c r="M486" t="str">
        <f>"16600865"</f>
        <v>16600865</v>
      </c>
      <c r="N486" t="str">
        <f>"5097-20"</f>
        <v>5097-20</v>
      </c>
      <c r="O486" t="str">
        <f t="shared" si="188"/>
        <v>TEXAS</v>
      </c>
      <c r="P486" t="str">
        <f t="shared" si="189"/>
        <v>N A</v>
      </c>
      <c r="Q486" t="str">
        <f t="shared" si="190"/>
        <v>N/A</v>
      </c>
      <c r="R486" t="str">
        <f>"130 MGCRP 06 305"</f>
        <v>130 MGCRP 06 305</v>
      </c>
      <c r="S486" t="str">
        <f>"12/19/2019 3:13:30 PM"</f>
        <v>12/19/2019 3:13:30 PM</v>
      </c>
      <c r="T486" t="str">
        <f t="shared" si="181"/>
        <v>5</v>
      </c>
      <c r="U486" t="str">
        <f t="shared" si="191"/>
        <v>N/A</v>
      </c>
      <c r="V486" t="str">
        <f t="shared" si="197"/>
        <v>5.5500</v>
      </c>
    </row>
    <row r="487" spans="1:22" x14ac:dyDescent="0.25">
      <c r="A487" s="1" t="str">
        <f t="shared" si="186"/>
        <v>5097-</v>
      </c>
      <c r="B487" s="1" t="str">
        <f t="shared" si="192"/>
        <v>5097-</v>
      </c>
      <c r="C487" s="1" t="str">
        <f>VLOOKUP(B487,'Master truck list'!D:E,2,0)</f>
        <v>5097-20</v>
      </c>
      <c r="D487" s="1" t="str">
        <f>VLOOKUP(C487,'Master truck list'!E:F,2,0)</f>
        <v>ACTIVE</v>
      </c>
      <c r="E487" s="1" t="str">
        <f>VLOOKUP(C487,'Master truck list'!E:M,9,0)</f>
        <v>BNK TRANSPORT INC</v>
      </c>
      <c r="F487" s="1" t="str">
        <f>VLOOKUP(C487,'Master truck list'!E:G,3,0)</f>
        <v>Company</v>
      </c>
      <c r="G487" s="1">
        <f>VLOOKUP(C487,'Master truck list'!E:R,14,0)</f>
        <v>2546</v>
      </c>
      <c r="H487" t="str">
        <f>"12/20/2019 7:00:30 AM"</f>
        <v>12/20/2019 7:00:30 AM</v>
      </c>
      <c r="I487" t="str">
        <f>""</f>
        <v/>
      </c>
      <c r="J487" t="str">
        <f t="shared" si="187"/>
        <v>Elite</v>
      </c>
      <c r="K487" t="str">
        <f t="shared" si="194"/>
        <v>Device</v>
      </c>
      <c r="L487" t="str">
        <f>"777226908"</f>
        <v>777226908</v>
      </c>
      <c r="M487" t="str">
        <f>"16600865"</f>
        <v>16600865</v>
      </c>
      <c r="N487" t="str">
        <f>"5097-20"</f>
        <v>5097-20</v>
      </c>
      <c r="O487" t="str">
        <f t="shared" si="188"/>
        <v>TEXAS</v>
      </c>
      <c r="P487" t="str">
        <f t="shared" si="189"/>
        <v>N A</v>
      </c>
      <c r="Q487" t="str">
        <f t="shared" si="190"/>
        <v>N/A</v>
      </c>
      <c r="R487" t="str">
        <f>"130 ARPTP 04 308"</f>
        <v>130 ARPTP 04 308</v>
      </c>
      <c r="S487" t="str">
        <f>"12/19/2019 3:42:03 PM"</f>
        <v>12/19/2019 3:42:03 PM</v>
      </c>
      <c r="T487" t="str">
        <f t="shared" si="181"/>
        <v>5</v>
      </c>
      <c r="U487" t="str">
        <f t="shared" si="191"/>
        <v>N/A</v>
      </c>
      <c r="V487" t="str">
        <f t="shared" si="197"/>
        <v>5.5500</v>
      </c>
    </row>
    <row r="488" spans="1:22" x14ac:dyDescent="0.25">
      <c r="A488" s="1" t="str">
        <f t="shared" si="186"/>
        <v>5096-</v>
      </c>
      <c r="B488" s="1" t="str">
        <f t="shared" si="192"/>
        <v>5096-</v>
      </c>
      <c r="C488" s="1" t="str">
        <f>VLOOKUP(B488,'Master truck list'!D:E,2,0)</f>
        <v>5096-20</v>
      </c>
      <c r="D488" s="1" t="str">
        <f>VLOOKUP(C488,'Master truck list'!E:F,2,0)</f>
        <v>ACTIVE</v>
      </c>
      <c r="E488" s="1" t="str">
        <f>VLOOKUP(C488,'Master truck list'!E:M,9,0)</f>
        <v>BNK TRANSPORT INC</v>
      </c>
      <c r="F488" s="1" t="str">
        <f>VLOOKUP(C488,'Master truck list'!E:G,3,0)</f>
        <v>Company</v>
      </c>
      <c r="G488" s="1">
        <f>VLOOKUP(C488,'Master truck list'!E:R,14,0)</f>
        <v>2545</v>
      </c>
      <c r="H488" t="str">
        <f>"12/19/2019 7:00:35 AM"</f>
        <v>12/19/2019 7:00:35 AM</v>
      </c>
      <c r="I488" t="str">
        <f>""</f>
        <v/>
      </c>
      <c r="J488" t="str">
        <f t="shared" si="187"/>
        <v>Elite</v>
      </c>
      <c r="K488" t="str">
        <f t="shared" si="194"/>
        <v>Device</v>
      </c>
      <c r="L488" t="str">
        <f t="shared" ref="L488:L497" si="198">"777226278"</f>
        <v>777226278</v>
      </c>
      <c r="M488" t="str">
        <f t="shared" ref="M488:M497" si="199">"16600235"</f>
        <v>16600235</v>
      </c>
      <c r="N488" t="str">
        <f t="shared" ref="N488:N497" si="200">"5096-20"</f>
        <v>5096-20</v>
      </c>
      <c r="O488" t="str">
        <f t="shared" si="188"/>
        <v>TEXAS</v>
      </c>
      <c r="P488" t="str">
        <f t="shared" si="189"/>
        <v>N A</v>
      </c>
      <c r="Q488" t="str">
        <f t="shared" si="190"/>
        <v>N/A</v>
      </c>
      <c r="R488" t="str">
        <f>"130 DKCRP 11 307"</f>
        <v>130 DKCRP 11 307</v>
      </c>
      <c r="S488" t="str">
        <f>"12/18/2019 2:42:30 PM"</f>
        <v>12/18/2019 2:42:30 PM</v>
      </c>
      <c r="T488" t="str">
        <f t="shared" si="181"/>
        <v>5</v>
      </c>
      <c r="U488" t="str">
        <f t="shared" si="191"/>
        <v>N/A</v>
      </c>
      <c r="V488" t="str">
        <f t="shared" si="197"/>
        <v>5.5500</v>
      </c>
    </row>
    <row r="489" spans="1:22" x14ac:dyDescent="0.25">
      <c r="A489" s="1" t="str">
        <f t="shared" si="186"/>
        <v>5096-</v>
      </c>
      <c r="B489" s="1" t="str">
        <f t="shared" si="192"/>
        <v>5096-</v>
      </c>
      <c r="C489" s="1" t="str">
        <f>VLOOKUP(B489,'Master truck list'!D:E,2,0)</f>
        <v>5096-20</v>
      </c>
      <c r="D489" s="1" t="str">
        <f>VLOOKUP(C489,'Master truck list'!E:F,2,0)</f>
        <v>ACTIVE</v>
      </c>
      <c r="E489" s="1" t="str">
        <f>VLOOKUP(C489,'Master truck list'!E:M,9,0)</f>
        <v>BNK TRANSPORT INC</v>
      </c>
      <c r="F489" s="1" t="str">
        <f>VLOOKUP(C489,'Master truck list'!E:G,3,0)</f>
        <v>Company</v>
      </c>
      <c r="G489" s="1">
        <f>VLOOKUP(C489,'Master truck list'!E:R,14,0)</f>
        <v>2545</v>
      </c>
      <c r="H489" t="str">
        <f>"12/19/2019 7:00:35 AM"</f>
        <v>12/19/2019 7:00:35 AM</v>
      </c>
      <c r="I489" t="str">
        <f>""</f>
        <v/>
      </c>
      <c r="J489" t="str">
        <f t="shared" si="187"/>
        <v>Elite</v>
      </c>
      <c r="K489" t="str">
        <f t="shared" si="194"/>
        <v>Device</v>
      </c>
      <c r="L489" t="str">
        <f t="shared" si="198"/>
        <v>777226278</v>
      </c>
      <c r="M489" t="str">
        <f t="shared" si="199"/>
        <v>16600235</v>
      </c>
      <c r="N489" t="str">
        <f t="shared" si="200"/>
        <v>5096-20</v>
      </c>
      <c r="O489" t="str">
        <f t="shared" si="188"/>
        <v>TEXAS</v>
      </c>
      <c r="P489" t="str">
        <f t="shared" si="189"/>
        <v>N A</v>
      </c>
      <c r="Q489" t="str">
        <f t="shared" si="190"/>
        <v>N/A</v>
      </c>
      <c r="R489" t="str">
        <f>"130 MGCRP 11 305"</f>
        <v>130 MGCRP 11 305</v>
      </c>
      <c r="S489" t="str">
        <f>"12/18/2019 3:03:37 PM"</f>
        <v>12/18/2019 3:03:37 PM</v>
      </c>
      <c r="T489" t="str">
        <f t="shared" si="181"/>
        <v>5</v>
      </c>
      <c r="U489" t="str">
        <f t="shared" si="191"/>
        <v>N/A</v>
      </c>
      <c r="V489" t="str">
        <f t="shared" si="197"/>
        <v>5.5500</v>
      </c>
    </row>
    <row r="490" spans="1:22" x14ac:dyDescent="0.25">
      <c r="A490" s="1" t="str">
        <f t="shared" si="186"/>
        <v>5096-</v>
      </c>
      <c r="B490" s="1" t="str">
        <f t="shared" si="192"/>
        <v>5096-</v>
      </c>
      <c r="C490" s="1" t="str">
        <f>VLOOKUP(B490,'Master truck list'!D:E,2,0)</f>
        <v>5096-20</v>
      </c>
      <c r="D490" s="1" t="str">
        <f>VLOOKUP(C490,'Master truck list'!E:F,2,0)</f>
        <v>ACTIVE</v>
      </c>
      <c r="E490" s="1" t="str">
        <f>VLOOKUP(C490,'Master truck list'!E:M,9,0)</f>
        <v>BNK TRANSPORT INC</v>
      </c>
      <c r="F490" s="1" t="str">
        <f>VLOOKUP(C490,'Master truck list'!E:G,3,0)</f>
        <v>Company</v>
      </c>
      <c r="G490" s="1">
        <f>VLOOKUP(C490,'Master truck list'!E:R,14,0)</f>
        <v>2545</v>
      </c>
      <c r="H490" t="str">
        <f>"12/18/2019 7:00:28 AM"</f>
        <v>12/18/2019 7:00:28 AM</v>
      </c>
      <c r="I490" t="str">
        <f>""</f>
        <v/>
      </c>
      <c r="J490" t="str">
        <f t="shared" si="187"/>
        <v>Elite</v>
      </c>
      <c r="K490" t="str">
        <f t="shared" si="194"/>
        <v>Device</v>
      </c>
      <c r="L490" t="str">
        <f t="shared" si="198"/>
        <v>777226278</v>
      </c>
      <c r="M490" t="str">
        <f t="shared" si="199"/>
        <v>16600235</v>
      </c>
      <c r="N490" t="str">
        <f t="shared" si="200"/>
        <v>5096-20</v>
      </c>
      <c r="O490" t="str">
        <f t="shared" si="188"/>
        <v>TEXAS</v>
      </c>
      <c r="P490" t="str">
        <f t="shared" si="189"/>
        <v>N A</v>
      </c>
      <c r="Q490" t="str">
        <f t="shared" si="190"/>
        <v>N/A</v>
      </c>
      <c r="R490" t="str">
        <f>"130 ARPTP 05 308"</f>
        <v>130 ARPTP 05 308</v>
      </c>
      <c r="S490" t="str">
        <f>"12/17/2019 2:47:12 PM"</f>
        <v>12/17/2019 2:47:12 PM</v>
      </c>
      <c r="T490" t="str">
        <f t="shared" si="181"/>
        <v>5</v>
      </c>
      <c r="U490" t="str">
        <f t="shared" si="191"/>
        <v>N/A</v>
      </c>
      <c r="V490" t="str">
        <f t="shared" si="197"/>
        <v>5.5500</v>
      </c>
    </row>
    <row r="491" spans="1:22" x14ac:dyDescent="0.25">
      <c r="A491" s="1" t="str">
        <f t="shared" si="186"/>
        <v>5096-</v>
      </c>
      <c r="B491" s="1" t="str">
        <f t="shared" si="192"/>
        <v>5096-</v>
      </c>
      <c r="C491" s="1" t="str">
        <f>VLOOKUP(B491,'Master truck list'!D:E,2,0)</f>
        <v>5096-20</v>
      </c>
      <c r="D491" s="1" t="str">
        <f>VLOOKUP(C491,'Master truck list'!E:F,2,0)</f>
        <v>ACTIVE</v>
      </c>
      <c r="E491" s="1" t="str">
        <f>VLOOKUP(C491,'Master truck list'!E:M,9,0)</f>
        <v>BNK TRANSPORT INC</v>
      </c>
      <c r="F491" s="1" t="str">
        <f>VLOOKUP(C491,'Master truck list'!E:G,3,0)</f>
        <v>Company</v>
      </c>
      <c r="G491" s="1">
        <f>VLOOKUP(C491,'Master truck list'!E:R,14,0)</f>
        <v>2545</v>
      </c>
      <c r="H491" t="str">
        <f>"12/18/2019 7:00:28 AM"</f>
        <v>12/18/2019 7:00:28 AM</v>
      </c>
      <c r="I491" t="str">
        <f>""</f>
        <v/>
      </c>
      <c r="J491" t="str">
        <f t="shared" si="187"/>
        <v>Elite</v>
      </c>
      <c r="K491" t="str">
        <f t="shared" si="194"/>
        <v>Device</v>
      </c>
      <c r="L491" t="str">
        <f t="shared" si="198"/>
        <v>777226278</v>
      </c>
      <c r="M491" t="str">
        <f t="shared" si="199"/>
        <v>16600235</v>
      </c>
      <c r="N491" t="str">
        <f t="shared" si="200"/>
        <v>5096-20</v>
      </c>
      <c r="O491" t="str">
        <f t="shared" si="188"/>
        <v>TEXAS</v>
      </c>
      <c r="P491" t="str">
        <f t="shared" si="189"/>
        <v>N A</v>
      </c>
      <c r="Q491" t="str">
        <f t="shared" si="190"/>
        <v>N/A</v>
      </c>
      <c r="R491" t="str">
        <f>"130 C138E 02 306"</f>
        <v>130 C138E 02 306</v>
      </c>
      <c r="S491" t="str">
        <f>"12/17/2019 2:25:15 PM"</f>
        <v>12/17/2019 2:25:15 PM</v>
      </c>
      <c r="T491" t="str">
        <f t="shared" si="181"/>
        <v>5</v>
      </c>
      <c r="U491" t="str">
        <f t="shared" si="191"/>
        <v>N/A</v>
      </c>
      <c r="V491" t="str">
        <f>"2.3700"</f>
        <v>2.3700</v>
      </c>
    </row>
    <row r="492" spans="1:22" x14ac:dyDescent="0.25">
      <c r="A492" s="1" t="str">
        <f t="shared" si="186"/>
        <v>5096-</v>
      </c>
      <c r="B492" s="1" t="str">
        <f t="shared" si="192"/>
        <v>5096-</v>
      </c>
      <c r="C492" s="1" t="str">
        <f>VLOOKUP(B492,'Master truck list'!D:E,2,0)</f>
        <v>5096-20</v>
      </c>
      <c r="D492" s="1" t="str">
        <f>VLOOKUP(C492,'Master truck list'!E:F,2,0)</f>
        <v>ACTIVE</v>
      </c>
      <c r="E492" s="1" t="str">
        <f>VLOOKUP(C492,'Master truck list'!E:M,9,0)</f>
        <v>BNK TRANSPORT INC</v>
      </c>
      <c r="F492" s="1" t="str">
        <f>VLOOKUP(C492,'Master truck list'!E:G,3,0)</f>
        <v>Company</v>
      </c>
      <c r="G492" s="1">
        <f>VLOOKUP(C492,'Master truck list'!E:R,14,0)</f>
        <v>2545</v>
      </c>
      <c r="H492" t="str">
        <f>"12/19/2019 7:00:35 AM"</f>
        <v>12/19/2019 7:00:35 AM</v>
      </c>
      <c r="I492" t="str">
        <f>""</f>
        <v/>
      </c>
      <c r="J492" t="str">
        <f t="shared" si="187"/>
        <v>Elite</v>
      </c>
      <c r="K492" t="str">
        <f t="shared" si="194"/>
        <v>Device</v>
      </c>
      <c r="L492" t="str">
        <f t="shared" si="198"/>
        <v>777226278</v>
      </c>
      <c r="M492" t="str">
        <f t="shared" si="199"/>
        <v>16600235</v>
      </c>
      <c r="N492" t="str">
        <f t="shared" si="200"/>
        <v>5096-20</v>
      </c>
      <c r="O492" t="str">
        <f t="shared" si="188"/>
        <v>TEXAS</v>
      </c>
      <c r="P492" t="str">
        <f t="shared" si="189"/>
        <v>N A</v>
      </c>
      <c r="Q492" t="str">
        <f t="shared" si="190"/>
        <v>N/A</v>
      </c>
      <c r="R492" t="str">
        <f>"130 BLUESP 01 4110"</f>
        <v>130 BLUESP 01 4110</v>
      </c>
      <c r="S492" t="str">
        <f>"12/17/2019 3:12:20 PM"</f>
        <v>12/17/2019 3:12:20 PM</v>
      </c>
      <c r="T492" t="str">
        <f>"15"</f>
        <v>15</v>
      </c>
      <c r="U492" t="str">
        <f t="shared" si="191"/>
        <v>N/A</v>
      </c>
      <c r="V492" t="str">
        <f>"20.4900"</f>
        <v>20.4900</v>
      </c>
    </row>
    <row r="493" spans="1:22" x14ac:dyDescent="0.25">
      <c r="A493" s="1" t="str">
        <f t="shared" si="186"/>
        <v>5096-</v>
      </c>
      <c r="B493" s="1" t="str">
        <f t="shared" si="192"/>
        <v>5096-</v>
      </c>
      <c r="C493" s="1" t="str">
        <f>VLOOKUP(B493,'Master truck list'!D:E,2,0)</f>
        <v>5096-20</v>
      </c>
      <c r="D493" s="1" t="str">
        <f>VLOOKUP(C493,'Master truck list'!E:F,2,0)</f>
        <v>ACTIVE</v>
      </c>
      <c r="E493" s="1" t="str">
        <f>VLOOKUP(C493,'Master truck list'!E:M,9,0)</f>
        <v>BNK TRANSPORT INC</v>
      </c>
      <c r="F493" s="1" t="str">
        <f>VLOOKUP(C493,'Master truck list'!E:G,3,0)</f>
        <v>Company</v>
      </c>
      <c r="G493" s="1">
        <f>VLOOKUP(C493,'Master truck list'!E:R,14,0)</f>
        <v>2545</v>
      </c>
      <c r="H493" t="str">
        <f>"12/19/2019 7:00:35 AM"</f>
        <v>12/19/2019 7:00:35 AM</v>
      </c>
      <c r="I493" t="str">
        <f>""</f>
        <v/>
      </c>
      <c r="J493" t="str">
        <f t="shared" si="187"/>
        <v>Elite</v>
      </c>
      <c r="K493" t="str">
        <f t="shared" si="194"/>
        <v>Device</v>
      </c>
      <c r="L493" t="str">
        <f t="shared" si="198"/>
        <v>777226278</v>
      </c>
      <c r="M493" t="str">
        <f t="shared" si="199"/>
        <v>16600235</v>
      </c>
      <c r="N493" t="str">
        <f t="shared" si="200"/>
        <v>5096-20</v>
      </c>
      <c r="O493" t="str">
        <f t="shared" si="188"/>
        <v>TEXAS</v>
      </c>
      <c r="P493" t="str">
        <f t="shared" si="189"/>
        <v>N A</v>
      </c>
      <c r="Q493" t="str">
        <f t="shared" si="190"/>
        <v>N/A</v>
      </c>
      <c r="R493" t="str">
        <f>"130 CMRNP 13 306"</f>
        <v>130 CMRNP 13 306</v>
      </c>
      <c r="S493" t="str">
        <f>"12/18/2019 2:52:33 PM"</f>
        <v>12/18/2019 2:52:33 PM</v>
      </c>
      <c r="T493" t="str">
        <f t="shared" ref="T493:T556" si="201">"5"</f>
        <v>5</v>
      </c>
      <c r="U493" t="str">
        <f t="shared" si="191"/>
        <v>N/A</v>
      </c>
      <c r="V493" t="str">
        <f t="shared" ref="V493:V503" si="202">"5.5500"</f>
        <v>5.5500</v>
      </c>
    </row>
    <row r="494" spans="1:22" x14ac:dyDescent="0.25">
      <c r="A494" s="1" t="str">
        <f t="shared" si="186"/>
        <v>5096-</v>
      </c>
      <c r="B494" s="1" t="str">
        <f t="shared" si="192"/>
        <v>5096-</v>
      </c>
      <c r="C494" s="1" t="str">
        <f>VLOOKUP(B494,'Master truck list'!D:E,2,0)</f>
        <v>5096-20</v>
      </c>
      <c r="D494" s="1" t="str">
        <f>VLOOKUP(C494,'Master truck list'!E:F,2,0)</f>
        <v>ACTIVE</v>
      </c>
      <c r="E494" s="1" t="str">
        <f>VLOOKUP(C494,'Master truck list'!E:M,9,0)</f>
        <v>BNK TRANSPORT INC</v>
      </c>
      <c r="F494" s="1" t="str">
        <f>VLOOKUP(C494,'Master truck list'!E:G,3,0)</f>
        <v>Company</v>
      </c>
      <c r="G494" s="1">
        <f>VLOOKUP(C494,'Master truck list'!E:R,14,0)</f>
        <v>2545</v>
      </c>
      <c r="H494" t="str">
        <f>"12/19/2019 7:00:35 AM"</f>
        <v>12/19/2019 7:00:35 AM</v>
      </c>
      <c r="I494" t="str">
        <f>""</f>
        <v/>
      </c>
      <c r="J494" t="str">
        <f t="shared" si="187"/>
        <v>Elite</v>
      </c>
      <c r="K494" t="str">
        <f t="shared" si="194"/>
        <v>Device</v>
      </c>
      <c r="L494" t="str">
        <f t="shared" si="198"/>
        <v>777226278</v>
      </c>
      <c r="M494" t="str">
        <f t="shared" si="199"/>
        <v>16600235</v>
      </c>
      <c r="N494" t="str">
        <f t="shared" si="200"/>
        <v>5096-20</v>
      </c>
      <c r="O494" t="str">
        <f t="shared" si="188"/>
        <v>TEXAS</v>
      </c>
      <c r="P494" t="str">
        <f t="shared" si="189"/>
        <v>N A</v>
      </c>
      <c r="Q494" t="str">
        <f t="shared" si="190"/>
        <v>N/A</v>
      </c>
      <c r="R494" t="str">
        <f>"130 ARPTP 09 308"</f>
        <v>130 ARPTP 09 308</v>
      </c>
      <c r="S494" t="str">
        <f>"12/18/2019 2:35:33 PM"</f>
        <v>12/18/2019 2:35:33 PM</v>
      </c>
      <c r="T494" t="str">
        <f t="shared" si="201"/>
        <v>5</v>
      </c>
      <c r="U494" t="str">
        <f t="shared" si="191"/>
        <v>N/A</v>
      </c>
      <c r="V494" t="str">
        <f t="shared" si="202"/>
        <v>5.5500</v>
      </c>
    </row>
    <row r="495" spans="1:22" x14ac:dyDescent="0.25">
      <c r="A495" s="1" t="str">
        <f t="shared" si="186"/>
        <v>5096-</v>
      </c>
      <c r="B495" s="1" t="str">
        <f t="shared" si="192"/>
        <v>5096-</v>
      </c>
      <c r="C495" s="1" t="str">
        <f>VLOOKUP(B495,'Master truck list'!D:E,2,0)</f>
        <v>5096-20</v>
      </c>
      <c r="D495" s="1" t="str">
        <f>VLOOKUP(C495,'Master truck list'!E:F,2,0)</f>
        <v>ACTIVE</v>
      </c>
      <c r="E495" s="1" t="str">
        <f>VLOOKUP(C495,'Master truck list'!E:M,9,0)</f>
        <v>BNK TRANSPORT INC</v>
      </c>
      <c r="F495" s="1" t="str">
        <f>VLOOKUP(C495,'Master truck list'!E:G,3,0)</f>
        <v>Company</v>
      </c>
      <c r="G495" s="1">
        <f>VLOOKUP(C495,'Master truck list'!E:R,14,0)</f>
        <v>2545</v>
      </c>
      <c r="H495" t="str">
        <f>"12/18/2019 7:00:28 AM"</f>
        <v>12/18/2019 7:00:28 AM</v>
      </c>
      <c r="I495" t="str">
        <f>""</f>
        <v/>
      </c>
      <c r="J495" t="str">
        <f t="shared" si="187"/>
        <v>Elite</v>
      </c>
      <c r="K495" t="str">
        <f t="shared" si="194"/>
        <v>Device</v>
      </c>
      <c r="L495" t="str">
        <f t="shared" si="198"/>
        <v>777226278</v>
      </c>
      <c r="M495" t="str">
        <f t="shared" si="199"/>
        <v>16600235</v>
      </c>
      <c r="N495" t="str">
        <f t="shared" si="200"/>
        <v>5096-20</v>
      </c>
      <c r="O495" t="str">
        <f t="shared" si="188"/>
        <v>TEXAS</v>
      </c>
      <c r="P495" t="str">
        <f t="shared" si="189"/>
        <v>N A</v>
      </c>
      <c r="Q495" t="str">
        <f t="shared" si="190"/>
        <v>N/A</v>
      </c>
      <c r="R495" t="str">
        <f>"130 MGCRP 06 305"</f>
        <v>130 MGCRP 06 305</v>
      </c>
      <c r="S495" t="str">
        <f>"12/17/2019 11:24:15 AM"</f>
        <v>12/17/2019 11:24:15 AM</v>
      </c>
      <c r="T495" t="str">
        <f t="shared" si="201"/>
        <v>5</v>
      </c>
      <c r="U495" t="str">
        <f t="shared" si="191"/>
        <v>N/A</v>
      </c>
      <c r="V495" t="str">
        <f t="shared" si="202"/>
        <v>5.5500</v>
      </c>
    </row>
    <row r="496" spans="1:22" x14ac:dyDescent="0.25">
      <c r="A496" s="1" t="str">
        <f t="shared" si="186"/>
        <v>5096-</v>
      </c>
      <c r="B496" s="1" t="str">
        <f t="shared" si="192"/>
        <v>5096-</v>
      </c>
      <c r="C496" s="1" t="str">
        <f>VLOOKUP(B496,'Master truck list'!D:E,2,0)</f>
        <v>5096-20</v>
      </c>
      <c r="D496" s="1" t="str">
        <f>VLOOKUP(C496,'Master truck list'!E:F,2,0)</f>
        <v>ACTIVE</v>
      </c>
      <c r="E496" s="1" t="str">
        <f>VLOOKUP(C496,'Master truck list'!E:M,9,0)</f>
        <v>BNK TRANSPORT INC</v>
      </c>
      <c r="F496" s="1" t="str">
        <f>VLOOKUP(C496,'Master truck list'!E:G,3,0)</f>
        <v>Company</v>
      </c>
      <c r="G496" s="1">
        <f>VLOOKUP(C496,'Master truck list'!E:R,14,0)</f>
        <v>2545</v>
      </c>
      <c r="H496" t="str">
        <f>"12/18/2019 7:00:28 AM"</f>
        <v>12/18/2019 7:00:28 AM</v>
      </c>
      <c r="I496" t="str">
        <f>""</f>
        <v/>
      </c>
      <c r="J496" t="str">
        <f t="shared" si="187"/>
        <v>Elite</v>
      </c>
      <c r="K496" t="str">
        <f t="shared" si="194"/>
        <v>Device</v>
      </c>
      <c r="L496" t="str">
        <f t="shared" si="198"/>
        <v>777226278</v>
      </c>
      <c r="M496" t="str">
        <f t="shared" si="199"/>
        <v>16600235</v>
      </c>
      <c r="N496" t="str">
        <f t="shared" si="200"/>
        <v>5096-20</v>
      </c>
      <c r="O496" t="str">
        <f t="shared" si="188"/>
        <v>TEXAS</v>
      </c>
      <c r="P496" t="str">
        <f t="shared" si="189"/>
        <v>N A</v>
      </c>
      <c r="Q496" t="str">
        <f t="shared" si="190"/>
        <v>N/A</v>
      </c>
      <c r="R496" t="str">
        <f>"130 CMRNP 09 306"</f>
        <v>130 CMRNP 09 306</v>
      </c>
      <c r="S496" t="str">
        <f>"12/17/2019 2:30:20 PM"</f>
        <v>12/17/2019 2:30:20 PM</v>
      </c>
      <c r="T496" t="str">
        <f t="shared" si="201"/>
        <v>5</v>
      </c>
      <c r="U496" t="str">
        <f t="shared" si="191"/>
        <v>N/A</v>
      </c>
      <c r="V496" t="str">
        <f t="shared" si="202"/>
        <v>5.5500</v>
      </c>
    </row>
    <row r="497" spans="1:22" x14ac:dyDescent="0.25">
      <c r="A497" s="1" t="str">
        <f t="shared" si="186"/>
        <v>5096-</v>
      </c>
      <c r="B497" s="1" t="str">
        <f t="shared" si="192"/>
        <v>5096-</v>
      </c>
      <c r="C497" s="1" t="str">
        <f>VLOOKUP(B497,'Master truck list'!D:E,2,0)</f>
        <v>5096-20</v>
      </c>
      <c r="D497" s="1" t="str">
        <f>VLOOKUP(C497,'Master truck list'!E:F,2,0)</f>
        <v>ACTIVE</v>
      </c>
      <c r="E497" s="1" t="str">
        <f>VLOOKUP(C497,'Master truck list'!E:M,9,0)</f>
        <v>BNK TRANSPORT INC</v>
      </c>
      <c r="F497" s="1" t="str">
        <f>VLOOKUP(C497,'Master truck list'!E:G,3,0)</f>
        <v>Company</v>
      </c>
      <c r="G497" s="1">
        <f>VLOOKUP(C497,'Master truck list'!E:R,14,0)</f>
        <v>2545</v>
      </c>
      <c r="H497" t="str">
        <f>"12/18/2019 7:00:28 AM"</f>
        <v>12/18/2019 7:00:28 AM</v>
      </c>
      <c r="I497" t="str">
        <f>""</f>
        <v/>
      </c>
      <c r="J497" t="str">
        <f t="shared" si="187"/>
        <v>Elite</v>
      </c>
      <c r="K497" t="str">
        <f t="shared" si="194"/>
        <v>Device</v>
      </c>
      <c r="L497" t="str">
        <f t="shared" si="198"/>
        <v>777226278</v>
      </c>
      <c r="M497" t="str">
        <f t="shared" si="199"/>
        <v>16600235</v>
      </c>
      <c r="N497" t="str">
        <f t="shared" si="200"/>
        <v>5096-20</v>
      </c>
      <c r="O497" t="str">
        <f t="shared" si="188"/>
        <v>TEXAS</v>
      </c>
      <c r="P497" t="str">
        <f t="shared" si="189"/>
        <v>N A</v>
      </c>
      <c r="Q497" t="str">
        <f t="shared" si="190"/>
        <v>N/A</v>
      </c>
      <c r="R497" t="str">
        <f>"130 DKCRP 06 307"</f>
        <v>130 DKCRP 06 307</v>
      </c>
      <c r="S497" t="str">
        <f>"12/17/2019 2:40:17 PM"</f>
        <v>12/17/2019 2:40:17 PM</v>
      </c>
      <c r="T497" t="str">
        <f t="shared" si="201"/>
        <v>5</v>
      </c>
      <c r="U497" t="str">
        <f t="shared" si="191"/>
        <v>N/A</v>
      </c>
      <c r="V497" t="str">
        <f t="shared" si="202"/>
        <v>5.5500</v>
      </c>
    </row>
    <row r="498" spans="1:22" x14ac:dyDescent="0.25">
      <c r="A498" s="1" t="str">
        <f t="shared" si="186"/>
        <v>5098-</v>
      </c>
      <c r="B498" s="1" t="str">
        <f t="shared" si="192"/>
        <v>5098-</v>
      </c>
      <c r="C498" s="1" t="str">
        <f>VLOOKUP(B498,'Master truck list'!D:E,2,0)</f>
        <v>5098-20</v>
      </c>
      <c r="D498" s="1" t="str">
        <f>VLOOKUP(C498,'Master truck list'!E:F,2,0)</f>
        <v>ACTIVE</v>
      </c>
      <c r="E498" s="1" t="str">
        <f>VLOOKUP(C498,'Master truck list'!E:M,9,0)</f>
        <v>BNK TRANSPORT INC</v>
      </c>
      <c r="F498" s="1" t="str">
        <f>VLOOKUP(C498,'Master truck list'!E:G,3,0)</f>
        <v>Company</v>
      </c>
      <c r="G498" s="1">
        <f>VLOOKUP(C498,'Master truck list'!E:R,14,0)</f>
        <v>2547</v>
      </c>
      <c r="H498" t="str">
        <f>"12/19/2019 7:00:35 AM"</f>
        <v>12/19/2019 7:00:35 AM</v>
      </c>
      <c r="I498" t="str">
        <f>""</f>
        <v/>
      </c>
      <c r="J498" t="str">
        <f t="shared" si="187"/>
        <v>Elite</v>
      </c>
      <c r="K498" t="str">
        <f t="shared" si="194"/>
        <v>Device</v>
      </c>
      <c r="L498" t="str">
        <f t="shared" ref="L498:L514" si="203">"777226288"</f>
        <v>777226288</v>
      </c>
      <c r="M498" t="str">
        <f t="shared" ref="M498:M514" si="204">"16600245"</f>
        <v>16600245</v>
      </c>
      <c r="N498" t="str">
        <f t="shared" ref="N498:N514" si="205">"5098-20"</f>
        <v>5098-20</v>
      </c>
      <c r="O498" t="str">
        <f t="shared" si="188"/>
        <v>TEXAS</v>
      </c>
      <c r="P498" t="str">
        <f t="shared" si="189"/>
        <v>N A</v>
      </c>
      <c r="Q498" t="str">
        <f t="shared" si="190"/>
        <v>N/A</v>
      </c>
      <c r="R498" t="str">
        <f>"130 CMRNP 08 306"</f>
        <v>130 CMRNP 08 306</v>
      </c>
      <c r="S498" t="str">
        <f>"12/18/2019 2:00:31 PM"</f>
        <v>12/18/2019 2:00:31 PM</v>
      </c>
      <c r="T498" t="str">
        <f t="shared" si="201"/>
        <v>5</v>
      </c>
      <c r="U498" t="str">
        <f t="shared" si="191"/>
        <v>N/A</v>
      </c>
      <c r="V498" t="str">
        <f t="shared" si="202"/>
        <v>5.5500</v>
      </c>
    </row>
    <row r="499" spans="1:22" x14ac:dyDescent="0.25">
      <c r="A499" s="1" t="str">
        <f t="shared" si="186"/>
        <v>5098-</v>
      </c>
      <c r="B499" s="1" t="str">
        <f t="shared" si="192"/>
        <v>5098-</v>
      </c>
      <c r="C499" s="1" t="str">
        <f>VLOOKUP(B499,'Master truck list'!D:E,2,0)</f>
        <v>5098-20</v>
      </c>
      <c r="D499" s="1" t="str">
        <f>VLOOKUP(C499,'Master truck list'!E:F,2,0)</f>
        <v>ACTIVE</v>
      </c>
      <c r="E499" s="1" t="str">
        <f>VLOOKUP(C499,'Master truck list'!E:M,9,0)</f>
        <v>BNK TRANSPORT INC</v>
      </c>
      <c r="F499" s="1" t="str">
        <f>VLOOKUP(C499,'Master truck list'!E:G,3,0)</f>
        <v>Company</v>
      </c>
      <c r="G499" s="1">
        <f>VLOOKUP(C499,'Master truck list'!E:R,14,0)</f>
        <v>2547</v>
      </c>
      <c r="H499" t="str">
        <f>"12/19/2019 7:00:35 AM"</f>
        <v>12/19/2019 7:00:35 AM</v>
      </c>
      <c r="I499" t="str">
        <f>""</f>
        <v/>
      </c>
      <c r="J499" t="str">
        <f t="shared" si="187"/>
        <v>Elite</v>
      </c>
      <c r="K499" t="str">
        <f t="shared" si="194"/>
        <v>Device</v>
      </c>
      <c r="L499" t="str">
        <f t="shared" si="203"/>
        <v>777226288</v>
      </c>
      <c r="M499" t="str">
        <f t="shared" si="204"/>
        <v>16600245</v>
      </c>
      <c r="N499" t="str">
        <f t="shared" si="205"/>
        <v>5098-20</v>
      </c>
      <c r="O499" t="str">
        <f t="shared" si="188"/>
        <v>TEXAS</v>
      </c>
      <c r="P499" t="str">
        <f t="shared" si="189"/>
        <v>N A</v>
      </c>
      <c r="Q499" t="str">
        <f t="shared" si="190"/>
        <v>N/A</v>
      </c>
      <c r="R499" t="str">
        <f>"130 ARPTP 04 308"</f>
        <v>130 ARPTP 04 308</v>
      </c>
      <c r="S499" t="str">
        <f>"12/18/2019 2:17:26 PM"</f>
        <v>12/18/2019 2:17:26 PM</v>
      </c>
      <c r="T499" t="str">
        <f t="shared" si="201"/>
        <v>5</v>
      </c>
      <c r="U499" t="str">
        <f t="shared" si="191"/>
        <v>N/A</v>
      </c>
      <c r="V499" t="str">
        <f t="shared" si="202"/>
        <v>5.5500</v>
      </c>
    </row>
    <row r="500" spans="1:22" x14ac:dyDescent="0.25">
      <c r="A500" s="1" t="str">
        <f t="shared" si="186"/>
        <v>5098-</v>
      </c>
      <c r="B500" s="1" t="str">
        <f t="shared" si="192"/>
        <v>5098-</v>
      </c>
      <c r="C500" s="1" t="str">
        <f>VLOOKUP(B500,'Master truck list'!D:E,2,0)</f>
        <v>5098-20</v>
      </c>
      <c r="D500" s="1" t="str">
        <f>VLOOKUP(C500,'Master truck list'!E:F,2,0)</f>
        <v>ACTIVE</v>
      </c>
      <c r="E500" s="1" t="str">
        <f>VLOOKUP(C500,'Master truck list'!E:M,9,0)</f>
        <v>BNK TRANSPORT INC</v>
      </c>
      <c r="F500" s="1" t="str">
        <f>VLOOKUP(C500,'Master truck list'!E:G,3,0)</f>
        <v>Company</v>
      </c>
      <c r="G500" s="1">
        <f>VLOOKUP(C500,'Master truck list'!E:R,14,0)</f>
        <v>2547</v>
      </c>
      <c r="H500" t="str">
        <f t="shared" ref="H500:H506" si="206">"12/17/2019 7:00:33 AM"</f>
        <v>12/17/2019 7:00:33 AM</v>
      </c>
      <c r="I500" t="str">
        <f>""</f>
        <v/>
      </c>
      <c r="J500" t="str">
        <f t="shared" si="187"/>
        <v>Elite</v>
      </c>
      <c r="K500" t="str">
        <f t="shared" si="194"/>
        <v>Device</v>
      </c>
      <c r="L500" t="str">
        <f t="shared" si="203"/>
        <v>777226288</v>
      </c>
      <c r="M500" t="str">
        <f t="shared" si="204"/>
        <v>16600245</v>
      </c>
      <c r="N500" t="str">
        <f t="shared" si="205"/>
        <v>5098-20</v>
      </c>
      <c r="O500" t="str">
        <f t="shared" si="188"/>
        <v>TEXAS</v>
      </c>
      <c r="P500" t="str">
        <f t="shared" si="189"/>
        <v>N A</v>
      </c>
      <c r="Q500" t="str">
        <f t="shared" si="190"/>
        <v>N/A</v>
      </c>
      <c r="R500" t="str">
        <f>"130 DKCRP 11 307"</f>
        <v>130 DKCRP 11 307</v>
      </c>
      <c r="S500" t="str">
        <f>"12/16/2019 3:34:19 PM"</f>
        <v>12/16/2019 3:34:19 PM</v>
      </c>
      <c r="T500" t="str">
        <f t="shared" si="201"/>
        <v>5</v>
      </c>
      <c r="U500" t="str">
        <f t="shared" si="191"/>
        <v>N/A</v>
      </c>
      <c r="V500" t="str">
        <f t="shared" si="202"/>
        <v>5.5500</v>
      </c>
    </row>
    <row r="501" spans="1:22" x14ac:dyDescent="0.25">
      <c r="A501" s="1" t="str">
        <f t="shared" si="186"/>
        <v>5098-</v>
      </c>
      <c r="B501" s="1" t="str">
        <f t="shared" si="192"/>
        <v>5098-</v>
      </c>
      <c r="C501" s="1" t="str">
        <f>VLOOKUP(B501,'Master truck list'!D:E,2,0)</f>
        <v>5098-20</v>
      </c>
      <c r="D501" s="1" t="str">
        <f>VLOOKUP(C501,'Master truck list'!E:F,2,0)</f>
        <v>ACTIVE</v>
      </c>
      <c r="E501" s="1" t="str">
        <f>VLOOKUP(C501,'Master truck list'!E:M,9,0)</f>
        <v>BNK TRANSPORT INC</v>
      </c>
      <c r="F501" s="1" t="str">
        <f>VLOOKUP(C501,'Master truck list'!E:G,3,0)</f>
        <v>Company</v>
      </c>
      <c r="G501" s="1">
        <f>VLOOKUP(C501,'Master truck list'!E:R,14,0)</f>
        <v>2547</v>
      </c>
      <c r="H501" t="str">
        <f t="shared" si="206"/>
        <v>12/17/2019 7:00:33 AM</v>
      </c>
      <c r="I501" t="str">
        <f>""</f>
        <v/>
      </c>
      <c r="J501" t="str">
        <f t="shared" si="187"/>
        <v>Elite</v>
      </c>
      <c r="K501" t="str">
        <f t="shared" si="194"/>
        <v>Device</v>
      </c>
      <c r="L501" t="str">
        <f t="shared" si="203"/>
        <v>777226288</v>
      </c>
      <c r="M501" t="str">
        <f t="shared" si="204"/>
        <v>16600245</v>
      </c>
      <c r="N501" t="str">
        <f t="shared" si="205"/>
        <v>5098-20</v>
      </c>
      <c r="O501" t="str">
        <f t="shared" si="188"/>
        <v>TEXAS</v>
      </c>
      <c r="P501" t="str">
        <f t="shared" si="189"/>
        <v>N A</v>
      </c>
      <c r="Q501" t="str">
        <f t="shared" si="190"/>
        <v>N/A</v>
      </c>
      <c r="R501" t="str">
        <f>"130 ARPTP 04 308"</f>
        <v>130 ARPTP 04 308</v>
      </c>
      <c r="S501" t="str">
        <f>"12/16/2019 12:05:51 AM"</f>
        <v>12/16/2019 12:05:51 AM</v>
      </c>
      <c r="T501" t="str">
        <f t="shared" si="201"/>
        <v>5</v>
      </c>
      <c r="U501" t="str">
        <f t="shared" si="191"/>
        <v>N/A</v>
      </c>
      <c r="V501" t="str">
        <f t="shared" si="202"/>
        <v>5.5500</v>
      </c>
    </row>
    <row r="502" spans="1:22" x14ac:dyDescent="0.25">
      <c r="A502" s="1" t="str">
        <f t="shared" si="186"/>
        <v>5098-</v>
      </c>
      <c r="B502" s="1" t="str">
        <f t="shared" si="192"/>
        <v>5098-</v>
      </c>
      <c r="C502" s="1" t="str">
        <f>VLOOKUP(B502,'Master truck list'!D:E,2,0)</f>
        <v>5098-20</v>
      </c>
      <c r="D502" s="1" t="str">
        <f>VLOOKUP(C502,'Master truck list'!E:F,2,0)</f>
        <v>ACTIVE</v>
      </c>
      <c r="E502" s="1" t="str">
        <f>VLOOKUP(C502,'Master truck list'!E:M,9,0)</f>
        <v>BNK TRANSPORT INC</v>
      </c>
      <c r="F502" s="1" t="str">
        <f>VLOOKUP(C502,'Master truck list'!E:G,3,0)</f>
        <v>Company</v>
      </c>
      <c r="G502" s="1">
        <f>VLOOKUP(C502,'Master truck list'!E:R,14,0)</f>
        <v>2547</v>
      </c>
      <c r="H502" t="str">
        <f t="shared" si="206"/>
        <v>12/17/2019 7:00:33 AM</v>
      </c>
      <c r="I502" t="str">
        <f>""</f>
        <v/>
      </c>
      <c r="J502" t="str">
        <f t="shared" si="187"/>
        <v>Elite</v>
      </c>
      <c r="K502" t="str">
        <f t="shared" si="194"/>
        <v>Device</v>
      </c>
      <c r="L502" t="str">
        <f t="shared" si="203"/>
        <v>777226288</v>
      </c>
      <c r="M502" t="str">
        <f t="shared" si="204"/>
        <v>16600245</v>
      </c>
      <c r="N502" t="str">
        <f t="shared" si="205"/>
        <v>5098-20</v>
      </c>
      <c r="O502" t="str">
        <f t="shared" si="188"/>
        <v>TEXAS</v>
      </c>
      <c r="P502" t="str">
        <f t="shared" si="189"/>
        <v>N A</v>
      </c>
      <c r="Q502" t="str">
        <f t="shared" si="190"/>
        <v>N/A</v>
      </c>
      <c r="R502" t="str">
        <f>"130 CMRNP 13 306"</f>
        <v>130 CMRNP 13 306</v>
      </c>
      <c r="S502" t="str">
        <f>"12/16/2019 3:44:26 PM"</f>
        <v>12/16/2019 3:44:26 PM</v>
      </c>
      <c r="T502" t="str">
        <f t="shared" si="201"/>
        <v>5</v>
      </c>
      <c r="U502" t="str">
        <f t="shared" si="191"/>
        <v>N/A</v>
      </c>
      <c r="V502" t="str">
        <f t="shared" si="202"/>
        <v>5.5500</v>
      </c>
    </row>
    <row r="503" spans="1:22" x14ac:dyDescent="0.25">
      <c r="A503" s="1" t="str">
        <f t="shared" si="186"/>
        <v>5098-</v>
      </c>
      <c r="B503" s="1" t="str">
        <f t="shared" si="192"/>
        <v>5098-</v>
      </c>
      <c r="C503" s="1" t="str">
        <f>VLOOKUP(B503,'Master truck list'!D:E,2,0)</f>
        <v>5098-20</v>
      </c>
      <c r="D503" s="1" t="str">
        <f>VLOOKUP(C503,'Master truck list'!E:F,2,0)</f>
        <v>ACTIVE</v>
      </c>
      <c r="E503" s="1" t="str">
        <f>VLOOKUP(C503,'Master truck list'!E:M,9,0)</f>
        <v>BNK TRANSPORT INC</v>
      </c>
      <c r="F503" s="1" t="str">
        <f>VLOOKUP(C503,'Master truck list'!E:G,3,0)</f>
        <v>Company</v>
      </c>
      <c r="G503" s="1">
        <f>VLOOKUP(C503,'Master truck list'!E:R,14,0)</f>
        <v>2547</v>
      </c>
      <c r="H503" t="str">
        <f t="shared" si="206"/>
        <v>12/17/2019 7:00:33 AM</v>
      </c>
      <c r="I503" t="str">
        <f>""</f>
        <v/>
      </c>
      <c r="J503" t="str">
        <f t="shared" si="187"/>
        <v>Elite</v>
      </c>
      <c r="K503" t="str">
        <f t="shared" si="194"/>
        <v>Device</v>
      </c>
      <c r="L503" t="str">
        <f t="shared" si="203"/>
        <v>777226288</v>
      </c>
      <c r="M503" t="str">
        <f t="shared" si="204"/>
        <v>16600245</v>
      </c>
      <c r="N503" t="str">
        <f t="shared" si="205"/>
        <v>5098-20</v>
      </c>
      <c r="O503" t="str">
        <f t="shared" si="188"/>
        <v>TEXAS</v>
      </c>
      <c r="P503" t="str">
        <f t="shared" si="189"/>
        <v>N A</v>
      </c>
      <c r="Q503" t="str">
        <f t="shared" si="190"/>
        <v>N/A</v>
      </c>
      <c r="R503" t="str">
        <f>"130 ARPTP 09 308"</f>
        <v>130 ARPTP 09 308</v>
      </c>
      <c r="S503" t="str">
        <f>"12/16/2019 3:27:22 PM"</f>
        <v>12/16/2019 3:27:22 PM</v>
      </c>
      <c r="T503" t="str">
        <f t="shared" si="201"/>
        <v>5</v>
      </c>
      <c r="U503" t="str">
        <f t="shared" si="191"/>
        <v>N/A</v>
      </c>
      <c r="V503" t="str">
        <f t="shared" si="202"/>
        <v>5.5500</v>
      </c>
    </row>
    <row r="504" spans="1:22" x14ac:dyDescent="0.25">
      <c r="A504" s="1" t="str">
        <f t="shared" si="186"/>
        <v>5098-</v>
      </c>
      <c r="B504" s="1" t="str">
        <f t="shared" si="192"/>
        <v>5098-</v>
      </c>
      <c r="C504" s="1" t="str">
        <f>VLOOKUP(B504,'Master truck list'!D:E,2,0)</f>
        <v>5098-20</v>
      </c>
      <c r="D504" s="1" t="str">
        <f>VLOOKUP(C504,'Master truck list'!E:F,2,0)</f>
        <v>ACTIVE</v>
      </c>
      <c r="E504" s="1" t="str">
        <f>VLOOKUP(C504,'Master truck list'!E:M,9,0)</f>
        <v>BNK TRANSPORT INC</v>
      </c>
      <c r="F504" s="1" t="str">
        <f>VLOOKUP(C504,'Master truck list'!E:G,3,0)</f>
        <v>Company</v>
      </c>
      <c r="G504" s="1">
        <f>VLOOKUP(C504,'Master truck list'!E:R,14,0)</f>
        <v>2547</v>
      </c>
      <c r="H504" t="str">
        <f t="shared" si="206"/>
        <v>12/17/2019 7:00:33 AM</v>
      </c>
      <c r="I504" t="str">
        <f>""</f>
        <v/>
      </c>
      <c r="J504" t="str">
        <f t="shared" si="187"/>
        <v>Elite</v>
      </c>
      <c r="K504" t="str">
        <f t="shared" si="194"/>
        <v>Device</v>
      </c>
      <c r="L504" t="str">
        <f t="shared" si="203"/>
        <v>777226288</v>
      </c>
      <c r="M504" t="str">
        <f t="shared" si="204"/>
        <v>16600245</v>
      </c>
      <c r="N504" t="str">
        <f t="shared" si="205"/>
        <v>5098-20</v>
      </c>
      <c r="O504" t="str">
        <f t="shared" si="188"/>
        <v>TEXAS</v>
      </c>
      <c r="P504" t="str">
        <f t="shared" si="189"/>
        <v>N A</v>
      </c>
      <c r="Q504" t="str">
        <f t="shared" si="190"/>
        <v>N/A</v>
      </c>
      <c r="R504" t="str">
        <f>"45SE MLPEB 02 611"</f>
        <v>45SE MLPEB 02 611</v>
      </c>
      <c r="S504" t="str">
        <f>"12/16/2019 3:16:47 PM"</f>
        <v>12/16/2019 3:16:47 PM</v>
      </c>
      <c r="T504" t="str">
        <f t="shared" si="201"/>
        <v>5</v>
      </c>
      <c r="U504" t="str">
        <f t="shared" si="191"/>
        <v>N/A</v>
      </c>
      <c r="V504" t="str">
        <f>"3.3000"</f>
        <v>3.3000</v>
      </c>
    </row>
    <row r="505" spans="1:22" x14ac:dyDescent="0.25">
      <c r="A505" s="1" t="str">
        <f t="shared" si="186"/>
        <v>5098-</v>
      </c>
      <c r="B505" s="1" t="str">
        <f t="shared" si="192"/>
        <v>5098-</v>
      </c>
      <c r="C505" s="1" t="str">
        <f>VLOOKUP(B505,'Master truck list'!D:E,2,0)</f>
        <v>5098-20</v>
      </c>
      <c r="D505" s="1" t="str">
        <f>VLOOKUP(C505,'Master truck list'!E:F,2,0)</f>
        <v>ACTIVE</v>
      </c>
      <c r="E505" s="1" t="str">
        <f>VLOOKUP(C505,'Master truck list'!E:M,9,0)</f>
        <v>BNK TRANSPORT INC</v>
      </c>
      <c r="F505" s="1" t="str">
        <f>VLOOKUP(C505,'Master truck list'!E:G,3,0)</f>
        <v>Company</v>
      </c>
      <c r="G505" s="1">
        <f>VLOOKUP(C505,'Master truck list'!E:R,14,0)</f>
        <v>2547</v>
      </c>
      <c r="H505" t="str">
        <f t="shared" si="206"/>
        <v>12/17/2019 7:00:33 AM</v>
      </c>
      <c r="I505" t="str">
        <f>""</f>
        <v/>
      </c>
      <c r="J505" t="str">
        <f t="shared" si="187"/>
        <v>Elite</v>
      </c>
      <c r="K505" t="str">
        <f t="shared" si="194"/>
        <v>Device</v>
      </c>
      <c r="L505" t="str">
        <f t="shared" si="203"/>
        <v>777226288</v>
      </c>
      <c r="M505" t="str">
        <f t="shared" si="204"/>
        <v>16600245</v>
      </c>
      <c r="N505" t="str">
        <f t="shared" si="205"/>
        <v>5098-20</v>
      </c>
      <c r="O505" t="str">
        <f t="shared" si="188"/>
        <v>TEXAS</v>
      </c>
      <c r="P505" t="str">
        <f t="shared" si="189"/>
        <v>N A</v>
      </c>
      <c r="Q505" t="str">
        <f t="shared" si="190"/>
        <v>N/A</v>
      </c>
      <c r="R505" t="str">
        <f>"130 MGCRP 11 305"</f>
        <v>130 MGCRP 11 305</v>
      </c>
      <c r="S505" t="str">
        <f>"12/16/2019 3:55:29 PM"</f>
        <v>12/16/2019 3:55:29 PM</v>
      </c>
      <c r="T505" t="str">
        <f t="shared" si="201"/>
        <v>5</v>
      </c>
      <c r="U505" t="str">
        <f t="shared" si="191"/>
        <v>N/A</v>
      </c>
      <c r="V505" t="str">
        <f>"5.5500"</f>
        <v>5.5500</v>
      </c>
    </row>
    <row r="506" spans="1:22" x14ac:dyDescent="0.25">
      <c r="A506" s="1" t="str">
        <f t="shared" si="186"/>
        <v>5098-</v>
      </c>
      <c r="B506" s="1" t="str">
        <f t="shared" si="192"/>
        <v>5098-</v>
      </c>
      <c r="C506" s="1" t="str">
        <f>VLOOKUP(B506,'Master truck list'!D:E,2,0)</f>
        <v>5098-20</v>
      </c>
      <c r="D506" s="1" t="str">
        <f>VLOOKUP(C506,'Master truck list'!E:F,2,0)</f>
        <v>ACTIVE</v>
      </c>
      <c r="E506" s="1" t="str">
        <f>VLOOKUP(C506,'Master truck list'!E:M,9,0)</f>
        <v>BNK TRANSPORT INC</v>
      </c>
      <c r="F506" s="1" t="str">
        <f>VLOOKUP(C506,'Master truck list'!E:G,3,0)</f>
        <v>Company</v>
      </c>
      <c r="G506" s="1">
        <f>VLOOKUP(C506,'Master truck list'!E:R,14,0)</f>
        <v>2547</v>
      </c>
      <c r="H506" t="str">
        <f t="shared" si="206"/>
        <v>12/17/2019 7:00:33 AM</v>
      </c>
      <c r="I506" t="str">
        <f>""</f>
        <v/>
      </c>
      <c r="J506" t="str">
        <f t="shared" si="187"/>
        <v>Elite</v>
      </c>
      <c r="K506" t="str">
        <f t="shared" si="194"/>
        <v>Device</v>
      </c>
      <c r="L506" t="str">
        <f t="shared" si="203"/>
        <v>777226288</v>
      </c>
      <c r="M506" t="str">
        <f t="shared" si="204"/>
        <v>16600245</v>
      </c>
      <c r="N506" t="str">
        <f t="shared" si="205"/>
        <v>5098-20</v>
      </c>
      <c r="O506" t="str">
        <f t="shared" si="188"/>
        <v>TEXAS</v>
      </c>
      <c r="P506" t="str">
        <f t="shared" si="189"/>
        <v>N A</v>
      </c>
      <c r="Q506" t="str">
        <f t="shared" si="190"/>
        <v>N/A</v>
      </c>
      <c r="R506" t="str">
        <f>"45SE MLPWB 01 611"</f>
        <v>45SE MLPWB 01 611</v>
      </c>
      <c r="S506" t="str">
        <f>"12/16/2019 12:16:29 AM"</f>
        <v>12/16/2019 12:16:29 AM</v>
      </c>
      <c r="T506" t="str">
        <f t="shared" si="201"/>
        <v>5</v>
      </c>
      <c r="U506" t="str">
        <f t="shared" si="191"/>
        <v>N/A</v>
      </c>
      <c r="V506" t="str">
        <f>"3.3000"</f>
        <v>3.3000</v>
      </c>
    </row>
    <row r="507" spans="1:22" x14ac:dyDescent="0.25">
      <c r="A507" s="1" t="str">
        <f t="shared" si="186"/>
        <v>5098-</v>
      </c>
      <c r="B507" s="1" t="str">
        <f t="shared" si="192"/>
        <v>5098-</v>
      </c>
      <c r="C507" s="1" t="str">
        <f>VLOOKUP(B507,'Master truck list'!D:E,2,0)</f>
        <v>5098-20</v>
      </c>
      <c r="D507" s="1" t="str">
        <f>VLOOKUP(C507,'Master truck list'!E:F,2,0)</f>
        <v>ACTIVE</v>
      </c>
      <c r="E507" s="1" t="str">
        <f>VLOOKUP(C507,'Master truck list'!E:M,9,0)</f>
        <v>BNK TRANSPORT INC</v>
      </c>
      <c r="F507" s="1" t="str">
        <f>VLOOKUP(C507,'Master truck list'!E:G,3,0)</f>
        <v>Company</v>
      </c>
      <c r="G507" s="1">
        <f>VLOOKUP(C507,'Master truck list'!E:R,14,0)</f>
        <v>2547</v>
      </c>
      <c r="H507" t="str">
        <f>"12/19/2019 7:00:35 AM"</f>
        <v>12/19/2019 7:00:35 AM</v>
      </c>
      <c r="I507" t="str">
        <f>""</f>
        <v/>
      </c>
      <c r="J507" t="str">
        <f t="shared" si="187"/>
        <v>Elite</v>
      </c>
      <c r="K507" t="str">
        <f t="shared" si="194"/>
        <v>Device</v>
      </c>
      <c r="L507" t="str">
        <f t="shared" si="203"/>
        <v>777226288</v>
      </c>
      <c r="M507" t="str">
        <f t="shared" si="204"/>
        <v>16600245</v>
      </c>
      <c r="N507" t="str">
        <f t="shared" si="205"/>
        <v>5098-20</v>
      </c>
      <c r="O507" t="str">
        <f t="shared" si="188"/>
        <v>TEXAS</v>
      </c>
      <c r="P507" t="str">
        <f t="shared" si="189"/>
        <v>N A</v>
      </c>
      <c r="Q507" t="str">
        <f t="shared" si="190"/>
        <v>N/A</v>
      </c>
      <c r="R507" t="str">
        <f>"45SE MLPWB 01 611"</f>
        <v>45SE MLPWB 01 611</v>
      </c>
      <c r="S507" t="str">
        <f>"12/18/2019 2:28:00 PM"</f>
        <v>12/18/2019 2:28:00 PM</v>
      </c>
      <c r="T507" t="str">
        <f t="shared" si="201"/>
        <v>5</v>
      </c>
      <c r="U507" t="str">
        <f t="shared" si="191"/>
        <v>N/A</v>
      </c>
      <c r="V507" t="str">
        <f>"3.3000"</f>
        <v>3.3000</v>
      </c>
    </row>
    <row r="508" spans="1:22" x14ac:dyDescent="0.25">
      <c r="A508" s="1" t="str">
        <f t="shared" si="186"/>
        <v>5098-</v>
      </c>
      <c r="B508" s="1" t="str">
        <f t="shared" si="192"/>
        <v>5098-</v>
      </c>
      <c r="C508" s="1" t="str">
        <f>VLOOKUP(B508,'Master truck list'!D:E,2,0)</f>
        <v>5098-20</v>
      </c>
      <c r="D508" s="1" t="str">
        <f>VLOOKUP(C508,'Master truck list'!E:F,2,0)</f>
        <v>ACTIVE</v>
      </c>
      <c r="E508" s="1" t="str">
        <f>VLOOKUP(C508,'Master truck list'!E:M,9,0)</f>
        <v>BNK TRANSPORT INC</v>
      </c>
      <c r="F508" s="1" t="str">
        <f>VLOOKUP(C508,'Master truck list'!E:G,3,0)</f>
        <v>Company</v>
      </c>
      <c r="G508" s="1">
        <f>VLOOKUP(C508,'Master truck list'!E:R,14,0)</f>
        <v>2547</v>
      </c>
      <c r="H508" t="str">
        <f>"12/19/2019 7:00:35 AM"</f>
        <v>12/19/2019 7:00:35 AM</v>
      </c>
      <c r="I508" t="str">
        <f>""</f>
        <v/>
      </c>
      <c r="J508" t="str">
        <f t="shared" si="187"/>
        <v>Elite</v>
      </c>
      <c r="K508" t="str">
        <f t="shared" si="194"/>
        <v>Device</v>
      </c>
      <c r="L508" t="str">
        <f t="shared" si="203"/>
        <v>777226288</v>
      </c>
      <c r="M508" t="str">
        <f t="shared" si="204"/>
        <v>16600245</v>
      </c>
      <c r="N508" t="str">
        <f t="shared" si="205"/>
        <v>5098-20</v>
      </c>
      <c r="O508" t="str">
        <f t="shared" si="188"/>
        <v>TEXAS</v>
      </c>
      <c r="P508" t="str">
        <f t="shared" si="189"/>
        <v>N A</v>
      </c>
      <c r="Q508" t="str">
        <f t="shared" si="190"/>
        <v>N/A</v>
      </c>
      <c r="R508" t="str">
        <f>"130 DKCRP 06 307"</f>
        <v>130 DKCRP 06 307</v>
      </c>
      <c r="S508" t="str">
        <f>"12/18/2019 2:10:30 PM"</f>
        <v>12/18/2019 2:10:30 PM</v>
      </c>
      <c r="T508" t="str">
        <f t="shared" si="201"/>
        <v>5</v>
      </c>
      <c r="U508" t="str">
        <f t="shared" si="191"/>
        <v>N/A</v>
      </c>
      <c r="V508" t="str">
        <f>"5.5500"</f>
        <v>5.5500</v>
      </c>
    </row>
    <row r="509" spans="1:22" x14ac:dyDescent="0.25">
      <c r="A509" s="1" t="str">
        <f t="shared" si="186"/>
        <v>5098-</v>
      </c>
      <c r="B509" s="1" t="str">
        <f t="shared" si="192"/>
        <v>5098-</v>
      </c>
      <c r="C509" s="1" t="str">
        <f>VLOOKUP(B509,'Master truck list'!D:E,2,0)</f>
        <v>5098-20</v>
      </c>
      <c r="D509" s="1" t="str">
        <f>VLOOKUP(C509,'Master truck list'!E:F,2,0)</f>
        <v>ACTIVE</v>
      </c>
      <c r="E509" s="1" t="str">
        <f>VLOOKUP(C509,'Master truck list'!E:M,9,0)</f>
        <v>BNK TRANSPORT INC</v>
      </c>
      <c r="F509" s="1" t="str">
        <f>VLOOKUP(C509,'Master truck list'!E:G,3,0)</f>
        <v>Company</v>
      </c>
      <c r="G509" s="1">
        <f>VLOOKUP(C509,'Master truck list'!E:R,14,0)</f>
        <v>2547</v>
      </c>
      <c r="H509" t="str">
        <f>"12/19/2019 7:00:35 AM"</f>
        <v>12/19/2019 7:00:35 AM</v>
      </c>
      <c r="I509" t="str">
        <f>""</f>
        <v/>
      </c>
      <c r="J509" t="str">
        <f t="shared" si="187"/>
        <v>Elite</v>
      </c>
      <c r="K509" t="str">
        <f t="shared" si="194"/>
        <v>Device</v>
      </c>
      <c r="L509" t="str">
        <f t="shared" si="203"/>
        <v>777226288</v>
      </c>
      <c r="M509" t="str">
        <f t="shared" si="204"/>
        <v>16600245</v>
      </c>
      <c r="N509" t="str">
        <f t="shared" si="205"/>
        <v>5098-20</v>
      </c>
      <c r="O509" t="str">
        <f t="shared" si="188"/>
        <v>TEXAS</v>
      </c>
      <c r="P509" t="str">
        <f t="shared" si="189"/>
        <v>N A</v>
      </c>
      <c r="Q509" t="str">
        <f t="shared" si="190"/>
        <v>N/A</v>
      </c>
      <c r="R509" t="str">
        <f>"130 MGCRP 06 305"</f>
        <v>130 MGCRP 06 305</v>
      </c>
      <c r="S509" t="str">
        <f>"12/18/2019 1:49:28 PM"</f>
        <v>12/18/2019 1:49:28 PM</v>
      </c>
      <c r="T509" t="str">
        <f t="shared" si="201"/>
        <v>5</v>
      </c>
      <c r="U509" t="str">
        <f t="shared" si="191"/>
        <v>N/A</v>
      </c>
      <c r="V509" t="str">
        <f>"5.5500"</f>
        <v>5.5500</v>
      </c>
    </row>
    <row r="510" spans="1:22" x14ac:dyDescent="0.25">
      <c r="A510" s="1" t="str">
        <f t="shared" si="186"/>
        <v>5098-</v>
      </c>
      <c r="B510" s="1" t="str">
        <f t="shared" si="192"/>
        <v>5098-</v>
      </c>
      <c r="C510" s="1" t="str">
        <f>VLOOKUP(B510,'Master truck list'!D:E,2,0)</f>
        <v>5098-20</v>
      </c>
      <c r="D510" s="1" t="str">
        <f>VLOOKUP(C510,'Master truck list'!E:F,2,0)</f>
        <v>ACTIVE</v>
      </c>
      <c r="E510" s="1" t="str">
        <f>VLOOKUP(C510,'Master truck list'!E:M,9,0)</f>
        <v>BNK TRANSPORT INC</v>
      </c>
      <c r="F510" s="1" t="str">
        <f>VLOOKUP(C510,'Master truck list'!E:G,3,0)</f>
        <v>Company</v>
      </c>
      <c r="G510" s="1">
        <f>VLOOKUP(C510,'Master truck list'!E:R,14,0)</f>
        <v>2547</v>
      </c>
      <c r="H510" t="str">
        <f>"12/20/2019 7:00:30 AM"</f>
        <v>12/20/2019 7:00:30 AM</v>
      </c>
      <c r="I510" t="str">
        <f>""</f>
        <v/>
      </c>
      <c r="J510" t="str">
        <f t="shared" si="187"/>
        <v>Elite</v>
      </c>
      <c r="K510" t="str">
        <f t="shared" si="194"/>
        <v>Device</v>
      </c>
      <c r="L510" t="str">
        <f t="shared" si="203"/>
        <v>777226288</v>
      </c>
      <c r="M510" t="str">
        <f t="shared" si="204"/>
        <v>16600245</v>
      </c>
      <c r="N510" t="str">
        <f t="shared" si="205"/>
        <v>5098-20</v>
      </c>
      <c r="O510" t="str">
        <f t="shared" si="188"/>
        <v>TEXAS</v>
      </c>
      <c r="P510" t="str">
        <f t="shared" si="189"/>
        <v>N A</v>
      </c>
      <c r="Q510" t="str">
        <f t="shared" si="190"/>
        <v>N/A</v>
      </c>
      <c r="R510" t="str">
        <f>"130 CMRNP 13 306"</f>
        <v>130 CMRNP 13 306</v>
      </c>
      <c r="S510" t="str">
        <f>"12/19/2019 2:59:56 PM"</f>
        <v>12/19/2019 2:59:56 PM</v>
      </c>
      <c r="T510" t="str">
        <f t="shared" si="201"/>
        <v>5</v>
      </c>
      <c r="U510" t="str">
        <f t="shared" si="191"/>
        <v>N/A</v>
      </c>
      <c r="V510" t="str">
        <f>"5.5500"</f>
        <v>5.5500</v>
      </c>
    </row>
    <row r="511" spans="1:22" x14ac:dyDescent="0.25">
      <c r="A511" s="1" t="str">
        <f t="shared" si="186"/>
        <v>5098-</v>
      </c>
      <c r="B511" s="1" t="str">
        <f t="shared" si="192"/>
        <v>5098-</v>
      </c>
      <c r="C511" s="1" t="str">
        <f>VLOOKUP(B511,'Master truck list'!D:E,2,0)</f>
        <v>5098-20</v>
      </c>
      <c r="D511" s="1" t="str">
        <f>VLOOKUP(C511,'Master truck list'!E:F,2,0)</f>
        <v>ACTIVE</v>
      </c>
      <c r="E511" s="1" t="str">
        <f>VLOOKUP(C511,'Master truck list'!E:M,9,0)</f>
        <v>BNK TRANSPORT INC</v>
      </c>
      <c r="F511" s="1" t="str">
        <f>VLOOKUP(C511,'Master truck list'!E:G,3,0)</f>
        <v>Company</v>
      </c>
      <c r="G511" s="1">
        <f>VLOOKUP(C511,'Master truck list'!E:R,14,0)</f>
        <v>2547</v>
      </c>
      <c r="H511" t="str">
        <f>"12/20/2019 7:00:30 AM"</f>
        <v>12/20/2019 7:00:30 AM</v>
      </c>
      <c r="I511" t="str">
        <f>""</f>
        <v/>
      </c>
      <c r="J511" t="str">
        <f t="shared" si="187"/>
        <v>Elite</v>
      </c>
      <c r="K511" t="str">
        <f t="shared" si="194"/>
        <v>Device</v>
      </c>
      <c r="L511" t="str">
        <f t="shared" si="203"/>
        <v>777226288</v>
      </c>
      <c r="M511" t="str">
        <f t="shared" si="204"/>
        <v>16600245</v>
      </c>
      <c r="N511" t="str">
        <f t="shared" si="205"/>
        <v>5098-20</v>
      </c>
      <c r="O511" t="str">
        <f t="shared" si="188"/>
        <v>TEXAS</v>
      </c>
      <c r="P511" t="str">
        <f t="shared" si="189"/>
        <v>N A</v>
      </c>
      <c r="Q511" t="str">
        <f t="shared" si="190"/>
        <v>N/A</v>
      </c>
      <c r="R511" t="str">
        <f>"130 ARPTP 09 308"</f>
        <v>130 ARPTP 09 308</v>
      </c>
      <c r="S511" t="str">
        <f>"12/19/2019 2:39:52 PM"</f>
        <v>12/19/2019 2:39:52 PM</v>
      </c>
      <c r="T511" t="str">
        <f t="shared" si="201"/>
        <v>5</v>
      </c>
      <c r="U511" t="str">
        <f t="shared" si="191"/>
        <v>N/A</v>
      </c>
      <c r="V511" t="str">
        <f>"5.5500"</f>
        <v>5.5500</v>
      </c>
    </row>
    <row r="512" spans="1:22" x14ac:dyDescent="0.25">
      <c r="A512" s="1" t="str">
        <f t="shared" si="186"/>
        <v>5098-</v>
      </c>
      <c r="B512" s="1" t="str">
        <f t="shared" si="192"/>
        <v>5098-</v>
      </c>
      <c r="C512" s="1" t="str">
        <f>VLOOKUP(B512,'Master truck list'!D:E,2,0)</f>
        <v>5098-20</v>
      </c>
      <c r="D512" s="1" t="str">
        <f>VLOOKUP(C512,'Master truck list'!E:F,2,0)</f>
        <v>ACTIVE</v>
      </c>
      <c r="E512" s="1" t="str">
        <f>VLOOKUP(C512,'Master truck list'!E:M,9,0)</f>
        <v>BNK TRANSPORT INC</v>
      </c>
      <c r="F512" s="1" t="str">
        <f>VLOOKUP(C512,'Master truck list'!E:G,3,0)</f>
        <v>Company</v>
      </c>
      <c r="G512" s="1">
        <f>VLOOKUP(C512,'Master truck list'!E:R,14,0)</f>
        <v>2547</v>
      </c>
      <c r="H512" t="str">
        <f>"12/20/2019 7:00:30 AM"</f>
        <v>12/20/2019 7:00:30 AM</v>
      </c>
      <c r="I512" t="str">
        <f>""</f>
        <v/>
      </c>
      <c r="J512" t="str">
        <f t="shared" si="187"/>
        <v>Elite</v>
      </c>
      <c r="K512" t="str">
        <f t="shared" si="194"/>
        <v>Device</v>
      </c>
      <c r="L512" t="str">
        <f t="shared" si="203"/>
        <v>777226288</v>
      </c>
      <c r="M512" t="str">
        <f t="shared" si="204"/>
        <v>16600245</v>
      </c>
      <c r="N512" t="str">
        <f t="shared" si="205"/>
        <v>5098-20</v>
      </c>
      <c r="O512" t="str">
        <f t="shared" si="188"/>
        <v>TEXAS</v>
      </c>
      <c r="P512" t="str">
        <f t="shared" si="189"/>
        <v>N A</v>
      </c>
      <c r="Q512" t="str">
        <f t="shared" si="190"/>
        <v>N/A</v>
      </c>
      <c r="R512" t="str">
        <f>"45SE MLPEB 02 611"</f>
        <v>45SE MLPEB 02 611</v>
      </c>
      <c r="S512" t="str">
        <f>"12/19/2019 2:29:14 PM"</f>
        <v>12/19/2019 2:29:14 PM</v>
      </c>
      <c r="T512" t="str">
        <f t="shared" si="201"/>
        <v>5</v>
      </c>
      <c r="U512" t="str">
        <f t="shared" si="191"/>
        <v>N/A</v>
      </c>
      <c r="V512" t="str">
        <f>"3.3000"</f>
        <v>3.3000</v>
      </c>
    </row>
    <row r="513" spans="1:22" x14ac:dyDescent="0.25">
      <c r="A513" s="1" t="str">
        <f t="shared" si="186"/>
        <v>5098-</v>
      </c>
      <c r="B513" s="1" t="str">
        <f t="shared" si="192"/>
        <v>5098-</v>
      </c>
      <c r="C513" s="1" t="str">
        <f>VLOOKUP(B513,'Master truck list'!D:E,2,0)</f>
        <v>5098-20</v>
      </c>
      <c r="D513" s="1" t="str">
        <f>VLOOKUP(C513,'Master truck list'!E:F,2,0)</f>
        <v>ACTIVE</v>
      </c>
      <c r="E513" s="1" t="str">
        <f>VLOOKUP(C513,'Master truck list'!E:M,9,0)</f>
        <v>BNK TRANSPORT INC</v>
      </c>
      <c r="F513" s="1" t="str">
        <f>VLOOKUP(C513,'Master truck list'!E:G,3,0)</f>
        <v>Company</v>
      </c>
      <c r="G513" s="1">
        <f>VLOOKUP(C513,'Master truck list'!E:R,14,0)</f>
        <v>2547</v>
      </c>
      <c r="H513" t="str">
        <f>"12/20/2019 7:00:30 AM"</f>
        <v>12/20/2019 7:00:30 AM</v>
      </c>
      <c r="I513" t="str">
        <f>""</f>
        <v/>
      </c>
      <c r="J513" t="str">
        <f t="shared" si="187"/>
        <v>Elite</v>
      </c>
      <c r="K513" t="str">
        <f t="shared" si="194"/>
        <v>Device</v>
      </c>
      <c r="L513" t="str">
        <f t="shared" si="203"/>
        <v>777226288</v>
      </c>
      <c r="M513" t="str">
        <f t="shared" si="204"/>
        <v>16600245</v>
      </c>
      <c r="N513" t="str">
        <f t="shared" si="205"/>
        <v>5098-20</v>
      </c>
      <c r="O513" t="str">
        <f t="shared" si="188"/>
        <v>TEXAS</v>
      </c>
      <c r="P513" t="str">
        <f t="shared" si="189"/>
        <v>N A</v>
      </c>
      <c r="Q513" t="str">
        <f t="shared" si="190"/>
        <v>N/A</v>
      </c>
      <c r="R513" t="str">
        <f>"130 MGCRP 11 305"</f>
        <v>130 MGCRP 11 305</v>
      </c>
      <c r="S513" t="str">
        <f>"12/19/2019 3:12:23 PM"</f>
        <v>12/19/2019 3:12:23 PM</v>
      </c>
      <c r="T513" t="str">
        <f t="shared" si="201"/>
        <v>5</v>
      </c>
      <c r="U513" t="str">
        <f t="shared" si="191"/>
        <v>N/A</v>
      </c>
      <c r="V513" t="str">
        <f t="shared" ref="V513:V518" si="207">"5.5500"</f>
        <v>5.5500</v>
      </c>
    </row>
    <row r="514" spans="1:22" x14ac:dyDescent="0.25">
      <c r="A514" s="1" t="str">
        <f t="shared" ref="A514:A577" si="208">LEFT(N514,5)</f>
        <v>5098-</v>
      </c>
      <c r="B514" s="1" t="str">
        <f t="shared" si="192"/>
        <v>5098-</v>
      </c>
      <c r="C514" s="1" t="str">
        <f>VLOOKUP(B514,'Master truck list'!D:E,2,0)</f>
        <v>5098-20</v>
      </c>
      <c r="D514" s="1" t="str">
        <f>VLOOKUP(C514,'Master truck list'!E:F,2,0)</f>
        <v>ACTIVE</v>
      </c>
      <c r="E514" s="1" t="str">
        <f>VLOOKUP(C514,'Master truck list'!E:M,9,0)</f>
        <v>BNK TRANSPORT INC</v>
      </c>
      <c r="F514" s="1" t="str">
        <f>VLOOKUP(C514,'Master truck list'!E:G,3,0)</f>
        <v>Company</v>
      </c>
      <c r="G514" s="1">
        <f>VLOOKUP(C514,'Master truck list'!E:R,14,0)</f>
        <v>2547</v>
      </c>
      <c r="H514" t="str">
        <f>"12/20/2019 7:00:30 AM"</f>
        <v>12/20/2019 7:00:30 AM</v>
      </c>
      <c r="I514" t="str">
        <f>""</f>
        <v/>
      </c>
      <c r="J514" t="str">
        <f t="shared" ref="J514:J577" si="209">"Elite"</f>
        <v>Elite</v>
      </c>
      <c r="K514" t="str">
        <f t="shared" si="194"/>
        <v>Device</v>
      </c>
      <c r="L514" t="str">
        <f t="shared" si="203"/>
        <v>777226288</v>
      </c>
      <c r="M514" t="str">
        <f t="shared" si="204"/>
        <v>16600245</v>
      </c>
      <c r="N514" t="str">
        <f t="shared" si="205"/>
        <v>5098-20</v>
      </c>
      <c r="O514" t="str">
        <f t="shared" ref="O514:O577" si="210">"TEXAS"</f>
        <v>TEXAS</v>
      </c>
      <c r="P514" t="str">
        <f t="shared" ref="P514:P577" si="211">"N A"</f>
        <v>N A</v>
      </c>
      <c r="Q514" t="str">
        <f t="shared" ref="Q514:Q577" si="212">"N/A"</f>
        <v>N/A</v>
      </c>
      <c r="R514" t="str">
        <f>"130 DKCRP 11 307"</f>
        <v>130 DKCRP 11 307</v>
      </c>
      <c r="S514" t="str">
        <f>"12/19/2019 2:46:50 PM"</f>
        <v>12/19/2019 2:46:50 PM</v>
      </c>
      <c r="T514" t="str">
        <f t="shared" si="201"/>
        <v>5</v>
      </c>
      <c r="U514" t="str">
        <f t="shared" ref="U514:U577" si="213">"N/A"</f>
        <v>N/A</v>
      </c>
      <c r="V514" t="str">
        <f t="shared" si="207"/>
        <v>5.5500</v>
      </c>
    </row>
    <row r="515" spans="1:22" x14ac:dyDescent="0.25">
      <c r="A515" s="1" t="str">
        <f t="shared" si="208"/>
        <v>5104-</v>
      </c>
      <c r="B515" s="1" t="str">
        <f t="shared" ref="B515:B578" si="214">SUBSTITUTE(A515," ","")</f>
        <v>5104-</v>
      </c>
      <c r="C515" s="1" t="str">
        <f>VLOOKUP(B515,'Master truck list'!D:E,2,0)</f>
        <v>5104-20</v>
      </c>
      <c r="D515" s="1" t="str">
        <f>VLOOKUP(C515,'Master truck list'!E:F,2,0)</f>
        <v>ACTIVE</v>
      </c>
      <c r="E515" s="1" t="str">
        <f>VLOOKUP(C515,'Master truck list'!E:M,9,0)</f>
        <v>BNK TRANSPORT INC</v>
      </c>
      <c r="F515" s="1" t="str">
        <f>VLOOKUP(C515,'Master truck list'!E:G,3,0)</f>
        <v>Company</v>
      </c>
      <c r="G515" s="1">
        <f>VLOOKUP(C515,'Master truck list'!E:R,14,0)</f>
        <v>2552</v>
      </c>
      <c r="H515" t="str">
        <f>"12/21/2019 7:00:28 AM"</f>
        <v>12/21/2019 7:00:28 AM</v>
      </c>
      <c r="I515" t="str">
        <f>""</f>
        <v/>
      </c>
      <c r="J515" t="str">
        <f t="shared" si="209"/>
        <v>Elite</v>
      </c>
      <c r="K515" t="str">
        <f t="shared" si="194"/>
        <v>Device</v>
      </c>
      <c r="L515" t="str">
        <f>"777173787"</f>
        <v>777173787</v>
      </c>
      <c r="M515" t="str">
        <f>"16483513"</f>
        <v>16483513</v>
      </c>
      <c r="N515" t="str">
        <f>"5104-20"</f>
        <v>5104-20</v>
      </c>
      <c r="O515" t="str">
        <f t="shared" si="210"/>
        <v>TEXAS</v>
      </c>
      <c r="P515" t="str">
        <f t="shared" si="211"/>
        <v>N A</v>
      </c>
      <c r="Q515" t="str">
        <f t="shared" si="212"/>
        <v>N/A</v>
      </c>
      <c r="R515" t="str">
        <f>"130 ARPTP 04 308"</f>
        <v>130 ARPTP 04 308</v>
      </c>
      <c r="S515" t="str">
        <f>"12/20/2019 8:52:39 AM"</f>
        <v>12/20/2019 8:52:39 AM</v>
      </c>
      <c r="T515" t="str">
        <f t="shared" si="201"/>
        <v>5</v>
      </c>
      <c r="U515" t="str">
        <f t="shared" si="213"/>
        <v>N/A</v>
      </c>
      <c r="V515" t="str">
        <f t="shared" si="207"/>
        <v>5.5500</v>
      </c>
    </row>
    <row r="516" spans="1:22" x14ac:dyDescent="0.25">
      <c r="A516" s="1" t="str">
        <f t="shared" si="208"/>
        <v>5104-</v>
      </c>
      <c r="B516" s="1" t="str">
        <f t="shared" si="214"/>
        <v>5104-</v>
      </c>
      <c r="C516" s="1" t="str">
        <f>VLOOKUP(B516,'Master truck list'!D:E,2,0)</f>
        <v>5104-20</v>
      </c>
      <c r="D516" s="1" t="str">
        <f>VLOOKUP(C516,'Master truck list'!E:F,2,0)</f>
        <v>ACTIVE</v>
      </c>
      <c r="E516" s="1" t="str">
        <f>VLOOKUP(C516,'Master truck list'!E:M,9,0)</f>
        <v>BNK TRANSPORT INC</v>
      </c>
      <c r="F516" s="1" t="str">
        <f>VLOOKUP(C516,'Master truck list'!E:G,3,0)</f>
        <v>Company</v>
      </c>
      <c r="G516" s="1">
        <f>VLOOKUP(C516,'Master truck list'!E:R,14,0)</f>
        <v>2552</v>
      </c>
      <c r="H516" t="str">
        <f>"12/21/2019 7:00:28 AM"</f>
        <v>12/21/2019 7:00:28 AM</v>
      </c>
      <c r="I516" t="str">
        <f>""</f>
        <v/>
      </c>
      <c r="J516" t="str">
        <f t="shared" si="209"/>
        <v>Elite</v>
      </c>
      <c r="K516" t="str">
        <f t="shared" si="194"/>
        <v>Device</v>
      </c>
      <c r="L516" t="str">
        <f>"777173787"</f>
        <v>777173787</v>
      </c>
      <c r="M516" t="str">
        <f>"16483513"</f>
        <v>16483513</v>
      </c>
      <c r="N516" t="str">
        <f>"5104-20"</f>
        <v>5104-20</v>
      </c>
      <c r="O516" t="str">
        <f t="shared" si="210"/>
        <v>TEXAS</v>
      </c>
      <c r="P516" t="str">
        <f t="shared" si="211"/>
        <v>N A</v>
      </c>
      <c r="Q516" t="str">
        <f t="shared" si="212"/>
        <v>N/A</v>
      </c>
      <c r="R516" t="str">
        <f>"130 DKCRP 06 307"</f>
        <v>130 DKCRP 06 307</v>
      </c>
      <c r="S516" t="str">
        <f>"12/20/2019 8:45:40 AM"</f>
        <v>12/20/2019 8:45:40 AM</v>
      </c>
      <c r="T516" t="str">
        <f t="shared" si="201"/>
        <v>5</v>
      </c>
      <c r="U516" t="str">
        <f t="shared" si="213"/>
        <v>N/A</v>
      </c>
      <c r="V516" t="str">
        <f t="shared" si="207"/>
        <v>5.5500</v>
      </c>
    </row>
    <row r="517" spans="1:22" x14ac:dyDescent="0.25">
      <c r="A517" s="1" t="str">
        <f t="shared" si="208"/>
        <v>5104-</v>
      </c>
      <c r="B517" s="1" t="str">
        <f t="shared" si="214"/>
        <v>5104-</v>
      </c>
      <c r="C517" s="1" t="str">
        <f>VLOOKUP(B517,'Master truck list'!D:E,2,0)</f>
        <v>5104-20</v>
      </c>
      <c r="D517" s="1" t="str">
        <f>VLOOKUP(C517,'Master truck list'!E:F,2,0)</f>
        <v>ACTIVE</v>
      </c>
      <c r="E517" s="1" t="str">
        <f>VLOOKUP(C517,'Master truck list'!E:M,9,0)</f>
        <v>BNK TRANSPORT INC</v>
      </c>
      <c r="F517" s="1" t="str">
        <f>VLOOKUP(C517,'Master truck list'!E:G,3,0)</f>
        <v>Company</v>
      </c>
      <c r="G517" s="1">
        <f>VLOOKUP(C517,'Master truck list'!E:R,14,0)</f>
        <v>2552</v>
      </c>
      <c r="H517" t="str">
        <f>"12/21/2019 7:00:28 AM"</f>
        <v>12/21/2019 7:00:28 AM</v>
      </c>
      <c r="I517" t="str">
        <f>""</f>
        <v/>
      </c>
      <c r="J517" t="str">
        <f t="shared" si="209"/>
        <v>Elite</v>
      </c>
      <c r="K517" t="str">
        <f t="shared" si="194"/>
        <v>Device</v>
      </c>
      <c r="L517" t="str">
        <f>"777173787"</f>
        <v>777173787</v>
      </c>
      <c r="M517" t="str">
        <f>"16483513"</f>
        <v>16483513</v>
      </c>
      <c r="N517" t="str">
        <f>"5104-20"</f>
        <v>5104-20</v>
      </c>
      <c r="O517" t="str">
        <f t="shared" si="210"/>
        <v>TEXAS</v>
      </c>
      <c r="P517" t="str">
        <f t="shared" si="211"/>
        <v>N A</v>
      </c>
      <c r="Q517" t="str">
        <f t="shared" si="212"/>
        <v>N/A</v>
      </c>
      <c r="R517" t="str">
        <f>"130 MGCRP 06 305"</f>
        <v>130 MGCRP 06 305</v>
      </c>
      <c r="S517" t="str">
        <f>"12/20/2019 8:24:32 AM"</f>
        <v>12/20/2019 8:24:32 AM</v>
      </c>
      <c r="T517" t="str">
        <f t="shared" si="201"/>
        <v>5</v>
      </c>
      <c r="U517" t="str">
        <f t="shared" si="213"/>
        <v>N/A</v>
      </c>
      <c r="V517" t="str">
        <f t="shared" si="207"/>
        <v>5.5500</v>
      </c>
    </row>
    <row r="518" spans="1:22" x14ac:dyDescent="0.25">
      <c r="A518" s="1" t="str">
        <f t="shared" si="208"/>
        <v>5104-</v>
      </c>
      <c r="B518" s="1" t="str">
        <f t="shared" si="214"/>
        <v>5104-</v>
      </c>
      <c r="C518" s="1" t="str">
        <f>VLOOKUP(B518,'Master truck list'!D:E,2,0)</f>
        <v>5104-20</v>
      </c>
      <c r="D518" s="1" t="str">
        <f>VLOOKUP(C518,'Master truck list'!E:F,2,0)</f>
        <v>ACTIVE</v>
      </c>
      <c r="E518" s="1" t="str">
        <f>VLOOKUP(C518,'Master truck list'!E:M,9,0)</f>
        <v>BNK TRANSPORT INC</v>
      </c>
      <c r="F518" s="1" t="str">
        <f>VLOOKUP(C518,'Master truck list'!E:G,3,0)</f>
        <v>Company</v>
      </c>
      <c r="G518" s="1">
        <f>VLOOKUP(C518,'Master truck list'!E:R,14,0)</f>
        <v>2552</v>
      </c>
      <c r="H518" t="str">
        <f>"12/21/2019 7:00:28 AM"</f>
        <v>12/21/2019 7:00:28 AM</v>
      </c>
      <c r="I518" t="str">
        <f>""</f>
        <v/>
      </c>
      <c r="J518" t="str">
        <f t="shared" si="209"/>
        <v>Elite</v>
      </c>
      <c r="K518" t="str">
        <f t="shared" si="194"/>
        <v>Device</v>
      </c>
      <c r="L518" t="str">
        <f>"777173787"</f>
        <v>777173787</v>
      </c>
      <c r="M518" t="str">
        <f>"16483513"</f>
        <v>16483513</v>
      </c>
      <c r="N518" t="str">
        <f>"5104-20"</f>
        <v>5104-20</v>
      </c>
      <c r="O518" t="str">
        <f t="shared" si="210"/>
        <v>TEXAS</v>
      </c>
      <c r="P518" t="str">
        <f t="shared" si="211"/>
        <v>N A</v>
      </c>
      <c r="Q518" t="str">
        <f t="shared" si="212"/>
        <v>N/A</v>
      </c>
      <c r="R518" t="str">
        <f>"130 CMRNP 08 306"</f>
        <v>130 CMRNP 08 306</v>
      </c>
      <c r="S518" t="str">
        <f>"12/20/2019 8:35:38 AM"</f>
        <v>12/20/2019 8:35:38 AM</v>
      </c>
      <c r="T518" t="str">
        <f t="shared" si="201"/>
        <v>5</v>
      </c>
      <c r="U518" t="str">
        <f t="shared" si="213"/>
        <v>N/A</v>
      </c>
      <c r="V518" t="str">
        <f t="shared" si="207"/>
        <v>5.5500</v>
      </c>
    </row>
    <row r="519" spans="1:22" x14ac:dyDescent="0.25">
      <c r="A519" s="1" t="str">
        <f t="shared" si="208"/>
        <v>5104-</v>
      </c>
      <c r="B519" s="1" t="str">
        <f t="shared" si="214"/>
        <v>5104-</v>
      </c>
      <c r="C519" s="1" t="str">
        <f>VLOOKUP(B519,'Master truck list'!D:E,2,0)</f>
        <v>5104-20</v>
      </c>
      <c r="D519" s="1" t="str">
        <f>VLOOKUP(C519,'Master truck list'!E:F,2,0)</f>
        <v>ACTIVE</v>
      </c>
      <c r="E519" s="1" t="str">
        <f>VLOOKUP(C519,'Master truck list'!E:M,9,0)</f>
        <v>BNK TRANSPORT INC</v>
      </c>
      <c r="F519" s="1" t="str">
        <f>VLOOKUP(C519,'Master truck list'!E:G,3,0)</f>
        <v>Company</v>
      </c>
      <c r="G519" s="1">
        <f>VLOOKUP(C519,'Master truck list'!E:R,14,0)</f>
        <v>2552</v>
      </c>
      <c r="H519" t="str">
        <f>"12/21/2019 7:00:28 AM"</f>
        <v>12/21/2019 7:00:28 AM</v>
      </c>
      <c r="I519" t="str">
        <f>""</f>
        <v/>
      </c>
      <c r="J519" t="str">
        <f t="shared" si="209"/>
        <v>Elite</v>
      </c>
      <c r="K519" t="str">
        <f t="shared" si="194"/>
        <v>Device</v>
      </c>
      <c r="L519" t="str">
        <f>"777173787"</f>
        <v>777173787</v>
      </c>
      <c r="M519" t="str">
        <f>"16483513"</f>
        <v>16483513</v>
      </c>
      <c r="N519" t="str">
        <f>"5104-20"</f>
        <v>5104-20</v>
      </c>
      <c r="O519" t="str">
        <f t="shared" si="210"/>
        <v>TEXAS</v>
      </c>
      <c r="P519" t="str">
        <f t="shared" si="211"/>
        <v>N A</v>
      </c>
      <c r="Q519" t="str">
        <f t="shared" si="212"/>
        <v>N/A</v>
      </c>
      <c r="R519" t="str">
        <f>"45SE MLPWB 01 611"</f>
        <v>45SE MLPWB 01 611</v>
      </c>
      <c r="S519" t="str">
        <f>"12/20/2019 9:03:14 AM"</f>
        <v>12/20/2019 9:03:14 AM</v>
      </c>
      <c r="T519" t="str">
        <f t="shared" si="201"/>
        <v>5</v>
      </c>
      <c r="U519" t="str">
        <f t="shared" si="213"/>
        <v>N/A</v>
      </c>
      <c r="V519" t="str">
        <f>"3.3000"</f>
        <v>3.3000</v>
      </c>
    </row>
    <row r="520" spans="1:22" x14ac:dyDescent="0.25">
      <c r="A520" s="1" t="str">
        <f t="shared" si="208"/>
        <v>5099-</v>
      </c>
      <c r="B520" s="1" t="str">
        <f t="shared" si="214"/>
        <v>5099-</v>
      </c>
      <c r="C520" s="1" t="str">
        <f>VLOOKUP(B520,'Master truck list'!D:E,2,0)</f>
        <v>5099-20</v>
      </c>
      <c r="D520" s="1" t="str">
        <f>VLOOKUP(C520,'Master truck list'!E:F,2,0)</f>
        <v>ACTIVE</v>
      </c>
      <c r="E520" s="1" t="str">
        <f>VLOOKUP(C520,'Master truck list'!E:M,9,0)</f>
        <v>BNK TRANSPORT INC</v>
      </c>
      <c r="F520" s="1" t="str">
        <f>VLOOKUP(C520,'Master truck list'!E:G,3,0)</f>
        <v>Company</v>
      </c>
      <c r="G520" s="1">
        <f>VLOOKUP(C520,'Master truck list'!E:R,14,0)</f>
        <v>2548</v>
      </c>
      <c r="H520" t="str">
        <f t="shared" ref="H520:H528" si="215">"12/17/2019 7:00:33 AM"</f>
        <v>12/17/2019 7:00:33 AM</v>
      </c>
      <c r="I520" t="str">
        <f>""</f>
        <v/>
      </c>
      <c r="J520" t="str">
        <f t="shared" si="209"/>
        <v>Elite</v>
      </c>
      <c r="K520" t="str">
        <f t="shared" si="194"/>
        <v>Device</v>
      </c>
      <c r="L520" t="str">
        <f t="shared" ref="L520:L528" si="216">"777227236"</f>
        <v>777227236</v>
      </c>
      <c r="M520" t="str">
        <f t="shared" ref="M520:M528" si="217">"16601193"</f>
        <v>16601193</v>
      </c>
      <c r="N520" t="str">
        <f t="shared" ref="N520:N528" si="218">"5099-20"</f>
        <v>5099-20</v>
      </c>
      <c r="O520" t="str">
        <f t="shared" si="210"/>
        <v>TEXAS</v>
      </c>
      <c r="P520" t="str">
        <f t="shared" si="211"/>
        <v>N A</v>
      </c>
      <c r="Q520" t="str">
        <f t="shared" si="212"/>
        <v>N/A</v>
      </c>
      <c r="R520" t="str">
        <f>"130 MGCRP 11 305"</f>
        <v>130 MGCRP 11 305</v>
      </c>
      <c r="S520" t="str">
        <f>"12/16/2019 8:56:26 PM"</f>
        <v>12/16/2019 8:56:26 PM</v>
      </c>
      <c r="T520" t="str">
        <f t="shared" si="201"/>
        <v>5</v>
      </c>
      <c r="U520" t="str">
        <f t="shared" si="213"/>
        <v>N/A</v>
      </c>
      <c r="V520" t="str">
        <f>"5.5500"</f>
        <v>5.5500</v>
      </c>
    </row>
    <row r="521" spans="1:22" x14ac:dyDescent="0.25">
      <c r="A521" s="1" t="str">
        <f t="shared" si="208"/>
        <v>5099-</v>
      </c>
      <c r="B521" s="1" t="str">
        <f t="shared" si="214"/>
        <v>5099-</v>
      </c>
      <c r="C521" s="1" t="str">
        <f>VLOOKUP(B521,'Master truck list'!D:E,2,0)</f>
        <v>5099-20</v>
      </c>
      <c r="D521" s="1" t="str">
        <f>VLOOKUP(C521,'Master truck list'!E:F,2,0)</f>
        <v>ACTIVE</v>
      </c>
      <c r="E521" s="1" t="str">
        <f>VLOOKUP(C521,'Master truck list'!E:M,9,0)</f>
        <v>BNK TRANSPORT INC</v>
      </c>
      <c r="F521" s="1" t="str">
        <f>VLOOKUP(C521,'Master truck list'!E:G,3,0)</f>
        <v>Company</v>
      </c>
      <c r="G521" s="1">
        <f>VLOOKUP(C521,'Master truck list'!E:R,14,0)</f>
        <v>2548</v>
      </c>
      <c r="H521" t="str">
        <f t="shared" si="215"/>
        <v>12/17/2019 7:00:33 AM</v>
      </c>
      <c r="I521" t="str">
        <f>""</f>
        <v/>
      </c>
      <c r="J521" t="str">
        <f t="shared" si="209"/>
        <v>Elite</v>
      </c>
      <c r="K521" t="str">
        <f t="shared" si="194"/>
        <v>Device</v>
      </c>
      <c r="L521" t="str">
        <f t="shared" si="216"/>
        <v>777227236</v>
      </c>
      <c r="M521" t="str">
        <f t="shared" si="217"/>
        <v>16601193</v>
      </c>
      <c r="N521" t="str">
        <f t="shared" si="218"/>
        <v>5099-20</v>
      </c>
      <c r="O521" t="str">
        <f t="shared" si="210"/>
        <v>TEXAS</v>
      </c>
      <c r="P521" t="str">
        <f t="shared" si="211"/>
        <v>N A</v>
      </c>
      <c r="Q521" t="str">
        <f t="shared" si="212"/>
        <v>N/A</v>
      </c>
      <c r="R521" t="str">
        <f>"45SE MLPWB 01 611"</f>
        <v>45SE MLPWB 01 611</v>
      </c>
      <c r="S521" t="str">
        <f>"12/16/2019 12:35:10 AM"</f>
        <v>12/16/2019 12:35:10 AM</v>
      </c>
      <c r="T521" t="str">
        <f t="shared" si="201"/>
        <v>5</v>
      </c>
      <c r="U521" t="str">
        <f t="shared" si="213"/>
        <v>N/A</v>
      </c>
      <c r="V521" t="str">
        <f>"3.3000"</f>
        <v>3.3000</v>
      </c>
    </row>
    <row r="522" spans="1:22" x14ac:dyDescent="0.25">
      <c r="A522" s="1" t="str">
        <f t="shared" si="208"/>
        <v>5099-</v>
      </c>
      <c r="B522" s="1" t="str">
        <f t="shared" si="214"/>
        <v>5099-</v>
      </c>
      <c r="C522" s="1" t="str">
        <f>VLOOKUP(B522,'Master truck list'!D:E,2,0)</f>
        <v>5099-20</v>
      </c>
      <c r="D522" s="1" t="str">
        <f>VLOOKUP(C522,'Master truck list'!E:F,2,0)</f>
        <v>ACTIVE</v>
      </c>
      <c r="E522" s="1" t="str">
        <f>VLOOKUP(C522,'Master truck list'!E:M,9,0)</f>
        <v>BNK TRANSPORT INC</v>
      </c>
      <c r="F522" s="1" t="str">
        <f>VLOOKUP(C522,'Master truck list'!E:G,3,0)</f>
        <v>Company</v>
      </c>
      <c r="G522" s="1">
        <f>VLOOKUP(C522,'Master truck list'!E:R,14,0)</f>
        <v>2548</v>
      </c>
      <c r="H522" t="str">
        <f t="shared" si="215"/>
        <v>12/17/2019 7:00:33 AM</v>
      </c>
      <c r="I522" t="str">
        <f>""</f>
        <v/>
      </c>
      <c r="J522" t="str">
        <f t="shared" si="209"/>
        <v>Elite</v>
      </c>
      <c r="K522" t="str">
        <f t="shared" si="194"/>
        <v>Device</v>
      </c>
      <c r="L522" t="str">
        <f t="shared" si="216"/>
        <v>777227236</v>
      </c>
      <c r="M522" t="str">
        <f t="shared" si="217"/>
        <v>16601193</v>
      </c>
      <c r="N522" t="str">
        <f t="shared" si="218"/>
        <v>5099-20</v>
      </c>
      <c r="O522" t="str">
        <f t="shared" si="210"/>
        <v>TEXAS</v>
      </c>
      <c r="P522" t="str">
        <f t="shared" si="211"/>
        <v>N A</v>
      </c>
      <c r="Q522" t="str">
        <f t="shared" si="212"/>
        <v>N/A</v>
      </c>
      <c r="R522" t="str">
        <f>"45SE MLPEB 02 611"</f>
        <v>45SE MLPEB 02 611</v>
      </c>
      <c r="S522" t="str">
        <f>"12/16/2019 8:17:11 PM"</f>
        <v>12/16/2019 8:17:11 PM</v>
      </c>
      <c r="T522" t="str">
        <f t="shared" si="201"/>
        <v>5</v>
      </c>
      <c r="U522" t="str">
        <f t="shared" si="213"/>
        <v>N/A</v>
      </c>
      <c r="V522" t="str">
        <f>"3.3000"</f>
        <v>3.3000</v>
      </c>
    </row>
    <row r="523" spans="1:22" x14ac:dyDescent="0.25">
      <c r="A523" s="1" t="str">
        <f t="shared" si="208"/>
        <v>5099-</v>
      </c>
      <c r="B523" s="1" t="str">
        <f t="shared" si="214"/>
        <v>5099-</v>
      </c>
      <c r="C523" s="1" t="str">
        <f>VLOOKUP(B523,'Master truck list'!D:E,2,0)</f>
        <v>5099-20</v>
      </c>
      <c r="D523" s="1" t="str">
        <f>VLOOKUP(C523,'Master truck list'!E:F,2,0)</f>
        <v>ACTIVE</v>
      </c>
      <c r="E523" s="1" t="str">
        <f>VLOOKUP(C523,'Master truck list'!E:M,9,0)</f>
        <v>BNK TRANSPORT INC</v>
      </c>
      <c r="F523" s="1" t="str">
        <f>VLOOKUP(C523,'Master truck list'!E:G,3,0)</f>
        <v>Company</v>
      </c>
      <c r="G523" s="1">
        <f>VLOOKUP(C523,'Master truck list'!E:R,14,0)</f>
        <v>2548</v>
      </c>
      <c r="H523" t="str">
        <f t="shared" si="215"/>
        <v>12/17/2019 7:00:33 AM</v>
      </c>
      <c r="I523" t="str">
        <f>""</f>
        <v/>
      </c>
      <c r="J523" t="str">
        <f t="shared" si="209"/>
        <v>Elite</v>
      </c>
      <c r="K523" t="str">
        <f t="shared" si="194"/>
        <v>Device</v>
      </c>
      <c r="L523" t="str">
        <f t="shared" si="216"/>
        <v>777227236</v>
      </c>
      <c r="M523" t="str">
        <f t="shared" si="217"/>
        <v>16601193</v>
      </c>
      <c r="N523" t="str">
        <f t="shared" si="218"/>
        <v>5099-20</v>
      </c>
      <c r="O523" t="str">
        <f t="shared" si="210"/>
        <v>TEXAS</v>
      </c>
      <c r="P523" t="str">
        <f t="shared" si="211"/>
        <v>N A</v>
      </c>
      <c r="Q523" t="str">
        <f t="shared" si="212"/>
        <v>N/A</v>
      </c>
      <c r="R523" t="str">
        <f>"130 ARPTP 09 308"</f>
        <v>130 ARPTP 09 308</v>
      </c>
      <c r="S523" t="str">
        <f>"12/16/2019 8:27:51 PM"</f>
        <v>12/16/2019 8:27:51 PM</v>
      </c>
      <c r="T523" t="str">
        <f t="shared" si="201"/>
        <v>5</v>
      </c>
      <c r="U523" t="str">
        <f t="shared" si="213"/>
        <v>N/A</v>
      </c>
      <c r="V523" t="str">
        <f t="shared" ref="V523:V530" si="219">"5.5500"</f>
        <v>5.5500</v>
      </c>
    </row>
    <row r="524" spans="1:22" x14ac:dyDescent="0.25">
      <c r="A524" s="1" t="str">
        <f t="shared" si="208"/>
        <v>5099-</v>
      </c>
      <c r="B524" s="1" t="str">
        <f t="shared" si="214"/>
        <v>5099-</v>
      </c>
      <c r="C524" s="1" t="str">
        <f>VLOOKUP(B524,'Master truck list'!D:E,2,0)</f>
        <v>5099-20</v>
      </c>
      <c r="D524" s="1" t="str">
        <f>VLOOKUP(C524,'Master truck list'!E:F,2,0)</f>
        <v>ACTIVE</v>
      </c>
      <c r="E524" s="1" t="str">
        <f>VLOOKUP(C524,'Master truck list'!E:M,9,0)</f>
        <v>BNK TRANSPORT INC</v>
      </c>
      <c r="F524" s="1" t="str">
        <f>VLOOKUP(C524,'Master truck list'!E:G,3,0)</f>
        <v>Company</v>
      </c>
      <c r="G524" s="1">
        <f>VLOOKUP(C524,'Master truck list'!E:R,14,0)</f>
        <v>2548</v>
      </c>
      <c r="H524" t="str">
        <f t="shared" si="215"/>
        <v>12/17/2019 7:00:33 AM</v>
      </c>
      <c r="I524" t="str">
        <f>""</f>
        <v/>
      </c>
      <c r="J524" t="str">
        <f t="shared" si="209"/>
        <v>Elite</v>
      </c>
      <c r="K524" t="str">
        <f t="shared" si="194"/>
        <v>Device</v>
      </c>
      <c r="L524" t="str">
        <f t="shared" si="216"/>
        <v>777227236</v>
      </c>
      <c r="M524" t="str">
        <f t="shared" si="217"/>
        <v>16601193</v>
      </c>
      <c r="N524" t="str">
        <f t="shared" si="218"/>
        <v>5099-20</v>
      </c>
      <c r="O524" t="str">
        <f t="shared" si="210"/>
        <v>TEXAS</v>
      </c>
      <c r="P524" t="str">
        <f t="shared" si="211"/>
        <v>N A</v>
      </c>
      <c r="Q524" t="str">
        <f t="shared" si="212"/>
        <v>N/A</v>
      </c>
      <c r="R524" t="str">
        <f>"130 CMRNP 08 306"</f>
        <v>130 CMRNP 08 306</v>
      </c>
      <c r="S524" t="str">
        <f>"12/16/2019 12:06:37 AM"</f>
        <v>12/16/2019 12:06:37 AM</v>
      </c>
      <c r="T524" t="str">
        <f t="shared" si="201"/>
        <v>5</v>
      </c>
      <c r="U524" t="str">
        <f t="shared" si="213"/>
        <v>N/A</v>
      </c>
      <c r="V524" t="str">
        <f t="shared" si="219"/>
        <v>5.5500</v>
      </c>
    </row>
    <row r="525" spans="1:22" x14ac:dyDescent="0.25">
      <c r="A525" s="1" t="str">
        <f t="shared" si="208"/>
        <v>5099-</v>
      </c>
      <c r="B525" s="1" t="str">
        <f t="shared" si="214"/>
        <v>5099-</v>
      </c>
      <c r="C525" s="1" t="str">
        <f>VLOOKUP(B525,'Master truck list'!D:E,2,0)</f>
        <v>5099-20</v>
      </c>
      <c r="D525" s="1" t="str">
        <f>VLOOKUP(C525,'Master truck list'!E:F,2,0)</f>
        <v>ACTIVE</v>
      </c>
      <c r="E525" s="1" t="str">
        <f>VLOOKUP(C525,'Master truck list'!E:M,9,0)</f>
        <v>BNK TRANSPORT INC</v>
      </c>
      <c r="F525" s="1" t="str">
        <f>VLOOKUP(C525,'Master truck list'!E:G,3,0)</f>
        <v>Company</v>
      </c>
      <c r="G525" s="1">
        <f>VLOOKUP(C525,'Master truck list'!E:R,14,0)</f>
        <v>2548</v>
      </c>
      <c r="H525" t="str">
        <f t="shared" si="215"/>
        <v>12/17/2019 7:00:33 AM</v>
      </c>
      <c r="I525" t="str">
        <f>""</f>
        <v/>
      </c>
      <c r="J525" t="str">
        <f t="shared" si="209"/>
        <v>Elite</v>
      </c>
      <c r="K525" t="str">
        <f t="shared" si="194"/>
        <v>Device</v>
      </c>
      <c r="L525" t="str">
        <f t="shared" si="216"/>
        <v>777227236</v>
      </c>
      <c r="M525" t="str">
        <f t="shared" si="217"/>
        <v>16601193</v>
      </c>
      <c r="N525" t="str">
        <f t="shared" si="218"/>
        <v>5099-20</v>
      </c>
      <c r="O525" t="str">
        <f t="shared" si="210"/>
        <v>TEXAS</v>
      </c>
      <c r="P525" t="str">
        <f t="shared" si="211"/>
        <v>N A</v>
      </c>
      <c r="Q525" t="str">
        <f t="shared" si="212"/>
        <v>N/A</v>
      </c>
      <c r="R525" t="str">
        <f>"130 ARPTP 04 308"</f>
        <v>130 ARPTP 04 308</v>
      </c>
      <c r="S525" t="str">
        <f>"12/16/2019 12:23:56 AM"</f>
        <v>12/16/2019 12:23:56 AM</v>
      </c>
      <c r="T525" t="str">
        <f t="shared" si="201"/>
        <v>5</v>
      </c>
      <c r="U525" t="str">
        <f t="shared" si="213"/>
        <v>N/A</v>
      </c>
      <c r="V525" t="str">
        <f t="shared" si="219"/>
        <v>5.5500</v>
      </c>
    </row>
    <row r="526" spans="1:22" x14ac:dyDescent="0.25">
      <c r="A526" s="1" t="str">
        <f t="shared" si="208"/>
        <v>5099-</v>
      </c>
      <c r="B526" s="1" t="str">
        <f t="shared" si="214"/>
        <v>5099-</v>
      </c>
      <c r="C526" s="1" t="str">
        <f>VLOOKUP(B526,'Master truck list'!D:E,2,0)</f>
        <v>5099-20</v>
      </c>
      <c r="D526" s="1" t="str">
        <f>VLOOKUP(C526,'Master truck list'!E:F,2,0)</f>
        <v>ACTIVE</v>
      </c>
      <c r="E526" s="1" t="str">
        <f>VLOOKUP(C526,'Master truck list'!E:M,9,0)</f>
        <v>BNK TRANSPORT INC</v>
      </c>
      <c r="F526" s="1" t="str">
        <f>VLOOKUP(C526,'Master truck list'!E:G,3,0)</f>
        <v>Company</v>
      </c>
      <c r="G526" s="1">
        <f>VLOOKUP(C526,'Master truck list'!E:R,14,0)</f>
        <v>2548</v>
      </c>
      <c r="H526" t="str">
        <f t="shared" si="215"/>
        <v>12/17/2019 7:00:33 AM</v>
      </c>
      <c r="I526" t="str">
        <f>""</f>
        <v/>
      </c>
      <c r="J526" t="str">
        <f t="shared" si="209"/>
        <v>Elite</v>
      </c>
      <c r="K526" t="str">
        <f t="shared" si="194"/>
        <v>Device</v>
      </c>
      <c r="L526" t="str">
        <f t="shared" si="216"/>
        <v>777227236</v>
      </c>
      <c r="M526" t="str">
        <f t="shared" si="217"/>
        <v>16601193</v>
      </c>
      <c r="N526" t="str">
        <f t="shared" si="218"/>
        <v>5099-20</v>
      </c>
      <c r="O526" t="str">
        <f t="shared" si="210"/>
        <v>TEXAS</v>
      </c>
      <c r="P526" t="str">
        <f t="shared" si="211"/>
        <v>N A</v>
      </c>
      <c r="Q526" t="str">
        <f t="shared" si="212"/>
        <v>N/A</v>
      </c>
      <c r="R526" t="str">
        <f>"130 CMRNP 13 306"</f>
        <v>130 CMRNP 13 306</v>
      </c>
      <c r="S526" t="str">
        <f>"12/16/2019 8:45:05 PM"</f>
        <v>12/16/2019 8:45:05 PM</v>
      </c>
      <c r="T526" t="str">
        <f t="shared" si="201"/>
        <v>5</v>
      </c>
      <c r="U526" t="str">
        <f t="shared" si="213"/>
        <v>N/A</v>
      </c>
      <c r="V526" t="str">
        <f t="shared" si="219"/>
        <v>5.5500</v>
      </c>
    </row>
    <row r="527" spans="1:22" x14ac:dyDescent="0.25">
      <c r="A527" s="1" t="str">
        <f t="shared" si="208"/>
        <v>5099-</v>
      </c>
      <c r="B527" s="1" t="str">
        <f t="shared" si="214"/>
        <v>5099-</v>
      </c>
      <c r="C527" s="1" t="str">
        <f>VLOOKUP(B527,'Master truck list'!D:E,2,0)</f>
        <v>5099-20</v>
      </c>
      <c r="D527" s="1" t="str">
        <f>VLOOKUP(C527,'Master truck list'!E:F,2,0)</f>
        <v>ACTIVE</v>
      </c>
      <c r="E527" s="1" t="str">
        <f>VLOOKUP(C527,'Master truck list'!E:M,9,0)</f>
        <v>BNK TRANSPORT INC</v>
      </c>
      <c r="F527" s="1" t="str">
        <f>VLOOKUP(C527,'Master truck list'!E:G,3,0)</f>
        <v>Company</v>
      </c>
      <c r="G527" s="1">
        <f>VLOOKUP(C527,'Master truck list'!E:R,14,0)</f>
        <v>2548</v>
      </c>
      <c r="H527" t="str">
        <f t="shared" si="215"/>
        <v>12/17/2019 7:00:33 AM</v>
      </c>
      <c r="I527" t="str">
        <f>""</f>
        <v/>
      </c>
      <c r="J527" t="str">
        <f t="shared" si="209"/>
        <v>Elite</v>
      </c>
      <c r="K527" t="str">
        <f t="shared" ref="K527:K590" si="220">"Device"</f>
        <v>Device</v>
      </c>
      <c r="L527" t="str">
        <f t="shared" si="216"/>
        <v>777227236</v>
      </c>
      <c r="M527" t="str">
        <f t="shared" si="217"/>
        <v>16601193</v>
      </c>
      <c r="N527" t="str">
        <f t="shared" si="218"/>
        <v>5099-20</v>
      </c>
      <c r="O527" t="str">
        <f t="shared" si="210"/>
        <v>TEXAS</v>
      </c>
      <c r="P527" t="str">
        <f t="shared" si="211"/>
        <v>N A</v>
      </c>
      <c r="Q527" t="str">
        <f t="shared" si="212"/>
        <v>N/A</v>
      </c>
      <c r="R527" t="str">
        <f>"130 DKCRP 11 307"</f>
        <v>130 DKCRP 11 307</v>
      </c>
      <c r="S527" t="str">
        <f>"12/16/2019 8:34:55 PM"</f>
        <v>12/16/2019 8:34:55 PM</v>
      </c>
      <c r="T527" t="str">
        <f t="shared" si="201"/>
        <v>5</v>
      </c>
      <c r="U527" t="str">
        <f t="shared" si="213"/>
        <v>N/A</v>
      </c>
      <c r="V527" t="str">
        <f t="shared" si="219"/>
        <v>5.5500</v>
      </c>
    </row>
    <row r="528" spans="1:22" x14ac:dyDescent="0.25">
      <c r="A528" s="1" t="str">
        <f t="shared" si="208"/>
        <v>5099-</v>
      </c>
      <c r="B528" s="1" t="str">
        <f t="shared" si="214"/>
        <v>5099-</v>
      </c>
      <c r="C528" s="1" t="str">
        <f>VLOOKUP(B528,'Master truck list'!D:E,2,0)</f>
        <v>5099-20</v>
      </c>
      <c r="D528" s="1" t="str">
        <f>VLOOKUP(C528,'Master truck list'!E:F,2,0)</f>
        <v>ACTIVE</v>
      </c>
      <c r="E528" s="1" t="str">
        <f>VLOOKUP(C528,'Master truck list'!E:M,9,0)</f>
        <v>BNK TRANSPORT INC</v>
      </c>
      <c r="F528" s="1" t="str">
        <f>VLOOKUP(C528,'Master truck list'!E:G,3,0)</f>
        <v>Company</v>
      </c>
      <c r="G528" s="1">
        <f>VLOOKUP(C528,'Master truck list'!E:R,14,0)</f>
        <v>2548</v>
      </c>
      <c r="H528" t="str">
        <f t="shared" si="215"/>
        <v>12/17/2019 7:00:33 AM</v>
      </c>
      <c r="I528" t="str">
        <f>""</f>
        <v/>
      </c>
      <c r="J528" t="str">
        <f t="shared" si="209"/>
        <v>Elite</v>
      </c>
      <c r="K528" t="str">
        <f t="shared" si="220"/>
        <v>Device</v>
      </c>
      <c r="L528" t="str">
        <f t="shared" si="216"/>
        <v>777227236</v>
      </c>
      <c r="M528" t="str">
        <f t="shared" si="217"/>
        <v>16601193</v>
      </c>
      <c r="N528" t="str">
        <f t="shared" si="218"/>
        <v>5099-20</v>
      </c>
      <c r="O528" t="str">
        <f t="shared" si="210"/>
        <v>TEXAS</v>
      </c>
      <c r="P528" t="str">
        <f t="shared" si="211"/>
        <v>N A</v>
      </c>
      <c r="Q528" t="str">
        <f t="shared" si="212"/>
        <v>N/A</v>
      </c>
      <c r="R528" t="str">
        <f>"130 DKCRP 06 307"</f>
        <v>130 DKCRP 06 307</v>
      </c>
      <c r="S528" t="str">
        <f>"12/16/2019 12:16:55 AM"</f>
        <v>12/16/2019 12:16:55 AM</v>
      </c>
      <c r="T528" t="str">
        <f t="shared" si="201"/>
        <v>5</v>
      </c>
      <c r="U528" t="str">
        <f t="shared" si="213"/>
        <v>N/A</v>
      </c>
      <c r="V528" t="str">
        <f t="shared" si="219"/>
        <v>5.5500</v>
      </c>
    </row>
    <row r="529" spans="1:22" x14ac:dyDescent="0.25">
      <c r="A529" s="1" t="str">
        <f t="shared" si="208"/>
        <v>2572-</v>
      </c>
      <c r="B529" s="1" t="str">
        <f t="shared" si="214"/>
        <v>2572-</v>
      </c>
      <c r="C529" s="1" t="str">
        <f>VLOOKUP(B529,'Master truck list'!D:E,2,0)</f>
        <v>2572-20</v>
      </c>
      <c r="D529" s="1" t="str">
        <f>VLOOKUP(C529,'Master truck list'!E:F,2,0)</f>
        <v>ACTIVE</v>
      </c>
      <c r="E529" s="1" t="str">
        <f>VLOOKUP(C529,'Master truck list'!E:M,9,0)</f>
        <v>CHARGER LOGISTICS USA INC</v>
      </c>
      <c r="F529" s="1" t="str">
        <f>VLOOKUP(C529,'Master truck list'!E:G,3,0)</f>
        <v>Company</v>
      </c>
      <c r="G529" s="1">
        <f>VLOOKUP(C529,'Master truck list'!E:R,14,0)</f>
        <v>2562</v>
      </c>
      <c r="H529" t="str">
        <f>"12/21/2019 7:00:28 AM"</f>
        <v>12/21/2019 7:00:28 AM</v>
      </c>
      <c r="I529" t="str">
        <f>""</f>
        <v/>
      </c>
      <c r="J529" t="str">
        <f t="shared" si="209"/>
        <v>Elite</v>
      </c>
      <c r="K529" t="str">
        <f t="shared" si="220"/>
        <v>Device</v>
      </c>
      <c r="L529" t="str">
        <f>"777160905"</f>
        <v>777160905</v>
      </c>
      <c r="M529" t="str">
        <f>"16419980"</f>
        <v>16419980</v>
      </c>
      <c r="N529" t="str">
        <f>"2572-20"</f>
        <v>2572-20</v>
      </c>
      <c r="O529" t="str">
        <f t="shared" si="210"/>
        <v>TEXAS</v>
      </c>
      <c r="P529" t="str">
        <f t="shared" si="211"/>
        <v>N A</v>
      </c>
      <c r="Q529" t="str">
        <f t="shared" si="212"/>
        <v>N/A</v>
      </c>
      <c r="R529" t="str">
        <f>"130 ARPTP 09 308"</f>
        <v>130 ARPTP 09 308</v>
      </c>
      <c r="S529" t="str">
        <f>"12/20/2019 1:52:26 PM"</f>
        <v>12/20/2019 1:52:26 PM</v>
      </c>
      <c r="T529" t="str">
        <f t="shared" si="201"/>
        <v>5</v>
      </c>
      <c r="U529" t="str">
        <f t="shared" si="213"/>
        <v>N/A</v>
      </c>
      <c r="V529" t="str">
        <f t="shared" si="219"/>
        <v>5.5500</v>
      </c>
    </row>
    <row r="530" spans="1:22" x14ac:dyDescent="0.25">
      <c r="A530" s="1" t="str">
        <f t="shared" si="208"/>
        <v>2572-</v>
      </c>
      <c r="B530" s="1" t="str">
        <f t="shared" si="214"/>
        <v>2572-</v>
      </c>
      <c r="C530" s="1" t="str">
        <f>VLOOKUP(B530,'Master truck list'!D:E,2,0)</f>
        <v>2572-20</v>
      </c>
      <c r="D530" s="1" t="str">
        <f>VLOOKUP(C530,'Master truck list'!E:F,2,0)</f>
        <v>ACTIVE</v>
      </c>
      <c r="E530" s="1" t="str">
        <f>VLOOKUP(C530,'Master truck list'!E:M,9,0)</f>
        <v>CHARGER LOGISTICS USA INC</v>
      </c>
      <c r="F530" s="1" t="str">
        <f>VLOOKUP(C530,'Master truck list'!E:G,3,0)</f>
        <v>Company</v>
      </c>
      <c r="G530" s="1">
        <f>VLOOKUP(C530,'Master truck list'!E:R,14,0)</f>
        <v>2562</v>
      </c>
      <c r="H530" t="str">
        <f>"12/21/2019 7:00:28 AM"</f>
        <v>12/21/2019 7:00:28 AM</v>
      </c>
      <c r="I530" t="str">
        <f>""</f>
        <v/>
      </c>
      <c r="J530" t="str">
        <f t="shared" si="209"/>
        <v>Elite</v>
      </c>
      <c r="K530" t="str">
        <f t="shared" si="220"/>
        <v>Device</v>
      </c>
      <c r="L530" t="str">
        <f>"777160905"</f>
        <v>777160905</v>
      </c>
      <c r="M530" t="str">
        <f>"16419980"</f>
        <v>16419980</v>
      </c>
      <c r="N530" t="str">
        <f>"2572-20"</f>
        <v>2572-20</v>
      </c>
      <c r="O530" t="str">
        <f t="shared" si="210"/>
        <v>TEXAS</v>
      </c>
      <c r="P530" t="str">
        <f t="shared" si="211"/>
        <v>N A</v>
      </c>
      <c r="Q530" t="str">
        <f t="shared" si="212"/>
        <v>N/A</v>
      </c>
      <c r="R530" t="str">
        <f>"130 MGCRP 11 305"</f>
        <v>130 MGCRP 11 305</v>
      </c>
      <c r="S530" t="str">
        <f>"12/20/2019 2:21:44 PM"</f>
        <v>12/20/2019 2:21:44 PM</v>
      </c>
      <c r="T530" t="str">
        <f t="shared" si="201"/>
        <v>5</v>
      </c>
      <c r="U530" t="str">
        <f t="shared" si="213"/>
        <v>N/A</v>
      </c>
      <c r="V530" t="str">
        <f t="shared" si="219"/>
        <v>5.5500</v>
      </c>
    </row>
    <row r="531" spans="1:22" x14ac:dyDescent="0.25">
      <c r="A531" s="1" t="str">
        <f t="shared" si="208"/>
        <v>2572-</v>
      </c>
      <c r="B531" s="1" t="str">
        <f t="shared" si="214"/>
        <v>2572-</v>
      </c>
      <c r="C531" s="1" t="str">
        <f>VLOOKUP(B531,'Master truck list'!D:E,2,0)</f>
        <v>2572-20</v>
      </c>
      <c r="D531" s="1" t="str">
        <f>VLOOKUP(C531,'Master truck list'!E:F,2,0)</f>
        <v>ACTIVE</v>
      </c>
      <c r="E531" s="1" t="str">
        <f>VLOOKUP(C531,'Master truck list'!E:M,9,0)</f>
        <v>CHARGER LOGISTICS USA INC</v>
      </c>
      <c r="F531" s="1" t="str">
        <f>VLOOKUP(C531,'Master truck list'!E:G,3,0)</f>
        <v>Company</v>
      </c>
      <c r="G531" s="1">
        <f>VLOOKUP(C531,'Master truck list'!E:R,14,0)</f>
        <v>2562</v>
      </c>
      <c r="H531" t="str">
        <f>"12/21/2019 7:00:28 AM"</f>
        <v>12/21/2019 7:00:28 AM</v>
      </c>
      <c r="I531" t="str">
        <f>""</f>
        <v/>
      </c>
      <c r="J531" t="str">
        <f t="shared" si="209"/>
        <v>Elite</v>
      </c>
      <c r="K531" t="str">
        <f t="shared" si="220"/>
        <v>Device</v>
      </c>
      <c r="L531" t="str">
        <f>"777160905"</f>
        <v>777160905</v>
      </c>
      <c r="M531" t="str">
        <f>"16419980"</f>
        <v>16419980</v>
      </c>
      <c r="N531" t="str">
        <f>"2572-20"</f>
        <v>2572-20</v>
      </c>
      <c r="O531" t="str">
        <f t="shared" si="210"/>
        <v>TEXAS</v>
      </c>
      <c r="P531" t="str">
        <f t="shared" si="211"/>
        <v>N A</v>
      </c>
      <c r="Q531" t="str">
        <f t="shared" si="212"/>
        <v>N/A</v>
      </c>
      <c r="R531" t="str">
        <f>"45SE MLPEB 02 611"</f>
        <v>45SE MLPEB 02 611</v>
      </c>
      <c r="S531" t="str">
        <f>"12/20/2019 1:41:49 PM"</f>
        <v>12/20/2019 1:41:49 PM</v>
      </c>
      <c r="T531" t="str">
        <f t="shared" si="201"/>
        <v>5</v>
      </c>
      <c r="U531" t="str">
        <f t="shared" si="213"/>
        <v>N/A</v>
      </c>
      <c r="V531" t="str">
        <f>"3.3000"</f>
        <v>3.3000</v>
      </c>
    </row>
    <row r="532" spans="1:22" x14ac:dyDescent="0.25">
      <c r="A532" s="1" t="str">
        <f t="shared" si="208"/>
        <v>5110-</v>
      </c>
      <c r="B532" s="1" t="str">
        <f t="shared" si="214"/>
        <v>5110-</v>
      </c>
      <c r="C532" s="1" t="str">
        <f>VLOOKUP(B532,'Master truck list'!D:E,2,0)</f>
        <v>5110-20</v>
      </c>
      <c r="D532" s="1" t="str">
        <f>VLOOKUP(C532,'Master truck list'!E:F,2,0)</f>
        <v>ACTIVE</v>
      </c>
      <c r="E532" s="1" t="str">
        <f>VLOOKUP(C532,'Master truck list'!E:M,9,0)</f>
        <v>BNK TRANSPORT INC</v>
      </c>
      <c r="F532" s="1" t="str">
        <f>VLOOKUP(C532,'Master truck list'!E:G,3,0)</f>
        <v>Company</v>
      </c>
      <c r="G532" s="1">
        <f>VLOOKUP(C532,'Master truck list'!E:R,14,0)</f>
        <v>2532</v>
      </c>
      <c r="H532" t="str">
        <f>"12/20/2019 7:00:30 AM"</f>
        <v>12/20/2019 7:00:30 AM</v>
      </c>
      <c r="I532" t="str">
        <f>""</f>
        <v/>
      </c>
      <c r="J532" t="str">
        <f t="shared" si="209"/>
        <v>Elite</v>
      </c>
      <c r="K532" t="str">
        <f t="shared" si="220"/>
        <v>Device</v>
      </c>
      <c r="L532" t="str">
        <f>"777226896"</f>
        <v>777226896</v>
      </c>
      <c r="M532" t="str">
        <f>"16600853"</f>
        <v>16600853</v>
      </c>
      <c r="N532" t="str">
        <f>"5110-20"</f>
        <v>5110-20</v>
      </c>
      <c r="O532" t="str">
        <f t="shared" si="210"/>
        <v>TEXAS</v>
      </c>
      <c r="P532" t="str">
        <f t="shared" si="211"/>
        <v>N A</v>
      </c>
      <c r="Q532" t="str">
        <f t="shared" si="212"/>
        <v>N/A</v>
      </c>
      <c r="R532" t="str">
        <f>"PGBW SLTRD 03 SLTR"</f>
        <v>PGBW SLTRD 03 SLTR</v>
      </c>
      <c r="S532" t="str">
        <f>"12/19/2019 4:05:27 PM"</f>
        <v>12/19/2019 4:05:27 PM</v>
      </c>
      <c r="T532" t="str">
        <f t="shared" si="201"/>
        <v>5</v>
      </c>
      <c r="U532" t="str">
        <f t="shared" si="213"/>
        <v>N/A</v>
      </c>
      <c r="V532" t="str">
        <f>"1.1600"</f>
        <v>1.1600</v>
      </c>
    </row>
    <row r="533" spans="1:22" x14ac:dyDescent="0.25">
      <c r="A533" s="1" t="str">
        <f t="shared" si="208"/>
        <v>5110-</v>
      </c>
      <c r="B533" s="1" t="str">
        <f t="shared" si="214"/>
        <v>5110-</v>
      </c>
      <c r="C533" s="1" t="str">
        <f>VLOOKUP(B533,'Master truck list'!D:E,2,0)</f>
        <v>5110-20</v>
      </c>
      <c r="D533" s="1" t="str">
        <f>VLOOKUP(C533,'Master truck list'!E:F,2,0)</f>
        <v>ACTIVE</v>
      </c>
      <c r="E533" s="1" t="str">
        <f>VLOOKUP(C533,'Master truck list'!E:M,9,0)</f>
        <v>BNK TRANSPORT INC</v>
      </c>
      <c r="F533" s="1" t="str">
        <f>VLOOKUP(C533,'Master truck list'!E:G,3,0)</f>
        <v>Company</v>
      </c>
      <c r="G533" s="1">
        <f>VLOOKUP(C533,'Master truck list'!E:R,14,0)</f>
        <v>2532</v>
      </c>
      <c r="H533" t="str">
        <f>"12/20/2019 7:00:30 AM"</f>
        <v>12/20/2019 7:00:30 AM</v>
      </c>
      <c r="I533" t="str">
        <f>""</f>
        <v/>
      </c>
      <c r="J533" t="str">
        <f t="shared" si="209"/>
        <v>Elite</v>
      </c>
      <c r="K533" t="str">
        <f t="shared" si="220"/>
        <v>Device</v>
      </c>
      <c r="L533" t="str">
        <f>"777226896"</f>
        <v>777226896</v>
      </c>
      <c r="M533" t="str">
        <f>"16600853"</f>
        <v>16600853</v>
      </c>
      <c r="N533" t="str">
        <f>"5110-20"</f>
        <v>5110-20</v>
      </c>
      <c r="O533" t="str">
        <f t="shared" si="210"/>
        <v>TEXAS</v>
      </c>
      <c r="P533" t="str">
        <f t="shared" si="211"/>
        <v>N A</v>
      </c>
      <c r="Q533" t="str">
        <f t="shared" si="212"/>
        <v>N/A</v>
      </c>
      <c r="R533" t="str">
        <f>"PGBW MLG12 02 MLG1"</f>
        <v>PGBW MLG12 02 MLG1</v>
      </c>
      <c r="S533" t="str">
        <f>"12/19/2019 5:51:04 PM"</f>
        <v>12/19/2019 5:51:04 PM</v>
      </c>
      <c r="T533" t="str">
        <f t="shared" si="201"/>
        <v>5</v>
      </c>
      <c r="U533" t="str">
        <f t="shared" si="213"/>
        <v>N/A</v>
      </c>
      <c r="V533" t="str">
        <f>"4.6400"</f>
        <v>4.6400</v>
      </c>
    </row>
    <row r="534" spans="1:22" x14ac:dyDescent="0.25">
      <c r="A534" s="1" t="str">
        <f t="shared" si="208"/>
        <v>19360</v>
      </c>
      <c r="B534" s="1" t="str">
        <f t="shared" si="214"/>
        <v>19360</v>
      </c>
      <c r="C534" s="1" t="str">
        <f>VLOOKUP(B534,'Master truck list'!D:E,2,0)</f>
        <v>19360-20</v>
      </c>
      <c r="D534" s="1" t="str">
        <f>VLOOKUP(C534,'Master truck list'!E:F,2,0)</f>
        <v>ACTIVE</v>
      </c>
      <c r="E534" s="1" t="str">
        <f>VLOOKUP(C534,'Master truck list'!E:M,9,0)</f>
        <v>BKFS LOGISTICS</v>
      </c>
      <c r="F534" s="1" t="str">
        <f>VLOOKUP(C534,'Master truck list'!E:G,3,0)</f>
        <v>Company</v>
      </c>
      <c r="G534" s="1">
        <f>VLOOKUP(C534,'Master truck list'!E:R,14,0)</f>
        <v>2574</v>
      </c>
      <c r="H534" t="str">
        <f t="shared" ref="H534:H543" si="221">"12/21/2019 7:00:28 AM"</f>
        <v>12/21/2019 7:00:28 AM</v>
      </c>
      <c r="I534" t="str">
        <f>""</f>
        <v/>
      </c>
      <c r="J534" t="str">
        <f t="shared" si="209"/>
        <v>Elite</v>
      </c>
      <c r="K534" t="str">
        <f t="shared" si="220"/>
        <v>Device</v>
      </c>
      <c r="L534" t="str">
        <f t="shared" ref="L534:L543" si="222">"777173823"</f>
        <v>777173823</v>
      </c>
      <c r="M534" t="str">
        <f t="shared" ref="M534:M543" si="223">"16483549"</f>
        <v>16483549</v>
      </c>
      <c r="N534" t="str">
        <f t="shared" ref="N534:N543" si="224">"19360-20"</f>
        <v>19360-20</v>
      </c>
      <c r="O534" t="str">
        <f t="shared" si="210"/>
        <v>TEXAS</v>
      </c>
      <c r="P534" t="str">
        <f t="shared" si="211"/>
        <v>N A</v>
      </c>
      <c r="Q534" t="str">
        <f t="shared" si="212"/>
        <v>N/A</v>
      </c>
      <c r="R534" t="str">
        <f>"130 ARPTP 04 308"</f>
        <v>130 ARPTP 04 308</v>
      </c>
      <c r="S534" t="str">
        <f>"12/20/2019 6:09:21 AM"</f>
        <v>12/20/2019 6:09:21 AM</v>
      </c>
      <c r="T534" t="str">
        <f t="shared" si="201"/>
        <v>5</v>
      </c>
      <c r="U534" t="str">
        <f t="shared" si="213"/>
        <v>N/A</v>
      </c>
      <c r="V534" t="str">
        <f>"5.5500"</f>
        <v>5.5500</v>
      </c>
    </row>
    <row r="535" spans="1:22" x14ac:dyDescent="0.25">
      <c r="A535" s="1" t="str">
        <f t="shared" si="208"/>
        <v>19360</v>
      </c>
      <c r="B535" s="1" t="str">
        <f t="shared" si="214"/>
        <v>19360</v>
      </c>
      <c r="C535" s="1" t="str">
        <f>VLOOKUP(B535,'Master truck list'!D:E,2,0)</f>
        <v>19360-20</v>
      </c>
      <c r="D535" s="1" t="str">
        <f>VLOOKUP(C535,'Master truck list'!E:F,2,0)</f>
        <v>ACTIVE</v>
      </c>
      <c r="E535" s="1" t="str">
        <f>VLOOKUP(C535,'Master truck list'!E:M,9,0)</f>
        <v>BKFS LOGISTICS</v>
      </c>
      <c r="F535" s="1" t="str">
        <f>VLOOKUP(C535,'Master truck list'!E:G,3,0)</f>
        <v>Company</v>
      </c>
      <c r="G535" s="1">
        <f>VLOOKUP(C535,'Master truck list'!E:R,14,0)</f>
        <v>2574</v>
      </c>
      <c r="H535" t="str">
        <f t="shared" si="221"/>
        <v>12/21/2019 7:00:28 AM</v>
      </c>
      <c r="I535" t="str">
        <f>""</f>
        <v/>
      </c>
      <c r="J535" t="str">
        <f t="shared" si="209"/>
        <v>Elite</v>
      </c>
      <c r="K535" t="str">
        <f t="shared" si="220"/>
        <v>Device</v>
      </c>
      <c r="L535" t="str">
        <f t="shared" si="222"/>
        <v>777173823</v>
      </c>
      <c r="M535" t="str">
        <f t="shared" si="223"/>
        <v>16483549</v>
      </c>
      <c r="N535" t="str">
        <f t="shared" si="224"/>
        <v>19360-20</v>
      </c>
      <c r="O535" t="str">
        <f t="shared" si="210"/>
        <v>TEXAS</v>
      </c>
      <c r="P535" t="str">
        <f t="shared" si="211"/>
        <v>N A</v>
      </c>
      <c r="Q535" t="str">
        <f t="shared" si="212"/>
        <v>N/A</v>
      </c>
      <c r="R535" t="str">
        <f>"130 ARPTP 09 308"</f>
        <v>130 ARPTP 09 308</v>
      </c>
      <c r="S535" t="str">
        <f>"12/20/2019 6:41:02 PM"</f>
        <v>12/20/2019 6:41:02 PM</v>
      </c>
      <c r="T535" t="str">
        <f t="shared" si="201"/>
        <v>5</v>
      </c>
      <c r="U535" t="str">
        <f t="shared" si="213"/>
        <v>N/A</v>
      </c>
      <c r="V535" t="str">
        <f>"5.5500"</f>
        <v>5.5500</v>
      </c>
    </row>
    <row r="536" spans="1:22" x14ac:dyDescent="0.25">
      <c r="A536" s="1" t="str">
        <f t="shared" si="208"/>
        <v>19360</v>
      </c>
      <c r="B536" s="1" t="str">
        <f t="shared" si="214"/>
        <v>19360</v>
      </c>
      <c r="C536" s="1" t="str">
        <f>VLOOKUP(B536,'Master truck list'!D:E,2,0)</f>
        <v>19360-20</v>
      </c>
      <c r="D536" s="1" t="str">
        <f>VLOOKUP(C536,'Master truck list'!E:F,2,0)</f>
        <v>ACTIVE</v>
      </c>
      <c r="E536" s="1" t="str">
        <f>VLOOKUP(C536,'Master truck list'!E:M,9,0)</f>
        <v>BKFS LOGISTICS</v>
      </c>
      <c r="F536" s="1" t="str">
        <f>VLOOKUP(C536,'Master truck list'!E:G,3,0)</f>
        <v>Company</v>
      </c>
      <c r="G536" s="1">
        <f>VLOOKUP(C536,'Master truck list'!E:R,14,0)</f>
        <v>2574</v>
      </c>
      <c r="H536" t="str">
        <f t="shared" si="221"/>
        <v>12/21/2019 7:00:28 AM</v>
      </c>
      <c r="I536" t="str">
        <f>""</f>
        <v/>
      </c>
      <c r="J536" t="str">
        <f t="shared" si="209"/>
        <v>Elite</v>
      </c>
      <c r="K536" t="str">
        <f t="shared" si="220"/>
        <v>Device</v>
      </c>
      <c r="L536" t="str">
        <f t="shared" si="222"/>
        <v>777173823</v>
      </c>
      <c r="M536" t="str">
        <f t="shared" si="223"/>
        <v>16483549</v>
      </c>
      <c r="N536" t="str">
        <f t="shared" si="224"/>
        <v>19360-20</v>
      </c>
      <c r="O536" t="str">
        <f t="shared" si="210"/>
        <v>TEXAS</v>
      </c>
      <c r="P536" t="str">
        <f t="shared" si="211"/>
        <v>N A</v>
      </c>
      <c r="Q536" t="str">
        <f t="shared" si="212"/>
        <v>N/A</v>
      </c>
      <c r="R536" t="str">
        <f>"130 CMRNP 13 306"</f>
        <v>130 CMRNP 13 306</v>
      </c>
      <c r="S536" t="str">
        <f>"12/20/2019 7:25:12 PM"</f>
        <v>12/20/2019 7:25:12 PM</v>
      </c>
      <c r="T536" t="str">
        <f t="shared" si="201"/>
        <v>5</v>
      </c>
      <c r="U536" t="str">
        <f t="shared" si="213"/>
        <v>N/A</v>
      </c>
      <c r="V536" t="str">
        <f>"5.5500"</f>
        <v>5.5500</v>
      </c>
    </row>
    <row r="537" spans="1:22" x14ac:dyDescent="0.25">
      <c r="A537" s="1" t="str">
        <f t="shared" si="208"/>
        <v>19360</v>
      </c>
      <c r="B537" s="1" t="str">
        <f t="shared" si="214"/>
        <v>19360</v>
      </c>
      <c r="C537" s="1" t="str">
        <f>VLOOKUP(B537,'Master truck list'!D:E,2,0)</f>
        <v>19360-20</v>
      </c>
      <c r="D537" s="1" t="str">
        <f>VLOOKUP(C537,'Master truck list'!E:F,2,0)</f>
        <v>ACTIVE</v>
      </c>
      <c r="E537" s="1" t="str">
        <f>VLOOKUP(C537,'Master truck list'!E:M,9,0)</f>
        <v>BKFS LOGISTICS</v>
      </c>
      <c r="F537" s="1" t="str">
        <f>VLOOKUP(C537,'Master truck list'!E:G,3,0)</f>
        <v>Company</v>
      </c>
      <c r="G537" s="1">
        <f>VLOOKUP(C537,'Master truck list'!E:R,14,0)</f>
        <v>2574</v>
      </c>
      <c r="H537" t="str">
        <f t="shared" si="221"/>
        <v>12/21/2019 7:00:28 AM</v>
      </c>
      <c r="I537" t="str">
        <f>""</f>
        <v/>
      </c>
      <c r="J537" t="str">
        <f t="shared" si="209"/>
        <v>Elite</v>
      </c>
      <c r="K537" t="str">
        <f t="shared" si="220"/>
        <v>Device</v>
      </c>
      <c r="L537" t="str">
        <f t="shared" si="222"/>
        <v>777173823</v>
      </c>
      <c r="M537" t="str">
        <f t="shared" si="223"/>
        <v>16483549</v>
      </c>
      <c r="N537" t="str">
        <f t="shared" si="224"/>
        <v>19360-20</v>
      </c>
      <c r="O537" t="str">
        <f t="shared" si="210"/>
        <v>TEXAS</v>
      </c>
      <c r="P537" t="str">
        <f t="shared" si="211"/>
        <v>N A</v>
      </c>
      <c r="Q537" t="str">
        <f t="shared" si="212"/>
        <v>N/A</v>
      </c>
      <c r="R537" t="str">
        <f>"45SE MLPEB 02 611"</f>
        <v>45SE MLPEB 02 611</v>
      </c>
      <c r="S537" t="str">
        <f>"12/20/2019 6:29:30 PM"</f>
        <v>12/20/2019 6:29:30 PM</v>
      </c>
      <c r="T537" t="str">
        <f t="shared" si="201"/>
        <v>5</v>
      </c>
      <c r="U537" t="str">
        <f t="shared" si="213"/>
        <v>N/A</v>
      </c>
      <c r="V537" t="str">
        <f>"3.3000"</f>
        <v>3.3000</v>
      </c>
    </row>
    <row r="538" spans="1:22" x14ac:dyDescent="0.25">
      <c r="A538" s="1" t="str">
        <f t="shared" si="208"/>
        <v>19360</v>
      </c>
      <c r="B538" s="1" t="str">
        <f t="shared" si="214"/>
        <v>19360</v>
      </c>
      <c r="C538" s="1" t="str">
        <f>VLOOKUP(B538,'Master truck list'!D:E,2,0)</f>
        <v>19360-20</v>
      </c>
      <c r="D538" s="1" t="str">
        <f>VLOOKUP(C538,'Master truck list'!E:F,2,0)</f>
        <v>ACTIVE</v>
      </c>
      <c r="E538" s="1" t="str">
        <f>VLOOKUP(C538,'Master truck list'!E:M,9,0)</f>
        <v>BKFS LOGISTICS</v>
      </c>
      <c r="F538" s="1" t="str">
        <f>VLOOKUP(C538,'Master truck list'!E:G,3,0)</f>
        <v>Company</v>
      </c>
      <c r="G538" s="1">
        <f>VLOOKUP(C538,'Master truck list'!E:R,14,0)</f>
        <v>2574</v>
      </c>
      <c r="H538" t="str">
        <f t="shared" si="221"/>
        <v>12/21/2019 7:00:28 AM</v>
      </c>
      <c r="I538" t="str">
        <f>""</f>
        <v/>
      </c>
      <c r="J538" t="str">
        <f t="shared" si="209"/>
        <v>Elite</v>
      </c>
      <c r="K538" t="str">
        <f t="shared" si="220"/>
        <v>Device</v>
      </c>
      <c r="L538" t="str">
        <f t="shared" si="222"/>
        <v>777173823</v>
      </c>
      <c r="M538" t="str">
        <f t="shared" si="223"/>
        <v>16483549</v>
      </c>
      <c r="N538" t="str">
        <f t="shared" si="224"/>
        <v>19360-20</v>
      </c>
      <c r="O538" t="str">
        <f t="shared" si="210"/>
        <v>TEXAS</v>
      </c>
      <c r="P538" t="str">
        <f t="shared" si="211"/>
        <v>N A</v>
      </c>
      <c r="Q538" t="str">
        <f t="shared" si="212"/>
        <v>N/A</v>
      </c>
      <c r="R538" t="str">
        <f>"130 MGCRP 11 305"</f>
        <v>130 MGCRP 11 305</v>
      </c>
      <c r="S538" t="str">
        <f>"12/20/2019 7:36:46 PM"</f>
        <v>12/20/2019 7:36:46 PM</v>
      </c>
      <c r="T538" t="str">
        <f t="shared" si="201"/>
        <v>5</v>
      </c>
      <c r="U538" t="str">
        <f t="shared" si="213"/>
        <v>N/A</v>
      </c>
      <c r="V538" t="str">
        <f>"5.5500"</f>
        <v>5.5500</v>
      </c>
    </row>
    <row r="539" spans="1:22" x14ac:dyDescent="0.25">
      <c r="A539" s="1" t="str">
        <f t="shared" si="208"/>
        <v>19360</v>
      </c>
      <c r="B539" s="1" t="str">
        <f t="shared" si="214"/>
        <v>19360</v>
      </c>
      <c r="C539" s="1" t="str">
        <f>VLOOKUP(B539,'Master truck list'!D:E,2,0)</f>
        <v>19360-20</v>
      </c>
      <c r="D539" s="1" t="str">
        <f>VLOOKUP(C539,'Master truck list'!E:F,2,0)</f>
        <v>ACTIVE</v>
      </c>
      <c r="E539" s="1" t="str">
        <f>VLOOKUP(C539,'Master truck list'!E:M,9,0)</f>
        <v>BKFS LOGISTICS</v>
      </c>
      <c r="F539" s="1" t="str">
        <f>VLOOKUP(C539,'Master truck list'!E:G,3,0)</f>
        <v>Company</v>
      </c>
      <c r="G539" s="1">
        <f>VLOOKUP(C539,'Master truck list'!E:R,14,0)</f>
        <v>2574</v>
      </c>
      <c r="H539" t="str">
        <f t="shared" si="221"/>
        <v>12/21/2019 7:00:28 AM</v>
      </c>
      <c r="I539" t="str">
        <f>""</f>
        <v/>
      </c>
      <c r="J539" t="str">
        <f t="shared" si="209"/>
        <v>Elite</v>
      </c>
      <c r="K539" t="str">
        <f t="shared" si="220"/>
        <v>Device</v>
      </c>
      <c r="L539" t="str">
        <f t="shared" si="222"/>
        <v>777173823</v>
      </c>
      <c r="M539" t="str">
        <f t="shared" si="223"/>
        <v>16483549</v>
      </c>
      <c r="N539" t="str">
        <f t="shared" si="224"/>
        <v>19360-20</v>
      </c>
      <c r="O539" t="str">
        <f t="shared" si="210"/>
        <v>TEXAS</v>
      </c>
      <c r="P539" t="str">
        <f t="shared" si="211"/>
        <v>N A</v>
      </c>
      <c r="Q539" t="str">
        <f t="shared" si="212"/>
        <v>N/A</v>
      </c>
      <c r="R539" t="str">
        <f>"130 MGCRP 06 305"</f>
        <v>130 MGCRP 06 305</v>
      </c>
      <c r="S539" t="str">
        <f>"12/20/2019 5:40:19 AM"</f>
        <v>12/20/2019 5:40:19 AM</v>
      </c>
      <c r="T539" t="str">
        <f t="shared" si="201"/>
        <v>5</v>
      </c>
      <c r="U539" t="str">
        <f t="shared" si="213"/>
        <v>N/A</v>
      </c>
      <c r="V539" t="str">
        <f>"5.5500"</f>
        <v>5.5500</v>
      </c>
    </row>
    <row r="540" spans="1:22" x14ac:dyDescent="0.25">
      <c r="A540" s="1" t="str">
        <f t="shared" si="208"/>
        <v>19360</v>
      </c>
      <c r="B540" s="1" t="str">
        <f t="shared" si="214"/>
        <v>19360</v>
      </c>
      <c r="C540" s="1" t="str">
        <f>VLOOKUP(B540,'Master truck list'!D:E,2,0)</f>
        <v>19360-20</v>
      </c>
      <c r="D540" s="1" t="str">
        <f>VLOOKUP(C540,'Master truck list'!E:F,2,0)</f>
        <v>ACTIVE</v>
      </c>
      <c r="E540" s="1" t="str">
        <f>VLOOKUP(C540,'Master truck list'!E:M,9,0)</f>
        <v>BKFS LOGISTICS</v>
      </c>
      <c r="F540" s="1" t="str">
        <f>VLOOKUP(C540,'Master truck list'!E:G,3,0)</f>
        <v>Company</v>
      </c>
      <c r="G540" s="1">
        <f>VLOOKUP(C540,'Master truck list'!E:R,14,0)</f>
        <v>2574</v>
      </c>
      <c r="H540" t="str">
        <f t="shared" si="221"/>
        <v>12/21/2019 7:00:28 AM</v>
      </c>
      <c r="I540" t="str">
        <f>""</f>
        <v/>
      </c>
      <c r="J540" t="str">
        <f t="shared" si="209"/>
        <v>Elite</v>
      </c>
      <c r="K540" t="str">
        <f t="shared" si="220"/>
        <v>Device</v>
      </c>
      <c r="L540" t="str">
        <f t="shared" si="222"/>
        <v>777173823</v>
      </c>
      <c r="M540" t="str">
        <f t="shared" si="223"/>
        <v>16483549</v>
      </c>
      <c r="N540" t="str">
        <f t="shared" si="224"/>
        <v>19360-20</v>
      </c>
      <c r="O540" t="str">
        <f t="shared" si="210"/>
        <v>TEXAS</v>
      </c>
      <c r="P540" t="str">
        <f t="shared" si="211"/>
        <v>N A</v>
      </c>
      <c r="Q540" t="str">
        <f t="shared" si="212"/>
        <v>N/A</v>
      </c>
      <c r="R540" t="str">
        <f>"130 CMRNP 08 306"</f>
        <v>130 CMRNP 08 306</v>
      </c>
      <c r="S540" t="str">
        <f>"12/20/2019 5:51:39 AM"</f>
        <v>12/20/2019 5:51:39 AM</v>
      </c>
      <c r="T540" t="str">
        <f t="shared" si="201"/>
        <v>5</v>
      </c>
      <c r="U540" t="str">
        <f t="shared" si="213"/>
        <v>N/A</v>
      </c>
      <c r="V540" t="str">
        <f>"5.5500"</f>
        <v>5.5500</v>
      </c>
    </row>
    <row r="541" spans="1:22" x14ac:dyDescent="0.25">
      <c r="A541" s="1" t="str">
        <f t="shared" si="208"/>
        <v>19360</v>
      </c>
      <c r="B541" s="1" t="str">
        <f t="shared" si="214"/>
        <v>19360</v>
      </c>
      <c r="C541" s="1" t="str">
        <f>VLOOKUP(B541,'Master truck list'!D:E,2,0)</f>
        <v>19360-20</v>
      </c>
      <c r="D541" s="1" t="str">
        <f>VLOOKUP(C541,'Master truck list'!E:F,2,0)</f>
        <v>ACTIVE</v>
      </c>
      <c r="E541" s="1" t="str">
        <f>VLOOKUP(C541,'Master truck list'!E:M,9,0)</f>
        <v>BKFS LOGISTICS</v>
      </c>
      <c r="F541" s="1" t="str">
        <f>VLOOKUP(C541,'Master truck list'!E:G,3,0)</f>
        <v>Company</v>
      </c>
      <c r="G541" s="1">
        <f>VLOOKUP(C541,'Master truck list'!E:R,14,0)</f>
        <v>2574</v>
      </c>
      <c r="H541" t="str">
        <f t="shared" si="221"/>
        <v>12/21/2019 7:00:28 AM</v>
      </c>
      <c r="I541" t="str">
        <f>""</f>
        <v/>
      </c>
      <c r="J541" t="str">
        <f t="shared" si="209"/>
        <v>Elite</v>
      </c>
      <c r="K541" t="str">
        <f t="shared" si="220"/>
        <v>Device</v>
      </c>
      <c r="L541" t="str">
        <f t="shared" si="222"/>
        <v>777173823</v>
      </c>
      <c r="M541" t="str">
        <f t="shared" si="223"/>
        <v>16483549</v>
      </c>
      <c r="N541" t="str">
        <f t="shared" si="224"/>
        <v>19360-20</v>
      </c>
      <c r="O541" t="str">
        <f t="shared" si="210"/>
        <v>TEXAS</v>
      </c>
      <c r="P541" t="str">
        <f t="shared" si="211"/>
        <v>N A</v>
      </c>
      <c r="Q541" t="str">
        <f t="shared" si="212"/>
        <v>N/A</v>
      </c>
      <c r="R541" t="str">
        <f>"45SE MLPWB 01 611"</f>
        <v>45SE MLPWB 01 611</v>
      </c>
      <c r="S541" t="str">
        <f>"12/20/2019 6:20:24 AM"</f>
        <v>12/20/2019 6:20:24 AM</v>
      </c>
      <c r="T541" t="str">
        <f t="shared" si="201"/>
        <v>5</v>
      </c>
      <c r="U541" t="str">
        <f t="shared" si="213"/>
        <v>N/A</v>
      </c>
      <c r="V541" t="str">
        <f>"3.3000"</f>
        <v>3.3000</v>
      </c>
    </row>
    <row r="542" spans="1:22" x14ac:dyDescent="0.25">
      <c r="A542" s="1" t="str">
        <f t="shared" si="208"/>
        <v>19360</v>
      </c>
      <c r="B542" s="1" t="str">
        <f t="shared" si="214"/>
        <v>19360</v>
      </c>
      <c r="C542" s="1" t="str">
        <f>VLOOKUP(B542,'Master truck list'!D:E,2,0)</f>
        <v>19360-20</v>
      </c>
      <c r="D542" s="1" t="str">
        <f>VLOOKUP(C542,'Master truck list'!E:F,2,0)</f>
        <v>ACTIVE</v>
      </c>
      <c r="E542" s="1" t="str">
        <f>VLOOKUP(C542,'Master truck list'!E:M,9,0)</f>
        <v>BKFS LOGISTICS</v>
      </c>
      <c r="F542" s="1" t="str">
        <f>VLOOKUP(C542,'Master truck list'!E:G,3,0)</f>
        <v>Company</v>
      </c>
      <c r="G542" s="1">
        <f>VLOOKUP(C542,'Master truck list'!E:R,14,0)</f>
        <v>2574</v>
      </c>
      <c r="H542" t="str">
        <f t="shared" si="221"/>
        <v>12/21/2019 7:00:28 AM</v>
      </c>
      <c r="I542" t="str">
        <f>""</f>
        <v/>
      </c>
      <c r="J542" t="str">
        <f t="shared" si="209"/>
        <v>Elite</v>
      </c>
      <c r="K542" t="str">
        <f t="shared" si="220"/>
        <v>Device</v>
      </c>
      <c r="L542" t="str">
        <f t="shared" si="222"/>
        <v>777173823</v>
      </c>
      <c r="M542" t="str">
        <f t="shared" si="223"/>
        <v>16483549</v>
      </c>
      <c r="N542" t="str">
        <f t="shared" si="224"/>
        <v>19360-20</v>
      </c>
      <c r="O542" t="str">
        <f t="shared" si="210"/>
        <v>TEXAS</v>
      </c>
      <c r="P542" t="str">
        <f t="shared" si="211"/>
        <v>N A</v>
      </c>
      <c r="Q542" t="str">
        <f t="shared" si="212"/>
        <v>N/A</v>
      </c>
      <c r="R542" t="str">
        <f>"130 DKCRP 06 307"</f>
        <v>130 DKCRP 06 307</v>
      </c>
      <c r="S542" t="str">
        <f>"12/20/2019 6:02:07 AM"</f>
        <v>12/20/2019 6:02:07 AM</v>
      </c>
      <c r="T542" t="str">
        <f t="shared" si="201"/>
        <v>5</v>
      </c>
      <c r="U542" t="str">
        <f t="shared" si="213"/>
        <v>N/A</v>
      </c>
      <c r="V542" t="str">
        <f>"5.5500"</f>
        <v>5.5500</v>
      </c>
    </row>
    <row r="543" spans="1:22" x14ac:dyDescent="0.25">
      <c r="A543" s="1" t="str">
        <f t="shared" si="208"/>
        <v>19360</v>
      </c>
      <c r="B543" s="1" t="str">
        <f t="shared" si="214"/>
        <v>19360</v>
      </c>
      <c r="C543" s="1" t="str">
        <f>VLOOKUP(B543,'Master truck list'!D:E,2,0)</f>
        <v>19360-20</v>
      </c>
      <c r="D543" s="1" t="str">
        <f>VLOOKUP(C543,'Master truck list'!E:F,2,0)</f>
        <v>ACTIVE</v>
      </c>
      <c r="E543" s="1" t="str">
        <f>VLOOKUP(C543,'Master truck list'!E:M,9,0)</f>
        <v>BKFS LOGISTICS</v>
      </c>
      <c r="F543" s="1" t="str">
        <f>VLOOKUP(C543,'Master truck list'!E:G,3,0)</f>
        <v>Company</v>
      </c>
      <c r="G543" s="1">
        <f>VLOOKUP(C543,'Master truck list'!E:R,14,0)</f>
        <v>2574</v>
      </c>
      <c r="H543" t="str">
        <f t="shared" si="221"/>
        <v>12/21/2019 7:00:28 AM</v>
      </c>
      <c r="I543" t="str">
        <f>""</f>
        <v/>
      </c>
      <c r="J543" t="str">
        <f t="shared" si="209"/>
        <v>Elite</v>
      </c>
      <c r="K543" t="str">
        <f t="shared" si="220"/>
        <v>Device</v>
      </c>
      <c r="L543" t="str">
        <f t="shared" si="222"/>
        <v>777173823</v>
      </c>
      <c r="M543" t="str">
        <f t="shared" si="223"/>
        <v>16483549</v>
      </c>
      <c r="N543" t="str">
        <f t="shared" si="224"/>
        <v>19360-20</v>
      </c>
      <c r="O543" t="str">
        <f t="shared" si="210"/>
        <v>TEXAS</v>
      </c>
      <c r="P543" t="str">
        <f t="shared" si="211"/>
        <v>N A</v>
      </c>
      <c r="Q543" t="str">
        <f t="shared" si="212"/>
        <v>N/A</v>
      </c>
      <c r="R543" t="str">
        <f>"130 DKCRP 11 307"</f>
        <v>130 DKCRP 11 307</v>
      </c>
      <c r="S543" t="str">
        <f>"12/20/2019 7:14:39 PM"</f>
        <v>12/20/2019 7:14:39 PM</v>
      </c>
      <c r="T543" t="str">
        <f t="shared" si="201"/>
        <v>5</v>
      </c>
      <c r="U543" t="str">
        <f t="shared" si="213"/>
        <v>N/A</v>
      </c>
      <c r="V543" t="str">
        <f>"5.5500"</f>
        <v>5.5500</v>
      </c>
    </row>
    <row r="544" spans="1:22" x14ac:dyDescent="0.25">
      <c r="A544" s="1" t="str">
        <f t="shared" si="208"/>
        <v>19357</v>
      </c>
      <c r="B544" s="1" t="str">
        <f t="shared" si="214"/>
        <v>19357</v>
      </c>
      <c r="C544" s="1" t="str">
        <f>VLOOKUP(B544,'Master truck list'!D:E,2,0)</f>
        <v>19357-20</v>
      </c>
      <c r="D544" s="1" t="str">
        <f>VLOOKUP(C544,'Master truck list'!E:F,2,0)</f>
        <v>ACTIVE</v>
      </c>
      <c r="E544" s="1" t="str">
        <f>VLOOKUP(C544,'Master truck list'!E:M,9,0)</f>
        <v>BKFS LOGISTICS</v>
      </c>
      <c r="F544" s="1" t="str">
        <f>VLOOKUP(C544,'Master truck list'!E:G,3,0)</f>
        <v>Company</v>
      </c>
      <c r="G544" s="1">
        <f>VLOOKUP(C544,'Master truck list'!E:R,14,0)</f>
        <v>2571</v>
      </c>
      <c r="H544" t="str">
        <f>"12/18/2019 7:00:28 AM"</f>
        <v>12/18/2019 7:00:28 AM</v>
      </c>
      <c r="I544" t="str">
        <f>""</f>
        <v/>
      </c>
      <c r="J544" t="str">
        <f t="shared" si="209"/>
        <v>Elite</v>
      </c>
      <c r="K544" t="str">
        <f t="shared" si="220"/>
        <v>Device</v>
      </c>
      <c r="L544" t="str">
        <f>"777158875"</f>
        <v>777158875</v>
      </c>
      <c r="M544" t="str">
        <f>"16417950"</f>
        <v>16417950</v>
      </c>
      <c r="N544" t="str">
        <f>"19357-20"</f>
        <v>19357-20</v>
      </c>
      <c r="O544" t="str">
        <f t="shared" si="210"/>
        <v>TEXAS</v>
      </c>
      <c r="P544" t="str">
        <f t="shared" si="211"/>
        <v>N A</v>
      </c>
      <c r="Q544" t="str">
        <f t="shared" si="212"/>
        <v>N/A</v>
      </c>
      <c r="R544" t="str">
        <f>"130 ARPTP 09 308"</f>
        <v>130 ARPTP 09 308</v>
      </c>
      <c r="S544" t="str">
        <f>"12/17/2019 5:06:57 PM"</f>
        <v>12/17/2019 5:06:57 PM</v>
      </c>
      <c r="T544" t="str">
        <f t="shared" si="201"/>
        <v>5</v>
      </c>
      <c r="U544" t="str">
        <f t="shared" si="213"/>
        <v>N/A</v>
      </c>
      <c r="V544" t="str">
        <f>"5.5500"</f>
        <v>5.5500</v>
      </c>
    </row>
    <row r="545" spans="1:22" x14ac:dyDescent="0.25">
      <c r="A545" s="1" t="str">
        <f t="shared" si="208"/>
        <v>19357</v>
      </c>
      <c r="B545" s="1" t="str">
        <f t="shared" si="214"/>
        <v>19357</v>
      </c>
      <c r="C545" s="1" t="str">
        <f>VLOOKUP(B545,'Master truck list'!D:E,2,0)</f>
        <v>19357-20</v>
      </c>
      <c r="D545" s="1" t="str">
        <f>VLOOKUP(C545,'Master truck list'!E:F,2,0)</f>
        <v>ACTIVE</v>
      </c>
      <c r="E545" s="1" t="str">
        <f>VLOOKUP(C545,'Master truck list'!E:M,9,0)</f>
        <v>BKFS LOGISTICS</v>
      </c>
      <c r="F545" s="1" t="str">
        <f>VLOOKUP(C545,'Master truck list'!E:G,3,0)</f>
        <v>Company</v>
      </c>
      <c r="G545" s="1">
        <f>VLOOKUP(C545,'Master truck list'!E:R,14,0)</f>
        <v>2571</v>
      </c>
      <c r="H545" t="str">
        <f>"12/18/2019 7:00:28 AM"</f>
        <v>12/18/2019 7:00:28 AM</v>
      </c>
      <c r="I545" t="str">
        <f>""</f>
        <v/>
      </c>
      <c r="J545" t="str">
        <f t="shared" si="209"/>
        <v>Elite</v>
      </c>
      <c r="K545" t="str">
        <f t="shared" si="220"/>
        <v>Device</v>
      </c>
      <c r="L545" t="str">
        <f>"777158875"</f>
        <v>777158875</v>
      </c>
      <c r="M545" t="str">
        <f>"16417950"</f>
        <v>16417950</v>
      </c>
      <c r="N545" t="str">
        <f>"19357-20"</f>
        <v>19357-20</v>
      </c>
      <c r="O545" t="str">
        <f t="shared" si="210"/>
        <v>TEXAS</v>
      </c>
      <c r="P545" t="str">
        <f t="shared" si="211"/>
        <v>N A</v>
      </c>
      <c r="Q545" t="str">
        <f t="shared" si="212"/>
        <v>N/A</v>
      </c>
      <c r="R545" t="str">
        <f>"130 DKCRP 11 307"</f>
        <v>130 DKCRP 11 307</v>
      </c>
      <c r="S545" t="str">
        <f>"12/17/2019 5:17:00 PM"</f>
        <v>12/17/2019 5:17:00 PM</v>
      </c>
      <c r="T545" t="str">
        <f t="shared" si="201"/>
        <v>5</v>
      </c>
      <c r="U545" t="str">
        <f t="shared" si="213"/>
        <v>N/A</v>
      </c>
      <c r="V545" t="str">
        <f>"5.5500"</f>
        <v>5.5500</v>
      </c>
    </row>
    <row r="546" spans="1:22" x14ac:dyDescent="0.25">
      <c r="A546" s="1" t="str">
        <f t="shared" si="208"/>
        <v>19357</v>
      </c>
      <c r="B546" s="1" t="str">
        <f t="shared" si="214"/>
        <v>19357</v>
      </c>
      <c r="C546" s="1" t="str">
        <f>VLOOKUP(B546,'Master truck list'!D:E,2,0)</f>
        <v>19357-20</v>
      </c>
      <c r="D546" s="1" t="str">
        <f>VLOOKUP(C546,'Master truck list'!E:F,2,0)</f>
        <v>ACTIVE</v>
      </c>
      <c r="E546" s="1" t="str">
        <f>VLOOKUP(C546,'Master truck list'!E:M,9,0)</f>
        <v>BKFS LOGISTICS</v>
      </c>
      <c r="F546" s="1" t="str">
        <f>VLOOKUP(C546,'Master truck list'!E:G,3,0)</f>
        <v>Company</v>
      </c>
      <c r="G546" s="1">
        <f>VLOOKUP(C546,'Master truck list'!E:R,14,0)</f>
        <v>2571</v>
      </c>
      <c r="H546" t="str">
        <f>"12/18/2019 7:00:28 AM"</f>
        <v>12/18/2019 7:00:28 AM</v>
      </c>
      <c r="I546" t="str">
        <f>""</f>
        <v/>
      </c>
      <c r="J546" t="str">
        <f t="shared" si="209"/>
        <v>Elite</v>
      </c>
      <c r="K546" t="str">
        <f t="shared" si="220"/>
        <v>Device</v>
      </c>
      <c r="L546" t="str">
        <f>"777158875"</f>
        <v>777158875</v>
      </c>
      <c r="M546" t="str">
        <f>"16417950"</f>
        <v>16417950</v>
      </c>
      <c r="N546" t="str">
        <f>"19357-20"</f>
        <v>19357-20</v>
      </c>
      <c r="O546" t="str">
        <f t="shared" si="210"/>
        <v>TEXAS</v>
      </c>
      <c r="P546" t="str">
        <f t="shared" si="211"/>
        <v>N A</v>
      </c>
      <c r="Q546" t="str">
        <f t="shared" si="212"/>
        <v>N/A</v>
      </c>
      <c r="R546" t="str">
        <f>"45SE MLPEB 02 611"</f>
        <v>45SE MLPEB 02 611</v>
      </c>
      <c r="S546" t="str">
        <f>"12/17/2019 4:56:00 PM"</f>
        <v>12/17/2019 4:56:00 PM</v>
      </c>
      <c r="T546" t="str">
        <f t="shared" si="201"/>
        <v>5</v>
      </c>
      <c r="U546" t="str">
        <f t="shared" si="213"/>
        <v>N/A</v>
      </c>
      <c r="V546" t="str">
        <f>"3.3000"</f>
        <v>3.3000</v>
      </c>
    </row>
    <row r="547" spans="1:22" x14ac:dyDescent="0.25">
      <c r="A547" s="1" t="str">
        <f t="shared" si="208"/>
        <v>19357</v>
      </c>
      <c r="B547" s="1" t="str">
        <f t="shared" si="214"/>
        <v>19357</v>
      </c>
      <c r="C547" s="1" t="str">
        <f>VLOOKUP(B547,'Master truck list'!D:E,2,0)</f>
        <v>19357-20</v>
      </c>
      <c r="D547" s="1" t="str">
        <f>VLOOKUP(C547,'Master truck list'!E:F,2,0)</f>
        <v>ACTIVE</v>
      </c>
      <c r="E547" s="1" t="str">
        <f>VLOOKUP(C547,'Master truck list'!E:M,9,0)</f>
        <v>BKFS LOGISTICS</v>
      </c>
      <c r="F547" s="1" t="str">
        <f>VLOOKUP(C547,'Master truck list'!E:G,3,0)</f>
        <v>Company</v>
      </c>
      <c r="G547" s="1">
        <f>VLOOKUP(C547,'Master truck list'!E:R,14,0)</f>
        <v>2571</v>
      </c>
      <c r="H547" t="str">
        <f>"12/18/2019 7:00:28 AM"</f>
        <v>12/18/2019 7:00:28 AM</v>
      </c>
      <c r="I547" t="str">
        <f>""</f>
        <v/>
      </c>
      <c r="J547" t="str">
        <f t="shared" si="209"/>
        <v>Elite</v>
      </c>
      <c r="K547" t="str">
        <f t="shared" si="220"/>
        <v>Device</v>
      </c>
      <c r="L547" t="str">
        <f>"777158875"</f>
        <v>777158875</v>
      </c>
      <c r="M547" t="str">
        <f>"16417950"</f>
        <v>16417950</v>
      </c>
      <c r="N547" t="str">
        <f>"19357-20"</f>
        <v>19357-20</v>
      </c>
      <c r="O547" t="str">
        <f t="shared" si="210"/>
        <v>TEXAS</v>
      </c>
      <c r="P547" t="str">
        <f t="shared" si="211"/>
        <v>N A</v>
      </c>
      <c r="Q547" t="str">
        <f t="shared" si="212"/>
        <v>N/A</v>
      </c>
      <c r="R547" t="str">
        <f>"130 MGCRP 11 305"</f>
        <v>130 MGCRP 11 305</v>
      </c>
      <c r="S547" t="str">
        <f>"12/17/2019 5:45:26 PM"</f>
        <v>12/17/2019 5:45:26 PM</v>
      </c>
      <c r="T547" t="str">
        <f t="shared" si="201"/>
        <v>5</v>
      </c>
      <c r="U547" t="str">
        <f t="shared" si="213"/>
        <v>N/A</v>
      </c>
      <c r="V547" t="str">
        <f>"5.5500"</f>
        <v>5.5500</v>
      </c>
    </row>
    <row r="548" spans="1:22" x14ac:dyDescent="0.25">
      <c r="A548" s="1" t="str">
        <f t="shared" si="208"/>
        <v>19357</v>
      </c>
      <c r="B548" s="1" t="str">
        <f t="shared" si="214"/>
        <v>19357</v>
      </c>
      <c r="C548" s="1" t="str">
        <f>VLOOKUP(B548,'Master truck list'!D:E,2,0)</f>
        <v>19357-20</v>
      </c>
      <c r="D548" s="1" t="str">
        <f>VLOOKUP(C548,'Master truck list'!E:F,2,0)</f>
        <v>ACTIVE</v>
      </c>
      <c r="E548" s="1" t="str">
        <f>VLOOKUP(C548,'Master truck list'!E:M,9,0)</f>
        <v>BKFS LOGISTICS</v>
      </c>
      <c r="F548" s="1" t="str">
        <f>VLOOKUP(C548,'Master truck list'!E:G,3,0)</f>
        <v>Company</v>
      </c>
      <c r="G548" s="1">
        <f>VLOOKUP(C548,'Master truck list'!E:R,14,0)</f>
        <v>2571</v>
      </c>
      <c r="H548" t="str">
        <f>"12/18/2019 7:00:28 AM"</f>
        <v>12/18/2019 7:00:28 AM</v>
      </c>
      <c r="I548" t="str">
        <f>""</f>
        <v/>
      </c>
      <c r="J548" t="str">
        <f t="shared" si="209"/>
        <v>Elite</v>
      </c>
      <c r="K548" t="str">
        <f t="shared" si="220"/>
        <v>Device</v>
      </c>
      <c r="L548" t="str">
        <f>"777158875"</f>
        <v>777158875</v>
      </c>
      <c r="M548" t="str">
        <f>"16417950"</f>
        <v>16417950</v>
      </c>
      <c r="N548" t="str">
        <f>"19357-20"</f>
        <v>19357-20</v>
      </c>
      <c r="O548" t="str">
        <f t="shared" si="210"/>
        <v>TEXAS</v>
      </c>
      <c r="P548" t="str">
        <f t="shared" si="211"/>
        <v>N A</v>
      </c>
      <c r="Q548" t="str">
        <f t="shared" si="212"/>
        <v>N/A</v>
      </c>
      <c r="R548" t="str">
        <f>"130 CMRNP 12 306"</f>
        <v>130 CMRNP 12 306</v>
      </c>
      <c r="S548" t="str">
        <f>"12/17/2019 5:33:52 PM"</f>
        <v>12/17/2019 5:33:52 PM</v>
      </c>
      <c r="T548" t="str">
        <f t="shared" si="201"/>
        <v>5</v>
      </c>
      <c r="U548" t="str">
        <f t="shared" si="213"/>
        <v>N/A</v>
      </c>
      <c r="V548" t="str">
        <f>"5.5500"</f>
        <v>5.5500</v>
      </c>
    </row>
    <row r="549" spans="1:22" x14ac:dyDescent="0.25">
      <c r="A549" s="1" t="str">
        <f t="shared" si="208"/>
        <v>5105-</v>
      </c>
      <c r="B549" s="1" t="str">
        <f t="shared" si="214"/>
        <v>5105-</v>
      </c>
      <c r="C549" s="1" t="str">
        <f>VLOOKUP(B549,'Master truck list'!D:E,2,0)</f>
        <v>5105-20</v>
      </c>
      <c r="D549" s="1" t="str">
        <f>VLOOKUP(C549,'Master truck list'!E:F,2,0)</f>
        <v>ACTIVE</v>
      </c>
      <c r="E549" s="1" t="str">
        <f>VLOOKUP(C549,'Master truck list'!E:M,9,0)</f>
        <v>BNK TRANSPORT INC</v>
      </c>
      <c r="F549" s="1" t="str">
        <f>VLOOKUP(C549,'Master truck list'!E:G,3,0)</f>
        <v>Company</v>
      </c>
      <c r="G549" s="1">
        <f>VLOOKUP(C549,'Master truck list'!E:R,14,0)</f>
        <v>2524</v>
      </c>
      <c r="H549" t="str">
        <f>"12/19/2019 7:00:35 AM"</f>
        <v>12/19/2019 7:00:35 AM</v>
      </c>
      <c r="I549" t="str">
        <f>""</f>
        <v/>
      </c>
      <c r="J549" t="str">
        <f t="shared" si="209"/>
        <v>Elite</v>
      </c>
      <c r="K549" t="str">
        <f t="shared" si="220"/>
        <v>Device</v>
      </c>
      <c r="L549" t="str">
        <f t="shared" ref="L549:L558" si="225">"777225038"</f>
        <v>777225038</v>
      </c>
      <c r="M549" t="str">
        <f t="shared" ref="M549:M558" si="226">"16598995"</f>
        <v>16598995</v>
      </c>
      <c r="N549" t="str">
        <f t="shared" ref="N549:N558" si="227">"5105-20"</f>
        <v>5105-20</v>
      </c>
      <c r="O549" t="str">
        <f t="shared" si="210"/>
        <v>TEXAS</v>
      </c>
      <c r="P549" t="str">
        <f t="shared" si="211"/>
        <v>N A</v>
      </c>
      <c r="Q549" t="str">
        <f t="shared" si="212"/>
        <v>N/A</v>
      </c>
      <c r="R549" t="str">
        <f>"130 ARPTP 04 308"</f>
        <v>130 ARPTP 04 308</v>
      </c>
      <c r="S549" t="str">
        <f>"12/18/2019 7:02:36 AM"</f>
        <v>12/18/2019 7:02:36 AM</v>
      </c>
      <c r="T549" t="str">
        <f t="shared" si="201"/>
        <v>5</v>
      </c>
      <c r="U549" t="str">
        <f t="shared" si="213"/>
        <v>N/A</v>
      </c>
      <c r="V549" t="str">
        <f>"5.5500"</f>
        <v>5.5500</v>
      </c>
    </row>
    <row r="550" spans="1:22" x14ac:dyDescent="0.25">
      <c r="A550" s="1" t="str">
        <f t="shared" si="208"/>
        <v>5105-</v>
      </c>
      <c r="B550" s="1" t="str">
        <f t="shared" si="214"/>
        <v>5105-</v>
      </c>
      <c r="C550" s="1" t="str">
        <f>VLOOKUP(B550,'Master truck list'!D:E,2,0)</f>
        <v>5105-20</v>
      </c>
      <c r="D550" s="1" t="str">
        <f>VLOOKUP(C550,'Master truck list'!E:F,2,0)</f>
        <v>ACTIVE</v>
      </c>
      <c r="E550" s="1" t="str">
        <f>VLOOKUP(C550,'Master truck list'!E:M,9,0)</f>
        <v>BNK TRANSPORT INC</v>
      </c>
      <c r="F550" s="1" t="str">
        <f>VLOOKUP(C550,'Master truck list'!E:G,3,0)</f>
        <v>Company</v>
      </c>
      <c r="G550" s="1">
        <f>VLOOKUP(C550,'Master truck list'!E:R,14,0)</f>
        <v>2524</v>
      </c>
      <c r="H550" t="str">
        <f>"12/19/2019 7:00:35 AM"</f>
        <v>12/19/2019 7:00:35 AM</v>
      </c>
      <c r="I550" t="str">
        <f>""</f>
        <v/>
      </c>
      <c r="J550" t="str">
        <f t="shared" si="209"/>
        <v>Elite</v>
      </c>
      <c r="K550" t="str">
        <f t="shared" si="220"/>
        <v>Device</v>
      </c>
      <c r="L550" t="str">
        <f t="shared" si="225"/>
        <v>777225038</v>
      </c>
      <c r="M550" t="str">
        <f t="shared" si="226"/>
        <v>16598995</v>
      </c>
      <c r="N550" t="str">
        <f t="shared" si="227"/>
        <v>5105-20</v>
      </c>
      <c r="O550" t="str">
        <f t="shared" si="210"/>
        <v>TEXAS</v>
      </c>
      <c r="P550" t="str">
        <f t="shared" si="211"/>
        <v>N A</v>
      </c>
      <c r="Q550" t="str">
        <f t="shared" si="212"/>
        <v>N/A</v>
      </c>
      <c r="R550" t="str">
        <f>"130 CMRNP 08 306"</f>
        <v>130 CMRNP 08 306</v>
      </c>
      <c r="S550" t="str">
        <f>"12/18/2019 6:45:30 AM"</f>
        <v>12/18/2019 6:45:30 AM</v>
      </c>
      <c r="T550" t="str">
        <f t="shared" si="201"/>
        <v>5</v>
      </c>
      <c r="U550" t="str">
        <f t="shared" si="213"/>
        <v>N/A</v>
      </c>
      <c r="V550" t="str">
        <f>"5.5500"</f>
        <v>5.5500</v>
      </c>
    </row>
    <row r="551" spans="1:22" x14ac:dyDescent="0.25">
      <c r="A551" s="1" t="str">
        <f t="shared" si="208"/>
        <v>5105-</v>
      </c>
      <c r="B551" s="1" t="str">
        <f t="shared" si="214"/>
        <v>5105-</v>
      </c>
      <c r="C551" s="1" t="str">
        <f>VLOOKUP(B551,'Master truck list'!D:E,2,0)</f>
        <v>5105-20</v>
      </c>
      <c r="D551" s="1" t="str">
        <f>VLOOKUP(C551,'Master truck list'!E:F,2,0)</f>
        <v>ACTIVE</v>
      </c>
      <c r="E551" s="1" t="str">
        <f>VLOOKUP(C551,'Master truck list'!E:M,9,0)</f>
        <v>BNK TRANSPORT INC</v>
      </c>
      <c r="F551" s="1" t="str">
        <f>VLOOKUP(C551,'Master truck list'!E:G,3,0)</f>
        <v>Company</v>
      </c>
      <c r="G551" s="1">
        <f>VLOOKUP(C551,'Master truck list'!E:R,14,0)</f>
        <v>2524</v>
      </c>
      <c r="H551" t="str">
        <f>"12/20/2019 7:00:30 AM"</f>
        <v>12/20/2019 7:00:30 AM</v>
      </c>
      <c r="I551" t="str">
        <f>""</f>
        <v/>
      </c>
      <c r="J551" t="str">
        <f t="shared" si="209"/>
        <v>Elite</v>
      </c>
      <c r="K551" t="str">
        <f t="shared" si="220"/>
        <v>Device</v>
      </c>
      <c r="L551" t="str">
        <f t="shared" si="225"/>
        <v>777225038</v>
      </c>
      <c r="M551" t="str">
        <f t="shared" si="226"/>
        <v>16598995</v>
      </c>
      <c r="N551" t="str">
        <f t="shared" si="227"/>
        <v>5105-20</v>
      </c>
      <c r="O551" t="str">
        <f t="shared" si="210"/>
        <v>TEXAS</v>
      </c>
      <c r="P551" t="str">
        <f t="shared" si="211"/>
        <v>N A</v>
      </c>
      <c r="Q551" t="str">
        <f t="shared" si="212"/>
        <v>N/A</v>
      </c>
      <c r="R551" t="str">
        <f>"130 MGCRP 11 305"</f>
        <v>130 MGCRP 11 305</v>
      </c>
      <c r="S551" t="str">
        <f>"12/19/2019 8:52:28 AM"</f>
        <v>12/19/2019 8:52:28 AM</v>
      </c>
      <c r="T551" t="str">
        <f t="shared" si="201"/>
        <v>5</v>
      </c>
      <c r="U551" t="str">
        <f t="shared" si="213"/>
        <v>N/A</v>
      </c>
      <c r="V551" t="str">
        <f>"5.5500"</f>
        <v>5.5500</v>
      </c>
    </row>
    <row r="552" spans="1:22" x14ac:dyDescent="0.25">
      <c r="A552" s="1" t="str">
        <f t="shared" si="208"/>
        <v>5105-</v>
      </c>
      <c r="B552" s="1" t="str">
        <f t="shared" si="214"/>
        <v>5105-</v>
      </c>
      <c r="C552" s="1" t="str">
        <f>VLOOKUP(B552,'Master truck list'!D:E,2,0)</f>
        <v>5105-20</v>
      </c>
      <c r="D552" s="1" t="str">
        <f>VLOOKUP(C552,'Master truck list'!E:F,2,0)</f>
        <v>ACTIVE</v>
      </c>
      <c r="E552" s="1" t="str">
        <f>VLOOKUP(C552,'Master truck list'!E:M,9,0)</f>
        <v>BNK TRANSPORT INC</v>
      </c>
      <c r="F552" s="1" t="str">
        <f>VLOOKUP(C552,'Master truck list'!E:G,3,0)</f>
        <v>Company</v>
      </c>
      <c r="G552" s="1">
        <f>VLOOKUP(C552,'Master truck list'!E:R,14,0)</f>
        <v>2524</v>
      </c>
      <c r="H552" t="str">
        <f>"12/20/2019 7:00:30 AM"</f>
        <v>12/20/2019 7:00:30 AM</v>
      </c>
      <c r="I552" t="str">
        <f>""</f>
        <v/>
      </c>
      <c r="J552" t="str">
        <f t="shared" si="209"/>
        <v>Elite</v>
      </c>
      <c r="K552" t="str">
        <f t="shared" si="220"/>
        <v>Device</v>
      </c>
      <c r="L552" t="str">
        <f t="shared" si="225"/>
        <v>777225038</v>
      </c>
      <c r="M552" t="str">
        <f t="shared" si="226"/>
        <v>16598995</v>
      </c>
      <c r="N552" t="str">
        <f t="shared" si="227"/>
        <v>5105-20</v>
      </c>
      <c r="O552" t="str">
        <f t="shared" si="210"/>
        <v>TEXAS</v>
      </c>
      <c r="P552" t="str">
        <f t="shared" si="211"/>
        <v>N A</v>
      </c>
      <c r="Q552" t="str">
        <f t="shared" si="212"/>
        <v>N/A</v>
      </c>
      <c r="R552" t="str">
        <f>"45SE MLPEB 02 611"</f>
        <v>45SE MLPEB 02 611</v>
      </c>
      <c r="S552" t="str">
        <f>"12/19/2019 8:12:42 AM"</f>
        <v>12/19/2019 8:12:42 AM</v>
      </c>
      <c r="T552" t="str">
        <f t="shared" si="201"/>
        <v>5</v>
      </c>
      <c r="U552" t="str">
        <f t="shared" si="213"/>
        <v>N/A</v>
      </c>
      <c r="V552" t="str">
        <f>"3.3000"</f>
        <v>3.3000</v>
      </c>
    </row>
    <row r="553" spans="1:22" x14ac:dyDescent="0.25">
      <c r="A553" s="1" t="str">
        <f t="shared" si="208"/>
        <v>5105-</v>
      </c>
      <c r="B553" s="1" t="str">
        <f t="shared" si="214"/>
        <v>5105-</v>
      </c>
      <c r="C553" s="1" t="str">
        <f>VLOOKUP(B553,'Master truck list'!D:E,2,0)</f>
        <v>5105-20</v>
      </c>
      <c r="D553" s="1" t="str">
        <f>VLOOKUP(C553,'Master truck list'!E:F,2,0)</f>
        <v>ACTIVE</v>
      </c>
      <c r="E553" s="1" t="str">
        <f>VLOOKUP(C553,'Master truck list'!E:M,9,0)</f>
        <v>BNK TRANSPORT INC</v>
      </c>
      <c r="F553" s="1" t="str">
        <f>VLOOKUP(C553,'Master truck list'!E:G,3,0)</f>
        <v>Company</v>
      </c>
      <c r="G553" s="1">
        <f>VLOOKUP(C553,'Master truck list'!E:R,14,0)</f>
        <v>2524</v>
      </c>
      <c r="H553" t="str">
        <f>"12/20/2019 7:00:30 AM"</f>
        <v>12/20/2019 7:00:30 AM</v>
      </c>
      <c r="I553" t="str">
        <f>""</f>
        <v/>
      </c>
      <c r="J553" t="str">
        <f t="shared" si="209"/>
        <v>Elite</v>
      </c>
      <c r="K553" t="str">
        <f t="shared" si="220"/>
        <v>Device</v>
      </c>
      <c r="L553" t="str">
        <f t="shared" si="225"/>
        <v>777225038</v>
      </c>
      <c r="M553" t="str">
        <f t="shared" si="226"/>
        <v>16598995</v>
      </c>
      <c r="N553" t="str">
        <f t="shared" si="227"/>
        <v>5105-20</v>
      </c>
      <c r="O553" t="str">
        <f t="shared" si="210"/>
        <v>TEXAS</v>
      </c>
      <c r="P553" t="str">
        <f t="shared" si="211"/>
        <v>N A</v>
      </c>
      <c r="Q553" t="str">
        <f t="shared" si="212"/>
        <v>N/A</v>
      </c>
      <c r="R553" t="str">
        <f>"130 DKCRP 11 307"</f>
        <v>130 DKCRP 11 307</v>
      </c>
      <c r="S553" t="str">
        <f>"12/19/2019 8:30:17 AM"</f>
        <v>12/19/2019 8:30:17 AM</v>
      </c>
      <c r="T553" t="str">
        <f t="shared" si="201"/>
        <v>5</v>
      </c>
      <c r="U553" t="str">
        <f t="shared" si="213"/>
        <v>N/A</v>
      </c>
      <c r="V553" t="str">
        <f>"5.5500"</f>
        <v>5.5500</v>
      </c>
    </row>
    <row r="554" spans="1:22" x14ac:dyDescent="0.25">
      <c r="A554" s="1" t="str">
        <f t="shared" si="208"/>
        <v>5105-</v>
      </c>
      <c r="B554" s="1" t="str">
        <f t="shared" si="214"/>
        <v>5105-</v>
      </c>
      <c r="C554" s="1" t="str">
        <f>VLOOKUP(B554,'Master truck list'!D:E,2,0)</f>
        <v>5105-20</v>
      </c>
      <c r="D554" s="1" t="str">
        <f>VLOOKUP(C554,'Master truck list'!E:F,2,0)</f>
        <v>ACTIVE</v>
      </c>
      <c r="E554" s="1" t="str">
        <f>VLOOKUP(C554,'Master truck list'!E:M,9,0)</f>
        <v>BNK TRANSPORT INC</v>
      </c>
      <c r="F554" s="1" t="str">
        <f>VLOOKUP(C554,'Master truck list'!E:G,3,0)</f>
        <v>Company</v>
      </c>
      <c r="G554" s="1">
        <f>VLOOKUP(C554,'Master truck list'!E:R,14,0)</f>
        <v>2524</v>
      </c>
      <c r="H554" t="str">
        <f>"12/20/2019 7:00:30 AM"</f>
        <v>12/20/2019 7:00:30 AM</v>
      </c>
      <c r="I554" t="str">
        <f>""</f>
        <v/>
      </c>
      <c r="J554" t="str">
        <f t="shared" si="209"/>
        <v>Elite</v>
      </c>
      <c r="K554" t="str">
        <f t="shared" si="220"/>
        <v>Device</v>
      </c>
      <c r="L554" t="str">
        <f t="shared" si="225"/>
        <v>777225038</v>
      </c>
      <c r="M554" t="str">
        <f t="shared" si="226"/>
        <v>16598995</v>
      </c>
      <c r="N554" t="str">
        <f t="shared" si="227"/>
        <v>5105-20</v>
      </c>
      <c r="O554" t="str">
        <f t="shared" si="210"/>
        <v>TEXAS</v>
      </c>
      <c r="P554" t="str">
        <f t="shared" si="211"/>
        <v>N A</v>
      </c>
      <c r="Q554" t="str">
        <f t="shared" si="212"/>
        <v>N/A</v>
      </c>
      <c r="R554" t="str">
        <f>"130 CMRNP 13 306"</f>
        <v>130 CMRNP 13 306</v>
      </c>
      <c r="S554" t="str">
        <f>"12/19/2019 8:40:23 AM"</f>
        <v>12/19/2019 8:40:23 AM</v>
      </c>
      <c r="T554" t="str">
        <f t="shared" si="201"/>
        <v>5</v>
      </c>
      <c r="U554" t="str">
        <f t="shared" si="213"/>
        <v>N/A</v>
      </c>
      <c r="V554" t="str">
        <f>"5.5500"</f>
        <v>5.5500</v>
      </c>
    </row>
    <row r="555" spans="1:22" x14ac:dyDescent="0.25">
      <c r="A555" s="1" t="str">
        <f t="shared" si="208"/>
        <v>5105-</v>
      </c>
      <c r="B555" s="1" t="str">
        <f t="shared" si="214"/>
        <v>5105-</v>
      </c>
      <c r="C555" s="1" t="str">
        <f>VLOOKUP(B555,'Master truck list'!D:E,2,0)</f>
        <v>5105-20</v>
      </c>
      <c r="D555" s="1" t="str">
        <f>VLOOKUP(C555,'Master truck list'!E:F,2,0)</f>
        <v>ACTIVE</v>
      </c>
      <c r="E555" s="1" t="str">
        <f>VLOOKUP(C555,'Master truck list'!E:M,9,0)</f>
        <v>BNK TRANSPORT INC</v>
      </c>
      <c r="F555" s="1" t="str">
        <f>VLOOKUP(C555,'Master truck list'!E:G,3,0)</f>
        <v>Company</v>
      </c>
      <c r="G555" s="1">
        <f>VLOOKUP(C555,'Master truck list'!E:R,14,0)</f>
        <v>2524</v>
      </c>
      <c r="H555" t="str">
        <f>"12/20/2019 7:00:30 AM"</f>
        <v>12/20/2019 7:00:30 AM</v>
      </c>
      <c r="I555" t="str">
        <f>""</f>
        <v/>
      </c>
      <c r="J555" t="str">
        <f t="shared" si="209"/>
        <v>Elite</v>
      </c>
      <c r="K555" t="str">
        <f t="shared" si="220"/>
        <v>Device</v>
      </c>
      <c r="L555" t="str">
        <f t="shared" si="225"/>
        <v>777225038</v>
      </c>
      <c r="M555" t="str">
        <f t="shared" si="226"/>
        <v>16598995</v>
      </c>
      <c r="N555" t="str">
        <f t="shared" si="227"/>
        <v>5105-20</v>
      </c>
      <c r="O555" t="str">
        <f t="shared" si="210"/>
        <v>TEXAS</v>
      </c>
      <c r="P555" t="str">
        <f t="shared" si="211"/>
        <v>N A</v>
      </c>
      <c r="Q555" t="str">
        <f t="shared" si="212"/>
        <v>N/A</v>
      </c>
      <c r="R555" t="str">
        <f>"130 ARPTP 09 308"</f>
        <v>130 ARPTP 09 308</v>
      </c>
      <c r="S555" t="str">
        <f>"12/19/2019 8:23:19 AM"</f>
        <v>12/19/2019 8:23:19 AM</v>
      </c>
      <c r="T555" t="str">
        <f t="shared" si="201"/>
        <v>5</v>
      </c>
      <c r="U555" t="str">
        <f t="shared" si="213"/>
        <v>N/A</v>
      </c>
      <c r="V555" t="str">
        <f>"5.5500"</f>
        <v>5.5500</v>
      </c>
    </row>
    <row r="556" spans="1:22" x14ac:dyDescent="0.25">
      <c r="A556" s="1" t="str">
        <f t="shared" si="208"/>
        <v>5105-</v>
      </c>
      <c r="B556" s="1" t="str">
        <f t="shared" si="214"/>
        <v>5105-</v>
      </c>
      <c r="C556" s="1" t="str">
        <f>VLOOKUP(B556,'Master truck list'!D:E,2,0)</f>
        <v>5105-20</v>
      </c>
      <c r="D556" s="1" t="str">
        <f>VLOOKUP(C556,'Master truck list'!E:F,2,0)</f>
        <v>ACTIVE</v>
      </c>
      <c r="E556" s="1" t="str">
        <f>VLOOKUP(C556,'Master truck list'!E:M,9,0)</f>
        <v>BNK TRANSPORT INC</v>
      </c>
      <c r="F556" s="1" t="str">
        <f>VLOOKUP(C556,'Master truck list'!E:G,3,0)</f>
        <v>Company</v>
      </c>
      <c r="G556" s="1">
        <f>VLOOKUP(C556,'Master truck list'!E:R,14,0)</f>
        <v>2524</v>
      </c>
      <c r="H556" t="str">
        <f>"12/19/2019 7:00:35 AM"</f>
        <v>12/19/2019 7:00:35 AM</v>
      </c>
      <c r="I556" t="str">
        <f>""</f>
        <v/>
      </c>
      <c r="J556" t="str">
        <f t="shared" si="209"/>
        <v>Elite</v>
      </c>
      <c r="K556" t="str">
        <f t="shared" si="220"/>
        <v>Device</v>
      </c>
      <c r="L556" t="str">
        <f t="shared" si="225"/>
        <v>777225038</v>
      </c>
      <c r="M556" t="str">
        <f t="shared" si="226"/>
        <v>16598995</v>
      </c>
      <c r="N556" t="str">
        <f t="shared" si="227"/>
        <v>5105-20</v>
      </c>
      <c r="O556" t="str">
        <f t="shared" si="210"/>
        <v>TEXAS</v>
      </c>
      <c r="P556" t="str">
        <f t="shared" si="211"/>
        <v>N A</v>
      </c>
      <c r="Q556" t="str">
        <f t="shared" si="212"/>
        <v>N/A</v>
      </c>
      <c r="R556" t="str">
        <f>"130 MGCRP 06 305"</f>
        <v>130 MGCRP 06 305</v>
      </c>
      <c r="S556" t="str">
        <f>"12/18/2019 6:34:17 AM"</f>
        <v>12/18/2019 6:34:17 AM</v>
      </c>
      <c r="T556" t="str">
        <f t="shared" si="201"/>
        <v>5</v>
      </c>
      <c r="U556" t="str">
        <f t="shared" si="213"/>
        <v>N/A</v>
      </c>
      <c r="V556" t="str">
        <f>"5.5500"</f>
        <v>5.5500</v>
      </c>
    </row>
    <row r="557" spans="1:22" x14ac:dyDescent="0.25">
      <c r="A557" s="1" t="str">
        <f t="shared" si="208"/>
        <v>5105-</v>
      </c>
      <c r="B557" s="1" t="str">
        <f t="shared" si="214"/>
        <v>5105-</v>
      </c>
      <c r="C557" s="1" t="str">
        <f>VLOOKUP(B557,'Master truck list'!D:E,2,0)</f>
        <v>5105-20</v>
      </c>
      <c r="D557" s="1" t="str">
        <f>VLOOKUP(C557,'Master truck list'!E:F,2,0)</f>
        <v>ACTIVE</v>
      </c>
      <c r="E557" s="1" t="str">
        <f>VLOOKUP(C557,'Master truck list'!E:M,9,0)</f>
        <v>BNK TRANSPORT INC</v>
      </c>
      <c r="F557" s="1" t="str">
        <f>VLOOKUP(C557,'Master truck list'!E:G,3,0)</f>
        <v>Company</v>
      </c>
      <c r="G557" s="1">
        <f>VLOOKUP(C557,'Master truck list'!E:R,14,0)</f>
        <v>2524</v>
      </c>
      <c r="H557" t="str">
        <f>"12/19/2019 7:00:35 AM"</f>
        <v>12/19/2019 7:00:35 AM</v>
      </c>
      <c r="I557" t="str">
        <f>""</f>
        <v/>
      </c>
      <c r="J557" t="str">
        <f t="shared" si="209"/>
        <v>Elite</v>
      </c>
      <c r="K557" t="str">
        <f t="shared" si="220"/>
        <v>Device</v>
      </c>
      <c r="L557" t="str">
        <f t="shared" si="225"/>
        <v>777225038</v>
      </c>
      <c r="M557" t="str">
        <f t="shared" si="226"/>
        <v>16598995</v>
      </c>
      <c r="N557" t="str">
        <f t="shared" si="227"/>
        <v>5105-20</v>
      </c>
      <c r="O557" t="str">
        <f t="shared" si="210"/>
        <v>TEXAS</v>
      </c>
      <c r="P557" t="str">
        <f t="shared" si="211"/>
        <v>N A</v>
      </c>
      <c r="Q557" t="str">
        <f t="shared" si="212"/>
        <v>N/A</v>
      </c>
      <c r="R557" t="str">
        <f>"130 DKCRP 06 307"</f>
        <v>130 DKCRP 06 307</v>
      </c>
      <c r="S557" t="str">
        <f>"12/18/2019 6:55:38 AM"</f>
        <v>12/18/2019 6:55:38 AM</v>
      </c>
      <c r="T557" t="str">
        <f t="shared" ref="T557:T563" si="228">"5"</f>
        <v>5</v>
      </c>
      <c r="U557" t="str">
        <f t="shared" si="213"/>
        <v>N/A</v>
      </c>
      <c r="V557" t="str">
        <f>"5.5500"</f>
        <v>5.5500</v>
      </c>
    </row>
    <row r="558" spans="1:22" x14ac:dyDescent="0.25">
      <c r="A558" s="1" t="str">
        <f t="shared" si="208"/>
        <v>5105-</v>
      </c>
      <c r="B558" s="1" t="str">
        <f t="shared" si="214"/>
        <v>5105-</v>
      </c>
      <c r="C558" s="1" t="str">
        <f>VLOOKUP(B558,'Master truck list'!D:E,2,0)</f>
        <v>5105-20</v>
      </c>
      <c r="D558" s="1" t="str">
        <f>VLOOKUP(C558,'Master truck list'!E:F,2,0)</f>
        <v>ACTIVE</v>
      </c>
      <c r="E558" s="1" t="str">
        <f>VLOOKUP(C558,'Master truck list'!E:M,9,0)</f>
        <v>BNK TRANSPORT INC</v>
      </c>
      <c r="F558" s="1" t="str">
        <f>VLOOKUP(C558,'Master truck list'!E:G,3,0)</f>
        <v>Company</v>
      </c>
      <c r="G558" s="1">
        <f>VLOOKUP(C558,'Master truck list'!E:R,14,0)</f>
        <v>2524</v>
      </c>
      <c r="H558" t="str">
        <f>"12/19/2019 7:00:35 AM"</f>
        <v>12/19/2019 7:00:35 AM</v>
      </c>
      <c r="I558" t="str">
        <f>""</f>
        <v/>
      </c>
      <c r="J558" t="str">
        <f t="shared" si="209"/>
        <v>Elite</v>
      </c>
      <c r="K558" t="str">
        <f t="shared" si="220"/>
        <v>Device</v>
      </c>
      <c r="L558" t="str">
        <f t="shared" si="225"/>
        <v>777225038</v>
      </c>
      <c r="M558" t="str">
        <f t="shared" si="226"/>
        <v>16598995</v>
      </c>
      <c r="N558" t="str">
        <f t="shared" si="227"/>
        <v>5105-20</v>
      </c>
      <c r="O558" t="str">
        <f t="shared" si="210"/>
        <v>TEXAS</v>
      </c>
      <c r="P558" t="str">
        <f t="shared" si="211"/>
        <v>N A</v>
      </c>
      <c r="Q558" t="str">
        <f t="shared" si="212"/>
        <v>N/A</v>
      </c>
      <c r="R558" t="str">
        <f>"45SE MLPWB 01 611"</f>
        <v>45SE MLPWB 01 611</v>
      </c>
      <c r="S558" t="str">
        <f>"12/18/2019 7:13:23 AM"</f>
        <v>12/18/2019 7:13:23 AM</v>
      </c>
      <c r="T558" t="str">
        <f t="shared" si="228"/>
        <v>5</v>
      </c>
      <c r="U558" t="str">
        <f t="shared" si="213"/>
        <v>N/A</v>
      </c>
      <c r="V558" t="str">
        <f>"3.3000"</f>
        <v>3.3000</v>
      </c>
    </row>
    <row r="559" spans="1:22" x14ac:dyDescent="0.25">
      <c r="A559" s="1" t="str">
        <f t="shared" si="208"/>
        <v>2586-</v>
      </c>
      <c r="B559" s="1" t="str">
        <f t="shared" si="214"/>
        <v>2586-</v>
      </c>
      <c r="C559" s="1" t="str">
        <f>VLOOKUP(B559,'Master truck list'!D:E,2,0)</f>
        <v>2586-20</v>
      </c>
      <c r="D559" s="1" t="str">
        <f>VLOOKUP(C559,'Master truck list'!E:F,2,0)</f>
        <v>ACTIVE</v>
      </c>
      <c r="E559" s="1" t="str">
        <f>VLOOKUP(C559,'Master truck list'!E:M,9,0)</f>
        <v>CHARGER LOGISTICS USA INC</v>
      </c>
      <c r="F559" s="1" t="str">
        <f>VLOOKUP(C559,'Master truck list'!E:G,3,0)</f>
        <v>Company</v>
      </c>
      <c r="G559" s="1">
        <f>VLOOKUP(C559,'Master truck list'!E:R,14,0)</f>
        <v>2595</v>
      </c>
      <c r="H559" t="str">
        <f>"12/19/2019 7:00:35 AM"</f>
        <v>12/19/2019 7:00:35 AM</v>
      </c>
      <c r="I559" t="str">
        <f>""</f>
        <v/>
      </c>
      <c r="J559" t="str">
        <f t="shared" si="209"/>
        <v>Elite</v>
      </c>
      <c r="K559" t="str">
        <f t="shared" si="220"/>
        <v>Device</v>
      </c>
      <c r="L559" t="str">
        <f t="shared" ref="L559:L571" si="229">"777211303"</f>
        <v>777211303</v>
      </c>
      <c r="M559" t="str">
        <f t="shared" ref="M559:M571" si="230">"16546425"</f>
        <v>16546425</v>
      </c>
      <c r="N559" t="str">
        <f t="shared" ref="N559:N571" si="231">"2586-20"</f>
        <v>2586-20</v>
      </c>
      <c r="O559" t="str">
        <f t="shared" si="210"/>
        <v>TEXAS</v>
      </c>
      <c r="P559" t="str">
        <f t="shared" si="211"/>
        <v>N A</v>
      </c>
      <c r="Q559" t="str">
        <f t="shared" si="212"/>
        <v>N/A</v>
      </c>
      <c r="R559" t="str">
        <f>"130 DKCRP 06 307"</f>
        <v>130 DKCRP 06 307</v>
      </c>
      <c r="S559" t="str">
        <f>"12/18/2019 1:43:11 PM"</f>
        <v>12/18/2019 1:43:11 PM</v>
      </c>
      <c r="T559" t="str">
        <f t="shared" si="228"/>
        <v>5</v>
      </c>
      <c r="U559" t="str">
        <f t="shared" si="213"/>
        <v>N/A</v>
      </c>
      <c r="V559" t="str">
        <f>"5.5500"</f>
        <v>5.5500</v>
      </c>
    </row>
    <row r="560" spans="1:22" x14ac:dyDescent="0.25">
      <c r="A560" s="1" t="str">
        <f t="shared" si="208"/>
        <v>2586-</v>
      </c>
      <c r="B560" s="1" t="str">
        <f t="shared" si="214"/>
        <v>2586-</v>
      </c>
      <c r="C560" s="1" t="str">
        <f>VLOOKUP(B560,'Master truck list'!D:E,2,0)</f>
        <v>2586-20</v>
      </c>
      <c r="D560" s="1" t="str">
        <f>VLOOKUP(C560,'Master truck list'!E:F,2,0)</f>
        <v>ACTIVE</v>
      </c>
      <c r="E560" s="1" t="str">
        <f>VLOOKUP(C560,'Master truck list'!E:M,9,0)</f>
        <v>CHARGER LOGISTICS USA INC</v>
      </c>
      <c r="F560" s="1" t="str">
        <f>VLOOKUP(C560,'Master truck list'!E:G,3,0)</f>
        <v>Company</v>
      </c>
      <c r="G560" s="1">
        <f>VLOOKUP(C560,'Master truck list'!E:R,14,0)</f>
        <v>2595</v>
      </c>
      <c r="H560" t="str">
        <f>"12/19/2019 7:00:35 AM"</f>
        <v>12/19/2019 7:00:35 AM</v>
      </c>
      <c r="I560" t="str">
        <f>""</f>
        <v/>
      </c>
      <c r="J560" t="str">
        <f t="shared" si="209"/>
        <v>Elite</v>
      </c>
      <c r="K560" t="str">
        <f t="shared" si="220"/>
        <v>Device</v>
      </c>
      <c r="L560" t="str">
        <f t="shared" si="229"/>
        <v>777211303</v>
      </c>
      <c r="M560" t="str">
        <f t="shared" si="230"/>
        <v>16546425</v>
      </c>
      <c r="N560" t="str">
        <f t="shared" si="231"/>
        <v>2586-20</v>
      </c>
      <c r="O560" t="str">
        <f t="shared" si="210"/>
        <v>TEXAS</v>
      </c>
      <c r="P560" t="str">
        <f t="shared" si="211"/>
        <v>N A</v>
      </c>
      <c r="Q560" t="str">
        <f t="shared" si="212"/>
        <v>N/A</v>
      </c>
      <c r="R560" t="str">
        <f>"130 MGCRP 06 305"</f>
        <v>130 MGCRP 06 305</v>
      </c>
      <c r="S560" t="str">
        <f>"12/18/2019 1:22:11 PM"</f>
        <v>12/18/2019 1:22:11 PM</v>
      </c>
      <c r="T560" t="str">
        <f t="shared" si="228"/>
        <v>5</v>
      </c>
      <c r="U560" t="str">
        <f t="shared" si="213"/>
        <v>N/A</v>
      </c>
      <c r="V560" t="str">
        <f>"5.5500"</f>
        <v>5.5500</v>
      </c>
    </row>
    <row r="561" spans="1:22" x14ac:dyDescent="0.25">
      <c r="A561" s="1" t="str">
        <f t="shared" si="208"/>
        <v>2586-</v>
      </c>
      <c r="B561" s="1" t="str">
        <f t="shared" si="214"/>
        <v>2586-</v>
      </c>
      <c r="C561" s="1" t="str">
        <f>VLOOKUP(B561,'Master truck list'!D:E,2,0)</f>
        <v>2586-20</v>
      </c>
      <c r="D561" s="1" t="str">
        <f>VLOOKUP(C561,'Master truck list'!E:F,2,0)</f>
        <v>ACTIVE</v>
      </c>
      <c r="E561" s="1" t="str">
        <f>VLOOKUP(C561,'Master truck list'!E:M,9,0)</f>
        <v>CHARGER LOGISTICS USA INC</v>
      </c>
      <c r="F561" s="1" t="str">
        <f>VLOOKUP(C561,'Master truck list'!E:G,3,0)</f>
        <v>Company</v>
      </c>
      <c r="G561" s="1">
        <f>VLOOKUP(C561,'Master truck list'!E:R,14,0)</f>
        <v>2595</v>
      </c>
      <c r="H561" t="str">
        <f t="shared" ref="H561:H569" si="232">"12/20/2019 7:00:30 AM"</f>
        <v>12/20/2019 7:00:30 AM</v>
      </c>
      <c r="I561" t="str">
        <f>""</f>
        <v/>
      </c>
      <c r="J561" t="str">
        <f t="shared" si="209"/>
        <v>Elite</v>
      </c>
      <c r="K561" t="str">
        <f t="shared" si="220"/>
        <v>Device</v>
      </c>
      <c r="L561" t="str">
        <f t="shared" si="229"/>
        <v>777211303</v>
      </c>
      <c r="M561" t="str">
        <f t="shared" si="230"/>
        <v>16546425</v>
      </c>
      <c r="N561" t="str">
        <f t="shared" si="231"/>
        <v>2586-20</v>
      </c>
      <c r="O561" t="str">
        <f t="shared" si="210"/>
        <v>TEXAS</v>
      </c>
      <c r="P561" t="str">
        <f t="shared" si="211"/>
        <v>N A</v>
      </c>
      <c r="Q561" t="str">
        <f t="shared" si="212"/>
        <v>N/A</v>
      </c>
      <c r="R561" t="str">
        <f>"130 DKCRP 11 307"</f>
        <v>130 DKCRP 11 307</v>
      </c>
      <c r="S561" t="str">
        <f>"12/18/2019 10:17:36 PM"</f>
        <v>12/18/2019 10:17:36 PM</v>
      </c>
      <c r="T561" t="str">
        <f t="shared" si="228"/>
        <v>5</v>
      </c>
      <c r="U561" t="str">
        <f t="shared" si="213"/>
        <v>N/A</v>
      </c>
      <c r="V561" t="str">
        <f>"5.5500"</f>
        <v>5.5500</v>
      </c>
    </row>
    <row r="562" spans="1:22" x14ac:dyDescent="0.25">
      <c r="A562" s="1" t="str">
        <f t="shared" si="208"/>
        <v>2586-</v>
      </c>
      <c r="B562" s="1" t="str">
        <f t="shared" si="214"/>
        <v>2586-</v>
      </c>
      <c r="C562" s="1" t="str">
        <f>VLOOKUP(B562,'Master truck list'!D:E,2,0)</f>
        <v>2586-20</v>
      </c>
      <c r="D562" s="1" t="str">
        <f>VLOOKUP(C562,'Master truck list'!E:F,2,0)</f>
        <v>ACTIVE</v>
      </c>
      <c r="E562" s="1" t="str">
        <f>VLOOKUP(C562,'Master truck list'!E:M,9,0)</f>
        <v>CHARGER LOGISTICS USA INC</v>
      </c>
      <c r="F562" s="1" t="str">
        <f>VLOOKUP(C562,'Master truck list'!E:G,3,0)</f>
        <v>Company</v>
      </c>
      <c r="G562" s="1">
        <f>VLOOKUP(C562,'Master truck list'!E:R,14,0)</f>
        <v>2595</v>
      </c>
      <c r="H562" t="str">
        <f t="shared" si="232"/>
        <v>12/20/2019 7:00:30 AM</v>
      </c>
      <c r="I562" t="str">
        <f>""</f>
        <v/>
      </c>
      <c r="J562" t="str">
        <f t="shared" si="209"/>
        <v>Elite</v>
      </c>
      <c r="K562" t="str">
        <f t="shared" si="220"/>
        <v>Device</v>
      </c>
      <c r="L562" t="str">
        <f t="shared" si="229"/>
        <v>777211303</v>
      </c>
      <c r="M562" t="str">
        <f t="shared" si="230"/>
        <v>16546425</v>
      </c>
      <c r="N562" t="str">
        <f t="shared" si="231"/>
        <v>2586-20</v>
      </c>
      <c r="O562" t="str">
        <f t="shared" si="210"/>
        <v>TEXAS</v>
      </c>
      <c r="P562" t="str">
        <f t="shared" si="211"/>
        <v>N A</v>
      </c>
      <c r="Q562" t="str">
        <f t="shared" si="212"/>
        <v>N/A</v>
      </c>
      <c r="R562" t="str">
        <f>"130 MGCRP 11 305"</f>
        <v>130 MGCRP 11 305</v>
      </c>
      <c r="S562" t="str">
        <f>"12/18/2019 10:38:44 PM"</f>
        <v>12/18/2019 10:38:44 PM</v>
      </c>
      <c r="T562" t="str">
        <f t="shared" si="228"/>
        <v>5</v>
      </c>
      <c r="U562" t="str">
        <f t="shared" si="213"/>
        <v>N/A</v>
      </c>
      <c r="V562" t="str">
        <f>"5.5500"</f>
        <v>5.5500</v>
      </c>
    </row>
    <row r="563" spans="1:22" x14ac:dyDescent="0.25">
      <c r="A563" s="1" t="str">
        <f t="shared" si="208"/>
        <v>2586-</v>
      </c>
      <c r="B563" s="1" t="str">
        <f t="shared" si="214"/>
        <v>2586-</v>
      </c>
      <c r="C563" s="1" t="str">
        <f>VLOOKUP(B563,'Master truck list'!D:E,2,0)</f>
        <v>2586-20</v>
      </c>
      <c r="D563" s="1" t="str">
        <f>VLOOKUP(C563,'Master truck list'!E:F,2,0)</f>
        <v>ACTIVE</v>
      </c>
      <c r="E563" s="1" t="str">
        <f>VLOOKUP(C563,'Master truck list'!E:M,9,0)</f>
        <v>CHARGER LOGISTICS USA INC</v>
      </c>
      <c r="F563" s="1" t="str">
        <f>VLOOKUP(C563,'Master truck list'!E:G,3,0)</f>
        <v>Company</v>
      </c>
      <c r="G563" s="1">
        <f>VLOOKUP(C563,'Master truck list'!E:R,14,0)</f>
        <v>2595</v>
      </c>
      <c r="H563" t="str">
        <f t="shared" si="232"/>
        <v>12/20/2019 7:00:30 AM</v>
      </c>
      <c r="I563" t="str">
        <f>""</f>
        <v/>
      </c>
      <c r="J563" t="str">
        <f t="shared" si="209"/>
        <v>Elite</v>
      </c>
      <c r="K563" t="str">
        <f t="shared" si="220"/>
        <v>Device</v>
      </c>
      <c r="L563" t="str">
        <f t="shared" si="229"/>
        <v>777211303</v>
      </c>
      <c r="M563" t="str">
        <f t="shared" si="230"/>
        <v>16546425</v>
      </c>
      <c r="N563" t="str">
        <f t="shared" si="231"/>
        <v>2586-20</v>
      </c>
      <c r="O563" t="str">
        <f t="shared" si="210"/>
        <v>TEXAS</v>
      </c>
      <c r="P563" t="str">
        <f t="shared" si="211"/>
        <v>N A</v>
      </c>
      <c r="Q563" t="str">
        <f t="shared" si="212"/>
        <v>N/A</v>
      </c>
      <c r="R563" t="str">
        <f>"130 CMRNP 13 306"</f>
        <v>130 CMRNP 13 306</v>
      </c>
      <c r="S563" t="str">
        <f>"12/18/2019 10:27:42 PM"</f>
        <v>12/18/2019 10:27:42 PM</v>
      </c>
      <c r="T563" t="str">
        <f t="shared" si="228"/>
        <v>5</v>
      </c>
      <c r="U563" t="str">
        <f t="shared" si="213"/>
        <v>N/A</v>
      </c>
      <c r="V563" t="str">
        <f>"5.5500"</f>
        <v>5.5500</v>
      </c>
    </row>
    <row r="564" spans="1:22" x14ac:dyDescent="0.25">
      <c r="A564" s="1" t="str">
        <f t="shared" si="208"/>
        <v>2586-</v>
      </c>
      <c r="B564" s="1" t="str">
        <f t="shared" si="214"/>
        <v>2586-</v>
      </c>
      <c r="C564" s="1" t="str">
        <f>VLOOKUP(B564,'Master truck list'!D:E,2,0)</f>
        <v>2586-20</v>
      </c>
      <c r="D564" s="1" t="str">
        <f>VLOOKUP(C564,'Master truck list'!E:F,2,0)</f>
        <v>ACTIVE</v>
      </c>
      <c r="E564" s="1" t="str">
        <f>VLOOKUP(C564,'Master truck list'!E:M,9,0)</f>
        <v>CHARGER LOGISTICS USA INC</v>
      </c>
      <c r="F564" s="1" t="str">
        <f>VLOOKUP(C564,'Master truck list'!E:G,3,0)</f>
        <v>Company</v>
      </c>
      <c r="G564" s="1">
        <f>VLOOKUP(C564,'Master truck list'!E:R,14,0)</f>
        <v>2595</v>
      </c>
      <c r="H564" t="str">
        <f t="shared" si="232"/>
        <v>12/20/2019 7:00:30 AM</v>
      </c>
      <c r="I564" t="str">
        <f>""</f>
        <v/>
      </c>
      <c r="J564" t="str">
        <f t="shared" si="209"/>
        <v>Elite</v>
      </c>
      <c r="K564" t="str">
        <f t="shared" si="220"/>
        <v>Device</v>
      </c>
      <c r="L564" t="str">
        <f t="shared" si="229"/>
        <v>777211303</v>
      </c>
      <c r="M564" t="str">
        <f t="shared" si="230"/>
        <v>16546425</v>
      </c>
      <c r="N564" t="str">
        <f t="shared" si="231"/>
        <v>2586-20</v>
      </c>
      <c r="O564" t="str">
        <f t="shared" si="210"/>
        <v>TEXAS</v>
      </c>
      <c r="P564" t="str">
        <f t="shared" si="211"/>
        <v>N A</v>
      </c>
      <c r="Q564" t="str">
        <f t="shared" si="212"/>
        <v>N/A</v>
      </c>
      <c r="R564" t="str">
        <f>"130 BLUESP 01 4110"</f>
        <v>130 BLUESP 01 4110</v>
      </c>
      <c r="S564" t="str">
        <f>"12/18/2019 2:15:23 PM"</f>
        <v>12/18/2019 2:15:23 PM</v>
      </c>
      <c r="T564" t="str">
        <f>"15"</f>
        <v>15</v>
      </c>
      <c r="U564" t="str">
        <f t="shared" si="213"/>
        <v>N/A</v>
      </c>
      <c r="V564" t="str">
        <f>"20.4900"</f>
        <v>20.4900</v>
      </c>
    </row>
    <row r="565" spans="1:22" x14ac:dyDescent="0.25">
      <c r="A565" s="1" t="str">
        <f t="shared" si="208"/>
        <v>2586-</v>
      </c>
      <c r="B565" s="1" t="str">
        <f t="shared" si="214"/>
        <v>2586-</v>
      </c>
      <c r="C565" s="1" t="str">
        <f>VLOOKUP(B565,'Master truck list'!D:E,2,0)</f>
        <v>2586-20</v>
      </c>
      <c r="D565" s="1" t="str">
        <f>VLOOKUP(C565,'Master truck list'!E:F,2,0)</f>
        <v>ACTIVE</v>
      </c>
      <c r="E565" s="1" t="str">
        <f>VLOOKUP(C565,'Master truck list'!E:M,9,0)</f>
        <v>CHARGER LOGISTICS USA INC</v>
      </c>
      <c r="F565" s="1" t="str">
        <f>VLOOKUP(C565,'Master truck list'!E:G,3,0)</f>
        <v>Company</v>
      </c>
      <c r="G565" s="1">
        <f>VLOOKUP(C565,'Master truck list'!E:R,14,0)</f>
        <v>2595</v>
      </c>
      <c r="H565" t="str">
        <f t="shared" si="232"/>
        <v>12/20/2019 7:00:30 AM</v>
      </c>
      <c r="I565" t="str">
        <f>""</f>
        <v/>
      </c>
      <c r="J565" t="str">
        <f t="shared" si="209"/>
        <v>Elite</v>
      </c>
      <c r="K565" t="str">
        <f t="shared" si="220"/>
        <v>Device</v>
      </c>
      <c r="L565" t="str">
        <f t="shared" si="229"/>
        <v>777211303</v>
      </c>
      <c r="M565" t="str">
        <f t="shared" si="230"/>
        <v>16546425</v>
      </c>
      <c r="N565" t="str">
        <f t="shared" si="231"/>
        <v>2586-20</v>
      </c>
      <c r="O565" t="str">
        <f t="shared" si="210"/>
        <v>TEXAS</v>
      </c>
      <c r="P565" t="str">
        <f t="shared" si="211"/>
        <v>N A</v>
      </c>
      <c r="Q565" t="str">
        <f t="shared" si="212"/>
        <v>N/A</v>
      </c>
      <c r="R565" t="str">
        <f>"130 BLUENP 01 4109"</f>
        <v>130 BLUENP 01 4109</v>
      </c>
      <c r="S565" t="str">
        <f>"12/18/2019 9:27:16 PM"</f>
        <v>12/18/2019 9:27:16 PM</v>
      </c>
      <c r="T565" t="str">
        <f>"15"</f>
        <v>15</v>
      </c>
      <c r="U565" t="str">
        <f t="shared" si="213"/>
        <v>N/A</v>
      </c>
      <c r="V565" t="str">
        <f>"20.4900"</f>
        <v>20.4900</v>
      </c>
    </row>
    <row r="566" spans="1:22" x14ac:dyDescent="0.25">
      <c r="A566" s="1" t="str">
        <f t="shared" si="208"/>
        <v>2586-</v>
      </c>
      <c r="B566" s="1" t="str">
        <f t="shared" si="214"/>
        <v>2586-</v>
      </c>
      <c r="C566" s="1" t="str">
        <f>VLOOKUP(B566,'Master truck list'!D:E,2,0)</f>
        <v>2586-20</v>
      </c>
      <c r="D566" s="1" t="str">
        <f>VLOOKUP(C566,'Master truck list'!E:F,2,0)</f>
        <v>ACTIVE</v>
      </c>
      <c r="E566" s="1" t="str">
        <f>VLOOKUP(C566,'Master truck list'!E:M,9,0)</f>
        <v>CHARGER LOGISTICS USA INC</v>
      </c>
      <c r="F566" s="1" t="str">
        <f>VLOOKUP(C566,'Master truck list'!E:G,3,0)</f>
        <v>Company</v>
      </c>
      <c r="G566" s="1">
        <f>VLOOKUP(C566,'Master truck list'!E:R,14,0)</f>
        <v>2595</v>
      </c>
      <c r="H566" t="str">
        <f t="shared" si="232"/>
        <v>12/20/2019 7:00:30 AM</v>
      </c>
      <c r="I566" t="str">
        <f>""</f>
        <v/>
      </c>
      <c r="J566" t="str">
        <f t="shared" si="209"/>
        <v>Elite</v>
      </c>
      <c r="K566" t="str">
        <f t="shared" si="220"/>
        <v>Device</v>
      </c>
      <c r="L566" t="str">
        <f t="shared" si="229"/>
        <v>777211303</v>
      </c>
      <c r="M566" t="str">
        <f t="shared" si="230"/>
        <v>16546425</v>
      </c>
      <c r="N566" t="str">
        <f t="shared" si="231"/>
        <v>2586-20</v>
      </c>
      <c r="O566" t="str">
        <f t="shared" si="210"/>
        <v>TEXAS</v>
      </c>
      <c r="P566" t="str">
        <f t="shared" si="211"/>
        <v>N A</v>
      </c>
      <c r="Q566" t="str">
        <f t="shared" si="212"/>
        <v>N/A</v>
      </c>
      <c r="R566" t="str">
        <f>"130 SKYSP 02 4104"</f>
        <v>130 SKYSP 02 4104</v>
      </c>
      <c r="S566" t="str">
        <f>"12/18/2019 2:02:19 PM"</f>
        <v>12/18/2019 2:02:19 PM</v>
      </c>
      <c r="T566" t="str">
        <f>"15"</f>
        <v>15</v>
      </c>
      <c r="U566" t="str">
        <f t="shared" si="213"/>
        <v>N/A</v>
      </c>
      <c r="V566" t="str">
        <f>"9.3800"</f>
        <v>9.3800</v>
      </c>
    </row>
    <row r="567" spans="1:22" x14ac:dyDescent="0.25">
      <c r="A567" s="1" t="str">
        <f t="shared" si="208"/>
        <v>2586-</v>
      </c>
      <c r="B567" s="1" t="str">
        <f t="shared" si="214"/>
        <v>2586-</v>
      </c>
      <c r="C567" s="1" t="str">
        <f>VLOOKUP(B567,'Master truck list'!D:E,2,0)</f>
        <v>2586-20</v>
      </c>
      <c r="D567" s="1" t="str">
        <f>VLOOKUP(C567,'Master truck list'!E:F,2,0)</f>
        <v>ACTIVE</v>
      </c>
      <c r="E567" s="1" t="str">
        <f>VLOOKUP(C567,'Master truck list'!E:M,9,0)</f>
        <v>CHARGER LOGISTICS USA INC</v>
      </c>
      <c r="F567" s="1" t="str">
        <f>VLOOKUP(C567,'Master truck list'!E:G,3,0)</f>
        <v>Company</v>
      </c>
      <c r="G567" s="1">
        <f>VLOOKUP(C567,'Master truck list'!E:R,14,0)</f>
        <v>2595</v>
      </c>
      <c r="H567" t="str">
        <f t="shared" si="232"/>
        <v>12/20/2019 7:00:30 AM</v>
      </c>
      <c r="I567" t="str">
        <f>""</f>
        <v/>
      </c>
      <c r="J567" t="str">
        <f t="shared" si="209"/>
        <v>Elite</v>
      </c>
      <c r="K567" t="str">
        <f t="shared" si="220"/>
        <v>Device</v>
      </c>
      <c r="L567" t="str">
        <f t="shared" si="229"/>
        <v>777211303</v>
      </c>
      <c r="M567" t="str">
        <f t="shared" si="230"/>
        <v>16546425</v>
      </c>
      <c r="N567" t="str">
        <f t="shared" si="231"/>
        <v>2586-20</v>
      </c>
      <c r="O567" t="str">
        <f t="shared" si="210"/>
        <v>TEXAS</v>
      </c>
      <c r="P567" t="str">
        <f t="shared" si="211"/>
        <v>N A</v>
      </c>
      <c r="Q567" t="str">
        <f t="shared" si="212"/>
        <v>N/A</v>
      </c>
      <c r="R567" t="str">
        <f>"130 SKYNP 01 4103"</f>
        <v>130 SKYNP 01 4103</v>
      </c>
      <c r="S567" t="str">
        <f>"12/18/2019 9:40:31 PM"</f>
        <v>12/18/2019 9:40:31 PM</v>
      </c>
      <c r="T567" t="str">
        <f>"15"</f>
        <v>15</v>
      </c>
      <c r="U567" t="str">
        <f t="shared" si="213"/>
        <v>N/A</v>
      </c>
      <c r="V567" t="str">
        <f>"9.3800"</f>
        <v>9.3800</v>
      </c>
    </row>
    <row r="568" spans="1:22" x14ac:dyDescent="0.25">
      <c r="A568" s="1" t="str">
        <f t="shared" si="208"/>
        <v>2586-</v>
      </c>
      <c r="B568" s="1" t="str">
        <f t="shared" si="214"/>
        <v>2586-</v>
      </c>
      <c r="C568" s="1" t="str">
        <f>VLOOKUP(B568,'Master truck list'!D:E,2,0)</f>
        <v>2586-20</v>
      </c>
      <c r="D568" s="1" t="str">
        <f>VLOOKUP(C568,'Master truck list'!E:F,2,0)</f>
        <v>ACTIVE</v>
      </c>
      <c r="E568" s="1" t="str">
        <f>VLOOKUP(C568,'Master truck list'!E:M,9,0)</f>
        <v>CHARGER LOGISTICS USA INC</v>
      </c>
      <c r="F568" s="1" t="str">
        <f>VLOOKUP(C568,'Master truck list'!E:G,3,0)</f>
        <v>Company</v>
      </c>
      <c r="G568" s="1">
        <f>VLOOKUP(C568,'Master truck list'!E:R,14,0)</f>
        <v>2595</v>
      </c>
      <c r="H568" t="str">
        <f t="shared" si="232"/>
        <v>12/20/2019 7:00:30 AM</v>
      </c>
      <c r="I568" t="str">
        <f>""</f>
        <v/>
      </c>
      <c r="J568" t="str">
        <f t="shared" si="209"/>
        <v>Elite</v>
      </c>
      <c r="K568" t="str">
        <f t="shared" si="220"/>
        <v>Device</v>
      </c>
      <c r="L568" t="str">
        <f t="shared" si="229"/>
        <v>777211303</v>
      </c>
      <c r="M568" t="str">
        <f t="shared" si="230"/>
        <v>16546425</v>
      </c>
      <c r="N568" t="str">
        <f t="shared" si="231"/>
        <v>2586-20</v>
      </c>
      <c r="O568" t="str">
        <f t="shared" si="210"/>
        <v>TEXAS</v>
      </c>
      <c r="P568" t="str">
        <f t="shared" si="211"/>
        <v>N A</v>
      </c>
      <c r="Q568" t="str">
        <f t="shared" si="212"/>
        <v>N/A</v>
      </c>
      <c r="R568" t="str">
        <f>"130 SH21E 01 4101"</f>
        <v>130 SH21E 01 4101</v>
      </c>
      <c r="S568" t="str">
        <f>"12/18/2019 10:01:35 PM"</f>
        <v>12/18/2019 10:01:35 PM</v>
      </c>
      <c r="T568" t="str">
        <f>"15"</f>
        <v>15</v>
      </c>
      <c r="U568" t="str">
        <f t="shared" si="213"/>
        <v>N/A</v>
      </c>
      <c r="V568" t="str">
        <f>"3.5400"</f>
        <v>3.5400</v>
      </c>
    </row>
    <row r="569" spans="1:22" x14ac:dyDescent="0.25">
      <c r="A569" s="1" t="str">
        <f t="shared" si="208"/>
        <v>2586-</v>
      </c>
      <c r="B569" s="1" t="str">
        <f t="shared" si="214"/>
        <v>2586-</v>
      </c>
      <c r="C569" s="1" t="str">
        <f>VLOOKUP(B569,'Master truck list'!D:E,2,0)</f>
        <v>2586-20</v>
      </c>
      <c r="D569" s="1" t="str">
        <f>VLOOKUP(C569,'Master truck list'!E:F,2,0)</f>
        <v>ACTIVE</v>
      </c>
      <c r="E569" s="1" t="str">
        <f>VLOOKUP(C569,'Master truck list'!E:M,9,0)</f>
        <v>CHARGER LOGISTICS USA INC</v>
      </c>
      <c r="F569" s="1" t="str">
        <f>VLOOKUP(C569,'Master truck list'!E:G,3,0)</f>
        <v>Company</v>
      </c>
      <c r="G569" s="1">
        <f>VLOOKUP(C569,'Master truck list'!E:R,14,0)</f>
        <v>2595</v>
      </c>
      <c r="H569" t="str">
        <f t="shared" si="232"/>
        <v>12/20/2019 7:00:30 AM</v>
      </c>
      <c r="I569" t="str">
        <f>""</f>
        <v/>
      </c>
      <c r="J569" t="str">
        <f t="shared" si="209"/>
        <v>Elite</v>
      </c>
      <c r="K569" t="str">
        <f t="shared" si="220"/>
        <v>Device</v>
      </c>
      <c r="L569" t="str">
        <f t="shared" si="229"/>
        <v>777211303</v>
      </c>
      <c r="M569" t="str">
        <f t="shared" si="230"/>
        <v>16546425</v>
      </c>
      <c r="N569" t="str">
        <f t="shared" si="231"/>
        <v>2586-20</v>
      </c>
      <c r="O569" t="str">
        <f t="shared" si="210"/>
        <v>TEXAS</v>
      </c>
      <c r="P569" t="str">
        <f t="shared" si="211"/>
        <v>N A</v>
      </c>
      <c r="Q569" t="str">
        <f t="shared" si="212"/>
        <v>N/A</v>
      </c>
      <c r="R569" t="str">
        <f>"130 ARPTP 09 308"</f>
        <v>130 ARPTP 09 308</v>
      </c>
      <c r="S569" t="str">
        <f>"12/18/2019 10:10:40 PM"</f>
        <v>12/18/2019 10:10:40 PM</v>
      </c>
      <c r="T569" t="str">
        <f t="shared" ref="T569:T610" si="233">"5"</f>
        <v>5</v>
      </c>
      <c r="U569" t="str">
        <f t="shared" si="213"/>
        <v>N/A</v>
      </c>
      <c r="V569" t="str">
        <f t="shared" ref="V569:V574" si="234">"5.5500"</f>
        <v>5.5500</v>
      </c>
    </row>
    <row r="570" spans="1:22" x14ac:dyDescent="0.25">
      <c r="A570" s="1" t="str">
        <f t="shared" si="208"/>
        <v>2586-</v>
      </c>
      <c r="B570" s="1" t="str">
        <f t="shared" si="214"/>
        <v>2586-</v>
      </c>
      <c r="C570" s="1" t="str">
        <f>VLOOKUP(B570,'Master truck list'!D:E,2,0)</f>
        <v>2586-20</v>
      </c>
      <c r="D570" s="1" t="str">
        <f>VLOOKUP(C570,'Master truck list'!E:F,2,0)</f>
        <v>ACTIVE</v>
      </c>
      <c r="E570" s="1" t="str">
        <f>VLOOKUP(C570,'Master truck list'!E:M,9,0)</f>
        <v>CHARGER LOGISTICS USA INC</v>
      </c>
      <c r="F570" s="1" t="str">
        <f>VLOOKUP(C570,'Master truck list'!E:G,3,0)</f>
        <v>Company</v>
      </c>
      <c r="G570" s="1">
        <f>VLOOKUP(C570,'Master truck list'!E:R,14,0)</f>
        <v>2595</v>
      </c>
      <c r="H570" t="str">
        <f>"12/19/2019 7:00:35 AM"</f>
        <v>12/19/2019 7:00:35 AM</v>
      </c>
      <c r="I570" t="str">
        <f>""</f>
        <v/>
      </c>
      <c r="J570" t="str">
        <f t="shared" si="209"/>
        <v>Elite</v>
      </c>
      <c r="K570" t="str">
        <f t="shared" si="220"/>
        <v>Device</v>
      </c>
      <c r="L570" t="str">
        <f t="shared" si="229"/>
        <v>777211303</v>
      </c>
      <c r="M570" t="str">
        <f t="shared" si="230"/>
        <v>16546425</v>
      </c>
      <c r="N570" t="str">
        <f t="shared" si="231"/>
        <v>2586-20</v>
      </c>
      <c r="O570" t="str">
        <f t="shared" si="210"/>
        <v>TEXAS</v>
      </c>
      <c r="P570" t="str">
        <f t="shared" si="211"/>
        <v>N A</v>
      </c>
      <c r="Q570" t="str">
        <f t="shared" si="212"/>
        <v>N/A</v>
      </c>
      <c r="R570" t="str">
        <f>"130 CMRNP 08 306"</f>
        <v>130 CMRNP 08 306</v>
      </c>
      <c r="S570" t="str">
        <f>"12/18/2019 1:33:11 PM"</f>
        <v>12/18/2019 1:33:11 PM</v>
      </c>
      <c r="T570" t="str">
        <f t="shared" si="233"/>
        <v>5</v>
      </c>
      <c r="U570" t="str">
        <f t="shared" si="213"/>
        <v>N/A</v>
      </c>
      <c r="V570" t="str">
        <f t="shared" si="234"/>
        <v>5.5500</v>
      </c>
    </row>
    <row r="571" spans="1:22" x14ac:dyDescent="0.25">
      <c r="A571" s="1" t="str">
        <f t="shared" si="208"/>
        <v>2586-</v>
      </c>
      <c r="B571" s="1" t="str">
        <f t="shared" si="214"/>
        <v>2586-</v>
      </c>
      <c r="C571" s="1" t="str">
        <f>VLOOKUP(B571,'Master truck list'!D:E,2,0)</f>
        <v>2586-20</v>
      </c>
      <c r="D571" s="1" t="str">
        <f>VLOOKUP(C571,'Master truck list'!E:F,2,0)</f>
        <v>ACTIVE</v>
      </c>
      <c r="E571" s="1" t="str">
        <f>VLOOKUP(C571,'Master truck list'!E:M,9,0)</f>
        <v>CHARGER LOGISTICS USA INC</v>
      </c>
      <c r="F571" s="1" t="str">
        <f>VLOOKUP(C571,'Master truck list'!E:G,3,0)</f>
        <v>Company</v>
      </c>
      <c r="G571" s="1">
        <f>VLOOKUP(C571,'Master truck list'!E:R,14,0)</f>
        <v>2595</v>
      </c>
      <c r="H571" t="str">
        <f>"12/19/2019 7:00:35 AM"</f>
        <v>12/19/2019 7:00:35 AM</v>
      </c>
      <c r="I571" t="str">
        <f>""</f>
        <v/>
      </c>
      <c r="J571" t="str">
        <f t="shared" si="209"/>
        <v>Elite</v>
      </c>
      <c r="K571" t="str">
        <f t="shared" si="220"/>
        <v>Device</v>
      </c>
      <c r="L571" t="str">
        <f t="shared" si="229"/>
        <v>777211303</v>
      </c>
      <c r="M571" t="str">
        <f t="shared" si="230"/>
        <v>16546425</v>
      </c>
      <c r="N571" t="str">
        <f t="shared" si="231"/>
        <v>2586-20</v>
      </c>
      <c r="O571" t="str">
        <f t="shared" si="210"/>
        <v>TEXAS</v>
      </c>
      <c r="P571" t="str">
        <f t="shared" si="211"/>
        <v>N A</v>
      </c>
      <c r="Q571" t="str">
        <f t="shared" si="212"/>
        <v>N/A</v>
      </c>
      <c r="R571" t="str">
        <f>"130 ARPTP 04 308"</f>
        <v>130 ARPTP 04 308</v>
      </c>
      <c r="S571" t="str">
        <f>"12/18/2019 1:50:09 PM"</f>
        <v>12/18/2019 1:50:09 PM</v>
      </c>
      <c r="T571" t="str">
        <f t="shared" si="233"/>
        <v>5</v>
      </c>
      <c r="U571" t="str">
        <f t="shared" si="213"/>
        <v>N/A</v>
      </c>
      <c r="V571" t="str">
        <f t="shared" si="234"/>
        <v>5.5500</v>
      </c>
    </row>
    <row r="572" spans="1:22" x14ac:dyDescent="0.25">
      <c r="A572" s="1" t="str">
        <f t="shared" si="208"/>
        <v>2584-</v>
      </c>
      <c r="B572" s="1" t="str">
        <f t="shared" si="214"/>
        <v>2584-</v>
      </c>
      <c r="C572" s="1" t="str">
        <f>VLOOKUP(B572,'Master truck list'!D:E,2,0)</f>
        <v>2584-20</v>
      </c>
      <c r="D572" s="1" t="str">
        <f>VLOOKUP(C572,'Master truck list'!E:F,2,0)</f>
        <v>ACTIVE</v>
      </c>
      <c r="E572" s="1" t="str">
        <f>VLOOKUP(C572,'Master truck list'!E:M,9,0)</f>
        <v>CHARGER LOGISTICS USA INC</v>
      </c>
      <c r="F572" s="1" t="str">
        <f>VLOOKUP(C572,'Master truck list'!E:G,3,0)</f>
        <v>Company</v>
      </c>
      <c r="G572" s="1">
        <f>VLOOKUP(C572,'Master truck list'!E:R,14,0)</f>
        <v>2593</v>
      </c>
      <c r="H572" t="str">
        <f>"12/19/2019 7:00:35 AM"</f>
        <v>12/19/2019 7:00:35 AM</v>
      </c>
      <c r="I572" t="str">
        <f>""</f>
        <v/>
      </c>
      <c r="J572" t="str">
        <f t="shared" si="209"/>
        <v>Elite</v>
      </c>
      <c r="K572" t="str">
        <f t="shared" si="220"/>
        <v>Device</v>
      </c>
      <c r="L572" t="str">
        <f t="shared" ref="L572:L581" si="235">"777211600"</f>
        <v>777211600</v>
      </c>
      <c r="M572" t="str">
        <f t="shared" ref="M572:M581" si="236">"16546722"</f>
        <v>16546722</v>
      </c>
      <c r="N572" t="str">
        <f t="shared" ref="N572:N581" si="237">"2584-20"</f>
        <v>2584-20</v>
      </c>
      <c r="O572" t="str">
        <f t="shared" si="210"/>
        <v>TEXAS</v>
      </c>
      <c r="P572" t="str">
        <f t="shared" si="211"/>
        <v>N A</v>
      </c>
      <c r="Q572" t="str">
        <f t="shared" si="212"/>
        <v>N/A</v>
      </c>
      <c r="R572" t="str">
        <f>"130 ARPTP 04 308"</f>
        <v>130 ARPTP 04 308</v>
      </c>
      <c r="S572" t="str">
        <f>"12/18/2019 9:40:36 PM"</f>
        <v>12/18/2019 9:40:36 PM</v>
      </c>
      <c r="T572" t="str">
        <f t="shared" si="233"/>
        <v>5</v>
      </c>
      <c r="U572" t="str">
        <f t="shared" si="213"/>
        <v>N/A</v>
      </c>
      <c r="V572" t="str">
        <f t="shared" si="234"/>
        <v>5.5500</v>
      </c>
    </row>
    <row r="573" spans="1:22" x14ac:dyDescent="0.25">
      <c r="A573" s="1" t="str">
        <f t="shared" si="208"/>
        <v>2584-</v>
      </c>
      <c r="B573" s="1" t="str">
        <f t="shared" si="214"/>
        <v>2584-</v>
      </c>
      <c r="C573" s="1" t="str">
        <f>VLOOKUP(B573,'Master truck list'!D:E,2,0)</f>
        <v>2584-20</v>
      </c>
      <c r="D573" s="1" t="str">
        <f>VLOOKUP(C573,'Master truck list'!E:F,2,0)</f>
        <v>ACTIVE</v>
      </c>
      <c r="E573" s="1" t="str">
        <f>VLOOKUP(C573,'Master truck list'!E:M,9,0)</f>
        <v>CHARGER LOGISTICS USA INC</v>
      </c>
      <c r="F573" s="1" t="str">
        <f>VLOOKUP(C573,'Master truck list'!E:G,3,0)</f>
        <v>Company</v>
      </c>
      <c r="G573" s="1">
        <f>VLOOKUP(C573,'Master truck list'!E:R,14,0)</f>
        <v>2593</v>
      </c>
      <c r="H573" t="str">
        <f>"12/19/2019 7:00:35 AM"</f>
        <v>12/19/2019 7:00:35 AM</v>
      </c>
      <c r="I573" t="str">
        <f>""</f>
        <v/>
      </c>
      <c r="J573" t="str">
        <f t="shared" si="209"/>
        <v>Elite</v>
      </c>
      <c r="K573" t="str">
        <f t="shared" si="220"/>
        <v>Device</v>
      </c>
      <c r="L573" t="str">
        <f t="shared" si="235"/>
        <v>777211600</v>
      </c>
      <c r="M573" t="str">
        <f t="shared" si="236"/>
        <v>16546722</v>
      </c>
      <c r="N573" t="str">
        <f t="shared" si="237"/>
        <v>2584-20</v>
      </c>
      <c r="O573" t="str">
        <f t="shared" si="210"/>
        <v>TEXAS</v>
      </c>
      <c r="P573" t="str">
        <f t="shared" si="211"/>
        <v>N A</v>
      </c>
      <c r="Q573" t="str">
        <f t="shared" si="212"/>
        <v>N/A</v>
      </c>
      <c r="R573" t="str">
        <f>"130 CMRNP 08 306"</f>
        <v>130 CMRNP 08 306</v>
      </c>
      <c r="S573" t="str">
        <f>"12/18/2019 9:23:41 PM"</f>
        <v>12/18/2019 9:23:41 PM</v>
      </c>
      <c r="T573" t="str">
        <f t="shared" si="233"/>
        <v>5</v>
      </c>
      <c r="U573" t="str">
        <f t="shared" si="213"/>
        <v>N/A</v>
      </c>
      <c r="V573" t="str">
        <f t="shared" si="234"/>
        <v>5.5500</v>
      </c>
    </row>
    <row r="574" spans="1:22" x14ac:dyDescent="0.25">
      <c r="A574" s="1" t="str">
        <f t="shared" si="208"/>
        <v>2584-</v>
      </c>
      <c r="B574" s="1" t="str">
        <f t="shared" si="214"/>
        <v>2584-</v>
      </c>
      <c r="C574" s="1" t="str">
        <f>VLOOKUP(B574,'Master truck list'!D:E,2,0)</f>
        <v>2584-20</v>
      </c>
      <c r="D574" s="1" t="str">
        <f>VLOOKUP(C574,'Master truck list'!E:F,2,0)</f>
        <v>ACTIVE</v>
      </c>
      <c r="E574" s="1" t="str">
        <f>VLOOKUP(C574,'Master truck list'!E:M,9,0)</f>
        <v>CHARGER LOGISTICS USA INC</v>
      </c>
      <c r="F574" s="1" t="str">
        <f>VLOOKUP(C574,'Master truck list'!E:G,3,0)</f>
        <v>Company</v>
      </c>
      <c r="G574" s="1">
        <f>VLOOKUP(C574,'Master truck list'!E:R,14,0)</f>
        <v>2593</v>
      </c>
      <c r="H574" t="str">
        <f>"12/19/2019 7:00:35 AM"</f>
        <v>12/19/2019 7:00:35 AM</v>
      </c>
      <c r="I574" t="str">
        <f>""</f>
        <v/>
      </c>
      <c r="J574" t="str">
        <f t="shared" si="209"/>
        <v>Elite</v>
      </c>
      <c r="K574" t="str">
        <f t="shared" si="220"/>
        <v>Device</v>
      </c>
      <c r="L574" t="str">
        <f t="shared" si="235"/>
        <v>777211600</v>
      </c>
      <c r="M574" t="str">
        <f t="shared" si="236"/>
        <v>16546722</v>
      </c>
      <c r="N574" t="str">
        <f t="shared" si="237"/>
        <v>2584-20</v>
      </c>
      <c r="O574" t="str">
        <f t="shared" si="210"/>
        <v>TEXAS</v>
      </c>
      <c r="P574" t="str">
        <f t="shared" si="211"/>
        <v>N A</v>
      </c>
      <c r="Q574" t="str">
        <f t="shared" si="212"/>
        <v>N/A</v>
      </c>
      <c r="R574" t="str">
        <f>"130 DKCRP 06 307"</f>
        <v>130 DKCRP 06 307</v>
      </c>
      <c r="S574" t="str">
        <f>"12/18/2019 9:33:40 PM"</f>
        <v>12/18/2019 9:33:40 PM</v>
      </c>
      <c r="T574" t="str">
        <f t="shared" si="233"/>
        <v>5</v>
      </c>
      <c r="U574" t="str">
        <f t="shared" si="213"/>
        <v>N/A</v>
      </c>
      <c r="V574" t="str">
        <f t="shared" si="234"/>
        <v>5.5500</v>
      </c>
    </row>
    <row r="575" spans="1:22" x14ac:dyDescent="0.25">
      <c r="A575" s="1" t="str">
        <f t="shared" si="208"/>
        <v>2584-</v>
      </c>
      <c r="B575" s="1" t="str">
        <f t="shared" si="214"/>
        <v>2584-</v>
      </c>
      <c r="C575" s="1" t="str">
        <f>VLOOKUP(B575,'Master truck list'!D:E,2,0)</f>
        <v>2584-20</v>
      </c>
      <c r="D575" s="1" t="str">
        <f>VLOOKUP(C575,'Master truck list'!E:F,2,0)</f>
        <v>ACTIVE</v>
      </c>
      <c r="E575" s="1" t="str">
        <f>VLOOKUP(C575,'Master truck list'!E:M,9,0)</f>
        <v>CHARGER LOGISTICS USA INC</v>
      </c>
      <c r="F575" s="1" t="str">
        <f>VLOOKUP(C575,'Master truck list'!E:G,3,0)</f>
        <v>Company</v>
      </c>
      <c r="G575" s="1">
        <f>VLOOKUP(C575,'Master truck list'!E:R,14,0)</f>
        <v>2593</v>
      </c>
      <c r="H575" t="str">
        <f>"12/20/2019 7:00:30 AM"</f>
        <v>12/20/2019 7:00:30 AM</v>
      </c>
      <c r="I575" t="str">
        <f>""</f>
        <v/>
      </c>
      <c r="J575" t="str">
        <f t="shared" si="209"/>
        <v>Elite</v>
      </c>
      <c r="K575" t="str">
        <f t="shared" si="220"/>
        <v>Device</v>
      </c>
      <c r="L575" t="str">
        <f t="shared" si="235"/>
        <v>777211600</v>
      </c>
      <c r="M575" t="str">
        <f t="shared" si="236"/>
        <v>16546722</v>
      </c>
      <c r="N575" t="str">
        <f t="shared" si="237"/>
        <v>2584-20</v>
      </c>
      <c r="O575" t="str">
        <f t="shared" si="210"/>
        <v>TEXAS</v>
      </c>
      <c r="P575" t="str">
        <f t="shared" si="211"/>
        <v>N A</v>
      </c>
      <c r="Q575" t="str">
        <f t="shared" si="212"/>
        <v>N/A</v>
      </c>
      <c r="R575" t="str">
        <f>"45SE MLPWB 01 611"</f>
        <v>45SE MLPWB 01 611</v>
      </c>
      <c r="S575" t="str">
        <f>"12/18/2019 9:51:13 PM"</f>
        <v>12/18/2019 9:51:13 PM</v>
      </c>
      <c r="T575" t="str">
        <f t="shared" si="233"/>
        <v>5</v>
      </c>
      <c r="U575" t="str">
        <f t="shared" si="213"/>
        <v>N/A</v>
      </c>
      <c r="V575" t="str">
        <f>"3.3000"</f>
        <v>3.3000</v>
      </c>
    </row>
    <row r="576" spans="1:22" x14ac:dyDescent="0.25">
      <c r="A576" s="1" t="str">
        <f t="shared" si="208"/>
        <v>2584-</v>
      </c>
      <c r="B576" s="1" t="str">
        <f t="shared" si="214"/>
        <v>2584-</v>
      </c>
      <c r="C576" s="1" t="str">
        <f>VLOOKUP(B576,'Master truck list'!D:E,2,0)</f>
        <v>2584-20</v>
      </c>
      <c r="D576" s="1" t="str">
        <f>VLOOKUP(C576,'Master truck list'!E:F,2,0)</f>
        <v>ACTIVE</v>
      </c>
      <c r="E576" s="1" t="str">
        <f>VLOOKUP(C576,'Master truck list'!E:M,9,0)</f>
        <v>CHARGER LOGISTICS USA INC</v>
      </c>
      <c r="F576" s="1" t="str">
        <f>VLOOKUP(C576,'Master truck list'!E:G,3,0)</f>
        <v>Company</v>
      </c>
      <c r="G576" s="1">
        <f>VLOOKUP(C576,'Master truck list'!E:R,14,0)</f>
        <v>2593</v>
      </c>
      <c r="H576" t="str">
        <f>"12/20/2019 7:00:30 AM"</f>
        <v>12/20/2019 7:00:30 AM</v>
      </c>
      <c r="I576" t="str">
        <f>""</f>
        <v/>
      </c>
      <c r="J576" t="str">
        <f t="shared" si="209"/>
        <v>Elite</v>
      </c>
      <c r="K576" t="str">
        <f t="shared" si="220"/>
        <v>Device</v>
      </c>
      <c r="L576" t="str">
        <f t="shared" si="235"/>
        <v>777211600</v>
      </c>
      <c r="M576" t="str">
        <f t="shared" si="236"/>
        <v>16546722</v>
      </c>
      <c r="N576" t="str">
        <f t="shared" si="237"/>
        <v>2584-20</v>
      </c>
      <c r="O576" t="str">
        <f t="shared" si="210"/>
        <v>TEXAS</v>
      </c>
      <c r="P576" t="str">
        <f t="shared" si="211"/>
        <v>N A</v>
      </c>
      <c r="Q576" t="str">
        <f t="shared" si="212"/>
        <v>N/A</v>
      </c>
      <c r="R576" t="str">
        <f>"130 MGCRP 10 305"</f>
        <v>130 MGCRP 10 305</v>
      </c>
      <c r="S576" t="str">
        <f>"12/19/2019 4:45:07 PM"</f>
        <v>12/19/2019 4:45:07 PM</v>
      </c>
      <c r="T576" t="str">
        <f t="shared" si="233"/>
        <v>5</v>
      </c>
      <c r="U576" t="str">
        <f t="shared" si="213"/>
        <v>N/A</v>
      </c>
      <c r="V576" t="str">
        <f>"5.5500"</f>
        <v>5.5500</v>
      </c>
    </row>
    <row r="577" spans="1:22" x14ac:dyDescent="0.25">
      <c r="A577" s="1" t="str">
        <f t="shared" si="208"/>
        <v>2584-</v>
      </c>
      <c r="B577" s="1" t="str">
        <f t="shared" si="214"/>
        <v>2584-</v>
      </c>
      <c r="C577" s="1" t="str">
        <f>VLOOKUP(B577,'Master truck list'!D:E,2,0)</f>
        <v>2584-20</v>
      </c>
      <c r="D577" s="1" t="str">
        <f>VLOOKUP(C577,'Master truck list'!E:F,2,0)</f>
        <v>ACTIVE</v>
      </c>
      <c r="E577" s="1" t="str">
        <f>VLOOKUP(C577,'Master truck list'!E:M,9,0)</f>
        <v>CHARGER LOGISTICS USA INC</v>
      </c>
      <c r="F577" s="1" t="str">
        <f>VLOOKUP(C577,'Master truck list'!E:G,3,0)</f>
        <v>Company</v>
      </c>
      <c r="G577" s="1">
        <f>VLOOKUP(C577,'Master truck list'!E:R,14,0)</f>
        <v>2593</v>
      </c>
      <c r="H577" t="str">
        <f>"12/20/2019 7:00:30 AM"</f>
        <v>12/20/2019 7:00:30 AM</v>
      </c>
      <c r="I577" t="str">
        <f>""</f>
        <v/>
      </c>
      <c r="J577" t="str">
        <f t="shared" si="209"/>
        <v>Elite</v>
      </c>
      <c r="K577" t="str">
        <f t="shared" si="220"/>
        <v>Device</v>
      </c>
      <c r="L577" t="str">
        <f t="shared" si="235"/>
        <v>777211600</v>
      </c>
      <c r="M577" t="str">
        <f t="shared" si="236"/>
        <v>16546722</v>
      </c>
      <c r="N577" t="str">
        <f t="shared" si="237"/>
        <v>2584-20</v>
      </c>
      <c r="O577" t="str">
        <f t="shared" si="210"/>
        <v>TEXAS</v>
      </c>
      <c r="P577" t="str">
        <f t="shared" si="211"/>
        <v>N A</v>
      </c>
      <c r="Q577" t="str">
        <f t="shared" si="212"/>
        <v>N/A</v>
      </c>
      <c r="R577" t="str">
        <f>"130 DKCRP 10 307"</f>
        <v>130 DKCRP 10 307</v>
      </c>
      <c r="S577" t="str">
        <f>"12/19/2019 4:09:17 PM"</f>
        <v>12/19/2019 4:09:17 PM</v>
      </c>
      <c r="T577" t="str">
        <f t="shared" si="233"/>
        <v>5</v>
      </c>
      <c r="U577" t="str">
        <f t="shared" si="213"/>
        <v>N/A</v>
      </c>
      <c r="V577" t="str">
        <f>"5.5500"</f>
        <v>5.5500</v>
      </c>
    </row>
    <row r="578" spans="1:22" x14ac:dyDescent="0.25">
      <c r="A578" s="1" t="str">
        <f t="shared" ref="A578:A641" si="238">LEFT(N578,5)</f>
        <v>2584-</v>
      </c>
      <c r="B578" s="1" t="str">
        <f t="shared" si="214"/>
        <v>2584-</v>
      </c>
      <c r="C578" s="1" t="str">
        <f>VLOOKUP(B578,'Master truck list'!D:E,2,0)</f>
        <v>2584-20</v>
      </c>
      <c r="D578" s="1" t="str">
        <f>VLOOKUP(C578,'Master truck list'!E:F,2,0)</f>
        <v>ACTIVE</v>
      </c>
      <c r="E578" s="1" t="str">
        <f>VLOOKUP(C578,'Master truck list'!E:M,9,0)</f>
        <v>CHARGER LOGISTICS USA INC</v>
      </c>
      <c r="F578" s="1" t="str">
        <f>VLOOKUP(C578,'Master truck list'!E:G,3,0)</f>
        <v>Company</v>
      </c>
      <c r="G578" s="1">
        <f>VLOOKUP(C578,'Master truck list'!E:R,14,0)</f>
        <v>2593</v>
      </c>
      <c r="H578" t="str">
        <f>"12/20/2019 7:00:30 AM"</f>
        <v>12/20/2019 7:00:30 AM</v>
      </c>
      <c r="I578" t="str">
        <f>""</f>
        <v/>
      </c>
      <c r="J578" t="str">
        <f t="shared" ref="J578:J641" si="239">"Elite"</f>
        <v>Elite</v>
      </c>
      <c r="K578" t="str">
        <f t="shared" si="220"/>
        <v>Device</v>
      </c>
      <c r="L578" t="str">
        <f t="shared" si="235"/>
        <v>777211600</v>
      </c>
      <c r="M578" t="str">
        <f t="shared" si="236"/>
        <v>16546722</v>
      </c>
      <c r="N578" t="str">
        <f t="shared" si="237"/>
        <v>2584-20</v>
      </c>
      <c r="O578" t="str">
        <f t="shared" ref="O578:O641" si="240">"TEXAS"</f>
        <v>TEXAS</v>
      </c>
      <c r="P578" t="str">
        <f t="shared" ref="P578:P641" si="241">"N A"</f>
        <v>N A</v>
      </c>
      <c r="Q578" t="str">
        <f t="shared" ref="Q578:Q641" si="242">"N/A"</f>
        <v>N/A</v>
      </c>
      <c r="R578" t="str">
        <f>"130 ARPTP 09 308"</f>
        <v>130 ARPTP 09 308</v>
      </c>
      <c r="S578" t="str">
        <f>"12/19/2019 3:55:40 PM"</f>
        <v>12/19/2019 3:55:40 PM</v>
      </c>
      <c r="T578" t="str">
        <f t="shared" si="233"/>
        <v>5</v>
      </c>
      <c r="U578" t="str">
        <f t="shared" ref="U578:U641" si="243">"N/A"</f>
        <v>N/A</v>
      </c>
      <c r="V578" t="str">
        <f>"5.5500"</f>
        <v>5.5500</v>
      </c>
    </row>
    <row r="579" spans="1:22" x14ac:dyDescent="0.25">
      <c r="A579" s="1" t="str">
        <f t="shared" si="238"/>
        <v>2584-</v>
      </c>
      <c r="B579" s="1" t="str">
        <f t="shared" ref="B579:B642" si="244">SUBSTITUTE(A579," ","")</f>
        <v>2584-</v>
      </c>
      <c r="C579" s="1" t="str">
        <f>VLOOKUP(B579,'Master truck list'!D:E,2,0)</f>
        <v>2584-20</v>
      </c>
      <c r="D579" s="1" t="str">
        <f>VLOOKUP(C579,'Master truck list'!E:F,2,0)</f>
        <v>ACTIVE</v>
      </c>
      <c r="E579" s="1" t="str">
        <f>VLOOKUP(C579,'Master truck list'!E:M,9,0)</f>
        <v>CHARGER LOGISTICS USA INC</v>
      </c>
      <c r="F579" s="1" t="str">
        <f>VLOOKUP(C579,'Master truck list'!E:G,3,0)</f>
        <v>Company</v>
      </c>
      <c r="G579" s="1">
        <f>VLOOKUP(C579,'Master truck list'!E:R,14,0)</f>
        <v>2593</v>
      </c>
      <c r="H579" t="str">
        <f>"12/19/2019 7:00:35 AM"</f>
        <v>12/19/2019 7:00:35 AM</v>
      </c>
      <c r="I579" t="str">
        <f>""</f>
        <v/>
      </c>
      <c r="J579" t="str">
        <f t="shared" si="239"/>
        <v>Elite</v>
      </c>
      <c r="K579" t="str">
        <f t="shared" si="220"/>
        <v>Device</v>
      </c>
      <c r="L579" t="str">
        <f t="shared" si="235"/>
        <v>777211600</v>
      </c>
      <c r="M579" t="str">
        <f t="shared" si="236"/>
        <v>16546722</v>
      </c>
      <c r="N579" t="str">
        <f t="shared" si="237"/>
        <v>2584-20</v>
      </c>
      <c r="O579" t="str">
        <f t="shared" si="240"/>
        <v>TEXAS</v>
      </c>
      <c r="P579" t="str">
        <f t="shared" si="241"/>
        <v>N A</v>
      </c>
      <c r="Q579" t="str">
        <f t="shared" si="242"/>
        <v>N/A</v>
      </c>
      <c r="R579" t="str">
        <f>"130 MGCRP 06 305"</f>
        <v>130 MGCRP 06 305</v>
      </c>
      <c r="S579" t="str">
        <f>"12/18/2019 9:12:42 PM"</f>
        <v>12/18/2019 9:12:42 PM</v>
      </c>
      <c r="T579" t="str">
        <f t="shared" si="233"/>
        <v>5</v>
      </c>
      <c r="U579" t="str">
        <f t="shared" si="243"/>
        <v>N/A</v>
      </c>
      <c r="V579" t="str">
        <f>"5.5500"</f>
        <v>5.5500</v>
      </c>
    </row>
    <row r="580" spans="1:22" x14ac:dyDescent="0.25">
      <c r="A580" s="1" t="str">
        <f t="shared" si="238"/>
        <v>2584-</v>
      </c>
      <c r="B580" s="1" t="str">
        <f t="shared" si="244"/>
        <v>2584-</v>
      </c>
      <c r="C580" s="1" t="str">
        <f>VLOOKUP(B580,'Master truck list'!D:E,2,0)</f>
        <v>2584-20</v>
      </c>
      <c r="D580" s="1" t="str">
        <f>VLOOKUP(C580,'Master truck list'!E:F,2,0)</f>
        <v>ACTIVE</v>
      </c>
      <c r="E580" s="1" t="str">
        <f>VLOOKUP(C580,'Master truck list'!E:M,9,0)</f>
        <v>CHARGER LOGISTICS USA INC</v>
      </c>
      <c r="F580" s="1" t="str">
        <f>VLOOKUP(C580,'Master truck list'!E:G,3,0)</f>
        <v>Company</v>
      </c>
      <c r="G580" s="1">
        <f>VLOOKUP(C580,'Master truck list'!E:R,14,0)</f>
        <v>2593</v>
      </c>
      <c r="H580" t="str">
        <f>"12/20/2019 7:00:30 AM"</f>
        <v>12/20/2019 7:00:30 AM</v>
      </c>
      <c r="I580" t="str">
        <f>""</f>
        <v/>
      </c>
      <c r="J580" t="str">
        <f t="shared" si="239"/>
        <v>Elite</v>
      </c>
      <c r="K580" t="str">
        <f t="shared" si="220"/>
        <v>Device</v>
      </c>
      <c r="L580" t="str">
        <f t="shared" si="235"/>
        <v>777211600</v>
      </c>
      <c r="M580" t="str">
        <f t="shared" si="236"/>
        <v>16546722</v>
      </c>
      <c r="N580" t="str">
        <f t="shared" si="237"/>
        <v>2584-20</v>
      </c>
      <c r="O580" t="str">
        <f t="shared" si="240"/>
        <v>TEXAS</v>
      </c>
      <c r="P580" t="str">
        <f t="shared" si="241"/>
        <v>N A</v>
      </c>
      <c r="Q580" t="str">
        <f t="shared" si="242"/>
        <v>N/A</v>
      </c>
      <c r="R580" t="str">
        <f>"45SE MLPEB 02 611"</f>
        <v>45SE MLPEB 02 611</v>
      </c>
      <c r="S580" t="str">
        <f>"12/19/2019 3:45:06 PM"</f>
        <v>12/19/2019 3:45:06 PM</v>
      </c>
      <c r="T580" t="str">
        <f t="shared" si="233"/>
        <v>5</v>
      </c>
      <c r="U580" t="str">
        <f t="shared" si="243"/>
        <v>N/A</v>
      </c>
      <c r="V580" t="str">
        <f>"3.3000"</f>
        <v>3.3000</v>
      </c>
    </row>
    <row r="581" spans="1:22" x14ac:dyDescent="0.25">
      <c r="A581" s="1" t="str">
        <f t="shared" si="238"/>
        <v>2584-</v>
      </c>
      <c r="B581" s="1" t="str">
        <f t="shared" si="244"/>
        <v>2584-</v>
      </c>
      <c r="C581" s="1" t="str">
        <f>VLOOKUP(B581,'Master truck list'!D:E,2,0)</f>
        <v>2584-20</v>
      </c>
      <c r="D581" s="1" t="str">
        <f>VLOOKUP(C581,'Master truck list'!E:F,2,0)</f>
        <v>ACTIVE</v>
      </c>
      <c r="E581" s="1" t="str">
        <f>VLOOKUP(C581,'Master truck list'!E:M,9,0)</f>
        <v>CHARGER LOGISTICS USA INC</v>
      </c>
      <c r="F581" s="1" t="str">
        <f>VLOOKUP(C581,'Master truck list'!E:G,3,0)</f>
        <v>Company</v>
      </c>
      <c r="G581" s="1">
        <f>VLOOKUP(C581,'Master truck list'!E:R,14,0)</f>
        <v>2593</v>
      </c>
      <c r="H581" t="str">
        <f>"12/20/2019 7:00:30 AM"</f>
        <v>12/20/2019 7:00:30 AM</v>
      </c>
      <c r="I581" t="str">
        <f>""</f>
        <v/>
      </c>
      <c r="J581" t="str">
        <f t="shared" si="239"/>
        <v>Elite</v>
      </c>
      <c r="K581" t="str">
        <f t="shared" si="220"/>
        <v>Device</v>
      </c>
      <c r="L581" t="str">
        <f t="shared" si="235"/>
        <v>777211600</v>
      </c>
      <c r="M581" t="str">
        <f t="shared" si="236"/>
        <v>16546722</v>
      </c>
      <c r="N581" t="str">
        <f t="shared" si="237"/>
        <v>2584-20</v>
      </c>
      <c r="O581" t="str">
        <f t="shared" si="240"/>
        <v>TEXAS</v>
      </c>
      <c r="P581" t="str">
        <f t="shared" si="241"/>
        <v>N A</v>
      </c>
      <c r="Q581" t="str">
        <f t="shared" si="242"/>
        <v>N/A</v>
      </c>
      <c r="R581" t="str">
        <f>"130 CMRNP 12 306"</f>
        <v>130 CMRNP 12 306</v>
      </c>
      <c r="S581" t="str">
        <f>"12/19/2019 4:33:37 PM"</f>
        <v>12/19/2019 4:33:37 PM</v>
      </c>
      <c r="T581" t="str">
        <f t="shared" si="233"/>
        <v>5</v>
      </c>
      <c r="U581" t="str">
        <f t="shared" si="243"/>
        <v>N/A</v>
      </c>
      <c r="V581" t="str">
        <f>"5.5500"</f>
        <v>5.5500</v>
      </c>
    </row>
    <row r="582" spans="1:22" x14ac:dyDescent="0.25">
      <c r="A582" s="1" t="str">
        <f t="shared" si="238"/>
        <v>2585-</v>
      </c>
      <c r="B582" s="1" t="str">
        <f t="shared" si="244"/>
        <v>2585-</v>
      </c>
      <c r="C582" s="1" t="str">
        <f>VLOOKUP(B582,'Master truck list'!D:E,2,0)</f>
        <v>2585-20</v>
      </c>
      <c r="D582" s="1" t="str">
        <f>VLOOKUP(C582,'Master truck list'!E:F,2,0)</f>
        <v>ACTIVE</v>
      </c>
      <c r="E582" s="1" t="str">
        <f>VLOOKUP(C582,'Master truck list'!E:M,9,0)</f>
        <v>CHARGER LOGISTICS USA INC</v>
      </c>
      <c r="F582" s="1" t="str">
        <f>VLOOKUP(C582,'Master truck list'!E:G,3,0)</f>
        <v>Company</v>
      </c>
      <c r="G582" s="1">
        <f>VLOOKUP(C582,'Master truck list'!E:R,14,0)</f>
        <v>2594</v>
      </c>
      <c r="H582" t="str">
        <f>"12/19/2019 7:00:35 AM"</f>
        <v>12/19/2019 7:00:35 AM</v>
      </c>
      <c r="I582" t="str">
        <f>""</f>
        <v/>
      </c>
      <c r="J582" t="str">
        <f t="shared" si="239"/>
        <v>Elite</v>
      </c>
      <c r="K582" t="str">
        <f t="shared" si="220"/>
        <v>Device</v>
      </c>
      <c r="L582" t="str">
        <f>"777211358"</f>
        <v>777211358</v>
      </c>
      <c r="M582" t="str">
        <f>"16546480"</f>
        <v>16546480</v>
      </c>
      <c r="N582" t="str">
        <f>"2585-20"</f>
        <v>2585-20</v>
      </c>
      <c r="O582" t="str">
        <f t="shared" si="240"/>
        <v>TEXAS</v>
      </c>
      <c r="P582" t="str">
        <f t="shared" si="241"/>
        <v>N A</v>
      </c>
      <c r="Q582" t="str">
        <f t="shared" si="242"/>
        <v>N/A</v>
      </c>
      <c r="R582" t="str">
        <f>"45SE MLPWB 01 611"</f>
        <v>45SE MLPWB 01 611</v>
      </c>
      <c r="S582" t="str">
        <f>"12/18/2019 2:55:58 PM"</f>
        <v>12/18/2019 2:55:58 PM</v>
      </c>
      <c r="T582" t="str">
        <f t="shared" si="233"/>
        <v>5</v>
      </c>
      <c r="U582" t="str">
        <f t="shared" si="243"/>
        <v>N/A</v>
      </c>
      <c r="V582" t="str">
        <f>"3.3000"</f>
        <v>3.3000</v>
      </c>
    </row>
    <row r="583" spans="1:22" x14ac:dyDescent="0.25">
      <c r="A583" s="1" t="str">
        <f t="shared" si="238"/>
        <v>2585-</v>
      </c>
      <c r="B583" s="1" t="str">
        <f t="shared" si="244"/>
        <v>2585-</v>
      </c>
      <c r="C583" s="1" t="str">
        <f>VLOOKUP(B583,'Master truck list'!D:E,2,0)</f>
        <v>2585-20</v>
      </c>
      <c r="D583" s="1" t="str">
        <f>VLOOKUP(C583,'Master truck list'!E:F,2,0)</f>
        <v>ACTIVE</v>
      </c>
      <c r="E583" s="1" t="str">
        <f>VLOOKUP(C583,'Master truck list'!E:M,9,0)</f>
        <v>CHARGER LOGISTICS USA INC</v>
      </c>
      <c r="F583" s="1" t="str">
        <f>VLOOKUP(C583,'Master truck list'!E:G,3,0)</f>
        <v>Company</v>
      </c>
      <c r="G583" s="1">
        <f>VLOOKUP(C583,'Master truck list'!E:R,14,0)</f>
        <v>2594</v>
      </c>
      <c r="H583" t="str">
        <f>"12/19/2019 7:00:35 AM"</f>
        <v>12/19/2019 7:00:35 AM</v>
      </c>
      <c r="I583" t="str">
        <f>""</f>
        <v/>
      </c>
      <c r="J583" t="str">
        <f t="shared" si="239"/>
        <v>Elite</v>
      </c>
      <c r="K583" t="str">
        <f t="shared" si="220"/>
        <v>Device</v>
      </c>
      <c r="L583" t="str">
        <f>"777211358"</f>
        <v>777211358</v>
      </c>
      <c r="M583" t="str">
        <f>"16546480"</f>
        <v>16546480</v>
      </c>
      <c r="N583" t="str">
        <f>"2585-20"</f>
        <v>2585-20</v>
      </c>
      <c r="O583" t="str">
        <f t="shared" si="240"/>
        <v>TEXAS</v>
      </c>
      <c r="P583" t="str">
        <f t="shared" si="241"/>
        <v>N A</v>
      </c>
      <c r="Q583" t="str">
        <f t="shared" si="242"/>
        <v>N/A</v>
      </c>
      <c r="R583" t="str">
        <f>"130 CMRNP 08 306"</f>
        <v>130 CMRNP 08 306</v>
      </c>
      <c r="S583" t="str">
        <f>"12/18/2019 2:28:22 PM"</f>
        <v>12/18/2019 2:28:22 PM</v>
      </c>
      <c r="T583" t="str">
        <f t="shared" si="233"/>
        <v>5</v>
      </c>
      <c r="U583" t="str">
        <f t="shared" si="243"/>
        <v>N/A</v>
      </c>
      <c r="V583" t="str">
        <f t="shared" ref="V583:V588" si="245">"5.5500"</f>
        <v>5.5500</v>
      </c>
    </row>
    <row r="584" spans="1:22" x14ac:dyDescent="0.25">
      <c r="A584" s="1" t="str">
        <f t="shared" si="238"/>
        <v>2585-</v>
      </c>
      <c r="B584" s="1" t="str">
        <f t="shared" si="244"/>
        <v>2585-</v>
      </c>
      <c r="C584" s="1" t="str">
        <f>VLOOKUP(B584,'Master truck list'!D:E,2,0)</f>
        <v>2585-20</v>
      </c>
      <c r="D584" s="1" t="str">
        <f>VLOOKUP(C584,'Master truck list'!E:F,2,0)</f>
        <v>ACTIVE</v>
      </c>
      <c r="E584" s="1" t="str">
        <f>VLOOKUP(C584,'Master truck list'!E:M,9,0)</f>
        <v>CHARGER LOGISTICS USA INC</v>
      </c>
      <c r="F584" s="1" t="str">
        <f>VLOOKUP(C584,'Master truck list'!E:G,3,0)</f>
        <v>Company</v>
      </c>
      <c r="G584" s="1">
        <f>VLOOKUP(C584,'Master truck list'!E:R,14,0)</f>
        <v>2594</v>
      </c>
      <c r="H584" t="str">
        <f>"12/19/2019 7:00:35 AM"</f>
        <v>12/19/2019 7:00:35 AM</v>
      </c>
      <c r="I584" t="str">
        <f>""</f>
        <v/>
      </c>
      <c r="J584" t="str">
        <f t="shared" si="239"/>
        <v>Elite</v>
      </c>
      <c r="K584" t="str">
        <f t="shared" si="220"/>
        <v>Device</v>
      </c>
      <c r="L584" t="str">
        <f>"777211358"</f>
        <v>777211358</v>
      </c>
      <c r="M584" t="str">
        <f>"16546480"</f>
        <v>16546480</v>
      </c>
      <c r="N584" t="str">
        <f>"2585-20"</f>
        <v>2585-20</v>
      </c>
      <c r="O584" t="str">
        <f t="shared" si="240"/>
        <v>TEXAS</v>
      </c>
      <c r="P584" t="str">
        <f t="shared" si="241"/>
        <v>N A</v>
      </c>
      <c r="Q584" t="str">
        <f t="shared" si="242"/>
        <v>N/A</v>
      </c>
      <c r="R584" t="str">
        <f>"130 MGCRP 06 305"</f>
        <v>130 MGCRP 06 305</v>
      </c>
      <c r="S584" t="str">
        <f>"12/18/2019 2:17:22 PM"</f>
        <v>12/18/2019 2:17:22 PM</v>
      </c>
      <c r="T584" t="str">
        <f t="shared" si="233"/>
        <v>5</v>
      </c>
      <c r="U584" t="str">
        <f t="shared" si="243"/>
        <v>N/A</v>
      </c>
      <c r="V584" t="str">
        <f t="shared" si="245"/>
        <v>5.5500</v>
      </c>
    </row>
    <row r="585" spans="1:22" x14ac:dyDescent="0.25">
      <c r="A585" s="1" t="str">
        <f t="shared" si="238"/>
        <v>2585-</v>
      </c>
      <c r="B585" s="1" t="str">
        <f t="shared" si="244"/>
        <v>2585-</v>
      </c>
      <c r="C585" s="1" t="str">
        <f>VLOOKUP(B585,'Master truck list'!D:E,2,0)</f>
        <v>2585-20</v>
      </c>
      <c r="D585" s="1" t="str">
        <f>VLOOKUP(C585,'Master truck list'!E:F,2,0)</f>
        <v>ACTIVE</v>
      </c>
      <c r="E585" s="1" t="str">
        <f>VLOOKUP(C585,'Master truck list'!E:M,9,0)</f>
        <v>CHARGER LOGISTICS USA INC</v>
      </c>
      <c r="F585" s="1" t="str">
        <f>VLOOKUP(C585,'Master truck list'!E:G,3,0)</f>
        <v>Company</v>
      </c>
      <c r="G585" s="1">
        <f>VLOOKUP(C585,'Master truck list'!E:R,14,0)</f>
        <v>2594</v>
      </c>
      <c r="H585" t="str">
        <f>"12/19/2019 7:00:35 AM"</f>
        <v>12/19/2019 7:00:35 AM</v>
      </c>
      <c r="I585" t="str">
        <f>""</f>
        <v/>
      </c>
      <c r="J585" t="str">
        <f t="shared" si="239"/>
        <v>Elite</v>
      </c>
      <c r="K585" t="str">
        <f t="shared" si="220"/>
        <v>Device</v>
      </c>
      <c r="L585" t="str">
        <f>"777211358"</f>
        <v>777211358</v>
      </c>
      <c r="M585" t="str">
        <f>"16546480"</f>
        <v>16546480</v>
      </c>
      <c r="N585" t="str">
        <f>"2585-20"</f>
        <v>2585-20</v>
      </c>
      <c r="O585" t="str">
        <f t="shared" si="240"/>
        <v>TEXAS</v>
      </c>
      <c r="P585" t="str">
        <f t="shared" si="241"/>
        <v>N A</v>
      </c>
      <c r="Q585" t="str">
        <f t="shared" si="242"/>
        <v>N/A</v>
      </c>
      <c r="R585" t="str">
        <f>"130 DKCRP 06 307"</f>
        <v>130 DKCRP 06 307</v>
      </c>
      <c r="S585" t="str">
        <f>"12/18/2019 2:38:22 PM"</f>
        <v>12/18/2019 2:38:22 PM</v>
      </c>
      <c r="T585" t="str">
        <f t="shared" si="233"/>
        <v>5</v>
      </c>
      <c r="U585" t="str">
        <f t="shared" si="243"/>
        <v>N/A</v>
      </c>
      <c r="V585" t="str">
        <f t="shared" si="245"/>
        <v>5.5500</v>
      </c>
    </row>
    <row r="586" spans="1:22" x14ac:dyDescent="0.25">
      <c r="A586" s="1" t="str">
        <f t="shared" si="238"/>
        <v>2585-</v>
      </c>
      <c r="B586" s="1" t="str">
        <f t="shared" si="244"/>
        <v>2585-</v>
      </c>
      <c r="C586" s="1" t="str">
        <f>VLOOKUP(B586,'Master truck list'!D:E,2,0)</f>
        <v>2585-20</v>
      </c>
      <c r="D586" s="1" t="str">
        <f>VLOOKUP(C586,'Master truck list'!E:F,2,0)</f>
        <v>ACTIVE</v>
      </c>
      <c r="E586" s="1" t="str">
        <f>VLOOKUP(C586,'Master truck list'!E:M,9,0)</f>
        <v>CHARGER LOGISTICS USA INC</v>
      </c>
      <c r="F586" s="1" t="str">
        <f>VLOOKUP(C586,'Master truck list'!E:G,3,0)</f>
        <v>Company</v>
      </c>
      <c r="G586" s="1">
        <f>VLOOKUP(C586,'Master truck list'!E:R,14,0)</f>
        <v>2594</v>
      </c>
      <c r="H586" t="str">
        <f>"12/19/2019 7:00:35 AM"</f>
        <v>12/19/2019 7:00:35 AM</v>
      </c>
      <c r="I586" t="str">
        <f>""</f>
        <v/>
      </c>
      <c r="J586" t="str">
        <f t="shared" si="239"/>
        <v>Elite</v>
      </c>
      <c r="K586" t="str">
        <f t="shared" si="220"/>
        <v>Device</v>
      </c>
      <c r="L586" t="str">
        <f>"777211358"</f>
        <v>777211358</v>
      </c>
      <c r="M586" t="str">
        <f>"16546480"</f>
        <v>16546480</v>
      </c>
      <c r="N586" t="str">
        <f>"2585-20"</f>
        <v>2585-20</v>
      </c>
      <c r="O586" t="str">
        <f t="shared" si="240"/>
        <v>TEXAS</v>
      </c>
      <c r="P586" t="str">
        <f t="shared" si="241"/>
        <v>N A</v>
      </c>
      <c r="Q586" t="str">
        <f t="shared" si="242"/>
        <v>N/A</v>
      </c>
      <c r="R586" t="str">
        <f>"130 ARPTP 04 308"</f>
        <v>130 ARPTP 04 308</v>
      </c>
      <c r="S586" t="str">
        <f>"12/18/2019 2:45:24 PM"</f>
        <v>12/18/2019 2:45:24 PM</v>
      </c>
      <c r="T586" t="str">
        <f t="shared" si="233"/>
        <v>5</v>
      </c>
      <c r="U586" t="str">
        <f t="shared" si="243"/>
        <v>N/A</v>
      </c>
      <c r="V586" t="str">
        <f t="shared" si="245"/>
        <v>5.5500</v>
      </c>
    </row>
    <row r="587" spans="1:22" x14ac:dyDescent="0.25">
      <c r="A587" s="1" t="str">
        <f t="shared" si="238"/>
        <v>19368</v>
      </c>
      <c r="B587" s="1" t="str">
        <f t="shared" si="244"/>
        <v>19368</v>
      </c>
      <c r="C587" s="1" t="str">
        <f>VLOOKUP(B587,'Master truck list'!D:E,2,0)</f>
        <v>19368-20</v>
      </c>
      <c r="D587" s="1" t="str">
        <f>VLOOKUP(C587,'Master truck list'!E:F,2,0)</f>
        <v>ACTIVE</v>
      </c>
      <c r="E587" s="1" t="str">
        <f>VLOOKUP(C587,'Master truck list'!E:M,9,0)</f>
        <v>BKFS LOGISTICS</v>
      </c>
      <c r="F587" s="1" t="str">
        <f>VLOOKUP(C587,'Master truck list'!E:G,3,0)</f>
        <v>Company</v>
      </c>
      <c r="G587" s="1">
        <f>VLOOKUP(C587,'Master truck list'!E:R,14,0)</f>
        <v>2588</v>
      </c>
      <c r="H587" t="str">
        <f>"12/20/2019 7:00:30 AM"</f>
        <v>12/20/2019 7:00:30 AM</v>
      </c>
      <c r="I587" t="str">
        <f>""</f>
        <v/>
      </c>
      <c r="J587" t="str">
        <f t="shared" si="239"/>
        <v>Elite</v>
      </c>
      <c r="K587" t="str">
        <f t="shared" si="220"/>
        <v>Device</v>
      </c>
      <c r="L587" t="str">
        <f>"777211705"</f>
        <v>777211705</v>
      </c>
      <c r="M587" t="str">
        <f>"16546827"</f>
        <v>16546827</v>
      </c>
      <c r="N587" t="str">
        <f>"19368-20"</f>
        <v>19368-20</v>
      </c>
      <c r="O587" t="str">
        <f t="shared" si="240"/>
        <v>TEXAS</v>
      </c>
      <c r="P587" t="str">
        <f t="shared" si="241"/>
        <v>N A</v>
      </c>
      <c r="Q587" t="str">
        <f t="shared" si="242"/>
        <v>N/A</v>
      </c>
      <c r="R587" t="str">
        <f>"130 ARPTP 09 308"</f>
        <v>130 ARPTP 09 308</v>
      </c>
      <c r="S587" t="str">
        <f>"12/19/2019 8:14:07 PM"</f>
        <v>12/19/2019 8:14:07 PM</v>
      </c>
      <c r="T587" t="str">
        <f t="shared" si="233"/>
        <v>5</v>
      </c>
      <c r="U587" t="str">
        <f t="shared" si="243"/>
        <v>N/A</v>
      </c>
      <c r="V587" t="str">
        <f t="shared" si="245"/>
        <v>5.5500</v>
      </c>
    </row>
    <row r="588" spans="1:22" x14ac:dyDescent="0.25">
      <c r="A588" s="1" t="str">
        <f t="shared" si="238"/>
        <v>19368</v>
      </c>
      <c r="B588" s="1" t="str">
        <f t="shared" si="244"/>
        <v>19368</v>
      </c>
      <c r="C588" s="1" t="str">
        <f>VLOOKUP(B588,'Master truck list'!D:E,2,0)</f>
        <v>19368-20</v>
      </c>
      <c r="D588" s="1" t="str">
        <f>VLOOKUP(C588,'Master truck list'!E:F,2,0)</f>
        <v>ACTIVE</v>
      </c>
      <c r="E588" s="1" t="str">
        <f>VLOOKUP(C588,'Master truck list'!E:M,9,0)</f>
        <v>BKFS LOGISTICS</v>
      </c>
      <c r="F588" s="1" t="str">
        <f>VLOOKUP(C588,'Master truck list'!E:G,3,0)</f>
        <v>Company</v>
      </c>
      <c r="G588" s="1">
        <f>VLOOKUP(C588,'Master truck list'!E:R,14,0)</f>
        <v>2588</v>
      </c>
      <c r="H588" t="str">
        <f>"12/20/2019 7:00:30 AM"</f>
        <v>12/20/2019 7:00:30 AM</v>
      </c>
      <c r="I588" t="str">
        <f>""</f>
        <v/>
      </c>
      <c r="J588" t="str">
        <f t="shared" si="239"/>
        <v>Elite</v>
      </c>
      <c r="K588" t="str">
        <f t="shared" si="220"/>
        <v>Device</v>
      </c>
      <c r="L588" t="str">
        <f>"777211705"</f>
        <v>777211705</v>
      </c>
      <c r="M588" t="str">
        <f>"16546827"</f>
        <v>16546827</v>
      </c>
      <c r="N588" t="str">
        <f>"19368-20"</f>
        <v>19368-20</v>
      </c>
      <c r="O588" t="str">
        <f t="shared" si="240"/>
        <v>TEXAS</v>
      </c>
      <c r="P588" t="str">
        <f t="shared" si="241"/>
        <v>N A</v>
      </c>
      <c r="Q588" t="str">
        <f t="shared" si="242"/>
        <v>N/A</v>
      </c>
      <c r="R588" t="str">
        <f>"130 CMRNP 13 306"</f>
        <v>130 CMRNP 13 306</v>
      </c>
      <c r="S588" t="str">
        <f>"12/19/2019 8:31:59 PM"</f>
        <v>12/19/2019 8:31:59 PM</v>
      </c>
      <c r="T588" t="str">
        <f t="shared" si="233"/>
        <v>5</v>
      </c>
      <c r="U588" t="str">
        <f t="shared" si="243"/>
        <v>N/A</v>
      </c>
      <c r="V588" t="str">
        <f t="shared" si="245"/>
        <v>5.5500</v>
      </c>
    </row>
    <row r="589" spans="1:22" x14ac:dyDescent="0.25">
      <c r="A589" s="1" t="str">
        <f t="shared" si="238"/>
        <v>19368</v>
      </c>
      <c r="B589" s="1" t="str">
        <f t="shared" si="244"/>
        <v>19368</v>
      </c>
      <c r="C589" s="1" t="str">
        <f>VLOOKUP(B589,'Master truck list'!D:E,2,0)</f>
        <v>19368-20</v>
      </c>
      <c r="D589" s="1" t="str">
        <f>VLOOKUP(C589,'Master truck list'!E:F,2,0)</f>
        <v>ACTIVE</v>
      </c>
      <c r="E589" s="1" t="str">
        <f>VLOOKUP(C589,'Master truck list'!E:M,9,0)</f>
        <v>BKFS LOGISTICS</v>
      </c>
      <c r="F589" s="1" t="str">
        <f>VLOOKUP(C589,'Master truck list'!E:G,3,0)</f>
        <v>Company</v>
      </c>
      <c r="G589" s="1">
        <f>VLOOKUP(C589,'Master truck list'!E:R,14,0)</f>
        <v>2588</v>
      </c>
      <c r="H589" t="str">
        <f>"12/20/2019 7:00:30 AM"</f>
        <v>12/20/2019 7:00:30 AM</v>
      </c>
      <c r="I589" t="str">
        <f>""</f>
        <v/>
      </c>
      <c r="J589" t="str">
        <f t="shared" si="239"/>
        <v>Elite</v>
      </c>
      <c r="K589" t="str">
        <f t="shared" si="220"/>
        <v>Device</v>
      </c>
      <c r="L589" t="str">
        <f>"777211705"</f>
        <v>777211705</v>
      </c>
      <c r="M589" t="str">
        <f>"16546827"</f>
        <v>16546827</v>
      </c>
      <c r="N589" t="str">
        <f>"19368-20"</f>
        <v>19368-20</v>
      </c>
      <c r="O589" t="str">
        <f t="shared" si="240"/>
        <v>TEXAS</v>
      </c>
      <c r="P589" t="str">
        <f t="shared" si="241"/>
        <v>N A</v>
      </c>
      <c r="Q589" t="str">
        <f t="shared" si="242"/>
        <v>N/A</v>
      </c>
      <c r="R589" t="str">
        <f>"45SE MLPEB 02 611"</f>
        <v>45SE MLPEB 02 611</v>
      </c>
      <c r="S589" t="str">
        <f>"12/19/2019 8:03:08 PM"</f>
        <v>12/19/2019 8:03:08 PM</v>
      </c>
      <c r="T589" t="str">
        <f t="shared" si="233"/>
        <v>5</v>
      </c>
      <c r="U589" t="str">
        <f t="shared" si="243"/>
        <v>N/A</v>
      </c>
      <c r="V589" t="str">
        <f>"3.3000"</f>
        <v>3.3000</v>
      </c>
    </row>
    <row r="590" spans="1:22" x14ac:dyDescent="0.25">
      <c r="A590" s="1" t="str">
        <f t="shared" si="238"/>
        <v>19368</v>
      </c>
      <c r="B590" s="1" t="str">
        <f t="shared" si="244"/>
        <v>19368</v>
      </c>
      <c r="C590" s="1" t="str">
        <f>VLOOKUP(B590,'Master truck list'!D:E,2,0)</f>
        <v>19368-20</v>
      </c>
      <c r="D590" s="1" t="str">
        <f>VLOOKUP(C590,'Master truck list'!E:F,2,0)</f>
        <v>ACTIVE</v>
      </c>
      <c r="E590" s="1" t="str">
        <f>VLOOKUP(C590,'Master truck list'!E:M,9,0)</f>
        <v>BKFS LOGISTICS</v>
      </c>
      <c r="F590" s="1" t="str">
        <f>VLOOKUP(C590,'Master truck list'!E:G,3,0)</f>
        <v>Company</v>
      </c>
      <c r="G590" s="1">
        <f>VLOOKUP(C590,'Master truck list'!E:R,14,0)</f>
        <v>2588</v>
      </c>
      <c r="H590" t="str">
        <f>"12/20/2019 7:00:30 AM"</f>
        <v>12/20/2019 7:00:30 AM</v>
      </c>
      <c r="I590" t="str">
        <f>""</f>
        <v/>
      </c>
      <c r="J590" t="str">
        <f t="shared" si="239"/>
        <v>Elite</v>
      </c>
      <c r="K590" t="str">
        <f t="shared" si="220"/>
        <v>Device</v>
      </c>
      <c r="L590" t="str">
        <f>"777211705"</f>
        <v>777211705</v>
      </c>
      <c r="M590" t="str">
        <f>"16546827"</f>
        <v>16546827</v>
      </c>
      <c r="N590" t="str">
        <f>"19368-20"</f>
        <v>19368-20</v>
      </c>
      <c r="O590" t="str">
        <f t="shared" si="240"/>
        <v>TEXAS</v>
      </c>
      <c r="P590" t="str">
        <f t="shared" si="241"/>
        <v>N A</v>
      </c>
      <c r="Q590" t="str">
        <f t="shared" si="242"/>
        <v>N/A</v>
      </c>
      <c r="R590" t="str">
        <f>"130 DKCRP 11 307"</f>
        <v>130 DKCRP 11 307</v>
      </c>
      <c r="S590" t="str">
        <f>"12/19/2019 8:21:23 PM"</f>
        <v>12/19/2019 8:21:23 PM</v>
      </c>
      <c r="T590" t="str">
        <f t="shared" si="233"/>
        <v>5</v>
      </c>
      <c r="U590" t="str">
        <f t="shared" si="243"/>
        <v>N/A</v>
      </c>
      <c r="V590" t="str">
        <f>"5.5500"</f>
        <v>5.5500</v>
      </c>
    </row>
    <row r="591" spans="1:22" x14ac:dyDescent="0.25">
      <c r="A591" s="1" t="str">
        <f t="shared" si="238"/>
        <v>19370</v>
      </c>
      <c r="B591" s="1" t="str">
        <f t="shared" si="244"/>
        <v>19370</v>
      </c>
      <c r="C591" s="1" t="str">
        <f>VLOOKUP(B591,'Master truck list'!D:E,2,0)</f>
        <v>19370-20</v>
      </c>
      <c r="D591" s="1" t="str">
        <f>VLOOKUP(C591,'Master truck list'!E:F,2,0)</f>
        <v>ACTIVE</v>
      </c>
      <c r="E591" s="1" t="str">
        <f>VLOOKUP(C591,'Master truck list'!E:M,9,0)</f>
        <v>BKFS LOGISTICS</v>
      </c>
      <c r="F591" s="1" t="str">
        <f>VLOOKUP(C591,'Master truck list'!E:G,3,0)</f>
        <v>Company</v>
      </c>
      <c r="G591" s="1">
        <f>VLOOKUP(C591,'Master truck list'!E:R,14,0)</f>
        <v>2590</v>
      </c>
      <c r="H591" t="str">
        <f>"12/21/2019 7:00:28 AM"</f>
        <v>12/21/2019 7:00:28 AM</v>
      </c>
      <c r="I591" t="str">
        <f>""</f>
        <v/>
      </c>
      <c r="J591" t="str">
        <f t="shared" si="239"/>
        <v>Elite</v>
      </c>
      <c r="K591" t="str">
        <f t="shared" ref="K591:K654" si="246">"Device"</f>
        <v>Device</v>
      </c>
      <c r="L591" t="str">
        <f>"777215989"</f>
        <v>777215989</v>
      </c>
      <c r="M591" t="str">
        <f>"16551111"</f>
        <v>16551111</v>
      </c>
      <c r="N591" t="str">
        <f>"19370-20"</f>
        <v>19370-20</v>
      </c>
      <c r="O591" t="str">
        <f t="shared" si="240"/>
        <v>TEXAS</v>
      </c>
      <c r="P591" t="str">
        <f t="shared" si="241"/>
        <v>N A</v>
      </c>
      <c r="Q591" t="str">
        <f t="shared" si="242"/>
        <v>N/A</v>
      </c>
      <c r="R591" t="str">
        <f>"130 CMRNP 13 306"</f>
        <v>130 CMRNP 13 306</v>
      </c>
      <c r="S591" t="str">
        <f>"12/20/2019 7:18:21 PM"</f>
        <v>12/20/2019 7:18:21 PM</v>
      </c>
      <c r="T591" t="str">
        <f t="shared" si="233"/>
        <v>5</v>
      </c>
      <c r="U591" t="str">
        <f t="shared" si="243"/>
        <v>N/A</v>
      </c>
      <c r="V591" t="str">
        <f>"5.5500"</f>
        <v>5.5500</v>
      </c>
    </row>
    <row r="592" spans="1:22" x14ac:dyDescent="0.25">
      <c r="A592" s="1" t="str">
        <f t="shared" si="238"/>
        <v>19370</v>
      </c>
      <c r="B592" s="1" t="str">
        <f t="shared" si="244"/>
        <v>19370</v>
      </c>
      <c r="C592" s="1" t="str">
        <f>VLOOKUP(B592,'Master truck list'!D:E,2,0)</f>
        <v>19370-20</v>
      </c>
      <c r="D592" s="1" t="str">
        <f>VLOOKUP(C592,'Master truck list'!E:F,2,0)</f>
        <v>ACTIVE</v>
      </c>
      <c r="E592" s="1" t="str">
        <f>VLOOKUP(C592,'Master truck list'!E:M,9,0)</f>
        <v>BKFS LOGISTICS</v>
      </c>
      <c r="F592" s="1" t="str">
        <f>VLOOKUP(C592,'Master truck list'!E:G,3,0)</f>
        <v>Company</v>
      </c>
      <c r="G592" s="1">
        <f>VLOOKUP(C592,'Master truck list'!E:R,14,0)</f>
        <v>2590</v>
      </c>
      <c r="H592" t="str">
        <f>"12/21/2019 7:00:28 AM"</f>
        <v>12/21/2019 7:00:28 AM</v>
      </c>
      <c r="I592" t="str">
        <f>""</f>
        <v/>
      </c>
      <c r="J592" t="str">
        <f t="shared" si="239"/>
        <v>Elite</v>
      </c>
      <c r="K592" t="str">
        <f t="shared" si="246"/>
        <v>Device</v>
      </c>
      <c r="L592" t="str">
        <f>"777215989"</f>
        <v>777215989</v>
      </c>
      <c r="M592" t="str">
        <f>"16551111"</f>
        <v>16551111</v>
      </c>
      <c r="N592" t="str">
        <f>"19370-20"</f>
        <v>19370-20</v>
      </c>
      <c r="O592" t="str">
        <f t="shared" si="240"/>
        <v>TEXAS</v>
      </c>
      <c r="P592" t="str">
        <f t="shared" si="241"/>
        <v>N A</v>
      </c>
      <c r="Q592" t="str">
        <f t="shared" si="242"/>
        <v>N/A</v>
      </c>
      <c r="R592" t="str">
        <f>"130 ARPTP 09 308"</f>
        <v>130 ARPTP 09 308</v>
      </c>
      <c r="S592" t="str">
        <f>"12/20/2019 7:00:51 PM"</f>
        <v>12/20/2019 7:00:51 PM</v>
      </c>
      <c r="T592" t="str">
        <f t="shared" si="233"/>
        <v>5</v>
      </c>
      <c r="U592" t="str">
        <f t="shared" si="243"/>
        <v>N/A</v>
      </c>
      <c r="V592" t="str">
        <f>"5.5500"</f>
        <v>5.5500</v>
      </c>
    </row>
    <row r="593" spans="1:22" x14ac:dyDescent="0.25">
      <c r="A593" s="1" t="str">
        <f t="shared" si="238"/>
        <v>19370</v>
      </c>
      <c r="B593" s="1" t="str">
        <f t="shared" si="244"/>
        <v>19370</v>
      </c>
      <c r="C593" s="1" t="str">
        <f>VLOOKUP(B593,'Master truck list'!D:E,2,0)</f>
        <v>19370-20</v>
      </c>
      <c r="D593" s="1" t="str">
        <f>VLOOKUP(C593,'Master truck list'!E:F,2,0)</f>
        <v>ACTIVE</v>
      </c>
      <c r="E593" s="1" t="str">
        <f>VLOOKUP(C593,'Master truck list'!E:M,9,0)</f>
        <v>BKFS LOGISTICS</v>
      </c>
      <c r="F593" s="1" t="str">
        <f>VLOOKUP(C593,'Master truck list'!E:G,3,0)</f>
        <v>Company</v>
      </c>
      <c r="G593" s="1">
        <f>VLOOKUP(C593,'Master truck list'!E:R,14,0)</f>
        <v>2590</v>
      </c>
      <c r="H593" t="str">
        <f>"12/21/2019 7:00:28 AM"</f>
        <v>12/21/2019 7:00:28 AM</v>
      </c>
      <c r="I593" t="str">
        <f>""</f>
        <v/>
      </c>
      <c r="J593" t="str">
        <f t="shared" si="239"/>
        <v>Elite</v>
      </c>
      <c r="K593" t="str">
        <f t="shared" si="246"/>
        <v>Device</v>
      </c>
      <c r="L593" t="str">
        <f>"777215989"</f>
        <v>777215989</v>
      </c>
      <c r="M593" t="str">
        <f>"16551111"</f>
        <v>16551111</v>
      </c>
      <c r="N593" t="str">
        <f>"19370-20"</f>
        <v>19370-20</v>
      </c>
      <c r="O593" t="str">
        <f t="shared" si="240"/>
        <v>TEXAS</v>
      </c>
      <c r="P593" t="str">
        <f t="shared" si="241"/>
        <v>N A</v>
      </c>
      <c r="Q593" t="str">
        <f t="shared" si="242"/>
        <v>N/A</v>
      </c>
      <c r="R593" t="str">
        <f>"130 DKCRP 11 307"</f>
        <v>130 DKCRP 11 307</v>
      </c>
      <c r="S593" t="str">
        <f>"12/20/2019 7:08:00 PM"</f>
        <v>12/20/2019 7:08:00 PM</v>
      </c>
      <c r="T593" t="str">
        <f t="shared" si="233"/>
        <v>5</v>
      </c>
      <c r="U593" t="str">
        <f t="shared" si="243"/>
        <v>N/A</v>
      </c>
      <c r="V593" t="str">
        <f>"5.5500"</f>
        <v>5.5500</v>
      </c>
    </row>
    <row r="594" spans="1:22" x14ac:dyDescent="0.25">
      <c r="A594" s="1" t="str">
        <f t="shared" si="238"/>
        <v>19370</v>
      </c>
      <c r="B594" s="1" t="str">
        <f t="shared" si="244"/>
        <v>19370</v>
      </c>
      <c r="C594" s="1" t="str">
        <f>VLOOKUP(B594,'Master truck list'!D:E,2,0)</f>
        <v>19370-20</v>
      </c>
      <c r="D594" s="1" t="str">
        <f>VLOOKUP(C594,'Master truck list'!E:F,2,0)</f>
        <v>ACTIVE</v>
      </c>
      <c r="E594" s="1" t="str">
        <f>VLOOKUP(C594,'Master truck list'!E:M,9,0)</f>
        <v>BKFS LOGISTICS</v>
      </c>
      <c r="F594" s="1" t="str">
        <f>VLOOKUP(C594,'Master truck list'!E:G,3,0)</f>
        <v>Company</v>
      </c>
      <c r="G594" s="1">
        <f>VLOOKUP(C594,'Master truck list'!E:R,14,0)</f>
        <v>2590</v>
      </c>
      <c r="H594" t="str">
        <f>"12/21/2019 7:00:28 AM"</f>
        <v>12/21/2019 7:00:28 AM</v>
      </c>
      <c r="I594" t="str">
        <f>""</f>
        <v/>
      </c>
      <c r="J594" t="str">
        <f t="shared" si="239"/>
        <v>Elite</v>
      </c>
      <c r="K594" t="str">
        <f t="shared" si="246"/>
        <v>Device</v>
      </c>
      <c r="L594" t="str">
        <f>"777215989"</f>
        <v>777215989</v>
      </c>
      <c r="M594" t="str">
        <f>"16551111"</f>
        <v>16551111</v>
      </c>
      <c r="N594" t="str">
        <f>"19370-20"</f>
        <v>19370-20</v>
      </c>
      <c r="O594" t="str">
        <f t="shared" si="240"/>
        <v>TEXAS</v>
      </c>
      <c r="P594" t="str">
        <f t="shared" si="241"/>
        <v>N A</v>
      </c>
      <c r="Q594" t="str">
        <f t="shared" si="242"/>
        <v>N/A</v>
      </c>
      <c r="R594" t="str">
        <f>"45SE MLPEB 02 611"</f>
        <v>45SE MLPEB 02 611</v>
      </c>
      <c r="S594" t="str">
        <f>"12/20/2019 6:49:57 PM"</f>
        <v>12/20/2019 6:49:57 PM</v>
      </c>
      <c r="T594" t="str">
        <f t="shared" si="233"/>
        <v>5</v>
      </c>
      <c r="U594" t="str">
        <f t="shared" si="243"/>
        <v>N/A</v>
      </c>
      <c r="V594" t="str">
        <f>"3.3000"</f>
        <v>3.3000</v>
      </c>
    </row>
    <row r="595" spans="1:22" x14ac:dyDescent="0.25">
      <c r="A595" s="1" t="str">
        <f t="shared" si="238"/>
        <v>19370</v>
      </c>
      <c r="B595" s="1" t="str">
        <f t="shared" si="244"/>
        <v>19370</v>
      </c>
      <c r="C595" s="1" t="str">
        <f>VLOOKUP(B595,'Master truck list'!D:E,2,0)</f>
        <v>19370-20</v>
      </c>
      <c r="D595" s="1" t="str">
        <f>VLOOKUP(C595,'Master truck list'!E:F,2,0)</f>
        <v>ACTIVE</v>
      </c>
      <c r="E595" s="1" t="str">
        <f>VLOOKUP(C595,'Master truck list'!E:M,9,0)</f>
        <v>BKFS LOGISTICS</v>
      </c>
      <c r="F595" s="1" t="str">
        <f>VLOOKUP(C595,'Master truck list'!E:G,3,0)</f>
        <v>Company</v>
      </c>
      <c r="G595" s="1">
        <f>VLOOKUP(C595,'Master truck list'!E:R,14,0)</f>
        <v>2590</v>
      </c>
      <c r="H595" t="str">
        <f>"12/21/2019 7:00:28 AM"</f>
        <v>12/21/2019 7:00:28 AM</v>
      </c>
      <c r="I595" t="str">
        <f>""</f>
        <v/>
      </c>
      <c r="J595" t="str">
        <f t="shared" si="239"/>
        <v>Elite</v>
      </c>
      <c r="K595" t="str">
        <f t="shared" si="246"/>
        <v>Device</v>
      </c>
      <c r="L595" t="str">
        <f>"777215989"</f>
        <v>777215989</v>
      </c>
      <c r="M595" t="str">
        <f>"16551111"</f>
        <v>16551111</v>
      </c>
      <c r="N595" t="str">
        <f>"19370-20"</f>
        <v>19370-20</v>
      </c>
      <c r="O595" t="str">
        <f t="shared" si="240"/>
        <v>TEXAS</v>
      </c>
      <c r="P595" t="str">
        <f t="shared" si="241"/>
        <v>N A</v>
      </c>
      <c r="Q595" t="str">
        <f t="shared" si="242"/>
        <v>N/A</v>
      </c>
      <c r="R595" t="str">
        <f>"130 MGCRP 11 305"</f>
        <v>130 MGCRP 11 305</v>
      </c>
      <c r="S595" t="str">
        <f>"12/20/2019 7:29:45 PM"</f>
        <v>12/20/2019 7:29:45 PM</v>
      </c>
      <c r="T595" t="str">
        <f t="shared" si="233"/>
        <v>5</v>
      </c>
      <c r="U595" t="str">
        <f t="shared" si="243"/>
        <v>N/A</v>
      </c>
      <c r="V595" t="str">
        <f>"5.5500"</f>
        <v>5.5500</v>
      </c>
    </row>
    <row r="596" spans="1:22" x14ac:dyDescent="0.25">
      <c r="A596" s="1" t="str">
        <f t="shared" si="238"/>
        <v>19365</v>
      </c>
      <c r="B596" s="1" t="str">
        <f t="shared" si="244"/>
        <v>19365</v>
      </c>
      <c r="C596" s="1" t="str">
        <f>VLOOKUP(B596,'Master truck list'!D:E,2,0)</f>
        <v>19365-20</v>
      </c>
      <c r="D596" s="1" t="str">
        <f>VLOOKUP(C596,'Master truck list'!E:F,2,0)</f>
        <v>ACTIVE</v>
      </c>
      <c r="E596" s="1" t="str">
        <f>VLOOKUP(C596,'Master truck list'!E:M,9,0)</f>
        <v>BKFS LOGISTICS</v>
      </c>
      <c r="F596" s="1" t="str">
        <f>VLOOKUP(C596,'Master truck list'!E:G,3,0)</f>
        <v>Company</v>
      </c>
      <c r="G596" s="1">
        <f>VLOOKUP(C596,'Master truck list'!E:R,14,0)</f>
        <v>2585</v>
      </c>
      <c r="H596" t="str">
        <f>"12/18/2019 7:00:28 AM"</f>
        <v>12/18/2019 7:00:28 AM</v>
      </c>
      <c r="I596" t="str">
        <f>""</f>
        <v/>
      </c>
      <c r="J596" t="str">
        <f t="shared" si="239"/>
        <v>Elite</v>
      </c>
      <c r="K596" t="str">
        <f t="shared" si="246"/>
        <v>Device</v>
      </c>
      <c r="L596" t="str">
        <f>"777211608"</f>
        <v>777211608</v>
      </c>
      <c r="M596" t="str">
        <f>"16546730"</f>
        <v>16546730</v>
      </c>
      <c r="N596" t="str">
        <f>"19365-20"</f>
        <v>19365-20</v>
      </c>
      <c r="O596" t="str">
        <f t="shared" si="240"/>
        <v>TEXAS</v>
      </c>
      <c r="P596" t="str">
        <f t="shared" si="241"/>
        <v>N A</v>
      </c>
      <c r="Q596" t="str">
        <f t="shared" si="242"/>
        <v>N/A</v>
      </c>
      <c r="R596" t="str">
        <f>"130 MGCRP 11 305"</f>
        <v>130 MGCRP 11 305</v>
      </c>
      <c r="S596" t="str">
        <f>"12/17/2019 3:58:42 AM"</f>
        <v>12/17/2019 3:58:42 AM</v>
      </c>
      <c r="T596" t="str">
        <f t="shared" si="233"/>
        <v>5</v>
      </c>
      <c r="U596" t="str">
        <f t="shared" si="243"/>
        <v>N/A</v>
      </c>
      <c r="V596" t="str">
        <f>"5.5500"</f>
        <v>5.5500</v>
      </c>
    </row>
    <row r="597" spans="1:22" x14ac:dyDescent="0.25">
      <c r="A597" s="1" t="str">
        <f t="shared" si="238"/>
        <v>19365</v>
      </c>
      <c r="B597" s="1" t="str">
        <f t="shared" si="244"/>
        <v>19365</v>
      </c>
      <c r="C597" s="1" t="str">
        <f>VLOOKUP(B597,'Master truck list'!D:E,2,0)</f>
        <v>19365-20</v>
      </c>
      <c r="D597" s="1" t="str">
        <f>VLOOKUP(C597,'Master truck list'!E:F,2,0)</f>
        <v>ACTIVE</v>
      </c>
      <c r="E597" s="1" t="str">
        <f>VLOOKUP(C597,'Master truck list'!E:M,9,0)</f>
        <v>BKFS LOGISTICS</v>
      </c>
      <c r="F597" s="1" t="str">
        <f>VLOOKUP(C597,'Master truck list'!E:G,3,0)</f>
        <v>Company</v>
      </c>
      <c r="G597" s="1">
        <f>VLOOKUP(C597,'Master truck list'!E:R,14,0)</f>
        <v>2585</v>
      </c>
      <c r="H597" t="str">
        <f>"12/18/2019 7:00:28 AM"</f>
        <v>12/18/2019 7:00:28 AM</v>
      </c>
      <c r="I597" t="str">
        <f>""</f>
        <v/>
      </c>
      <c r="J597" t="str">
        <f t="shared" si="239"/>
        <v>Elite</v>
      </c>
      <c r="K597" t="str">
        <f t="shared" si="246"/>
        <v>Device</v>
      </c>
      <c r="L597" t="str">
        <f>"777211608"</f>
        <v>777211608</v>
      </c>
      <c r="M597" t="str">
        <f>"16546730"</f>
        <v>16546730</v>
      </c>
      <c r="N597" t="str">
        <f>"19365-20"</f>
        <v>19365-20</v>
      </c>
      <c r="O597" t="str">
        <f t="shared" si="240"/>
        <v>TEXAS</v>
      </c>
      <c r="P597" t="str">
        <f t="shared" si="241"/>
        <v>N A</v>
      </c>
      <c r="Q597" t="str">
        <f t="shared" si="242"/>
        <v>N/A</v>
      </c>
      <c r="R597" t="str">
        <f>"45SE MLPEB 02 611"</f>
        <v>45SE MLPEB 02 611</v>
      </c>
      <c r="S597" t="str">
        <f>"12/17/2019 2:59:52 AM"</f>
        <v>12/17/2019 2:59:52 AM</v>
      </c>
      <c r="T597" t="str">
        <f t="shared" si="233"/>
        <v>5</v>
      </c>
      <c r="U597" t="str">
        <f t="shared" si="243"/>
        <v>N/A</v>
      </c>
      <c r="V597" t="str">
        <f>"3.3000"</f>
        <v>3.3000</v>
      </c>
    </row>
    <row r="598" spans="1:22" x14ac:dyDescent="0.25">
      <c r="A598" s="1" t="str">
        <f t="shared" si="238"/>
        <v>19365</v>
      </c>
      <c r="B598" s="1" t="str">
        <f t="shared" si="244"/>
        <v>19365</v>
      </c>
      <c r="C598" s="1" t="str">
        <f>VLOOKUP(B598,'Master truck list'!D:E,2,0)</f>
        <v>19365-20</v>
      </c>
      <c r="D598" s="1" t="str">
        <f>VLOOKUP(C598,'Master truck list'!E:F,2,0)</f>
        <v>ACTIVE</v>
      </c>
      <c r="E598" s="1" t="str">
        <f>VLOOKUP(C598,'Master truck list'!E:M,9,0)</f>
        <v>BKFS LOGISTICS</v>
      </c>
      <c r="F598" s="1" t="str">
        <f>VLOOKUP(C598,'Master truck list'!E:G,3,0)</f>
        <v>Company</v>
      </c>
      <c r="G598" s="1">
        <f>VLOOKUP(C598,'Master truck list'!E:R,14,0)</f>
        <v>2585</v>
      </c>
      <c r="H598" t="str">
        <f>"12/18/2019 7:00:28 AM"</f>
        <v>12/18/2019 7:00:28 AM</v>
      </c>
      <c r="I598" t="str">
        <f>""</f>
        <v/>
      </c>
      <c r="J598" t="str">
        <f t="shared" si="239"/>
        <v>Elite</v>
      </c>
      <c r="K598" t="str">
        <f t="shared" si="246"/>
        <v>Device</v>
      </c>
      <c r="L598" t="str">
        <f>"777211608"</f>
        <v>777211608</v>
      </c>
      <c r="M598" t="str">
        <f>"16546730"</f>
        <v>16546730</v>
      </c>
      <c r="N598" t="str">
        <f>"19365-20"</f>
        <v>19365-20</v>
      </c>
      <c r="O598" t="str">
        <f t="shared" si="240"/>
        <v>TEXAS</v>
      </c>
      <c r="P598" t="str">
        <f t="shared" si="241"/>
        <v>N A</v>
      </c>
      <c r="Q598" t="str">
        <f t="shared" si="242"/>
        <v>N/A</v>
      </c>
      <c r="R598" t="str">
        <f>"130 DKCRP 11 307"</f>
        <v>130 DKCRP 11 307</v>
      </c>
      <c r="S598" t="str">
        <f>"12/17/2019 3:36:44 AM"</f>
        <v>12/17/2019 3:36:44 AM</v>
      </c>
      <c r="T598" t="str">
        <f t="shared" si="233"/>
        <v>5</v>
      </c>
      <c r="U598" t="str">
        <f t="shared" si="243"/>
        <v>N/A</v>
      </c>
      <c r="V598" t="str">
        <f>"5.5500"</f>
        <v>5.5500</v>
      </c>
    </row>
    <row r="599" spans="1:22" x14ac:dyDescent="0.25">
      <c r="A599" s="1" t="str">
        <f t="shared" si="238"/>
        <v>19365</v>
      </c>
      <c r="B599" s="1" t="str">
        <f t="shared" si="244"/>
        <v>19365</v>
      </c>
      <c r="C599" s="1" t="str">
        <f>VLOOKUP(B599,'Master truck list'!D:E,2,0)</f>
        <v>19365-20</v>
      </c>
      <c r="D599" s="1" t="str">
        <f>VLOOKUP(C599,'Master truck list'!E:F,2,0)</f>
        <v>ACTIVE</v>
      </c>
      <c r="E599" s="1" t="str">
        <f>VLOOKUP(C599,'Master truck list'!E:M,9,0)</f>
        <v>BKFS LOGISTICS</v>
      </c>
      <c r="F599" s="1" t="str">
        <f>VLOOKUP(C599,'Master truck list'!E:G,3,0)</f>
        <v>Company</v>
      </c>
      <c r="G599" s="1">
        <f>VLOOKUP(C599,'Master truck list'!E:R,14,0)</f>
        <v>2585</v>
      </c>
      <c r="H599" t="str">
        <f>"12/18/2019 7:00:28 AM"</f>
        <v>12/18/2019 7:00:28 AM</v>
      </c>
      <c r="I599" t="str">
        <f>""</f>
        <v/>
      </c>
      <c r="J599" t="str">
        <f t="shared" si="239"/>
        <v>Elite</v>
      </c>
      <c r="K599" t="str">
        <f t="shared" si="246"/>
        <v>Device</v>
      </c>
      <c r="L599" t="str">
        <f>"777211608"</f>
        <v>777211608</v>
      </c>
      <c r="M599" t="str">
        <f>"16546730"</f>
        <v>16546730</v>
      </c>
      <c r="N599" t="str">
        <f>"19365-20"</f>
        <v>19365-20</v>
      </c>
      <c r="O599" t="str">
        <f t="shared" si="240"/>
        <v>TEXAS</v>
      </c>
      <c r="P599" t="str">
        <f t="shared" si="241"/>
        <v>N A</v>
      </c>
      <c r="Q599" t="str">
        <f t="shared" si="242"/>
        <v>N/A</v>
      </c>
      <c r="R599" t="str">
        <f>"130 ARPTP 09 308"</f>
        <v>130 ARPTP 09 308</v>
      </c>
      <c r="S599" t="str">
        <f>"12/17/2019 3:11:00 AM"</f>
        <v>12/17/2019 3:11:00 AM</v>
      </c>
      <c r="T599" t="str">
        <f t="shared" si="233"/>
        <v>5</v>
      </c>
      <c r="U599" t="str">
        <f t="shared" si="243"/>
        <v>N/A</v>
      </c>
      <c r="V599" t="str">
        <f>"5.5500"</f>
        <v>5.5500</v>
      </c>
    </row>
    <row r="600" spans="1:22" x14ac:dyDescent="0.25">
      <c r="A600" s="1" t="str">
        <f t="shared" si="238"/>
        <v>19365</v>
      </c>
      <c r="B600" s="1" t="str">
        <f t="shared" si="244"/>
        <v>19365</v>
      </c>
      <c r="C600" s="1" t="str">
        <f>VLOOKUP(B600,'Master truck list'!D:E,2,0)</f>
        <v>19365-20</v>
      </c>
      <c r="D600" s="1" t="str">
        <f>VLOOKUP(C600,'Master truck list'!E:F,2,0)</f>
        <v>ACTIVE</v>
      </c>
      <c r="E600" s="1" t="str">
        <f>VLOOKUP(C600,'Master truck list'!E:M,9,0)</f>
        <v>BKFS LOGISTICS</v>
      </c>
      <c r="F600" s="1" t="str">
        <f>VLOOKUP(C600,'Master truck list'!E:G,3,0)</f>
        <v>Company</v>
      </c>
      <c r="G600" s="1">
        <f>VLOOKUP(C600,'Master truck list'!E:R,14,0)</f>
        <v>2585</v>
      </c>
      <c r="H600" t="str">
        <f>"12/18/2019 7:00:28 AM"</f>
        <v>12/18/2019 7:00:28 AM</v>
      </c>
      <c r="I600" t="str">
        <f>""</f>
        <v/>
      </c>
      <c r="J600" t="str">
        <f t="shared" si="239"/>
        <v>Elite</v>
      </c>
      <c r="K600" t="str">
        <f t="shared" si="246"/>
        <v>Device</v>
      </c>
      <c r="L600" t="str">
        <f>"777211608"</f>
        <v>777211608</v>
      </c>
      <c r="M600" t="str">
        <f>"16546730"</f>
        <v>16546730</v>
      </c>
      <c r="N600" t="str">
        <f>"19365-20"</f>
        <v>19365-20</v>
      </c>
      <c r="O600" t="str">
        <f t="shared" si="240"/>
        <v>TEXAS</v>
      </c>
      <c r="P600" t="str">
        <f t="shared" si="241"/>
        <v>N A</v>
      </c>
      <c r="Q600" t="str">
        <f t="shared" si="242"/>
        <v>N/A</v>
      </c>
      <c r="R600" t="str">
        <f>"130 CMRNP 13 306"</f>
        <v>130 CMRNP 13 306</v>
      </c>
      <c r="S600" t="str">
        <f>"12/17/2019 3:47:29 AM"</f>
        <v>12/17/2019 3:47:29 AM</v>
      </c>
      <c r="T600" t="str">
        <f t="shared" si="233"/>
        <v>5</v>
      </c>
      <c r="U600" t="str">
        <f t="shared" si="243"/>
        <v>N/A</v>
      </c>
      <c r="V600" t="str">
        <f>"5.5500"</f>
        <v>5.5500</v>
      </c>
    </row>
    <row r="601" spans="1:22" x14ac:dyDescent="0.25">
      <c r="A601" s="1" t="str">
        <f t="shared" si="238"/>
        <v>19361</v>
      </c>
      <c r="B601" s="1" t="str">
        <f t="shared" si="244"/>
        <v>19361</v>
      </c>
      <c r="C601" s="1" t="str">
        <f>VLOOKUP(B601,'Master truck list'!D:E,2,0)</f>
        <v>19361-20</v>
      </c>
      <c r="D601" s="1" t="str">
        <f>VLOOKUP(C601,'Master truck list'!E:F,2,0)</f>
        <v>ACTIVE</v>
      </c>
      <c r="E601" s="1" t="str">
        <f>VLOOKUP(C601,'Master truck list'!E:M,9,0)</f>
        <v>BKFS LOGISTICS</v>
      </c>
      <c r="F601" s="1" t="str">
        <f>VLOOKUP(C601,'Master truck list'!E:G,3,0)</f>
        <v>Company</v>
      </c>
      <c r="G601" s="1">
        <f>VLOOKUP(C601,'Master truck list'!E:R,14,0)</f>
        <v>2581</v>
      </c>
      <c r="H601" t="str">
        <f t="shared" ref="H601:H609" si="247">"12/20/2019 7:00:30 AM"</f>
        <v>12/20/2019 7:00:30 AM</v>
      </c>
      <c r="I601" t="str">
        <f>""</f>
        <v/>
      </c>
      <c r="J601" t="str">
        <f t="shared" si="239"/>
        <v>Elite</v>
      </c>
      <c r="K601" t="str">
        <f t="shared" si="246"/>
        <v>Device</v>
      </c>
      <c r="L601" t="str">
        <f>"777211259"</f>
        <v>777211259</v>
      </c>
      <c r="M601" t="str">
        <f>"16546381"</f>
        <v>16546381</v>
      </c>
      <c r="N601" t="str">
        <f>"19361-20"</f>
        <v>19361-20</v>
      </c>
      <c r="O601" t="str">
        <f t="shared" si="240"/>
        <v>TEXAS</v>
      </c>
      <c r="P601" t="str">
        <f t="shared" si="241"/>
        <v>N A</v>
      </c>
      <c r="Q601" t="str">
        <f t="shared" si="242"/>
        <v>N/A</v>
      </c>
      <c r="R601" t="str">
        <f>"130 DKCRP 11 307"</f>
        <v>130 DKCRP 11 307</v>
      </c>
      <c r="S601" t="str">
        <f>"12/19/2019 2:17:30 PM"</f>
        <v>12/19/2019 2:17:30 PM</v>
      </c>
      <c r="T601" t="str">
        <f t="shared" si="233"/>
        <v>5</v>
      </c>
      <c r="U601" t="str">
        <f t="shared" si="243"/>
        <v>N/A</v>
      </c>
      <c r="V601" t="str">
        <f>"5.5500"</f>
        <v>5.5500</v>
      </c>
    </row>
    <row r="602" spans="1:22" x14ac:dyDescent="0.25">
      <c r="A602" s="1" t="str">
        <f t="shared" si="238"/>
        <v>19361</v>
      </c>
      <c r="B602" s="1" t="str">
        <f t="shared" si="244"/>
        <v>19361</v>
      </c>
      <c r="C602" s="1" t="str">
        <f>VLOOKUP(B602,'Master truck list'!D:E,2,0)</f>
        <v>19361-20</v>
      </c>
      <c r="D602" s="1" t="str">
        <f>VLOOKUP(C602,'Master truck list'!E:F,2,0)</f>
        <v>ACTIVE</v>
      </c>
      <c r="E602" s="1" t="str">
        <f>VLOOKUP(C602,'Master truck list'!E:M,9,0)</f>
        <v>BKFS LOGISTICS</v>
      </c>
      <c r="F602" s="1" t="str">
        <f>VLOOKUP(C602,'Master truck list'!E:G,3,0)</f>
        <v>Company</v>
      </c>
      <c r="G602" s="1">
        <f>VLOOKUP(C602,'Master truck list'!E:R,14,0)</f>
        <v>2581</v>
      </c>
      <c r="H602" t="str">
        <f t="shared" si="247"/>
        <v>12/20/2019 7:00:30 AM</v>
      </c>
      <c r="I602" t="str">
        <f>""</f>
        <v/>
      </c>
      <c r="J602" t="str">
        <f t="shared" si="239"/>
        <v>Elite</v>
      </c>
      <c r="K602" t="str">
        <f t="shared" si="246"/>
        <v>Device</v>
      </c>
      <c r="L602" t="str">
        <f>"777211259"</f>
        <v>777211259</v>
      </c>
      <c r="M602" t="str">
        <f>"16546381"</f>
        <v>16546381</v>
      </c>
      <c r="N602" t="str">
        <f>"19361-20"</f>
        <v>19361-20</v>
      </c>
      <c r="O602" t="str">
        <f t="shared" si="240"/>
        <v>TEXAS</v>
      </c>
      <c r="P602" t="str">
        <f t="shared" si="241"/>
        <v>N A</v>
      </c>
      <c r="Q602" t="str">
        <f t="shared" si="242"/>
        <v>N/A</v>
      </c>
      <c r="R602" t="str">
        <f>"45SE MLPEB 02 611"</f>
        <v>45SE MLPEB 02 611</v>
      </c>
      <c r="S602" t="str">
        <f>"12/19/2019 1:59:22 PM"</f>
        <v>12/19/2019 1:59:22 PM</v>
      </c>
      <c r="T602" t="str">
        <f t="shared" si="233"/>
        <v>5</v>
      </c>
      <c r="U602" t="str">
        <f t="shared" si="243"/>
        <v>N/A</v>
      </c>
      <c r="V602" t="str">
        <f>"3.3000"</f>
        <v>3.3000</v>
      </c>
    </row>
    <row r="603" spans="1:22" x14ac:dyDescent="0.25">
      <c r="A603" s="1" t="str">
        <f t="shared" si="238"/>
        <v>19361</v>
      </c>
      <c r="B603" s="1" t="str">
        <f t="shared" si="244"/>
        <v>19361</v>
      </c>
      <c r="C603" s="1" t="str">
        <f>VLOOKUP(B603,'Master truck list'!D:E,2,0)</f>
        <v>19361-20</v>
      </c>
      <c r="D603" s="1" t="str">
        <f>VLOOKUP(C603,'Master truck list'!E:F,2,0)</f>
        <v>ACTIVE</v>
      </c>
      <c r="E603" s="1" t="str">
        <f>VLOOKUP(C603,'Master truck list'!E:M,9,0)</f>
        <v>BKFS LOGISTICS</v>
      </c>
      <c r="F603" s="1" t="str">
        <f>VLOOKUP(C603,'Master truck list'!E:G,3,0)</f>
        <v>Company</v>
      </c>
      <c r="G603" s="1">
        <f>VLOOKUP(C603,'Master truck list'!E:R,14,0)</f>
        <v>2581</v>
      </c>
      <c r="H603" t="str">
        <f t="shared" si="247"/>
        <v>12/20/2019 7:00:30 AM</v>
      </c>
      <c r="I603" t="str">
        <f>""</f>
        <v/>
      </c>
      <c r="J603" t="str">
        <f t="shared" si="239"/>
        <v>Elite</v>
      </c>
      <c r="K603" t="str">
        <f t="shared" si="246"/>
        <v>Device</v>
      </c>
      <c r="L603" t="str">
        <f>"777211259"</f>
        <v>777211259</v>
      </c>
      <c r="M603" t="str">
        <f>"16546381"</f>
        <v>16546381</v>
      </c>
      <c r="N603" t="str">
        <f>"19361-20"</f>
        <v>19361-20</v>
      </c>
      <c r="O603" t="str">
        <f t="shared" si="240"/>
        <v>TEXAS</v>
      </c>
      <c r="P603" t="str">
        <f t="shared" si="241"/>
        <v>N A</v>
      </c>
      <c r="Q603" t="str">
        <f t="shared" si="242"/>
        <v>N/A</v>
      </c>
      <c r="R603" t="str">
        <f>"130 MGCRP 11 305"</f>
        <v>130 MGCRP 11 305</v>
      </c>
      <c r="S603" t="str">
        <f>"12/19/2019 2:39:18 PM"</f>
        <v>12/19/2019 2:39:18 PM</v>
      </c>
      <c r="T603" t="str">
        <f t="shared" si="233"/>
        <v>5</v>
      </c>
      <c r="U603" t="str">
        <f t="shared" si="243"/>
        <v>N/A</v>
      </c>
      <c r="V603" t="str">
        <f t="shared" ref="V603:V609" si="248">"5.5500"</f>
        <v>5.5500</v>
      </c>
    </row>
    <row r="604" spans="1:22" x14ac:dyDescent="0.25">
      <c r="A604" s="1" t="str">
        <f t="shared" si="238"/>
        <v>19361</v>
      </c>
      <c r="B604" s="1" t="str">
        <f t="shared" si="244"/>
        <v>19361</v>
      </c>
      <c r="C604" s="1" t="str">
        <f>VLOOKUP(B604,'Master truck list'!D:E,2,0)</f>
        <v>19361-20</v>
      </c>
      <c r="D604" s="1" t="str">
        <f>VLOOKUP(C604,'Master truck list'!E:F,2,0)</f>
        <v>ACTIVE</v>
      </c>
      <c r="E604" s="1" t="str">
        <f>VLOOKUP(C604,'Master truck list'!E:M,9,0)</f>
        <v>BKFS LOGISTICS</v>
      </c>
      <c r="F604" s="1" t="str">
        <f>VLOOKUP(C604,'Master truck list'!E:G,3,0)</f>
        <v>Company</v>
      </c>
      <c r="G604" s="1">
        <f>VLOOKUP(C604,'Master truck list'!E:R,14,0)</f>
        <v>2581</v>
      </c>
      <c r="H604" t="str">
        <f t="shared" si="247"/>
        <v>12/20/2019 7:00:30 AM</v>
      </c>
      <c r="I604" t="str">
        <f>""</f>
        <v/>
      </c>
      <c r="J604" t="str">
        <f t="shared" si="239"/>
        <v>Elite</v>
      </c>
      <c r="K604" t="str">
        <f t="shared" si="246"/>
        <v>Device</v>
      </c>
      <c r="L604" t="str">
        <f>"777211259"</f>
        <v>777211259</v>
      </c>
      <c r="M604" t="str">
        <f>"16546381"</f>
        <v>16546381</v>
      </c>
      <c r="N604" t="str">
        <f>"19361-20"</f>
        <v>19361-20</v>
      </c>
      <c r="O604" t="str">
        <f t="shared" si="240"/>
        <v>TEXAS</v>
      </c>
      <c r="P604" t="str">
        <f t="shared" si="241"/>
        <v>N A</v>
      </c>
      <c r="Q604" t="str">
        <f t="shared" si="242"/>
        <v>N/A</v>
      </c>
      <c r="R604" t="str">
        <f>"130 CMRNP 13 306"</f>
        <v>130 CMRNP 13 306</v>
      </c>
      <c r="S604" t="str">
        <f>"12/19/2019 2:27:52 PM"</f>
        <v>12/19/2019 2:27:52 PM</v>
      </c>
      <c r="T604" t="str">
        <f t="shared" si="233"/>
        <v>5</v>
      </c>
      <c r="U604" t="str">
        <f t="shared" si="243"/>
        <v>N/A</v>
      </c>
      <c r="V604" t="str">
        <f t="shared" si="248"/>
        <v>5.5500</v>
      </c>
    </row>
    <row r="605" spans="1:22" x14ac:dyDescent="0.25">
      <c r="A605" s="1" t="str">
        <f t="shared" si="238"/>
        <v>19361</v>
      </c>
      <c r="B605" s="1" t="str">
        <f t="shared" si="244"/>
        <v>19361</v>
      </c>
      <c r="C605" s="1" t="str">
        <f>VLOOKUP(B605,'Master truck list'!D:E,2,0)</f>
        <v>19361-20</v>
      </c>
      <c r="D605" s="1" t="str">
        <f>VLOOKUP(C605,'Master truck list'!E:F,2,0)</f>
        <v>ACTIVE</v>
      </c>
      <c r="E605" s="1" t="str">
        <f>VLOOKUP(C605,'Master truck list'!E:M,9,0)</f>
        <v>BKFS LOGISTICS</v>
      </c>
      <c r="F605" s="1" t="str">
        <f>VLOOKUP(C605,'Master truck list'!E:G,3,0)</f>
        <v>Company</v>
      </c>
      <c r="G605" s="1">
        <f>VLOOKUP(C605,'Master truck list'!E:R,14,0)</f>
        <v>2581</v>
      </c>
      <c r="H605" t="str">
        <f t="shared" si="247"/>
        <v>12/20/2019 7:00:30 AM</v>
      </c>
      <c r="I605" t="str">
        <f>""</f>
        <v/>
      </c>
      <c r="J605" t="str">
        <f t="shared" si="239"/>
        <v>Elite</v>
      </c>
      <c r="K605" t="str">
        <f t="shared" si="246"/>
        <v>Device</v>
      </c>
      <c r="L605" t="str">
        <f>"777211259"</f>
        <v>777211259</v>
      </c>
      <c r="M605" t="str">
        <f>"16546381"</f>
        <v>16546381</v>
      </c>
      <c r="N605" t="str">
        <f>"19361-20"</f>
        <v>19361-20</v>
      </c>
      <c r="O605" t="str">
        <f t="shared" si="240"/>
        <v>TEXAS</v>
      </c>
      <c r="P605" t="str">
        <f t="shared" si="241"/>
        <v>N A</v>
      </c>
      <c r="Q605" t="str">
        <f t="shared" si="242"/>
        <v>N/A</v>
      </c>
      <c r="R605" t="str">
        <f>"130 ARPTP 09 308"</f>
        <v>130 ARPTP 09 308</v>
      </c>
      <c r="S605" t="str">
        <f>"12/19/2019 2:10:17 PM"</f>
        <v>12/19/2019 2:10:17 PM</v>
      </c>
      <c r="T605" t="str">
        <f t="shared" si="233"/>
        <v>5</v>
      </c>
      <c r="U605" t="str">
        <f t="shared" si="243"/>
        <v>N/A</v>
      </c>
      <c r="V605" t="str">
        <f t="shared" si="248"/>
        <v>5.5500</v>
      </c>
    </row>
    <row r="606" spans="1:22" x14ac:dyDescent="0.25">
      <c r="A606" s="1" t="str">
        <f t="shared" si="238"/>
        <v>19364</v>
      </c>
      <c r="B606" s="1" t="str">
        <f t="shared" si="244"/>
        <v>19364</v>
      </c>
      <c r="C606" s="1" t="str">
        <f>VLOOKUP(B606,'Master truck list'!D:E,2,0)</f>
        <v>19364-20</v>
      </c>
      <c r="D606" s="1" t="str">
        <f>VLOOKUP(C606,'Master truck list'!E:F,2,0)</f>
        <v>ACTIVE</v>
      </c>
      <c r="E606" s="1" t="str">
        <f>VLOOKUP(C606,'Master truck list'!E:M,9,0)</f>
        <v>BKFS LOGISTICS</v>
      </c>
      <c r="F606" s="1" t="str">
        <f>VLOOKUP(C606,'Master truck list'!E:G,3,0)</f>
        <v>Company</v>
      </c>
      <c r="G606" s="1">
        <f>VLOOKUP(C606,'Master truck list'!E:R,14,0)</f>
        <v>2584</v>
      </c>
      <c r="H606" t="str">
        <f t="shared" si="247"/>
        <v>12/20/2019 7:00:30 AM</v>
      </c>
      <c r="I606" t="str">
        <f>""</f>
        <v/>
      </c>
      <c r="J606" t="str">
        <f t="shared" si="239"/>
        <v>Elite</v>
      </c>
      <c r="K606" t="str">
        <f t="shared" si="246"/>
        <v>Device</v>
      </c>
      <c r="L606" t="str">
        <f>"777211310"</f>
        <v>777211310</v>
      </c>
      <c r="M606" t="str">
        <f>"16546432"</f>
        <v>16546432</v>
      </c>
      <c r="N606" t="str">
        <f>"19364-20"</f>
        <v>19364-20</v>
      </c>
      <c r="O606" t="str">
        <f t="shared" si="240"/>
        <v>TEXAS</v>
      </c>
      <c r="P606" t="str">
        <f t="shared" si="241"/>
        <v>N A</v>
      </c>
      <c r="Q606" t="str">
        <f t="shared" si="242"/>
        <v>N/A</v>
      </c>
      <c r="R606" t="str">
        <f>"130 MGCRP 11 305"</f>
        <v>130 MGCRP 11 305</v>
      </c>
      <c r="S606" t="str">
        <f>"12/18/2019 10:24:49 PM"</f>
        <v>12/18/2019 10:24:49 PM</v>
      </c>
      <c r="T606" t="str">
        <f t="shared" si="233"/>
        <v>5</v>
      </c>
      <c r="U606" t="str">
        <f t="shared" si="243"/>
        <v>N/A</v>
      </c>
      <c r="V606" t="str">
        <f t="shared" si="248"/>
        <v>5.5500</v>
      </c>
    </row>
    <row r="607" spans="1:22" x14ac:dyDescent="0.25">
      <c r="A607" s="1" t="str">
        <f t="shared" si="238"/>
        <v>19364</v>
      </c>
      <c r="B607" s="1" t="str">
        <f t="shared" si="244"/>
        <v>19364</v>
      </c>
      <c r="C607" s="1" t="str">
        <f>VLOOKUP(B607,'Master truck list'!D:E,2,0)</f>
        <v>19364-20</v>
      </c>
      <c r="D607" s="1" t="str">
        <f>VLOOKUP(C607,'Master truck list'!E:F,2,0)</f>
        <v>ACTIVE</v>
      </c>
      <c r="E607" s="1" t="str">
        <f>VLOOKUP(C607,'Master truck list'!E:M,9,0)</f>
        <v>BKFS LOGISTICS</v>
      </c>
      <c r="F607" s="1" t="str">
        <f>VLOOKUP(C607,'Master truck list'!E:G,3,0)</f>
        <v>Company</v>
      </c>
      <c r="G607" s="1">
        <f>VLOOKUP(C607,'Master truck list'!E:R,14,0)</f>
        <v>2584</v>
      </c>
      <c r="H607" t="str">
        <f t="shared" si="247"/>
        <v>12/20/2019 7:00:30 AM</v>
      </c>
      <c r="I607" t="str">
        <f>""</f>
        <v/>
      </c>
      <c r="J607" t="str">
        <f t="shared" si="239"/>
        <v>Elite</v>
      </c>
      <c r="K607" t="str">
        <f t="shared" si="246"/>
        <v>Device</v>
      </c>
      <c r="L607" t="str">
        <f>"777211310"</f>
        <v>777211310</v>
      </c>
      <c r="M607" t="str">
        <f>"16546432"</f>
        <v>16546432</v>
      </c>
      <c r="N607" t="str">
        <f>"19364-20"</f>
        <v>19364-20</v>
      </c>
      <c r="O607" t="str">
        <f t="shared" si="240"/>
        <v>TEXAS</v>
      </c>
      <c r="P607" t="str">
        <f t="shared" si="241"/>
        <v>N A</v>
      </c>
      <c r="Q607" t="str">
        <f t="shared" si="242"/>
        <v>N/A</v>
      </c>
      <c r="R607" t="str">
        <f>"130 DKCRP 11 307"</f>
        <v>130 DKCRP 11 307</v>
      </c>
      <c r="S607" t="str">
        <f>"12/18/2019 10:02:43 PM"</f>
        <v>12/18/2019 10:02:43 PM</v>
      </c>
      <c r="T607" t="str">
        <f t="shared" si="233"/>
        <v>5</v>
      </c>
      <c r="U607" t="str">
        <f t="shared" si="243"/>
        <v>N/A</v>
      </c>
      <c r="V607" t="str">
        <f t="shared" si="248"/>
        <v>5.5500</v>
      </c>
    </row>
    <row r="608" spans="1:22" x14ac:dyDescent="0.25">
      <c r="A608" s="1" t="str">
        <f t="shared" si="238"/>
        <v>19364</v>
      </c>
      <c r="B608" s="1" t="str">
        <f t="shared" si="244"/>
        <v>19364</v>
      </c>
      <c r="C608" s="1" t="str">
        <f>VLOOKUP(B608,'Master truck list'!D:E,2,0)</f>
        <v>19364-20</v>
      </c>
      <c r="D608" s="1" t="str">
        <f>VLOOKUP(C608,'Master truck list'!E:F,2,0)</f>
        <v>ACTIVE</v>
      </c>
      <c r="E608" s="1" t="str">
        <f>VLOOKUP(C608,'Master truck list'!E:M,9,0)</f>
        <v>BKFS LOGISTICS</v>
      </c>
      <c r="F608" s="1" t="str">
        <f>VLOOKUP(C608,'Master truck list'!E:G,3,0)</f>
        <v>Company</v>
      </c>
      <c r="G608" s="1">
        <f>VLOOKUP(C608,'Master truck list'!E:R,14,0)</f>
        <v>2584</v>
      </c>
      <c r="H608" t="str">
        <f t="shared" si="247"/>
        <v>12/20/2019 7:00:30 AM</v>
      </c>
      <c r="I608" t="str">
        <f>""</f>
        <v/>
      </c>
      <c r="J608" t="str">
        <f t="shared" si="239"/>
        <v>Elite</v>
      </c>
      <c r="K608" t="str">
        <f t="shared" si="246"/>
        <v>Device</v>
      </c>
      <c r="L608" t="str">
        <f>"777211310"</f>
        <v>777211310</v>
      </c>
      <c r="M608" t="str">
        <f>"16546432"</f>
        <v>16546432</v>
      </c>
      <c r="N608" t="str">
        <f>"19364-20"</f>
        <v>19364-20</v>
      </c>
      <c r="O608" t="str">
        <f t="shared" si="240"/>
        <v>TEXAS</v>
      </c>
      <c r="P608" t="str">
        <f t="shared" si="241"/>
        <v>N A</v>
      </c>
      <c r="Q608" t="str">
        <f t="shared" si="242"/>
        <v>N/A</v>
      </c>
      <c r="R608" t="str">
        <f>"130 ARPTP 09 308"</f>
        <v>130 ARPTP 09 308</v>
      </c>
      <c r="S608" t="str">
        <f>"12/18/2019 9:55:30 PM"</f>
        <v>12/18/2019 9:55:30 PM</v>
      </c>
      <c r="T608" t="str">
        <f t="shared" si="233"/>
        <v>5</v>
      </c>
      <c r="U608" t="str">
        <f t="shared" si="243"/>
        <v>N/A</v>
      </c>
      <c r="V608" t="str">
        <f t="shared" si="248"/>
        <v>5.5500</v>
      </c>
    </row>
    <row r="609" spans="1:22" x14ac:dyDescent="0.25">
      <c r="A609" s="1" t="str">
        <f t="shared" si="238"/>
        <v>19364</v>
      </c>
      <c r="B609" s="1" t="str">
        <f t="shared" si="244"/>
        <v>19364</v>
      </c>
      <c r="C609" s="1" t="str">
        <f>VLOOKUP(B609,'Master truck list'!D:E,2,0)</f>
        <v>19364-20</v>
      </c>
      <c r="D609" s="1" t="str">
        <f>VLOOKUP(C609,'Master truck list'!E:F,2,0)</f>
        <v>ACTIVE</v>
      </c>
      <c r="E609" s="1" t="str">
        <f>VLOOKUP(C609,'Master truck list'!E:M,9,0)</f>
        <v>BKFS LOGISTICS</v>
      </c>
      <c r="F609" s="1" t="str">
        <f>VLOOKUP(C609,'Master truck list'!E:G,3,0)</f>
        <v>Company</v>
      </c>
      <c r="G609" s="1">
        <f>VLOOKUP(C609,'Master truck list'!E:R,14,0)</f>
        <v>2584</v>
      </c>
      <c r="H609" t="str">
        <f t="shared" si="247"/>
        <v>12/20/2019 7:00:30 AM</v>
      </c>
      <c r="I609" t="str">
        <f>""</f>
        <v/>
      </c>
      <c r="J609" t="str">
        <f t="shared" si="239"/>
        <v>Elite</v>
      </c>
      <c r="K609" t="str">
        <f t="shared" si="246"/>
        <v>Device</v>
      </c>
      <c r="L609" t="str">
        <f>"777211310"</f>
        <v>777211310</v>
      </c>
      <c r="M609" t="str">
        <f>"16546432"</f>
        <v>16546432</v>
      </c>
      <c r="N609" t="str">
        <f>"19364-20"</f>
        <v>19364-20</v>
      </c>
      <c r="O609" t="str">
        <f t="shared" si="240"/>
        <v>TEXAS</v>
      </c>
      <c r="P609" t="str">
        <f t="shared" si="241"/>
        <v>N A</v>
      </c>
      <c r="Q609" t="str">
        <f t="shared" si="242"/>
        <v>N/A</v>
      </c>
      <c r="R609" t="str">
        <f>"130 CMRNP 13 306"</f>
        <v>130 CMRNP 13 306</v>
      </c>
      <c r="S609" t="str">
        <f>"12/18/2019 10:13:20 PM"</f>
        <v>12/18/2019 10:13:20 PM</v>
      </c>
      <c r="T609" t="str">
        <f t="shared" si="233"/>
        <v>5</v>
      </c>
      <c r="U609" t="str">
        <f t="shared" si="243"/>
        <v>N/A</v>
      </c>
      <c r="V609" t="str">
        <f t="shared" si="248"/>
        <v>5.5500</v>
      </c>
    </row>
    <row r="610" spans="1:22" x14ac:dyDescent="0.25">
      <c r="A610" s="1" t="str">
        <f t="shared" si="238"/>
        <v>19364</v>
      </c>
      <c r="B610" s="1" t="str">
        <f t="shared" si="244"/>
        <v>19364</v>
      </c>
      <c r="C610" s="1" t="str">
        <f>VLOOKUP(B610,'Master truck list'!D:E,2,0)</f>
        <v>19364-20</v>
      </c>
      <c r="D610" s="1" t="str">
        <f>VLOOKUP(C610,'Master truck list'!E:F,2,0)</f>
        <v>ACTIVE</v>
      </c>
      <c r="E610" s="1" t="str">
        <f>VLOOKUP(C610,'Master truck list'!E:M,9,0)</f>
        <v>BKFS LOGISTICS</v>
      </c>
      <c r="F610" s="1" t="str">
        <f>VLOOKUP(C610,'Master truck list'!E:G,3,0)</f>
        <v>Company</v>
      </c>
      <c r="G610" s="1">
        <f>VLOOKUP(C610,'Master truck list'!E:R,14,0)</f>
        <v>2584</v>
      </c>
      <c r="H610" t="str">
        <f>"12/19/2019 7:00:35 AM"</f>
        <v>12/19/2019 7:00:35 AM</v>
      </c>
      <c r="I610" t="str">
        <f>""</f>
        <v/>
      </c>
      <c r="J610" t="str">
        <f t="shared" si="239"/>
        <v>Elite</v>
      </c>
      <c r="K610" t="str">
        <f t="shared" si="246"/>
        <v>Device</v>
      </c>
      <c r="L610" t="str">
        <f>"777211310"</f>
        <v>777211310</v>
      </c>
      <c r="M610" t="str">
        <f>"16546432"</f>
        <v>16546432</v>
      </c>
      <c r="N610" t="str">
        <f>"19364-20"</f>
        <v>19364-20</v>
      </c>
      <c r="O610" t="str">
        <f t="shared" si="240"/>
        <v>TEXAS</v>
      </c>
      <c r="P610" t="str">
        <f t="shared" si="241"/>
        <v>N A</v>
      </c>
      <c r="Q610" t="str">
        <f t="shared" si="242"/>
        <v>N/A</v>
      </c>
      <c r="R610" t="str">
        <f>"45SE MLPEB 02 611"</f>
        <v>45SE MLPEB 02 611</v>
      </c>
      <c r="S610" t="str">
        <f>"12/18/2019 9:41:26 PM"</f>
        <v>12/18/2019 9:41:26 PM</v>
      </c>
      <c r="T610" t="str">
        <f t="shared" si="233"/>
        <v>5</v>
      </c>
      <c r="U610" t="str">
        <f t="shared" si="243"/>
        <v>N/A</v>
      </c>
      <c r="V610" t="str">
        <f>"3.3000"</f>
        <v>3.3000</v>
      </c>
    </row>
    <row r="611" spans="1:22" x14ac:dyDescent="0.25">
      <c r="A611" s="1" t="str">
        <f t="shared" si="238"/>
        <v>5121-</v>
      </c>
      <c r="B611" s="1" t="str">
        <f t="shared" si="244"/>
        <v>5121-</v>
      </c>
      <c r="C611" s="1" t="str">
        <f>VLOOKUP(B611,'Master truck list'!D:E,2,0)</f>
        <v>5121-20T</v>
      </c>
      <c r="D611" s="1" t="str">
        <f>VLOOKUP(C611,'Master truck list'!E:F,2,0)</f>
        <v>ACTIVE</v>
      </c>
      <c r="E611" s="1" t="str">
        <f>VLOOKUP(C611,'Master truck list'!E:M,9,0)</f>
        <v>BNK TRANSPORT INC</v>
      </c>
      <c r="F611" s="1" t="str">
        <f>VLOOKUP(C611,'Master truck list'!E:G,3,0)</f>
        <v>Company</v>
      </c>
      <c r="G611" s="1">
        <f>VLOOKUP(C611,'Master truck list'!E:R,14,0)</f>
        <v>2610</v>
      </c>
      <c r="H611" t="str">
        <f>"12/21/2019 7:00:28 AM"</f>
        <v>12/21/2019 7:00:28 AM</v>
      </c>
      <c r="I611" t="str">
        <f>""</f>
        <v/>
      </c>
      <c r="J611" t="str">
        <f t="shared" si="239"/>
        <v>Elite</v>
      </c>
      <c r="K611" t="str">
        <f t="shared" si="246"/>
        <v>Device</v>
      </c>
      <c r="L611" t="str">
        <f>"777254325"</f>
        <v>777254325</v>
      </c>
      <c r="M611" t="str">
        <f>"16722207"</f>
        <v>16722207</v>
      </c>
      <c r="N611" t="str">
        <f>"5121-20T"</f>
        <v>5121-20T</v>
      </c>
      <c r="O611" t="str">
        <f t="shared" si="240"/>
        <v>TEXAS</v>
      </c>
      <c r="P611" t="str">
        <f t="shared" si="241"/>
        <v>N A</v>
      </c>
      <c r="Q611" t="str">
        <f t="shared" si="242"/>
        <v>N/A</v>
      </c>
      <c r="R611" t="str">
        <f>"130 ARPTP 04 308"</f>
        <v>130 ARPTP 04 308</v>
      </c>
      <c r="S611" t="str">
        <f>"12/20/2019 9:55:46 AM"</f>
        <v>12/20/2019 9:55:46 AM</v>
      </c>
      <c r="T611" t="str">
        <f>"2"</f>
        <v>2</v>
      </c>
      <c r="U611" t="str">
        <f t="shared" si="243"/>
        <v>N/A</v>
      </c>
      <c r="V611" t="str">
        <f>"1.8500"</f>
        <v>1.8500</v>
      </c>
    </row>
    <row r="612" spans="1:22" x14ac:dyDescent="0.25">
      <c r="A612" s="1" t="str">
        <f t="shared" si="238"/>
        <v>5121-</v>
      </c>
      <c r="B612" s="1" t="str">
        <f t="shared" si="244"/>
        <v>5121-</v>
      </c>
      <c r="C612" s="1" t="str">
        <f>VLOOKUP(B612,'Master truck list'!D:E,2,0)</f>
        <v>5121-20T</v>
      </c>
      <c r="D612" s="1" t="str">
        <f>VLOOKUP(C612,'Master truck list'!E:F,2,0)</f>
        <v>ACTIVE</v>
      </c>
      <c r="E612" s="1" t="str">
        <f>VLOOKUP(C612,'Master truck list'!E:M,9,0)</f>
        <v>BNK TRANSPORT INC</v>
      </c>
      <c r="F612" s="1" t="str">
        <f>VLOOKUP(C612,'Master truck list'!E:G,3,0)</f>
        <v>Company</v>
      </c>
      <c r="G612" s="1">
        <f>VLOOKUP(C612,'Master truck list'!E:R,14,0)</f>
        <v>2610</v>
      </c>
      <c r="H612" t="str">
        <f>"12/21/2019 7:00:28 AM"</f>
        <v>12/21/2019 7:00:28 AM</v>
      </c>
      <c r="I612" t="str">
        <f>""</f>
        <v/>
      </c>
      <c r="J612" t="str">
        <f t="shared" si="239"/>
        <v>Elite</v>
      </c>
      <c r="K612" t="str">
        <f t="shared" si="246"/>
        <v>Device</v>
      </c>
      <c r="L612" t="str">
        <f>"777254325"</f>
        <v>777254325</v>
      </c>
      <c r="M612" t="str">
        <f>"16722207"</f>
        <v>16722207</v>
      </c>
      <c r="N612" t="str">
        <f>"5121-20T"</f>
        <v>5121-20T</v>
      </c>
      <c r="O612" t="str">
        <f t="shared" si="240"/>
        <v>TEXAS</v>
      </c>
      <c r="P612" t="str">
        <f t="shared" si="241"/>
        <v>N A</v>
      </c>
      <c r="Q612" t="str">
        <f t="shared" si="242"/>
        <v>N/A</v>
      </c>
      <c r="R612" t="str">
        <f>"130 MGCRP 07 305"</f>
        <v>130 MGCRP 07 305</v>
      </c>
      <c r="S612" t="str">
        <f>"12/20/2019 9:27:44 AM"</f>
        <v>12/20/2019 9:27:44 AM</v>
      </c>
      <c r="T612" t="str">
        <f t="shared" ref="T612:T652" si="249">"5"</f>
        <v>5</v>
      </c>
      <c r="U612" t="str">
        <f t="shared" si="243"/>
        <v>N/A</v>
      </c>
      <c r="V612" t="str">
        <f>"5.5500"</f>
        <v>5.5500</v>
      </c>
    </row>
    <row r="613" spans="1:22" x14ac:dyDescent="0.25">
      <c r="A613" s="1" t="str">
        <f t="shared" si="238"/>
        <v>5121-</v>
      </c>
      <c r="B613" s="1" t="str">
        <f t="shared" si="244"/>
        <v>5121-</v>
      </c>
      <c r="C613" s="1" t="str">
        <f>VLOOKUP(B613,'Master truck list'!D:E,2,0)</f>
        <v>5121-20T</v>
      </c>
      <c r="D613" s="1" t="str">
        <f>VLOOKUP(C613,'Master truck list'!E:F,2,0)</f>
        <v>ACTIVE</v>
      </c>
      <c r="E613" s="1" t="str">
        <f>VLOOKUP(C613,'Master truck list'!E:M,9,0)</f>
        <v>BNK TRANSPORT INC</v>
      </c>
      <c r="F613" s="1" t="str">
        <f>VLOOKUP(C613,'Master truck list'!E:G,3,0)</f>
        <v>Company</v>
      </c>
      <c r="G613" s="1">
        <f>VLOOKUP(C613,'Master truck list'!E:R,14,0)</f>
        <v>2610</v>
      </c>
      <c r="H613" t="str">
        <f>"12/21/2019 7:00:28 AM"</f>
        <v>12/21/2019 7:00:28 AM</v>
      </c>
      <c r="I613" t="str">
        <f>""</f>
        <v/>
      </c>
      <c r="J613" t="str">
        <f t="shared" si="239"/>
        <v>Elite</v>
      </c>
      <c r="K613" t="str">
        <f t="shared" si="246"/>
        <v>Device</v>
      </c>
      <c r="L613" t="str">
        <f>"777254325"</f>
        <v>777254325</v>
      </c>
      <c r="M613" t="str">
        <f>"16722207"</f>
        <v>16722207</v>
      </c>
      <c r="N613" t="str">
        <f>"5121-20T"</f>
        <v>5121-20T</v>
      </c>
      <c r="O613" t="str">
        <f t="shared" si="240"/>
        <v>TEXAS</v>
      </c>
      <c r="P613" t="str">
        <f t="shared" si="241"/>
        <v>N A</v>
      </c>
      <c r="Q613" t="str">
        <f t="shared" si="242"/>
        <v>N/A</v>
      </c>
      <c r="R613" t="str">
        <f>"130 CMRNP 08 306"</f>
        <v>130 CMRNP 08 306</v>
      </c>
      <c r="S613" t="str">
        <f>"12/20/2019 9:38:44 AM"</f>
        <v>12/20/2019 9:38:44 AM</v>
      </c>
      <c r="T613" t="str">
        <f t="shared" si="249"/>
        <v>5</v>
      </c>
      <c r="U613" t="str">
        <f t="shared" si="243"/>
        <v>N/A</v>
      </c>
      <c r="V613" t="str">
        <f>"5.5500"</f>
        <v>5.5500</v>
      </c>
    </row>
    <row r="614" spans="1:22" x14ac:dyDescent="0.25">
      <c r="A614" s="1" t="str">
        <f t="shared" si="238"/>
        <v>5121-</v>
      </c>
      <c r="B614" s="1" t="str">
        <f t="shared" si="244"/>
        <v>5121-</v>
      </c>
      <c r="C614" s="1" t="str">
        <f>VLOOKUP(B614,'Master truck list'!D:E,2,0)</f>
        <v>5121-20T</v>
      </c>
      <c r="D614" s="1" t="str">
        <f>VLOOKUP(C614,'Master truck list'!E:F,2,0)</f>
        <v>ACTIVE</v>
      </c>
      <c r="E614" s="1" t="str">
        <f>VLOOKUP(C614,'Master truck list'!E:M,9,0)</f>
        <v>BNK TRANSPORT INC</v>
      </c>
      <c r="F614" s="1" t="str">
        <f>VLOOKUP(C614,'Master truck list'!E:G,3,0)</f>
        <v>Company</v>
      </c>
      <c r="G614" s="1">
        <f>VLOOKUP(C614,'Master truck list'!E:R,14,0)</f>
        <v>2610</v>
      </c>
      <c r="H614" t="str">
        <f>"12/21/2019 7:00:28 AM"</f>
        <v>12/21/2019 7:00:28 AM</v>
      </c>
      <c r="I614" t="str">
        <f>""</f>
        <v/>
      </c>
      <c r="J614" t="str">
        <f t="shared" si="239"/>
        <v>Elite</v>
      </c>
      <c r="K614" t="str">
        <f t="shared" si="246"/>
        <v>Device</v>
      </c>
      <c r="L614" t="str">
        <f>"777254325"</f>
        <v>777254325</v>
      </c>
      <c r="M614" t="str">
        <f>"16722207"</f>
        <v>16722207</v>
      </c>
      <c r="N614" t="str">
        <f>"5121-20T"</f>
        <v>5121-20T</v>
      </c>
      <c r="O614" t="str">
        <f t="shared" si="240"/>
        <v>TEXAS</v>
      </c>
      <c r="P614" t="str">
        <f t="shared" si="241"/>
        <v>N A</v>
      </c>
      <c r="Q614" t="str">
        <f t="shared" si="242"/>
        <v>N/A</v>
      </c>
      <c r="R614" t="str">
        <f>"130 DKCRP 06 307"</f>
        <v>130 DKCRP 06 307</v>
      </c>
      <c r="S614" t="str">
        <f>"12/20/2019 9:48:48 AM"</f>
        <v>12/20/2019 9:48:48 AM</v>
      </c>
      <c r="T614" t="str">
        <f t="shared" si="249"/>
        <v>5</v>
      </c>
      <c r="U614" t="str">
        <f t="shared" si="243"/>
        <v>N/A</v>
      </c>
      <c r="V614" t="str">
        <f>"5.5500"</f>
        <v>5.5500</v>
      </c>
    </row>
    <row r="615" spans="1:22" x14ac:dyDescent="0.25">
      <c r="A615" s="1" t="str">
        <f t="shared" si="238"/>
        <v>5123-</v>
      </c>
      <c r="B615" s="1" t="str">
        <f t="shared" si="244"/>
        <v>5123-</v>
      </c>
      <c r="C615" s="1" t="str">
        <f>VLOOKUP(B615,'Master truck list'!D:E,2,0)</f>
        <v>5123-20T</v>
      </c>
      <c r="D615" s="1" t="str">
        <f>VLOOKUP(C615,'Master truck list'!E:F,2,0)</f>
        <v>OUT OF SERVICE</v>
      </c>
      <c r="E615" s="1" t="str">
        <f>VLOOKUP(C615,'Master truck list'!E:M,9,0)</f>
        <v>BNK TRANSPORT INC</v>
      </c>
      <c r="F615" s="1" t="str">
        <f>VLOOKUP(C615,'Master truck list'!E:G,3,0)</f>
        <v>Company</v>
      </c>
      <c r="G615" s="1">
        <f>VLOOKUP(C615,'Master truck list'!E:R,14,0)</f>
        <v>2612</v>
      </c>
      <c r="H615" t="str">
        <f>"12/18/2019 7:00:28 AM"</f>
        <v>12/18/2019 7:00:28 AM</v>
      </c>
      <c r="I615" t="str">
        <f>""</f>
        <v/>
      </c>
      <c r="J615" t="str">
        <f t="shared" si="239"/>
        <v>Elite</v>
      </c>
      <c r="K615" t="str">
        <f t="shared" si="246"/>
        <v>Device</v>
      </c>
      <c r="L615" t="str">
        <f>"777254311"</f>
        <v>777254311</v>
      </c>
      <c r="M615" t="str">
        <f>"16722193"</f>
        <v>16722193</v>
      </c>
      <c r="N615" t="str">
        <f>"5123-20T"</f>
        <v>5123-20T</v>
      </c>
      <c r="O615" t="str">
        <f t="shared" si="240"/>
        <v>TEXAS</v>
      </c>
      <c r="P615" t="str">
        <f t="shared" si="241"/>
        <v>N A</v>
      </c>
      <c r="Q615" t="str">
        <f t="shared" si="242"/>
        <v>N/A</v>
      </c>
      <c r="R615" t="str">
        <f>"130 CMRNP 13 306"</f>
        <v>130 CMRNP 13 306</v>
      </c>
      <c r="S615" t="str">
        <f>"12/17/2019 4:17:22 PM"</f>
        <v>12/17/2019 4:17:22 PM</v>
      </c>
      <c r="T615" t="str">
        <f t="shared" si="249"/>
        <v>5</v>
      </c>
      <c r="U615" t="str">
        <f t="shared" si="243"/>
        <v>N/A</v>
      </c>
      <c r="V615" t="str">
        <f>"5.5500"</f>
        <v>5.5500</v>
      </c>
    </row>
    <row r="616" spans="1:22" x14ac:dyDescent="0.25">
      <c r="A616" s="1" t="str">
        <f t="shared" si="238"/>
        <v>5123-</v>
      </c>
      <c r="B616" s="1" t="str">
        <f t="shared" si="244"/>
        <v>5123-</v>
      </c>
      <c r="C616" s="1" t="str">
        <f>VLOOKUP(B616,'Master truck list'!D:E,2,0)</f>
        <v>5123-20T</v>
      </c>
      <c r="D616" s="1" t="str">
        <f>VLOOKUP(C616,'Master truck list'!E:F,2,0)</f>
        <v>OUT OF SERVICE</v>
      </c>
      <c r="E616" s="1" t="str">
        <f>VLOOKUP(C616,'Master truck list'!E:M,9,0)</f>
        <v>BNK TRANSPORT INC</v>
      </c>
      <c r="F616" s="1" t="str">
        <f>VLOOKUP(C616,'Master truck list'!E:G,3,0)</f>
        <v>Company</v>
      </c>
      <c r="G616" s="1">
        <f>VLOOKUP(C616,'Master truck list'!E:R,14,0)</f>
        <v>2612</v>
      </c>
      <c r="H616" t="str">
        <f>"12/18/2019 7:00:28 AM"</f>
        <v>12/18/2019 7:00:28 AM</v>
      </c>
      <c r="I616" t="str">
        <f>""</f>
        <v/>
      </c>
      <c r="J616" t="str">
        <f t="shared" si="239"/>
        <v>Elite</v>
      </c>
      <c r="K616" t="str">
        <f t="shared" si="246"/>
        <v>Device</v>
      </c>
      <c r="L616" t="str">
        <f>"777254311"</f>
        <v>777254311</v>
      </c>
      <c r="M616" t="str">
        <f>"16722193"</f>
        <v>16722193</v>
      </c>
      <c r="N616" t="str">
        <f>"5123-20T"</f>
        <v>5123-20T</v>
      </c>
      <c r="O616" t="str">
        <f t="shared" si="240"/>
        <v>TEXAS</v>
      </c>
      <c r="P616" t="str">
        <f t="shared" si="241"/>
        <v>N A</v>
      </c>
      <c r="Q616" t="str">
        <f t="shared" si="242"/>
        <v>N/A</v>
      </c>
      <c r="R616" t="str">
        <f>"130 DKCRP 11 307"</f>
        <v>130 DKCRP 11 307</v>
      </c>
      <c r="S616" t="str">
        <f>"12/17/2019 4:07:02 PM"</f>
        <v>12/17/2019 4:07:02 PM</v>
      </c>
      <c r="T616" t="str">
        <f t="shared" si="249"/>
        <v>5</v>
      </c>
      <c r="U616" t="str">
        <f t="shared" si="243"/>
        <v>N/A</v>
      </c>
      <c r="V616" t="str">
        <f>"5.5500"</f>
        <v>5.5500</v>
      </c>
    </row>
    <row r="617" spans="1:22" x14ac:dyDescent="0.25">
      <c r="A617" s="1" t="str">
        <f t="shared" si="238"/>
        <v>5123-</v>
      </c>
      <c r="B617" s="1" t="str">
        <f t="shared" si="244"/>
        <v>5123-</v>
      </c>
      <c r="C617" s="1" t="str">
        <f>VLOOKUP(B617,'Master truck list'!D:E,2,0)</f>
        <v>5123-20T</v>
      </c>
      <c r="D617" s="1" t="str">
        <f>VLOOKUP(C617,'Master truck list'!E:F,2,0)</f>
        <v>OUT OF SERVICE</v>
      </c>
      <c r="E617" s="1" t="str">
        <f>VLOOKUP(C617,'Master truck list'!E:M,9,0)</f>
        <v>BNK TRANSPORT INC</v>
      </c>
      <c r="F617" s="1" t="str">
        <f>VLOOKUP(C617,'Master truck list'!E:G,3,0)</f>
        <v>Company</v>
      </c>
      <c r="G617" s="1">
        <f>VLOOKUP(C617,'Master truck list'!E:R,14,0)</f>
        <v>2612</v>
      </c>
      <c r="H617" t="str">
        <f>"12/18/2019 7:00:28 AM"</f>
        <v>12/18/2019 7:00:28 AM</v>
      </c>
      <c r="I617" t="str">
        <f>""</f>
        <v/>
      </c>
      <c r="J617" t="str">
        <f t="shared" si="239"/>
        <v>Elite</v>
      </c>
      <c r="K617" t="str">
        <f t="shared" si="246"/>
        <v>Device</v>
      </c>
      <c r="L617" t="str">
        <f>"777254311"</f>
        <v>777254311</v>
      </c>
      <c r="M617" t="str">
        <f>"16722193"</f>
        <v>16722193</v>
      </c>
      <c r="N617" t="str">
        <f>"5123-20T"</f>
        <v>5123-20T</v>
      </c>
      <c r="O617" t="str">
        <f t="shared" si="240"/>
        <v>TEXAS</v>
      </c>
      <c r="P617" t="str">
        <f t="shared" si="241"/>
        <v>N A</v>
      </c>
      <c r="Q617" t="str">
        <f t="shared" si="242"/>
        <v>N/A</v>
      </c>
      <c r="R617" t="str">
        <f>"45SE MLPEB 02 611"</f>
        <v>45SE MLPEB 02 611</v>
      </c>
      <c r="S617" t="str">
        <f>"12/17/2019 3:49:24 PM"</f>
        <v>12/17/2019 3:49:24 PM</v>
      </c>
      <c r="T617" t="str">
        <f t="shared" si="249"/>
        <v>5</v>
      </c>
      <c r="U617" t="str">
        <f t="shared" si="243"/>
        <v>N/A</v>
      </c>
      <c r="V617" t="str">
        <f>"3.3000"</f>
        <v>3.3000</v>
      </c>
    </row>
    <row r="618" spans="1:22" x14ac:dyDescent="0.25">
      <c r="A618" s="1" t="str">
        <f t="shared" si="238"/>
        <v>5123-</v>
      </c>
      <c r="B618" s="1" t="str">
        <f t="shared" si="244"/>
        <v>5123-</v>
      </c>
      <c r="C618" s="1" t="str">
        <f>VLOOKUP(B618,'Master truck list'!D:E,2,0)</f>
        <v>5123-20T</v>
      </c>
      <c r="D618" s="1" t="str">
        <f>VLOOKUP(C618,'Master truck list'!E:F,2,0)</f>
        <v>OUT OF SERVICE</v>
      </c>
      <c r="E618" s="1" t="str">
        <f>VLOOKUP(C618,'Master truck list'!E:M,9,0)</f>
        <v>BNK TRANSPORT INC</v>
      </c>
      <c r="F618" s="1" t="str">
        <f>VLOOKUP(C618,'Master truck list'!E:G,3,0)</f>
        <v>Company</v>
      </c>
      <c r="G618" s="1">
        <f>VLOOKUP(C618,'Master truck list'!E:R,14,0)</f>
        <v>2612</v>
      </c>
      <c r="H618" t="str">
        <f>"12/18/2019 7:00:28 AM"</f>
        <v>12/18/2019 7:00:28 AM</v>
      </c>
      <c r="I618" t="str">
        <f>""</f>
        <v/>
      </c>
      <c r="J618" t="str">
        <f t="shared" si="239"/>
        <v>Elite</v>
      </c>
      <c r="K618" t="str">
        <f t="shared" si="246"/>
        <v>Device</v>
      </c>
      <c r="L618" t="str">
        <f>"777254311"</f>
        <v>777254311</v>
      </c>
      <c r="M618" t="str">
        <f>"16722193"</f>
        <v>16722193</v>
      </c>
      <c r="N618" t="str">
        <f>"5123-20T"</f>
        <v>5123-20T</v>
      </c>
      <c r="O618" t="str">
        <f t="shared" si="240"/>
        <v>TEXAS</v>
      </c>
      <c r="P618" t="str">
        <f t="shared" si="241"/>
        <v>N A</v>
      </c>
      <c r="Q618" t="str">
        <f t="shared" si="242"/>
        <v>N/A</v>
      </c>
      <c r="R618" t="str">
        <f>"130 MGCRP 11 305"</f>
        <v>130 MGCRP 11 305</v>
      </c>
      <c r="S618" t="str">
        <f>"12/17/2019 4:28:30 PM"</f>
        <v>12/17/2019 4:28:30 PM</v>
      </c>
      <c r="T618" t="str">
        <f t="shared" si="249"/>
        <v>5</v>
      </c>
      <c r="U618" t="str">
        <f t="shared" si="243"/>
        <v>N/A</v>
      </c>
      <c r="V618" t="str">
        <f>"5.5500"</f>
        <v>5.5500</v>
      </c>
    </row>
    <row r="619" spans="1:22" x14ac:dyDescent="0.25">
      <c r="A619" s="1" t="str">
        <f t="shared" si="238"/>
        <v>5123-</v>
      </c>
      <c r="B619" s="1" t="str">
        <f t="shared" si="244"/>
        <v>5123-</v>
      </c>
      <c r="C619" s="1" t="str">
        <f>VLOOKUP(B619,'Master truck list'!D:E,2,0)</f>
        <v>5123-20T</v>
      </c>
      <c r="D619" s="1" t="str">
        <f>VLOOKUP(C619,'Master truck list'!E:F,2,0)</f>
        <v>OUT OF SERVICE</v>
      </c>
      <c r="E619" s="1" t="str">
        <f>VLOOKUP(C619,'Master truck list'!E:M,9,0)</f>
        <v>BNK TRANSPORT INC</v>
      </c>
      <c r="F619" s="1" t="str">
        <f>VLOOKUP(C619,'Master truck list'!E:G,3,0)</f>
        <v>Company</v>
      </c>
      <c r="G619" s="1">
        <f>VLOOKUP(C619,'Master truck list'!E:R,14,0)</f>
        <v>2612</v>
      </c>
      <c r="H619" t="str">
        <f>"12/18/2019 7:00:28 AM"</f>
        <v>12/18/2019 7:00:28 AM</v>
      </c>
      <c r="I619" t="str">
        <f>""</f>
        <v/>
      </c>
      <c r="J619" t="str">
        <f t="shared" si="239"/>
        <v>Elite</v>
      </c>
      <c r="K619" t="str">
        <f t="shared" si="246"/>
        <v>Device</v>
      </c>
      <c r="L619" t="str">
        <f>"777254311"</f>
        <v>777254311</v>
      </c>
      <c r="M619" t="str">
        <f>"16722193"</f>
        <v>16722193</v>
      </c>
      <c r="N619" t="str">
        <f>"5123-20T"</f>
        <v>5123-20T</v>
      </c>
      <c r="O619" t="str">
        <f t="shared" si="240"/>
        <v>TEXAS</v>
      </c>
      <c r="P619" t="str">
        <f t="shared" si="241"/>
        <v>N A</v>
      </c>
      <c r="Q619" t="str">
        <f t="shared" si="242"/>
        <v>N/A</v>
      </c>
      <c r="R619" t="str">
        <f>"130 ARPTP 09 308"</f>
        <v>130 ARPTP 09 308</v>
      </c>
      <c r="S619" t="str">
        <f>"12/17/2019 4:00:01 PM"</f>
        <v>12/17/2019 4:00:01 PM</v>
      </c>
      <c r="T619" t="str">
        <f t="shared" si="249"/>
        <v>5</v>
      </c>
      <c r="U619" t="str">
        <f t="shared" si="243"/>
        <v>N/A</v>
      </c>
      <c r="V619" t="str">
        <f>"5.5500"</f>
        <v>5.5500</v>
      </c>
    </row>
    <row r="620" spans="1:22" x14ac:dyDescent="0.25">
      <c r="A620" s="1" t="str">
        <f t="shared" si="238"/>
        <v>5106-</v>
      </c>
      <c r="B620" s="1" t="str">
        <f t="shared" si="244"/>
        <v>5106-</v>
      </c>
      <c r="C620" s="1" t="str">
        <f>VLOOKUP(B620,'Master truck list'!D:E,2,0)</f>
        <v>5106-20</v>
      </c>
      <c r="D620" s="1" t="str">
        <f>VLOOKUP(C620,'Master truck list'!E:F,2,0)</f>
        <v>ACTIVE</v>
      </c>
      <c r="E620" s="1" t="str">
        <f>VLOOKUP(C620,'Master truck list'!E:M,9,0)</f>
        <v>BNK TRANSPORT INC</v>
      </c>
      <c r="F620" s="1" t="str">
        <f>VLOOKUP(C620,'Master truck list'!E:G,3,0)</f>
        <v>Company</v>
      </c>
      <c r="G620" s="1">
        <f>VLOOKUP(C620,'Master truck list'!E:R,14,0)</f>
        <v>2526</v>
      </c>
      <c r="H620" t="str">
        <f t="shared" ref="H620:H634" si="250">"12/20/2019 7:00:30 AM"</f>
        <v>12/20/2019 7:00:30 AM</v>
      </c>
      <c r="I620" t="str">
        <f>""</f>
        <v/>
      </c>
      <c r="J620" t="str">
        <f t="shared" si="239"/>
        <v>Elite</v>
      </c>
      <c r="K620" t="str">
        <f t="shared" si="246"/>
        <v>Device</v>
      </c>
      <c r="L620" t="str">
        <f t="shared" ref="L620:L629" si="251">"777173785"</f>
        <v>777173785</v>
      </c>
      <c r="M620" t="str">
        <f t="shared" ref="M620:M629" si="252">"16483511"</f>
        <v>16483511</v>
      </c>
      <c r="N620" t="str">
        <f t="shared" ref="N620:N629" si="253">"5106-20"</f>
        <v>5106-20</v>
      </c>
      <c r="O620" t="str">
        <f t="shared" si="240"/>
        <v>TEXAS</v>
      </c>
      <c r="P620" t="str">
        <f t="shared" si="241"/>
        <v>N A</v>
      </c>
      <c r="Q620" t="str">
        <f t="shared" si="242"/>
        <v>N/A</v>
      </c>
      <c r="R620" t="str">
        <f>"130 DKCRP 11 307"</f>
        <v>130 DKCRP 11 307</v>
      </c>
      <c r="S620" t="str">
        <f>"12/19/2019 7:04:11 PM"</f>
        <v>12/19/2019 7:04:11 PM</v>
      </c>
      <c r="T620" t="str">
        <f t="shared" si="249"/>
        <v>5</v>
      </c>
      <c r="U620" t="str">
        <f t="shared" si="243"/>
        <v>N/A</v>
      </c>
      <c r="V620" t="str">
        <f>"5.5500"</f>
        <v>5.5500</v>
      </c>
    </row>
    <row r="621" spans="1:22" x14ac:dyDescent="0.25">
      <c r="A621" s="1" t="str">
        <f t="shared" si="238"/>
        <v>5106-</v>
      </c>
      <c r="B621" s="1" t="str">
        <f t="shared" si="244"/>
        <v>5106-</v>
      </c>
      <c r="C621" s="1" t="str">
        <f>VLOOKUP(B621,'Master truck list'!D:E,2,0)</f>
        <v>5106-20</v>
      </c>
      <c r="D621" s="1" t="str">
        <f>VLOOKUP(C621,'Master truck list'!E:F,2,0)</f>
        <v>ACTIVE</v>
      </c>
      <c r="E621" s="1" t="str">
        <f>VLOOKUP(C621,'Master truck list'!E:M,9,0)</f>
        <v>BNK TRANSPORT INC</v>
      </c>
      <c r="F621" s="1" t="str">
        <f>VLOOKUP(C621,'Master truck list'!E:G,3,0)</f>
        <v>Company</v>
      </c>
      <c r="G621" s="1">
        <f>VLOOKUP(C621,'Master truck list'!E:R,14,0)</f>
        <v>2526</v>
      </c>
      <c r="H621" t="str">
        <f t="shared" si="250"/>
        <v>12/20/2019 7:00:30 AM</v>
      </c>
      <c r="I621" t="str">
        <f>""</f>
        <v/>
      </c>
      <c r="J621" t="str">
        <f t="shared" si="239"/>
        <v>Elite</v>
      </c>
      <c r="K621" t="str">
        <f t="shared" si="246"/>
        <v>Device</v>
      </c>
      <c r="L621" t="str">
        <f t="shared" si="251"/>
        <v>777173785</v>
      </c>
      <c r="M621" t="str">
        <f t="shared" si="252"/>
        <v>16483511</v>
      </c>
      <c r="N621" t="str">
        <f t="shared" si="253"/>
        <v>5106-20</v>
      </c>
      <c r="O621" t="str">
        <f t="shared" si="240"/>
        <v>TEXAS</v>
      </c>
      <c r="P621" t="str">
        <f t="shared" si="241"/>
        <v>N A</v>
      </c>
      <c r="Q621" t="str">
        <f t="shared" si="242"/>
        <v>N/A</v>
      </c>
      <c r="R621" t="str">
        <f>"130 DKCRP 06 307"</f>
        <v>130 DKCRP 06 307</v>
      </c>
      <c r="S621" t="str">
        <f>"12/19/2019 4:23:55 AM"</f>
        <v>12/19/2019 4:23:55 AM</v>
      </c>
      <c r="T621" t="str">
        <f t="shared" si="249"/>
        <v>5</v>
      </c>
      <c r="U621" t="str">
        <f t="shared" si="243"/>
        <v>N/A</v>
      </c>
      <c r="V621" t="str">
        <f>"5.5500"</f>
        <v>5.5500</v>
      </c>
    </row>
    <row r="622" spans="1:22" x14ac:dyDescent="0.25">
      <c r="A622" s="1" t="str">
        <f t="shared" si="238"/>
        <v>5106-</v>
      </c>
      <c r="B622" s="1" t="str">
        <f t="shared" si="244"/>
        <v>5106-</v>
      </c>
      <c r="C622" s="1" t="str">
        <f>VLOOKUP(B622,'Master truck list'!D:E,2,0)</f>
        <v>5106-20</v>
      </c>
      <c r="D622" s="1" t="str">
        <f>VLOOKUP(C622,'Master truck list'!E:F,2,0)</f>
        <v>ACTIVE</v>
      </c>
      <c r="E622" s="1" t="str">
        <f>VLOOKUP(C622,'Master truck list'!E:M,9,0)</f>
        <v>BNK TRANSPORT INC</v>
      </c>
      <c r="F622" s="1" t="str">
        <f>VLOOKUP(C622,'Master truck list'!E:G,3,0)</f>
        <v>Company</v>
      </c>
      <c r="G622" s="1">
        <f>VLOOKUP(C622,'Master truck list'!E:R,14,0)</f>
        <v>2526</v>
      </c>
      <c r="H622" t="str">
        <f t="shared" si="250"/>
        <v>12/20/2019 7:00:30 AM</v>
      </c>
      <c r="I622" t="str">
        <f>""</f>
        <v/>
      </c>
      <c r="J622" t="str">
        <f t="shared" si="239"/>
        <v>Elite</v>
      </c>
      <c r="K622" t="str">
        <f t="shared" si="246"/>
        <v>Device</v>
      </c>
      <c r="L622" t="str">
        <f t="shared" si="251"/>
        <v>777173785</v>
      </c>
      <c r="M622" t="str">
        <f t="shared" si="252"/>
        <v>16483511</v>
      </c>
      <c r="N622" t="str">
        <f t="shared" si="253"/>
        <v>5106-20</v>
      </c>
      <c r="O622" t="str">
        <f t="shared" si="240"/>
        <v>TEXAS</v>
      </c>
      <c r="P622" t="str">
        <f t="shared" si="241"/>
        <v>N A</v>
      </c>
      <c r="Q622" t="str">
        <f t="shared" si="242"/>
        <v>N/A</v>
      </c>
      <c r="R622" t="str">
        <f>"45SE MLPEB 02 611"</f>
        <v>45SE MLPEB 02 611</v>
      </c>
      <c r="S622" t="str">
        <f>"12/19/2019 6:46:35 PM"</f>
        <v>12/19/2019 6:46:35 PM</v>
      </c>
      <c r="T622" t="str">
        <f t="shared" si="249"/>
        <v>5</v>
      </c>
      <c r="U622" t="str">
        <f t="shared" si="243"/>
        <v>N/A</v>
      </c>
      <c r="V622" t="str">
        <f>"3.3000"</f>
        <v>3.3000</v>
      </c>
    </row>
    <row r="623" spans="1:22" x14ac:dyDescent="0.25">
      <c r="A623" s="1" t="str">
        <f t="shared" si="238"/>
        <v>5106-</v>
      </c>
      <c r="B623" s="1" t="str">
        <f t="shared" si="244"/>
        <v>5106-</v>
      </c>
      <c r="C623" s="1" t="str">
        <f>VLOOKUP(B623,'Master truck list'!D:E,2,0)</f>
        <v>5106-20</v>
      </c>
      <c r="D623" s="1" t="str">
        <f>VLOOKUP(C623,'Master truck list'!E:F,2,0)</f>
        <v>ACTIVE</v>
      </c>
      <c r="E623" s="1" t="str">
        <f>VLOOKUP(C623,'Master truck list'!E:M,9,0)</f>
        <v>BNK TRANSPORT INC</v>
      </c>
      <c r="F623" s="1" t="str">
        <f>VLOOKUP(C623,'Master truck list'!E:G,3,0)</f>
        <v>Company</v>
      </c>
      <c r="G623" s="1">
        <f>VLOOKUP(C623,'Master truck list'!E:R,14,0)</f>
        <v>2526</v>
      </c>
      <c r="H623" t="str">
        <f t="shared" si="250"/>
        <v>12/20/2019 7:00:30 AM</v>
      </c>
      <c r="I623" t="str">
        <f>""</f>
        <v/>
      </c>
      <c r="J623" t="str">
        <f t="shared" si="239"/>
        <v>Elite</v>
      </c>
      <c r="K623" t="str">
        <f t="shared" si="246"/>
        <v>Device</v>
      </c>
      <c r="L623" t="str">
        <f t="shared" si="251"/>
        <v>777173785</v>
      </c>
      <c r="M623" t="str">
        <f t="shared" si="252"/>
        <v>16483511</v>
      </c>
      <c r="N623" t="str">
        <f t="shared" si="253"/>
        <v>5106-20</v>
      </c>
      <c r="O623" t="str">
        <f t="shared" si="240"/>
        <v>TEXAS</v>
      </c>
      <c r="P623" t="str">
        <f t="shared" si="241"/>
        <v>N A</v>
      </c>
      <c r="Q623" t="str">
        <f t="shared" si="242"/>
        <v>N/A</v>
      </c>
      <c r="R623" t="str">
        <f>"130 MGCRP 06 305"</f>
        <v>130 MGCRP 06 305</v>
      </c>
      <c r="S623" t="str">
        <f>"12/19/2019 4:02:49 AM"</f>
        <v>12/19/2019 4:02:49 AM</v>
      </c>
      <c r="T623" t="str">
        <f t="shared" si="249"/>
        <v>5</v>
      </c>
      <c r="U623" t="str">
        <f t="shared" si="243"/>
        <v>N/A</v>
      </c>
      <c r="V623" t="str">
        <f>"5.5500"</f>
        <v>5.5500</v>
      </c>
    </row>
    <row r="624" spans="1:22" x14ac:dyDescent="0.25">
      <c r="A624" s="1" t="str">
        <f t="shared" si="238"/>
        <v>5106-</v>
      </c>
      <c r="B624" s="1" t="str">
        <f t="shared" si="244"/>
        <v>5106-</v>
      </c>
      <c r="C624" s="1" t="str">
        <f>VLOOKUP(B624,'Master truck list'!D:E,2,0)</f>
        <v>5106-20</v>
      </c>
      <c r="D624" s="1" t="str">
        <f>VLOOKUP(C624,'Master truck list'!E:F,2,0)</f>
        <v>ACTIVE</v>
      </c>
      <c r="E624" s="1" t="str">
        <f>VLOOKUP(C624,'Master truck list'!E:M,9,0)</f>
        <v>BNK TRANSPORT INC</v>
      </c>
      <c r="F624" s="1" t="str">
        <f>VLOOKUP(C624,'Master truck list'!E:G,3,0)</f>
        <v>Company</v>
      </c>
      <c r="G624" s="1">
        <f>VLOOKUP(C624,'Master truck list'!E:R,14,0)</f>
        <v>2526</v>
      </c>
      <c r="H624" t="str">
        <f t="shared" si="250"/>
        <v>12/20/2019 7:00:30 AM</v>
      </c>
      <c r="I624" t="str">
        <f>""</f>
        <v/>
      </c>
      <c r="J624" t="str">
        <f t="shared" si="239"/>
        <v>Elite</v>
      </c>
      <c r="K624" t="str">
        <f t="shared" si="246"/>
        <v>Device</v>
      </c>
      <c r="L624" t="str">
        <f t="shared" si="251"/>
        <v>777173785</v>
      </c>
      <c r="M624" t="str">
        <f t="shared" si="252"/>
        <v>16483511</v>
      </c>
      <c r="N624" t="str">
        <f t="shared" si="253"/>
        <v>5106-20</v>
      </c>
      <c r="O624" t="str">
        <f t="shared" si="240"/>
        <v>TEXAS</v>
      </c>
      <c r="P624" t="str">
        <f t="shared" si="241"/>
        <v>N A</v>
      </c>
      <c r="Q624" t="str">
        <f t="shared" si="242"/>
        <v>N/A</v>
      </c>
      <c r="R624" t="str">
        <f>"130 MGCRP 11 305"</f>
        <v>130 MGCRP 11 305</v>
      </c>
      <c r="S624" t="str">
        <f>"12/19/2019 7:25:17 PM"</f>
        <v>12/19/2019 7:25:17 PM</v>
      </c>
      <c r="T624" t="str">
        <f t="shared" si="249"/>
        <v>5</v>
      </c>
      <c r="U624" t="str">
        <f t="shared" si="243"/>
        <v>N/A</v>
      </c>
      <c r="V624" t="str">
        <f>"5.5500"</f>
        <v>5.5500</v>
      </c>
    </row>
    <row r="625" spans="1:22" x14ac:dyDescent="0.25">
      <c r="A625" s="1" t="str">
        <f t="shared" si="238"/>
        <v>5106-</v>
      </c>
      <c r="B625" s="1" t="str">
        <f t="shared" si="244"/>
        <v>5106-</v>
      </c>
      <c r="C625" s="1" t="str">
        <f>VLOOKUP(B625,'Master truck list'!D:E,2,0)</f>
        <v>5106-20</v>
      </c>
      <c r="D625" s="1" t="str">
        <f>VLOOKUP(C625,'Master truck list'!E:F,2,0)</f>
        <v>ACTIVE</v>
      </c>
      <c r="E625" s="1" t="str">
        <f>VLOOKUP(C625,'Master truck list'!E:M,9,0)</f>
        <v>BNK TRANSPORT INC</v>
      </c>
      <c r="F625" s="1" t="str">
        <f>VLOOKUP(C625,'Master truck list'!E:G,3,0)</f>
        <v>Company</v>
      </c>
      <c r="G625" s="1">
        <f>VLOOKUP(C625,'Master truck list'!E:R,14,0)</f>
        <v>2526</v>
      </c>
      <c r="H625" t="str">
        <f t="shared" si="250"/>
        <v>12/20/2019 7:00:30 AM</v>
      </c>
      <c r="I625" t="str">
        <f>""</f>
        <v/>
      </c>
      <c r="J625" t="str">
        <f t="shared" si="239"/>
        <v>Elite</v>
      </c>
      <c r="K625" t="str">
        <f t="shared" si="246"/>
        <v>Device</v>
      </c>
      <c r="L625" t="str">
        <f t="shared" si="251"/>
        <v>777173785</v>
      </c>
      <c r="M625" t="str">
        <f t="shared" si="252"/>
        <v>16483511</v>
      </c>
      <c r="N625" t="str">
        <f t="shared" si="253"/>
        <v>5106-20</v>
      </c>
      <c r="O625" t="str">
        <f t="shared" si="240"/>
        <v>TEXAS</v>
      </c>
      <c r="P625" t="str">
        <f t="shared" si="241"/>
        <v>N A</v>
      </c>
      <c r="Q625" t="str">
        <f t="shared" si="242"/>
        <v>N/A</v>
      </c>
      <c r="R625" t="str">
        <f>"45SE MLPWB 01 611"</f>
        <v>45SE MLPWB 01 611</v>
      </c>
      <c r="S625" t="str">
        <f>"12/19/2019 4:41:31 AM"</f>
        <v>12/19/2019 4:41:31 AM</v>
      </c>
      <c r="T625" t="str">
        <f t="shared" si="249"/>
        <v>5</v>
      </c>
      <c r="U625" t="str">
        <f t="shared" si="243"/>
        <v>N/A</v>
      </c>
      <c r="V625" t="str">
        <f>"3.3000"</f>
        <v>3.3000</v>
      </c>
    </row>
    <row r="626" spans="1:22" x14ac:dyDescent="0.25">
      <c r="A626" s="1" t="str">
        <f t="shared" si="238"/>
        <v>5106-</v>
      </c>
      <c r="B626" s="1" t="str">
        <f t="shared" si="244"/>
        <v>5106-</v>
      </c>
      <c r="C626" s="1" t="str">
        <f>VLOOKUP(B626,'Master truck list'!D:E,2,0)</f>
        <v>5106-20</v>
      </c>
      <c r="D626" s="1" t="str">
        <f>VLOOKUP(C626,'Master truck list'!E:F,2,0)</f>
        <v>ACTIVE</v>
      </c>
      <c r="E626" s="1" t="str">
        <f>VLOOKUP(C626,'Master truck list'!E:M,9,0)</f>
        <v>BNK TRANSPORT INC</v>
      </c>
      <c r="F626" s="1" t="str">
        <f>VLOOKUP(C626,'Master truck list'!E:G,3,0)</f>
        <v>Company</v>
      </c>
      <c r="G626" s="1">
        <f>VLOOKUP(C626,'Master truck list'!E:R,14,0)</f>
        <v>2526</v>
      </c>
      <c r="H626" t="str">
        <f t="shared" si="250"/>
        <v>12/20/2019 7:00:30 AM</v>
      </c>
      <c r="I626" t="str">
        <f>""</f>
        <v/>
      </c>
      <c r="J626" t="str">
        <f t="shared" si="239"/>
        <v>Elite</v>
      </c>
      <c r="K626" t="str">
        <f t="shared" si="246"/>
        <v>Device</v>
      </c>
      <c r="L626" t="str">
        <f t="shared" si="251"/>
        <v>777173785</v>
      </c>
      <c r="M626" t="str">
        <f t="shared" si="252"/>
        <v>16483511</v>
      </c>
      <c r="N626" t="str">
        <f t="shared" si="253"/>
        <v>5106-20</v>
      </c>
      <c r="O626" t="str">
        <f t="shared" si="240"/>
        <v>TEXAS</v>
      </c>
      <c r="P626" t="str">
        <f t="shared" si="241"/>
        <v>N A</v>
      </c>
      <c r="Q626" t="str">
        <f t="shared" si="242"/>
        <v>N/A</v>
      </c>
      <c r="R626" t="str">
        <f>"130 ARPTP 04 308"</f>
        <v>130 ARPTP 04 308</v>
      </c>
      <c r="S626" t="str">
        <f>"12/19/2019 4:30:52 AM"</f>
        <v>12/19/2019 4:30:52 AM</v>
      </c>
      <c r="T626" t="str">
        <f t="shared" si="249"/>
        <v>5</v>
      </c>
      <c r="U626" t="str">
        <f t="shared" si="243"/>
        <v>N/A</v>
      </c>
      <c r="V626" t="str">
        <f t="shared" ref="V626:V631" si="254">"5.5500"</f>
        <v>5.5500</v>
      </c>
    </row>
    <row r="627" spans="1:22" x14ac:dyDescent="0.25">
      <c r="A627" s="1" t="str">
        <f t="shared" si="238"/>
        <v>5106-</v>
      </c>
      <c r="B627" s="1" t="str">
        <f t="shared" si="244"/>
        <v>5106-</v>
      </c>
      <c r="C627" s="1" t="str">
        <f>VLOOKUP(B627,'Master truck list'!D:E,2,0)</f>
        <v>5106-20</v>
      </c>
      <c r="D627" s="1" t="str">
        <f>VLOOKUP(C627,'Master truck list'!E:F,2,0)</f>
        <v>ACTIVE</v>
      </c>
      <c r="E627" s="1" t="str">
        <f>VLOOKUP(C627,'Master truck list'!E:M,9,0)</f>
        <v>BNK TRANSPORT INC</v>
      </c>
      <c r="F627" s="1" t="str">
        <f>VLOOKUP(C627,'Master truck list'!E:G,3,0)</f>
        <v>Company</v>
      </c>
      <c r="G627" s="1">
        <f>VLOOKUP(C627,'Master truck list'!E:R,14,0)</f>
        <v>2526</v>
      </c>
      <c r="H627" t="str">
        <f t="shared" si="250"/>
        <v>12/20/2019 7:00:30 AM</v>
      </c>
      <c r="I627" t="str">
        <f>""</f>
        <v/>
      </c>
      <c r="J627" t="str">
        <f t="shared" si="239"/>
        <v>Elite</v>
      </c>
      <c r="K627" t="str">
        <f t="shared" si="246"/>
        <v>Device</v>
      </c>
      <c r="L627" t="str">
        <f t="shared" si="251"/>
        <v>777173785</v>
      </c>
      <c r="M627" t="str">
        <f t="shared" si="252"/>
        <v>16483511</v>
      </c>
      <c r="N627" t="str">
        <f t="shared" si="253"/>
        <v>5106-20</v>
      </c>
      <c r="O627" t="str">
        <f t="shared" si="240"/>
        <v>TEXAS</v>
      </c>
      <c r="P627" t="str">
        <f t="shared" si="241"/>
        <v>N A</v>
      </c>
      <c r="Q627" t="str">
        <f t="shared" si="242"/>
        <v>N/A</v>
      </c>
      <c r="R627" t="str">
        <f>"130 ARPTP 09 308"</f>
        <v>130 ARPTP 09 308</v>
      </c>
      <c r="S627" t="str">
        <f>"12/19/2019 6:57:10 PM"</f>
        <v>12/19/2019 6:57:10 PM</v>
      </c>
      <c r="T627" t="str">
        <f t="shared" si="249"/>
        <v>5</v>
      </c>
      <c r="U627" t="str">
        <f t="shared" si="243"/>
        <v>N/A</v>
      </c>
      <c r="V627" t="str">
        <f t="shared" si="254"/>
        <v>5.5500</v>
      </c>
    </row>
    <row r="628" spans="1:22" x14ac:dyDescent="0.25">
      <c r="A628" s="1" t="str">
        <f t="shared" si="238"/>
        <v>5106-</v>
      </c>
      <c r="B628" s="1" t="str">
        <f t="shared" si="244"/>
        <v>5106-</v>
      </c>
      <c r="C628" s="1" t="str">
        <f>VLOOKUP(B628,'Master truck list'!D:E,2,0)</f>
        <v>5106-20</v>
      </c>
      <c r="D628" s="1" t="str">
        <f>VLOOKUP(C628,'Master truck list'!E:F,2,0)</f>
        <v>ACTIVE</v>
      </c>
      <c r="E628" s="1" t="str">
        <f>VLOOKUP(C628,'Master truck list'!E:M,9,0)</f>
        <v>BNK TRANSPORT INC</v>
      </c>
      <c r="F628" s="1" t="str">
        <f>VLOOKUP(C628,'Master truck list'!E:G,3,0)</f>
        <v>Company</v>
      </c>
      <c r="G628" s="1">
        <f>VLOOKUP(C628,'Master truck list'!E:R,14,0)</f>
        <v>2526</v>
      </c>
      <c r="H628" t="str">
        <f t="shared" si="250"/>
        <v>12/20/2019 7:00:30 AM</v>
      </c>
      <c r="I628" t="str">
        <f>""</f>
        <v/>
      </c>
      <c r="J628" t="str">
        <f t="shared" si="239"/>
        <v>Elite</v>
      </c>
      <c r="K628" t="str">
        <f t="shared" si="246"/>
        <v>Device</v>
      </c>
      <c r="L628" t="str">
        <f t="shared" si="251"/>
        <v>777173785</v>
      </c>
      <c r="M628" t="str">
        <f t="shared" si="252"/>
        <v>16483511</v>
      </c>
      <c r="N628" t="str">
        <f t="shared" si="253"/>
        <v>5106-20</v>
      </c>
      <c r="O628" t="str">
        <f t="shared" si="240"/>
        <v>TEXAS</v>
      </c>
      <c r="P628" t="str">
        <f t="shared" si="241"/>
        <v>N A</v>
      </c>
      <c r="Q628" t="str">
        <f t="shared" si="242"/>
        <v>N/A</v>
      </c>
      <c r="R628" t="str">
        <f>"130 CMRNP 08 306"</f>
        <v>130 CMRNP 08 306</v>
      </c>
      <c r="S628" t="str">
        <f>"12/19/2019 4:13:50 AM"</f>
        <v>12/19/2019 4:13:50 AM</v>
      </c>
      <c r="T628" t="str">
        <f t="shared" si="249"/>
        <v>5</v>
      </c>
      <c r="U628" t="str">
        <f t="shared" si="243"/>
        <v>N/A</v>
      </c>
      <c r="V628" t="str">
        <f t="shared" si="254"/>
        <v>5.5500</v>
      </c>
    </row>
    <row r="629" spans="1:22" x14ac:dyDescent="0.25">
      <c r="A629" s="1" t="str">
        <f t="shared" si="238"/>
        <v>5106-</v>
      </c>
      <c r="B629" s="1" t="str">
        <f t="shared" si="244"/>
        <v>5106-</v>
      </c>
      <c r="C629" s="1" t="str">
        <f>VLOOKUP(B629,'Master truck list'!D:E,2,0)</f>
        <v>5106-20</v>
      </c>
      <c r="D629" s="1" t="str">
        <f>VLOOKUP(C629,'Master truck list'!E:F,2,0)</f>
        <v>ACTIVE</v>
      </c>
      <c r="E629" s="1" t="str">
        <f>VLOOKUP(C629,'Master truck list'!E:M,9,0)</f>
        <v>BNK TRANSPORT INC</v>
      </c>
      <c r="F629" s="1" t="str">
        <f>VLOOKUP(C629,'Master truck list'!E:G,3,0)</f>
        <v>Company</v>
      </c>
      <c r="G629" s="1">
        <f>VLOOKUP(C629,'Master truck list'!E:R,14,0)</f>
        <v>2526</v>
      </c>
      <c r="H629" t="str">
        <f t="shared" si="250"/>
        <v>12/20/2019 7:00:30 AM</v>
      </c>
      <c r="I629" t="str">
        <f>""</f>
        <v/>
      </c>
      <c r="J629" t="str">
        <f t="shared" si="239"/>
        <v>Elite</v>
      </c>
      <c r="K629" t="str">
        <f t="shared" si="246"/>
        <v>Device</v>
      </c>
      <c r="L629" t="str">
        <f t="shared" si="251"/>
        <v>777173785</v>
      </c>
      <c r="M629" t="str">
        <f t="shared" si="252"/>
        <v>16483511</v>
      </c>
      <c r="N629" t="str">
        <f t="shared" si="253"/>
        <v>5106-20</v>
      </c>
      <c r="O629" t="str">
        <f t="shared" si="240"/>
        <v>TEXAS</v>
      </c>
      <c r="P629" t="str">
        <f t="shared" si="241"/>
        <v>N A</v>
      </c>
      <c r="Q629" t="str">
        <f t="shared" si="242"/>
        <v>N/A</v>
      </c>
      <c r="R629" t="str">
        <f>"130 CMRNP 13 306"</f>
        <v>130 CMRNP 13 306</v>
      </c>
      <c r="S629" t="str">
        <f>"12/19/2019 7:14:16 PM"</f>
        <v>12/19/2019 7:14:16 PM</v>
      </c>
      <c r="T629" t="str">
        <f t="shared" si="249"/>
        <v>5</v>
      </c>
      <c r="U629" t="str">
        <f t="shared" si="243"/>
        <v>N/A</v>
      </c>
      <c r="V629" t="str">
        <f t="shared" si="254"/>
        <v>5.5500</v>
      </c>
    </row>
    <row r="630" spans="1:22" x14ac:dyDescent="0.25">
      <c r="A630" s="1" t="str">
        <f t="shared" si="238"/>
        <v>5131-</v>
      </c>
      <c r="B630" s="1" t="str">
        <f t="shared" si="244"/>
        <v>5131-</v>
      </c>
      <c r="C630" s="1" t="str">
        <f>VLOOKUP(B630,'Master truck list'!D:E,2,0)</f>
        <v>5131-20T</v>
      </c>
      <c r="D630" s="1" t="str">
        <f>VLOOKUP(C630,'Master truck list'!E:F,2,0)</f>
        <v>OUT OF SERVICE</v>
      </c>
      <c r="E630" s="1" t="str">
        <f>VLOOKUP(C630,'Master truck list'!E:M,9,0)</f>
        <v>BNK TRANSPORT INC</v>
      </c>
      <c r="F630" s="1" t="str">
        <f>VLOOKUP(C630,'Master truck list'!E:G,3,0)</f>
        <v>Company</v>
      </c>
      <c r="G630" s="1">
        <f>VLOOKUP(C630,'Master truck list'!E:R,14,0)</f>
        <v>2619</v>
      </c>
      <c r="H630" t="str">
        <f t="shared" si="250"/>
        <v>12/20/2019 7:00:30 AM</v>
      </c>
      <c r="I630" t="str">
        <f>""</f>
        <v/>
      </c>
      <c r="J630" t="str">
        <f t="shared" si="239"/>
        <v>Elite</v>
      </c>
      <c r="K630" t="str">
        <f t="shared" si="246"/>
        <v>Device</v>
      </c>
      <c r="L630" t="str">
        <f t="shared" ref="L630:L644" si="255">"777231714"</f>
        <v>777231714</v>
      </c>
      <c r="M630" t="str">
        <f t="shared" ref="M630:M644" si="256">"16605671"</f>
        <v>16605671</v>
      </c>
      <c r="N630" t="str">
        <f t="shared" ref="N630:N644" si="257">"5131-20T"</f>
        <v>5131-20T</v>
      </c>
      <c r="O630" t="str">
        <f t="shared" si="240"/>
        <v>TEXAS</v>
      </c>
      <c r="P630" t="str">
        <f t="shared" si="241"/>
        <v>N A</v>
      </c>
      <c r="Q630" t="str">
        <f t="shared" si="242"/>
        <v>N/A</v>
      </c>
      <c r="R630" t="str">
        <f>"130 ARPTP 09 308"</f>
        <v>130 ARPTP 09 308</v>
      </c>
      <c r="S630" t="str">
        <f>"12/19/2019 2:17:49 PM"</f>
        <v>12/19/2019 2:17:49 PM</v>
      </c>
      <c r="T630" t="str">
        <f t="shared" si="249"/>
        <v>5</v>
      </c>
      <c r="U630" t="str">
        <f t="shared" si="243"/>
        <v>N/A</v>
      </c>
      <c r="V630" t="str">
        <f t="shared" si="254"/>
        <v>5.5500</v>
      </c>
    </row>
    <row r="631" spans="1:22" x14ac:dyDescent="0.25">
      <c r="A631" s="1" t="str">
        <f t="shared" si="238"/>
        <v>5131-</v>
      </c>
      <c r="B631" s="1" t="str">
        <f t="shared" si="244"/>
        <v>5131-</v>
      </c>
      <c r="C631" s="1" t="str">
        <f>VLOOKUP(B631,'Master truck list'!D:E,2,0)</f>
        <v>5131-20T</v>
      </c>
      <c r="D631" s="1" t="str">
        <f>VLOOKUP(C631,'Master truck list'!E:F,2,0)</f>
        <v>OUT OF SERVICE</v>
      </c>
      <c r="E631" s="1" t="str">
        <f>VLOOKUP(C631,'Master truck list'!E:M,9,0)</f>
        <v>BNK TRANSPORT INC</v>
      </c>
      <c r="F631" s="1" t="str">
        <f>VLOOKUP(C631,'Master truck list'!E:G,3,0)</f>
        <v>Company</v>
      </c>
      <c r="G631" s="1">
        <f>VLOOKUP(C631,'Master truck list'!E:R,14,0)</f>
        <v>2619</v>
      </c>
      <c r="H631" t="str">
        <f t="shared" si="250"/>
        <v>12/20/2019 7:00:30 AM</v>
      </c>
      <c r="I631" t="str">
        <f>""</f>
        <v/>
      </c>
      <c r="J631" t="str">
        <f t="shared" si="239"/>
        <v>Elite</v>
      </c>
      <c r="K631" t="str">
        <f t="shared" si="246"/>
        <v>Device</v>
      </c>
      <c r="L631" t="str">
        <f t="shared" si="255"/>
        <v>777231714</v>
      </c>
      <c r="M631" t="str">
        <f t="shared" si="256"/>
        <v>16605671</v>
      </c>
      <c r="N631" t="str">
        <f t="shared" si="257"/>
        <v>5131-20T</v>
      </c>
      <c r="O631" t="str">
        <f t="shared" si="240"/>
        <v>TEXAS</v>
      </c>
      <c r="P631" t="str">
        <f t="shared" si="241"/>
        <v>N A</v>
      </c>
      <c r="Q631" t="str">
        <f t="shared" si="242"/>
        <v>N/A</v>
      </c>
      <c r="R631" t="str">
        <f>"130 CMRNP 12 306"</f>
        <v>130 CMRNP 12 306</v>
      </c>
      <c r="S631" t="str">
        <f>"12/19/2019 2:35:14 PM"</f>
        <v>12/19/2019 2:35:14 PM</v>
      </c>
      <c r="T631" t="str">
        <f t="shared" si="249"/>
        <v>5</v>
      </c>
      <c r="U631" t="str">
        <f t="shared" si="243"/>
        <v>N/A</v>
      </c>
      <c r="V631" t="str">
        <f t="shared" si="254"/>
        <v>5.5500</v>
      </c>
    </row>
    <row r="632" spans="1:22" x14ac:dyDescent="0.25">
      <c r="A632" s="1" t="str">
        <f t="shared" si="238"/>
        <v>5131-</v>
      </c>
      <c r="B632" s="1" t="str">
        <f t="shared" si="244"/>
        <v>5131-</v>
      </c>
      <c r="C632" s="1" t="str">
        <f>VLOOKUP(B632,'Master truck list'!D:E,2,0)</f>
        <v>5131-20T</v>
      </c>
      <c r="D632" s="1" t="str">
        <f>VLOOKUP(C632,'Master truck list'!E:F,2,0)</f>
        <v>OUT OF SERVICE</v>
      </c>
      <c r="E632" s="1" t="str">
        <f>VLOOKUP(C632,'Master truck list'!E:M,9,0)</f>
        <v>BNK TRANSPORT INC</v>
      </c>
      <c r="F632" s="1" t="str">
        <f>VLOOKUP(C632,'Master truck list'!E:G,3,0)</f>
        <v>Company</v>
      </c>
      <c r="G632" s="1">
        <f>VLOOKUP(C632,'Master truck list'!E:R,14,0)</f>
        <v>2619</v>
      </c>
      <c r="H632" t="str">
        <f t="shared" si="250"/>
        <v>12/20/2019 7:00:30 AM</v>
      </c>
      <c r="I632" t="str">
        <f>""</f>
        <v/>
      </c>
      <c r="J632" t="str">
        <f t="shared" si="239"/>
        <v>Elite</v>
      </c>
      <c r="K632" t="str">
        <f t="shared" si="246"/>
        <v>Device</v>
      </c>
      <c r="L632" t="str">
        <f t="shared" si="255"/>
        <v>777231714</v>
      </c>
      <c r="M632" t="str">
        <f t="shared" si="256"/>
        <v>16605671</v>
      </c>
      <c r="N632" t="str">
        <f t="shared" si="257"/>
        <v>5131-20T</v>
      </c>
      <c r="O632" t="str">
        <f t="shared" si="240"/>
        <v>TEXAS</v>
      </c>
      <c r="P632" t="str">
        <f t="shared" si="241"/>
        <v>N A</v>
      </c>
      <c r="Q632" t="str">
        <f t="shared" si="242"/>
        <v>N/A</v>
      </c>
      <c r="R632" t="str">
        <f>"45SE MLPEB 02 611"</f>
        <v>45SE MLPEB 02 611</v>
      </c>
      <c r="S632" t="str">
        <f>"12/19/2019 2:07:11 PM"</f>
        <v>12/19/2019 2:07:11 PM</v>
      </c>
      <c r="T632" t="str">
        <f t="shared" si="249"/>
        <v>5</v>
      </c>
      <c r="U632" t="str">
        <f t="shared" si="243"/>
        <v>N/A</v>
      </c>
      <c r="V632" t="str">
        <f>"3.3000"</f>
        <v>3.3000</v>
      </c>
    </row>
    <row r="633" spans="1:22" x14ac:dyDescent="0.25">
      <c r="A633" s="1" t="str">
        <f t="shared" si="238"/>
        <v>5131-</v>
      </c>
      <c r="B633" s="1" t="str">
        <f t="shared" si="244"/>
        <v>5131-</v>
      </c>
      <c r="C633" s="1" t="str">
        <f>VLOOKUP(B633,'Master truck list'!D:E,2,0)</f>
        <v>5131-20T</v>
      </c>
      <c r="D633" s="1" t="str">
        <f>VLOOKUP(C633,'Master truck list'!E:F,2,0)</f>
        <v>OUT OF SERVICE</v>
      </c>
      <c r="E633" s="1" t="str">
        <f>VLOOKUP(C633,'Master truck list'!E:M,9,0)</f>
        <v>BNK TRANSPORT INC</v>
      </c>
      <c r="F633" s="1" t="str">
        <f>VLOOKUP(C633,'Master truck list'!E:G,3,0)</f>
        <v>Company</v>
      </c>
      <c r="G633" s="1">
        <f>VLOOKUP(C633,'Master truck list'!E:R,14,0)</f>
        <v>2619</v>
      </c>
      <c r="H633" t="str">
        <f t="shared" si="250"/>
        <v>12/20/2019 7:00:30 AM</v>
      </c>
      <c r="I633" t="str">
        <f>""</f>
        <v/>
      </c>
      <c r="J633" t="str">
        <f t="shared" si="239"/>
        <v>Elite</v>
      </c>
      <c r="K633" t="str">
        <f t="shared" si="246"/>
        <v>Device</v>
      </c>
      <c r="L633" t="str">
        <f t="shared" si="255"/>
        <v>777231714</v>
      </c>
      <c r="M633" t="str">
        <f t="shared" si="256"/>
        <v>16605671</v>
      </c>
      <c r="N633" t="str">
        <f t="shared" si="257"/>
        <v>5131-20T</v>
      </c>
      <c r="O633" t="str">
        <f t="shared" si="240"/>
        <v>TEXAS</v>
      </c>
      <c r="P633" t="str">
        <f t="shared" si="241"/>
        <v>N A</v>
      </c>
      <c r="Q633" t="str">
        <f t="shared" si="242"/>
        <v>N/A</v>
      </c>
      <c r="R633" t="str">
        <f>"130 MGCRP 11 305"</f>
        <v>130 MGCRP 11 305</v>
      </c>
      <c r="S633" t="str">
        <f>"12/19/2019 2:46:21 PM"</f>
        <v>12/19/2019 2:46:21 PM</v>
      </c>
      <c r="T633" t="str">
        <f t="shared" si="249"/>
        <v>5</v>
      </c>
      <c r="U633" t="str">
        <f t="shared" si="243"/>
        <v>N/A</v>
      </c>
      <c r="V633" t="str">
        <f t="shared" ref="V633:V639" si="258">"5.5500"</f>
        <v>5.5500</v>
      </c>
    </row>
    <row r="634" spans="1:22" x14ac:dyDescent="0.25">
      <c r="A634" s="1" t="str">
        <f t="shared" si="238"/>
        <v>5131-</v>
      </c>
      <c r="B634" s="1" t="str">
        <f t="shared" si="244"/>
        <v>5131-</v>
      </c>
      <c r="C634" s="1" t="str">
        <f>VLOOKUP(B634,'Master truck list'!D:E,2,0)</f>
        <v>5131-20T</v>
      </c>
      <c r="D634" s="1" t="str">
        <f>VLOOKUP(C634,'Master truck list'!E:F,2,0)</f>
        <v>OUT OF SERVICE</v>
      </c>
      <c r="E634" s="1" t="str">
        <f>VLOOKUP(C634,'Master truck list'!E:M,9,0)</f>
        <v>BNK TRANSPORT INC</v>
      </c>
      <c r="F634" s="1" t="str">
        <f>VLOOKUP(C634,'Master truck list'!E:G,3,0)</f>
        <v>Company</v>
      </c>
      <c r="G634" s="1">
        <f>VLOOKUP(C634,'Master truck list'!E:R,14,0)</f>
        <v>2619</v>
      </c>
      <c r="H634" t="str">
        <f t="shared" si="250"/>
        <v>12/20/2019 7:00:30 AM</v>
      </c>
      <c r="I634" t="str">
        <f>""</f>
        <v/>
      </c>
      <c r="J634" t="str">
        <f t="shared" si="239"/>
        <v>Elite</v>
      </c>
      <c r="K634" t="str">
        <f t="shared" si="246"/>
        <v>Device</v>
      </c>
      <c r="L634" t="str">
        <f t="shared" si="255"/>
        <v>777231714</v>
      </c>
      <c r="M634" t="str">
        <f t="shared" si="256"/>
        <v>16605671</v>
      </c>
      <c r="N634" t="str">
        <f t="shared" si="257"/>
        <v>5131-20T</v>
      </c>
      <c r="O634" t="str">
        <f t="shared" si="240"/>
        <v>TEXAS</v>
      </c>
      <c r="P634" t="str">
        <f t="shared" si="241"/>
        <v>N A</v>
      </c>
      <c r="Q634" t="str">
        <f t="shared" si="242"/>
        <v>N/A</v>
      </c>
      <c r="R634" t="str">
        <f>"130 DKCRP 11 307"</f>
        <v>130 DKCRP 11 307</v>
      </c>
      <c r="S634" t="str">
        <f>"12/19/2019 2:24:51 PM"</f>
        <v>12/19/2019 2:24:51 PM</v>
      </c>
      <c r="T634" t="str">
        <f t="shared" si="249"/>
        <v>5</v>
      </c>
      <c r="U634" t="str">
        <f t="shared" si="243"/>
        <v>N/A</v>
      </c>
      <c r="V634" t="str">
        <f t="shared" si="258"/>
        <v>5.5500</v>
      </c>
    </row>
    <row r="635" spans="1:22" x14ac:dyDescent="0.25">
      <c r="A635" s="1" t="str">
        <f t="shared" si="238"/>
        <v>5131-</v>
      </c>
      <c r="B635" s="1" t="str">
        <f t="shared" si="244"/>
        <v>5131-</v>
      </c>
      <c r="C635" s="1" t="str">
        <f>VLOOKUP(B635,'Master truck list'!D:E,2,0)</f>
        <v>5131-20T</v>
      </c>
      <c r="D635" s="1" t="str">
        <f>VLOOKUP(C635,'Master truck list'!E:F,2,0)</f>
        <v>OUT OF SERVICE</v>
      </c>
      <c r="E635" s="1" t="str">
        <f>VLOOKUP(C635,'Master truck list'!E:M,9,0)</f>
        <v>BNK TRANSPORT INC</v>
      </c>
      <c r="F635" s="1" t="str">
        <f>VLOOKUP(C635,'Master truck list'!E:G,3,0)</f>
        <v>Company</v>
      </c>
      <c r="G635" s="1">
        <f>VLOOKUP(C635,'Master truck list'!E:R,14,0)</f>
        <v>2619</v>
      </c>
      <c r="H635" t="str">
        <f>"12/21/2019 7:00:28 AM"</f>
        <v>12/21/2019 7:00:28 AM</v>
      </c>
      <c r="I635" t="str">
        <f>""</f>
        <v/>
      </c>
      <c r="J635" t="str">
        <f t="shared" si="239"/>
        <v>Elite</v>
      </c>
      <c r="K635" t="str">
        <f t="shared" si="246"/>
        <v>Device</v>
      </c>
      <c r="L635" t="str">
        <f t="shared" si="255"/>
        <v>777231714</v>
      </c>
      <c r="M635" t="str">
        <f t="shared" si="256"/>
        <v>16605671</v>
      </c>
      <c r="N635" t="str">
        <f t="shared" si="257"/>
        <v>5131-20T</v>
      </c>
      <c r="O635" t="str">
        <f t="shared" si="240"/>
        <v>TEXAS</v>
      </c>
      <c r="P635" t="str">
        <f t="shared" si="241"/>
        <v>N A</v>
      </c>
      <c r="Q635" t="str">
        <f t="shared" si="242"/>
        <v>N/A</v>
      </c>
      <c r="R635" t="str">
        <f>"130 ARPTP 04 308"</f>
        <v>130 ARPTP 04 308</v>
      </c>
      <c r="S635" t="str">
        <f>"12/20/2019 3:01:33 PM"</f>
        <v>12/20/2019 3:01:33 PM</v>
      </c>
      <c r="T635" t="str">
        <f t="shared" si="249"/>
        <v>5</v>
      </c>
      <c r="U635" t="str">
        <f t="shared" si="243"/>
        <v>N/A</v>
      </c>
      <c r="V635" t="str">
        <f t="shared" si="258"/>
        <v>5.5500</v>
      </c>
    </row>
    <row r="636" spans="1:22" x14ac:dyDescent="0.25">
      <c r="A636" s="1" t="str">
        <f t="shared" si="238"/>
        <v>5131-</v>
      </c>
      <c r="B636" s="1" t="str">
        <f t="shared" si="244"/>
        <v>5131-</v>
      </c>
      <c r="C636" s="1" t="str">
        <f>VLOOKUP(B636,'Master truck list'!D:E,2,0)</f>
        <v>5131-20T</v>
      </c>
      <c r="D636" s="1" t="str">
        <f>VLOOKUP(C636,'Master truck list'!E:F,2,0)</f>
        <v>OUT OF SERVICE</v>
      </c>
      <c r="E636" s="1" t="str">
        <f>VLOOKUP(C636,'Master truck list'!E:M,9,0)</f>
        <v>BNK TRANSPORT INC</v>
      </c>
      <c r="F636" s="1" t="str">
        <f>VLOOKUP(C636,'Master truck list'!E:G,3,0)</f>
        <v>Company</v>
      </c>
      <c r="G636" s="1">
        <f>VLOOKUP(C636,'Master truck list'!E:R,14,0)</f>
        <v>2619</v>
      </c>
      <c r="H636" t="str">
        <f>"12/17/2019 7:00:33 AM"</f>
        <v>12/17/2019 7:00:33 AM</v>
      </c>
      <c r="I636" t="str">
        <f>""</f>
        <v/>
      </c>
      <c r="J636" t="str">
        <f t="shared" si="239"/>
        <v>Elite</v>
      </c>
      <c r="K636" t="str">
        <f t="shared" si="246"/>
        <v>Device</v>
      </c>
      <c r="L636" t="str">
        <f t="shared" si="255"/>
        <v>777231714</v>
      </c>
      <c r="M636" t="str">
        <f t="shared" si="256"/>
        <v>16605671</v>
      </c>
      <c r="N636" t="str">
        <f t="shared" si="257"/>
        <v>5131-20T</v>
      </c>
      <c r="O636" t="str">
        <f t="shared" si="240"/>
        <v>TEXAS</v>
      </c>
      <c r="P636" t="str">
        <f t="shared" si="241"/>
        <v>N A</v>
      </c>
      <c r="Q636" t="str">
        <f t="shared" si="242"/>
        <v>N/A</v>
      </c>
      <c r="R636" t="str">
        <f>"130 DKCRP 06 307"</f>
        <v>130 DKCRP 06 307</v>
      </c>
      <c r="S636" t="str">
        <f>"12/16/2019 3:52:05 PM"</f>
        <v>12/16/2019 3:52:05 PM</v>
      </c>
      <c r="T636" t="str">
        <f t="shared" si="249"/>
        <v>5</v>
      </c>
      <c r="U636" t="str">
        <f t="shared" si="243"/>
        <v>N/A</v>
      </c>
      <c r="V636" t="str">
        <f t="shared" si="258"/>
        <v>5.5500</v>
      </c>
    </row>
    <row r="637" spans="1:22" x14ac:dyDescent="0.25">
      <c r="A637" s="1" t="str">
        <f t="shared" si="238"/>
        <v>5131-</v>
      </c>
      <c r="B637" s="1" t="str">
        <f t="shared" si="244"/>
        <v>5131-</v>
      </c>
      <c r="C637" s="1" t="str">
        <f>VLOOKUP(B637,'Master truck list'!D:E,2,0)</f>
        <v>5131-20T</v>
      </c>
      <c r="D637" s="1" t="str">
        <f>VLOOKUP(C637,'Master truck list'!E:F,2,0)</f>
        <v>OUT OF SERVICE</v>
      </c>
      <c r="E637" s="1" t="str">
        <f>VLOOKUP(C637,'Master truck list'!E:M,9,0)</f>
        <v>BNK TRANSPORT INC</v>
      </c>
      <c r="F637" s="1" t="str">
        <f>VLOOKUP(C637,'Master truck list'!E:G,3,0)</f>
        <v>Company</v>
      </c>
      <c r="G637" s="1">
        <f>VLOOKUP(C637,'Master truck list'!E:R,14,0)</f>
        <v>2619</v>
      </c>
      <c r="H637" t="str">
        <f>"12/17/2019 7:00:33 AM"</f>
        <v>12/17/2019 7:00:33 AM</v>
      </c>
      <c r="I637" t="str">
        <f>""</f>
        <v/>
      </c>
      <c r="J637" t="str">
        <f t="shared" si="239"/>
        <v>Elite</v>
      </c>
      <c r="K637" t="str">
        <f t="shared" si="246"/>
        <v>Device</v>
      </c>
      <c r="L637" t="str">
        <f t="shared" si="255"/>
        <v>777231714</v>
      </c>
      <c r="M637" t="str">
        <f t="shared" si="256"/>
        <v>16605671</v>
      </c>
      <c r="N637" t="str">
        <f t="shared" si="257"/>
        <v>5131-20T</v>
      </c>
      <c r="O637" t="str">
        <f t="shared" si="240"/>
        <v>TEXAS</v>
      </c>
      <c r="P637" t="str">
        <f t="shared" si="241"/>
        <v>N A</v>
      </c>
      <c r="Q637" t="str">
        <f t="shared" si="242"/>
        <v>N/A</v>
      </c>
      <c r="R637" t="str">
        <f>"130 MGCRP 06 305"</f>
        <v>130 MGCRP 06 305</v>
      </c>
      <c r="S637" t="str">
        <f>"12/16/2019 3:30:55 PM"</f>
        <v>12/16/2019 3:30:55 PM</v>
      </c>
      <c r="T637" t="str">
        <f t="shared" si="249"/>
        <v>5</v>
      </c>
      <c r="U637" t="str">
        <f t="shared" si="243"/>
        <v>N/A</v>
      </c>
      <c r="V637" t="str">
        <f t="shared" si="258"/>
        <v>5.5500</v>
      </c>
    </row>
    <row r="638" spans="1:22" x14ac:dyDescent="0.25">
      <c r="A638" s="1" t="str">
        <f t="shared" si="238"/>
        <v>5131-</v>
      </c>
      <c r="B638" s="1" t="str">
        <f t="shared" si="244"/>
        <v>5131-</v>
      </c>
      <c r="C638" s="1" t="str">
        <f>VLOOKUP(B638,'Master truck list'!D:E,2,0)</f>
        <v>5131-20T</v>
      </c>
      <c r="D638" s="1" t="str">
        <f>VLOOKUP(C638,'Master truck list'!E:F,2,0)</f>
        <v>OUT OF SERVICE</v>
      </c>
      <c r="E638" s="1" t="str">
        <f>VLOOKUP(C638,'Master truck list'!E:M,9,0)</f>
        <v>BNK TRANSPORT INC</v>
      </c>
      <c r="F638" s="1" t="str">
        <f>VLOOKUP(C638,'Master truck list'!E:G,3,0)</f>
        <v>Company</v>
      </c>
      <c r="G638" s="1">
        <f>VLOOKUP(C638,'Master truck list'!E:R,14,0)</f>
        <v>2619</v>
      </c>
      <c r="H638" t="str">
        <f>"12/17/2019 7:00:33 AM"</f>
        <v>12/17/2019 7:00:33 AM</v>
      </c>
      <c r="I638" t="str">
        <f>""</f>
        <v/>
      </c>
      <c r="J638" t="str">
        <f t="shared" si="239"/>
        <v>Elite</v>
      </c>
      <c r="K638" t="str">
        <f t="shared" si="246"/>
        <v>Device</v>
      </c>
      <c r="L638" t="str">
        <f t="shared" si="255"/>
        <v>777231714</v>
      </c>
      <c r="M638" t="str">
        <f t="shared" si="256"/>
        <v>16605671</v>
      </c>
      <c r="N638" t="str">
        <f t="shared" si="257"/>
        <v>5131-20T</v>
      </c>
      <c r="O638" t="str">
        <f t="shared" si="240"/>
        <v>TEXAS</v>
      </c>
      <c r="P638" t="str">
        <f t="shared" si="241"/>
        <v>N A</v>
      </c>
      <c r="Q638" t="str">
        <f t="shared" si="242"/>
        <v>N/A</v>
      </c>
      <c r="R638" t="str">
        <f>"130 ARPTP 04 308"</f>
        <v>130 ARPTP 04 308</v>
      </c>
      <c r="S638" t="str">
        <f>"12/16/2019 3:59:08 PM"</f>
        <v>12/16/2019 3:59:08 PM</v>
      </c>
      <c r="T638" t="str">
        <f t="shared" si="249"/>
        <v>5</v>
      </c>
      <c r="U638" t="str">
        <f t="shared" si="243"/>
        <v>N/A</v>
      </c>
      <c r="V638" t="str">
        <f t="shared" si="258"/>
        <v>5.5500</v>
      </c>
    </row>
    <row r="639" spans="1:22" x14ac:dyDescent="0.25">
      <c r="A639" s="1" t="str">
        <f t="shared" si="238"/>
        <v>5131-</v>
      </c>
      <c r="B639" s="1" t="str">
        <f t="shared" si="244"/>
        <v>5131-</v>
      </c>
      <c r="C639" s="1" t="str">
        <f>VLOOKUP(B639,'Master truck list'!D:E,2,0)</f>
        <v>5131-20T</v>
      </c>
      <c r="D639" s="1" t="str">
        <f>VLOOKUP(C639,'Master truck list'!E:F,2,0)</f>
        <v>OUT OF SERVICE</v>
      </c>
      <c r="E639" s="1" t="str">
        <f>VLOOKUP(C639,'Master truck list'!E:M,9,0)</f>
        <v>BNK TRANSPORT INC</v>
      </c>
      <c r="F639" s="1" t="str">
        <f>VLOOKUP(C639,'Master truck list'!E:G,3,0)</f>
        <v>Company</v>
      </c>
      <c r="G639" s="1">
        <f>VLOOKUP(C639,'Master truck list'!E:R,14,0)</f>
        <v>2619</v>
      </c>
      <c r="H639" t="str">
        <f>"12/17/2019 7:00:33 AM"</f>
        <v>12/17/2019 7:00:33 AM</v>
      </c>
      <c r="I639" t="str">
        <f>""</f>
        <v/>
      </c>
      <c r="J639" t="str">
        <f t="shared" si="239"/>
        <v>Elite</v>
      </c>
      <c r="K639" t="str">
        <f t="shared" si="246"/>
        <v>Device</v>
      </c>
      <c r="L639" t="str">
        <f t="shared" si="255"/>
        <v>777231714</v>
      </c>
      <c r="M639" t="str">
        <f t="shared" si="256"/>
        <v>16605671</v>
      </c>
      <c r="N639" t="str">
        <f t="shared" si="257"/>
        <v>5131-20T</v>
      </c>
      <c r="O639" t="str">
        <f t="shared" si="240"/>
        <v>TEXAS</v>
      </c>
      <c r="P639" t="str">
        <f t="shared" si="241"/>
        <v>N A</v>
      </c>
      <c r="Q639" t="str">
        <f t="shared" si="242"/>
        <v>N/A</v>
      </c>
      <c r="R639" t="str">
        <f>"130 CMRNP 08 306"</f>
        <v>130 CMRNP 08 306</v>
      </c>
      <c r="S639" t="str">
        <f>"12/16/2019 3:42:02 PM"</f>
        <v>12/16/2019 3:42:02 PM</v>
      </c>
      <c r="T639" t="str">
        <f t="shared" si="249"/>
        <v>5</v>
      </c>
      <c r="U639" t="str">
        <f t="shared" si="243"/>
        <v>N/A</v>
      </c>
      <c r="V639" t="str">
        <f t="shared" si="258"/>
        <v>5.5500</v>
      </c>
    </row>
    <row r="640" spans="1:22" x14ac:dyDescent="0.25">
      <c r="A640" s="1" t="str">
        <f t="shared" si="238"/>
        <v>5131-</v>
      </c>
      <c r="B640" s="1" t="str">
        <f t="shared" si="244"/>
        <v>5131-</v>
      </c>
      <c r="C640" s="1" t="str">
        <f>VLOOKUP(B640,'Master truck list'!D:E,2,0)</f>
        <v>5131-20T</v>
      </c>
      <c r="D640" s="1" t="str">
        <f>VLOOKUP(C640,'Master truck list'!E:F,2,0)</f>
        <v>OUT OF SERVICE</v>
      </c>
      <c r="E640" s="1" t="str">
        <f>VLOOKUP(C640,'Master truck list'!E:M,9,0)</f>
        <v>BNK TRANSPORT INC</v>
      </c>
      <c r="F640" s="1" t="str">
        <f>VLOOKUP(C640,'Master truck list'!E:G,3,0)</f>
        <v>Company</v>
      </c>
      <c r="G640" s="1">
        <f>VLOOKUP(C640,'Master truck list'!E:R,14,0)</f>
        <v>2619</v>
      </c>
      <c r="H640" t="str">
        <f>"12/17/2019 7:00:33 AM"</f>
        <v>12/17/2019 7:00:33 AM</v>
      </c>
      <c r="I640" t="str">
        <f>""</f>
        <v/>
      </c>
      <c r="J640" t="str">
        <f t="shared" si="239"/>
        <v>Elite</v>
      </c>
      <c r="K640" t="str">
        <f t="shared" si="246"/>
        <v>Device</v>
      </c>
      <c r="L640" t="str">
        <f t="shared" si="255"/>
        <v>777231714</v>
      </c>
      <c r="M640" t="str">
        <f t="shared" si="256"/>
        <v>16605671</v>
      </c>
      <c r="N640" t="str">
        <f t="shared" si="257"/>
        <v>5131-20T</v>
      </c>
      <c r="O640" t="str">
        <f t="shared" si="240"/>
        <v>TEXAS</v>
      </c>
      <c r="P640" t="str">
        <f t="shared" si="241"/>
        <v>N A</v>
      </c>
      <c r="Q640" t="str">
        <f t="shared" si="242"/>
        <v>N/A</v>
      </c>
      <c r="R640" t="str">
        <f>"45SE MLPWB 01 611"</f>
        <v>45SE MLPWB 01 611</v>
      </c>
      <c r="S640" t="str">
        <f>"12/16/2019 4:09:45 PM"</f>
        <v>12/16/2019 4:09:45 PM</v>
      </c>
      <c r="T640" t="str">
        <f t="shared" si="249"/>
        <v>5</v>
      </c>
      <c r="U640" t="str">
        <f t="shared" si="243"/>
        <v>N/A</v>
      </c>
      <c r="V640" t="str">
        <f>"3.3000"</f>
        <v>3.3000</v>
      </c>
    </row>
    <row r="641" spans="1:22" x14ac:dyDescent="0.25">
      <c r="A641" s="1" t="str">
        <f t="shared" si="238"/>
        <v>5131-</v>
      </c>
      <c r="B641" s="1" t="str">
        <f t="shared" si="244"/>
        <v>5131-</v>
      </c>
      <c r="C641" s="1" t="str">
        <f>VLOOKUP(B641,'Master truck list'!D:E,2,0)</f>
        <v>5131-20T</v>
      </c>
      <c r="D641" s="1" t="str">
        <f>VLOOKUP(C641,'Master truck list'!E:F,2,0)</f>
        <v>OUT OF SERVICE</v>
      </c>
      <c r="E641" s="1" t="str">
        <f>VLOOKUP(C641,'Master truck list'!E:M,9,0)</f>
        <v>BNK TRANSPORT INC</v>
      </c>
      <c r="F641" s="1" t="str">
        <f>VLOOKUP(C641,'Master truck list'!E:G,3,0)</f>
        <v>Company</v>
      </c>
      <c r="G641" s="1">
        <f>VLOOKUP(C641,'Master truck list'!E:R,14,0)</f>
        <v>2619</v>
      </c>
      <c r="H641" t="str">
        <f>"12/21/2019 7:00:28 AM"</f>
        <v>12/21/2019 7:00:28 AM</v>
      </c>
      <c r="I641" t="str">
        <f>""</f>
        <v/>
      </c>
      <c r="J641" t="str">
        <f t="shared" si="239"/>
        <v>Elite</v>
      </c>
      <c r="K641" t="str">
        <f t="shared" si="246"/>
        <v>Device</v>
      </c>
      <c r="L641" t="str">
        <f t="shared" si="255"/>
        <v>777231714</v>
      </c>
      <c r="M641" t="str">
        <f t="shared" si="256"/>
        <v>16605671</v>
      </c>
      <c r="N641" t="str">
        <f t="shared" si="257"/>
        <v>5131-20T</v>
      </c>
      <c r="O641" t="str">
        <f t="shared" si="240"/>
        <v>TEXAS</v>
      </c>
      <c r="P641" t="str">
        <f t="shared" si="241"/>
        <v>N A</v>
      </c>
      <c r="Q641" t="str">
        <f t="shared" si="242"/>
        <v>N/A</v>
      </c>
      <c r="R641" t="str">
        <f>"130 DKCRP 06 307"</f>
        <v>130 DKCRP 06 307</v>
      </c>
      <c r="S641" t="str">
        <f>"12/20/2019 2:53:42 PM"</f>
        <v>12/20/2019 2:53:42 PM</v>
      </c>
      <c r="T641" t="str">
        <f t="shared" si="249"/>
        <v>5</v>
      </c>
      <c r="U641" t="str">
        <f t="shared" si="243"/>
        <v>N/A</v>
      </c>
      <c r="V641" t="str">
        <f>"5.5500"</f>
        <v>5.5500</v>
      </c>
    </row>
    <row r="642" spans="1:22" x14ac:dyDescent="0.25">
      <c r="A642" s="1" t="str">
        <f t="shared" ref="A642:A705" si="259">LEFT(N642,5)</f>
        <v>5131-</v>
      </c>
      <c r="B642" s="1" t="str">
        <f t="shared" si="244"/>
        <v>5131-</v>
      </c>
      <c r="C642" s="1" t="str">
        <f>VLOOKUP(B642,'Master truck list'!D:E,2,0)</f>
        <v>5131-20T</v>
      </c>
      <c r="D642" s="1" t="str">
        <f>VLOOKUP(C642,'Master truck list'!E:F,2,0)</f>
        <v>OUT OF SERVICE</v>
      </c>
      <c r="E642" s="1" t="str">
        <f>VLOOKUP(C642,'Master truck list'!E:M,9,0)</f>
        <v>BNK TRANSPORT INC</v>
      </c>
      <c r="F642" s="1" t="str">
        <f>VLOOKUP(C642,'Master truck list'!E:G,3,0)</f>
        <v>Company</v>
      </c>
      <c r="G642" s="1">
        <f>VLOOKUP(C642,'Master truck list'!E:R,14,0)</f>
        <v>2619</v>
      </c>
      <c r="H642" t="str">
        <f>"12/21/2019 7:00:28 AM"</f>
        <v>12/21/2019 7:00:28 AM</v>
      </c>
      <c r="I642" t="str">
        <f>""</f>
        <v/>
      </c>
      <c r="J642" t="str">
        <f t="shared" ref="J642:J705" si="260">"Elite"</f>
        <v>Elite</v>
      </c>
      <c r="K642" t="str">
        <f t="shared" si="246"/>
        <v>Device</v>
      </c>
      <c r="L642" t="str">
        <f t="shared" si="255"/>
        <v>777231714</v>
      </c>
      <c r="M642" t="str">
        <f t="shared" si="256"/>
        <v>16605671</v>
      </c>
      <c r="N642" t="str">
        <f t="shared" si="257"/>
        <v>5131-20T</v>
      </c>
      <c r="O642" t="str">
        <f t="shared" ref="O642:O705" si="261">"TEXAS"</f>
        <v>TEXAS</v>
      </c>
      <c r="P642" t="str">
        <f t="shared" ref="P642:P705" si="262">"N A"</f>
        <v>N A</v>
      </c>
      <c r="Q642" t="str">
        <f t="shared" ref="Q642:Q705" si="263">"N/A"</f>
        <v>N/A</v>
      </c>
      <c r="R642" t="str">
        <f>"130 CMRNP 08 306"</f>
        <v>130 CMRNP 08 306</v>
      </c>
      <c r="S642" t="str">
        <f>"12/20/2019 2:42:56 PM"</f>
        <v>12/20/2019 2:42:56 PM</v>
      </c>
      <c r="T642" t="str">
        <f t="shared" si="249"/>
        <v>5</v>
      </c>
      <c r="U642" t="str">
        <f t="shared" ref="U642:U705" si="264">"N/A"</f>
        <v>N/A</v>
      </c>
      <c r="V642" t="str">
        <f>"5.5500"</f>
        <v>5.5500</v>
      </c>
    </row>
    <row r="643" spans="1:22" x14ac:dyDescent="0.25">
      <c r="A643" s="1" t="str">
        <f t="shared" si="259"/>
        <v>5131-</v>
      </c>
      <c r="B643" s="1" t="str">
        <f t="shared" ref="B643:B706" si="265">SUBSTITUTE(A643," ","")</f>
        <v>5131-</v>
      </c>
      <c r="C643" s="1" t="str">
        <f>VLOOKUP(B643,'Master truck list'!D:E,2,0)</f>
        <v>5131-20T</v>
      </c>
      <c r="D643" s="1" t="str">
        <f>VLOOKUP(C643,'Master truck list'!E:F,2,0)</f>
        <v>OUT OF SERVICE</v>
      </c>
      <c r="E643" s="1" t="str">
        <f>VLOOKUP(C643,'Master truck list'!E:M,9,0)</f>
        <v>BNK TRANSPORT INC</v>
      </c>
      <c r="F643" s="1" t="str">
        <f>VLOOKUP(C643,'Master truck list'!E:G,3,0)</f>
        <v>Company</v>
      </c>
      <c r="G643" s="1">
        <f>VLOOKUP(C643,'Master truck list'!E:R,14,0)</f>
        <v>2619</v>
      </c>
      <c r="H643" t="str">
        <f>"12/21/2019 7:00:28 AM"</f>
        <v>12/21/2019 7:00:28 AM</v>
      </c>
      <c r="I643" t="str">
        <f>""</f>
        <v/>
      </c>
      <c r="J643" t="str">
        <f t="shared" si="260"/>
        <v>Elite</v>
      </c>
      <c r="K643" t="str">
        <f t="shared" si="246"/>
        <v>Device</v>
      </c>
      <c r="L643" t="str">
        <f t="shared" si="255"/>
        <v>777231714</v>
      </c>
      <c r="M643" t="str">
        <f t="shared" si="256"/>
        <v>16605671</v>
      </c>
      <c r="N643" t="str">
        <f t="shared" si="257"/>
        <v>5131-20T</v>
      </c>
      <c r="O643" t="str">
        <f t="shared" si="261"/>
        <v>TEXAS</v>
      </c>
      <c r="P643" t="str">
        <f t="shared" si="262"/>
        <v>N A</v>
      </c>
      <c r="Q643" t="str">
        <f t="shared" si="263"/>
        <v>N/A</v>
      </c>
      <c r="R643" t="str">
        <f>"45SE MLPWB 02 611"</f>
        <v>45SE MLPWB 02 611</v>
      </c>
      <c r="S643" t="str">
        <f>"12/20/2019 3:12:25 PM"</f>
        <v>12/20/2019 3:12:25 PM</v>
      </c>
      <c r="T643" t="str">
        <f t="shared" si="249"/>
        <v>5</v>
      </c>
      <c r="U643" t="str">
        <f t="shared" si="264"/>
        <v>N/A</v>
      </c>
      <c r="V643" t="str">
        <f>"3.3000"</f>
        <v>3.3000</v>
      </c>
    </row>
    <row r="644" spans="1:22" x14ac:dyDescent="0.25">
      <c r="A644" s="1" t="str">
        <f t="shared" si="259"/>
        <v>5131-</v>
      </c>
      <c r="B644" s="1" t="str">
        <f t="shared" si="265"/>
        <v>5131-</v>
      </c>
      <c r="C644" s="1" t="str">
        <f>VLOOKUP(B644,'Master truck list'!D:E,2,0)</f>
        <v>5131-20T</v>
      </c>
      <c r="D644" s="1" t="str">
        <f>VLOOKUP(C644,'Master truck list'!E:F,2,0)</f>
        <v>OUT OF SERVICE</v>
      </c>
      <c r="E644" s="1" t="str">
        <f>VLOOKUP(C644,'Master truck list'!E:M,9,0)</f>
        <v>BNK TRANSPORT INC</v>
      </c>
      <c r="F644" s="1" t="str">
        <f>VLOOKUP(C644,'Master truck list'!E:G,3,0)</f>
        <v>Company</v>
      </c>
      <c r="G644" s="1">
        <f>VLOOKUP(C644,'Master truck list'!E:R,14,0)</f>
        <v>2619</v>
      </c>
      <c r="H644" t="str">
        <f>"12/21/2019 7:00:28 AM"</f>
        <v>12/21/2019 7:00:28 AM</v>
      </c>
      <c r="I644" t="str">
        <f>""</f>
        <v/>
      </c>
      <c r="J644" t="str">
        <f t="shared" si="260"/>
        <v>Elite</v>
      </c>
      <c r="K644" t="str">
        <f t="shared" si="246"/>
        <v>Device</v>
      </c>
      <c r="L644" t="str">
        <f t="shared" si="255"/>
        <v>777231714</v>
      </c>
      <c r="M644" t="str">
        <f t="shared" si="256"/>
        <v>16605671</v>
      </c>
      <c r="N644" t="str">
        <f t="shared" si="257"/>
        <v>5131-20T</v>
      </c>
      <c r="O644" t="str">
        <f t="shared" si="261"/>
        <v>TEXAS</v>
      </c>
      <c r="P644" t="str">
        <f t="shared" si="262"/>
        <v>N A</v>
      </c>
      <c r="Q644" t="str">
        <f t="shared" si="263"/>
        <v>N/A</v>
      </c>
      <c r="R644" t="str">
        <f>"130 MGCRP 06 305"</f>
        <v>130 MGCRP 06 305</v>
      </c>
      <c r="S644" t="str">
        <f>"12/20/2019 2:31:48 PM"</f>
        <v>12/20/2019 2:31:48 PM</v>
      </c>
      <c r="T644" t="str">
        <f t="shared" si="249"/>
        <v>5</v>
      </c>
      <c r="U644" t="str">
        <f t="shared" si="264"/>
        <v>N/A</v>
      </c>
      <c r="V644" t="str">
        <f>"5.5500"</f>
        <v>5.5500</v>
      </c>
    </row>
    <row r="645" spans="1:22" x14ac:dyDescent="0.25">
      <c r="A645" s="1" t="str">
        <f t="shared" si="259"/>
        <v>5135-</v>
      </c>
      <c r="B645" s="1" t="str">
        <f t="shared" si="265"/>
        <v>5135-</v>
      </c>
      <c r="C645" s="1" t="str">
        <f>VLOOKUP(B645,'Master truck list'!D:E,2,0)</f>
        <v>5135-20T</v>
      </c>
      <c r="D645" s="1" t="str">
        <f>VLOOKUP(C645,'Master truck list'!E:F,2,0)</f>
        <v>OUT OF SERVICE</v>
      </c>
      <c r="E645" s="1" t="str">
        <f>VLOOKUP(C645,'Master truck list'!E:M,9,0)</f>
        <v>BNK TRANSPORT INC</v>
      </c>
      <c r="F645" s="1" t="str">
        <f>VLOOKUP(C645,'Master truck list'!E:G,3,0)</f>
        <v>Company</v>
      </c>
      <c r="G645" s="1">
        <f>VLOOKUP(C645,'Master truck list'!E:R,14,0)</f>
        <v>2622</v>
      </c>
      <c r="H645" t="str">
        <f>"12/17/2019 7:00:33 AM"</f>
        <v>12/17/2019 7:00:33 AM</v>
      </c>
      <c r="I645" t="str">
        <f>""</f>
        <v/>
      </c>
      <c r="J645" t="str">
        <f t="shared" si="260"/>
        <v>Elite</v>
      </c>
      <c r="K645" t="str">
        <f t="shared" si="246"/>
        <v>Device</v>
      </c>
      <c r="L645" t="str">
        <f>"777254326"</f>
        <v>777254326</v>
      </c>
      <c r="M645" t="str">
        <f>"16722208"</f>
        <v>16722208</v>
      </c>
      <c r="N645" t="str">
        <f>"5135-20T"</f>
        <v>5135-20T</v>
      </c>
      <c r="O645" t="str">
        <f t="shared" si="261"/>
        <v>TEXAS</v>
      </c>
      <c r="P645" t="str">
        <f t="shared" si="262"/>
        <v>N A</v>
      </c>
      <c r="Q645" t="str">
        <f t="shared" si="263"/>
        <v>N/A</v>
      </c>
      <c r="R645" t="str">
        <f>"130 MGCRP 11 305"</f>
        <v>130 MGCRP 11 305</v>
      </c>
      <c r="S645" t="str">
        <f>"12/16/2019 7:18:06 PM"</f>
        <v>12/16/2019 7:18:06 PM</v>
      </c>
      <c r="T645" t="str">
        <f t="shared" si="249"/>
        <v>5</v>
      </c>
      <c r="U645" t="str">
        <f t="shared" si="264"/>
        <v>N/A</v>
      </c>
      <c r="V645" t="str">
        <f>"5.5500"</f>
        <v>5.5500</v>
      </c>
    </row>
    <row r="646" spans="1:22" x14ac:dyDescent="0.25">
      <c r="A646" s="1" t="str">
        <f t="shared" si="259"/>
        <v>5135-</v>
      </c>
      <c r="B646" s="1" t="str">
        <f t="shared" si="265"/>
        <v>5135-</v>
      </c>
      <c r="C646" s="1" t="str">
        <f>VLOOKUP(B646,'Master truck list'!D:E,2,0)</f>
        <v>5135-20T</v>
      </c>
      <c r="D646" s="1" t="str">
        <f>VLOOKUP(C646,'Master truck list'!E:F,2,0)</f>
        <v>OUT OF SERVICE</v>
      </c>
      <c r="E646" s="1" t="str">
        <f>VLOOKUP(C646,'Master truck list'!E:M,9,0)</f>
        <v>BNK TRANSPORT INC</v>
      </c>
      <c r="F646" s="1" t="str">
        <f>VLOOKUP(C646,'Master truck list'!E:G,3,0)</f>
        <v>Company</v>
      </c>
      <c r="G646" s="1">
        <f>VLOOKUP(C646,'Master truck list'!E:R,14,0)</f>
        <v>2622</v>
      </c>
      <c r="H646" t="str">
        <f>"12/17/2019 7:00:33 AM"</f>
        <v>12/17/2019 7:00:33 AM</v>
      </c>
      <c r="I646" t="str">
        <f>""</f>
        <v/>
      </c>
      <c r="J646" t="str">
        <f t="shared" si="260"/>
        <v>Elite</v>
      </c>
      <c r="K646" t="str">
        <f t="shared" si="246"/>
        <v>Device</v>
      </c>
      <c r="L646" t="str">
        <f>"777254326"</f>
        <v>777254326</v>
      </c>
      <c r="M646" t="str">
        <f>"16722208"</f>
        <v>16722208</v>
      </c>
      <c r="N646" t="str">
        <f>"5135-20T"</f>
        <v>5135-20T</v>
      </c>
      <c r="O646" t="str">
        <f t="shared" si="261"/>
        <v>TEXAS</v>
      </c>
      <c r="P646" t="str">
        <f t="shared" si="262"/>
        <v>N A</v>
      </c>
      <c r="Q646" t="str">
        <f t="shared" si="263"/>
        <v>N/A</v>
      </c>
      <c r="R646" t="str">
        <f>"45SE MLPEB 02 611"</f>
        <v>45SE MLPEB 02 611</v>
      </c>
      <c r="S646" t="str">
        <f>"12/16/2019 6:39:01 PM"</f>
        <v>12/16/2019 6:39:01 PM</v>
      </c>
      <c r="T646" t="str">
        <f t="shared" si="249"/>
        <v>5</v>
      </c>
      <c r="U646" t="str">
        <f t="shared" si="264"/>
        <v>N/A</v>
      </c>
      <c r="V646" t="str">
        <f>"3.3000"</f>
        <v>3.3000</v>
      </c>
    </row>
    <row r="647" spans="1:22" x14ac:dyDescent="0.25">
      <c r="A647" s="1" t="str">
        <f t="shared" si="259"/>
        <v>5135-</v>
      </c>
      <c r="B647" s="1" t="str">
        <f t="shared" si="265"/>
        <v>5135-</v>
      </c>
      <c r="C647" s="1" t="str">
        <f>VLOOKUP(B647,'Master truck list'!D:E,2,0)</f>
        <v>5135-20T</v>
      </c>
      <c r="D647" s="1" t="str">
        <f>VLOOKUP(C647,'Master truck list'!E:F,2,0)</f>
        <v>OUT OF SERVICE</v>
      </c>
      <c r="E647" s="1" t="str">
        <f>VLOOKUP(C647,'Master truck list'!E:M,9,0)</f>
        <v>BNK TRANSPORT INC</v>
      </c>
      <c r="F647" s="1" t="str">
        <f>VLOOKUP(C647,'Master truck list'!E:G,3,0)</f>
        <v>Company</v>
      </c>
      <c r="G647" s="1">
        <f>VLOOKUP(C647,'Master truck list'!E:R,14,0)</f>
        <v>2622</v>
      </c>
      <c r="H647" t="str">
        <f>"12/17/2019 7:00:33 AM"</f>
        <v>12/17/2019 7:00:33 AM</v>
      </c>
      <c r="I647" t="str">
        <f>""</f>
        <v/>
      </c>
      <c r="J647" t="str">
        <f t="shared" si="260"/>
        <v>Elite</v>
      </c>
      <c r="K647" t="str">
        <f t="shared" si="246"/>
        <v>Device</v>
      </c>
      <c r="L647" t="str">
        <f>"777254326"</f>
        <v>777254326</v>
      </c>
      <c r="M647" t="str">
        <f>"16722208"</f>
        <v>16722208</v>
      </c>
      <c r="N647" t="str">
        <f>"5135-20T"</f>
        <v>5135-20T</v>
      </c>
      <c r="O647" t="str">
        <f t="shared" si="261"/>
        <v>TEXAS</v>
      </c>
      <c r="P647" t="str">
        <f t="shared" si="262"/>
        <v>N A</v>
      </c>
      <c r="Q647" t="str">
        <f t="shared" si="263"/>
        <v>N/A</v>
      </c>
      <c r="R647" t="str">
        <f>"130 CMRNP 13 306"</f>
        <v>130 CMRNP 13 306</v>
      </c>
      <c r="S647" t="str">
        <f>"12/16/2019 7:07:00 PM"</f>
        <v>12/16/2019 7:07:00 PM</v>
      </c>
      <c r="T647" t="str">
        <f t="shared" si="249"/>
        <v>5</v>
      </c>
      <c r="U647" t="str">
        <f t="shared" si="264"/>
        <v>N/A</v>
      </c>
      <c r="V647" t="str">
        <f>"5.5500"</f>
        <v>5.5500</v>
      </c>
    </row>
    <row r="648" spans="1:22" x14ac:dyDescent="0.25">
      <c r="A648" s="1" t="str">
        <f t="shared" si="259"/>
        <v>5135-</v>
      </c>
      <c r="B648" s="1" t="str">
        <f t="shared" si="265"/>
        <v>5135-</v>
      </c>
      <c r="C648" s="1" t="str">
        <f>VLOOKUP(B648,'Master truck list'!D:E,2,0)</f>
        <v>5135-20T</v>
      </c>
      <c r="D648" s="1" t="str">
        <f>VLOOKUP(C648,'Master truck list'!E:F,2,0)</f>
        <v>OUT OF SERVICE</v>
      </c>
      <c r="E648" s="1" t="str">
        <f>VLOOKUP(C648,'Master truck list'!E:M,9,0)</f>
        <v>BNK TRANSPORT INC</v>
      </c>
      <c r="F648" s="1" t="str">
        <f>VLOOKUP(C648,'Master truck list'!E:G,3,0)</f>
        <v>Company</v>
      </c>
      <c r="G648" s="1">
        <f>VLOOKUP(C648,'Master truck list'!E:R,14,0)</f>
        <v>2622</v>
      </c>
      <c r="H648" t="str">
        <f>"12/17/2019 7:00:33 AM"</f>
        <v>12/17/2019 7:00:33 AM</v>
      </c>
      <c r="I648" t="str">
        <f>""</f>
        <v/>
      </c>
      <c r="J648" t="str">
        <f t="shared" si="260"/>
        <v>Elite</v>
      </c>
      <c r="K648" t="str">
        <f t="shared" si="246"/>
        <v>Device</v>
      </c>
      <c r="L648" t="str">
        <f>"777254326"</f>
        <v>777254326</v>
      </c>
      <c r="M648" t="str">
        <f>"16722208"</f>
        <v>16722208</v>
      </c>
      <c r="N648" t="str">
        <f>"5135-20T"</f>
        <v>5135-20T</v>
      </c>
      <c r="O648" t="str">
        <f t="shared" si="261"/>
        <v>TEXAS</v>
      </c>
      <c r="P648" t="str">
        <f t="shared" si="262"/>
        <v>N A</v>
      </c>
      <c r="Q648" t="str">
        <f t="shared" si="263"/>
        <v>N/A</v>
      </c>
      <c r="R648" t="str">
        <f>"130 ARPTP 09 308"</f>
        <v>130 ARPTP 09 308</v>
      </c>
      <c r="S648" t="str">
        <f>"12/16/2019 6:49:51 PM"</f>
        <v>12/16/2019 6:49:51 PM</v>
      </c>
      <c r="T648" t="str">
        <f t="shared" si="249"/>
        <v>5</v>
      </c>
      <c r="U648" t="str">
        <f t="shared" si="264"/>
        <v>N/A</v>
      </c>
      <c r="V648" t="str">
        <f>"5.5500"</f>
        <v>5.5500</v>
      </c>
    </row>
    <row r="649" spans="1:22" x14ac:dyDescent="0.25">
      <c r="A649" s="1" t="str">
        <f t="shared" si="259"/>
        <v>5135-</v>
      </c>
      <c r="B649" s="1" t="str">
        <f t="shared" si="265"/>
        <v>5135-</v>
      </c>
      <c r="C649" s="1" t="str">
        <f>VLOOKUP(B649,'Master truck list'!D:E,2,0)</f>
        <v>5135-20T</v>
      </c>
      <c r="D649" s="1" t="str">
        <f>VLOOKUP(C649,'Master truck list'!E:F,2,0)</f>
        <v>OUT OF SERVICE</v>
      </c>
      <c r="E649" s="1" t="str">
        <f>VLOOKUP(C649,'Master truck list'!E:M,9,0)</f>
        <v>BNK TRANSPORT INC</v>
      </c>
      <c r="F649" s="1" t="str">
        <f>VLOOKUP(C649,'Master truck list'!E:G,3,0)</f>
        <v>Company</v>
      </c>
      <c r="G649" s="1">
        <f>VLOOKUP(C649,'Master truck list'!E:R,14,0)</f>
        <v>2622</v>
      </c>
      <c r="H649" t="str">
        <f>"12/17/2019 7:00:33 AM"</f>
        <v>12/17/2019 7:00:33 AM</v>
      </c>
      <c r="I649" t="str">
        <f>""</f>
        <v/>
      </c>
      <c r="J649" t="str">
        <f t="shared" si="260"/>
        <v>Elite</v>
      </c>
      <c r="K649" t="str">
        <f t="shared" si="246"/>
        <v>Device</v>
      </c>
      <c r="L649" t="str">
        <f>"777254326"</f>
        <v>777254326</v>
      </c>
      <c r="M649" t="str">
        <f>"16722208"</f>
        <v>16722208</v>
      </c>
      <c r="N649" t="str">
        <f>"5135-20T"</f>
        <v>5135-20T</v>
      </c>
      <c r="O649" t="str">
        <f t="shared" si="261"/>
        <v>TEXAS</v>
      </c>
      <c r="P649" t="str">
        <f t="shared" si="262"/>
        <v>N A</v>
      </c>
      <c r="Q649" t="str">
        <f t="shared" si="263"/>
        <v>N/A</v>
      </c>
      <c r="R649" t="str">
        <f>"130 DKCRP 11 307"</f>
        <v>130 DKCRP 11 307</v>
      </c>
      <c r="S649" t="str">
        <f>"12/16/2019 6:56:53 PM"</f>
        <v>12/16/2019 6:56:53 PM</v>
      </c>
      <c r="T649" t="str">
        <f t="shared" si="249"/>
        <v>5</v>
      </c>
      <c r="U649" t="str">
        <f t="shared" si="264"/>
        <v>N/A</v>
      </c>
      <c r="V649" t="str">
        <f>"5.5500"</f>
        <v>5.5500</v>
      </c>
    </row>
    <row r="650" spans="1:22" x14ac:dyDescent="0.25">
      <c r="A650" s="1" t="str">
        <f t="shared" si="259"/>
        <v>5119-</v>
      </c>
      <c r="B650" s="1" t="str">
        <f t="shared" si="265"/>
        <v>5119-</v>
      </c>
      <c r="C650" s="1" t="str">
        <f>VLOOKUP(B650,'Master truck list'!D:E,2,0)</f>
        <v>5119-20T</v>
      </c>
      <c r="D650" s="1" t="str">
        <f>VLOOKUP(C650,'Master truck list'!E:F,2,0)</f>
        <v>ACTIVE</v>
      </c>
      <c r="E650" s="1" t="str">
        <f>VLOOKUP(C650,'Master truck list'!E:M,9,0)</f>
        <v>BNK TRANSPORT INC</v>
      </c>
      <c r="F650" s="1" t="str">
        <f>VLOOKUP(C650,'Master truck list'!E:G,3,0)</f>
        <v>Company</v>
      </c>
      <c r="G650" s="1">
        <f>VLOOKUP(C650,'Master truck list'!E:R,14,0)</f>
        <v>2608</v>
      </c>
      <c r="H650" t="str">
        <f>"12/21/2019 7:00:28 AM"</f>
        <v>12/21/2019 7:00:28 AM</v>
      </c>
      <c r="I650" t="str">
        <f>""</f>
        <v/>
      </c>
      <c r="J650" t="str">
        <f t="shared" si="260"/>
        <v>Elite</v>
      </c>
      <c r="K650" t="str">
        <f t="shared" si="246"/>
        <v>Device</v>
      </c>
      <c r="L650" t="str">
        <f>"777232092"</f>
        <v>777232092</v>
      </c>
      <c r="M650" t="str">
        <f>"16606049"</f>
        <v>16606049</v>
      </c>
      <c r="N650" t="str">
        <f>"5119-20T"</f>
        <v>5119-20T</v>
      </c>
      <c r="O650" t="str">
        <f t="shared" si="261"/>
        <v>TEXAS</v>
      </c>
      <c r="P650" t="str">
        <f t="shared" si="262"/>
        <v>N A</v>
      </c>
      <c r="Q650" t="str">
        <f t="shared" si="263"/>
        <v>N/A</v>
      </c>
      <c r="R650" t="str">
        <f>"PGBW MLG12 09 MLG1"</f>
        <v>PGBW MLG12 09 MLG1</v>
      </c>
      <c r="S650" t="str">
        <f>"12/20/2019 3:13:48 PM"</f>
        <v>12/20/2019 3:13:48 PM</v>
      </c>
      <c r="T650" t="str">
        <f t="shared" si="249"/>
        <v>5</v>
      </c>
      <c r="U650" t="str">
        <f t="shared" si="264"/>
        <v>N/A</v>
      </c>
      <c r="V650" t="str">
        <f>"4.6400"</f>
        <v>4.6400</v>
      </c>
    </row>
    <row r="651" spans="1:22" x14ac:dyDescent="0.25">
      <c r="A651" s="1" t="str">
        <f t="shared" si="259"/>
        <v>5133-</v>
      </c>
      <c r="B651" s="1" t="str">
        <f t="shared" si="265"/>
        <v>5133-</v>
      </c>
      <c r="C651" s="1" t="str">
        <f>VLOOKUP(B651,'Master truck list'!D:E,2,0)</f>
        <v>5133-20T</v>
      </c>
      <c r="D651" s="1" t="str">
        <f>VLOOKUP(C651,'Master truck list'!E:F,2,0)</f>
        <v>OUT OF SERVICE</v>
      </c>
      <c r="E651" s="1" t="str">
        <f>VLOOKUP(C651,'Master truck list'!E:M,9,0)</f>
        <v>BNK TRANSPORT INC</v>
      </c>
      <c r="F651" s="1" t="str">
        <f>VLOOKUP(C651,'Master truck list'!E:G,3,0)</f>
        <v>Company</v>
      </c>
      <c r="G651" s="1">
        <f>VLOOKUP(C651,'Master truck list'!E:R,14,0)</f>
        <v>2621</v>
      </c>
      <c r="H651" t="str">
        <f>"12/21/2019 7:00:28 AM"</f>
        <v>12/21/2019 7:00:28 AM</v>
      </c>
      <c r="I651" t="str">
        <f>""</f>
        <v/>
      </c>
      <c r="J651" t="str">
        <f t="shared" si="260"/>
        <v>Elite</v>
      </c>
      <c r="K651" t="str">
        <f t="shared" si="246"/>
        <v>Device</v>
      </c>
      <c r="L651" t="str">
        <f t="shared" ref="L651:L657" si="266">"777232097"</f>
        <v>777232097</v>
      </c>
      <c r="M651" t="str">
        <f t="shared" ref="M651:M657" si="267">"16606054"</f>
        <v>16606054</v>
      </c>
      <c r="N651" t="str">
        <f t="shared" ref="N651:N657" si="268">"5133-20T"</f>
        <v>5133-20T</v>
      </c>
      <c r="O651" t="str">
        <f t="shared" si="261"/>
        <v>TEXAS</v>
      </c>
      <c r="P651" t="str">
        <f t="shared" si="262"/>
        <v>N A</v>
      </c>
      <c r="Q651" t="str">
        <f t="shared" si="263"/>
        <v>N/A</v>
      </c>
      <c r="R651" t="str">
        <f>"SH550 DC S05 DC"</f>
        <v>SH550 DC S05 DC</v>
      </c>
      <c r="S651" t="str">
        <f>"12/20/2019 7:58:11 AM"</f>
        <v>12/20/2019 7:58:11 AM</v>
      </c>
      <c r="T651" t="str">
        <f t="shared" si="249"/>
        <v>5</v>
      </c>
      <c r="U651" t="str">
        <f t="shared" si="264"/>
        <v>N/A</v>
      </c>
      <c r="V651" t="str">
        <f>"2.0000"</f>
        <v>2.0000</v>
      </c>
    </row>
    <row r="652" spans="1:22" x14ac:dyDescent="0.25">
      <c r="A652" s="1" t="str">
        <f t="shared" si="259"/>
        <v>5133-</v>
      </c>
      <c r="B652" s="1" t="str">
        <f t="shared" si="265"/>
        <v>5133-</v>
      </c>
      <c r="C652" s="1" t="str">
        <f>VLOOKUP(B652,'Master truck list'!D:E,2,0)</f>
        <v>5133-20T</v>
      </c>
      <c r="D652" s="1" t="str">
        <f>VLOOKUP(C652,'Master truck list'!E:F,2,0)</f>
        <v>OUT OF SERVICE</v>
      </c>
      <c r="E652" s="1" t="str">
        <f>VLOOKUP(C652,'Master truck list'!E:M,9,0)</f>
        <v>BNK TRANSPORT INC</v>
      </c>
      <c r="F652" s="1" t="str">
        <f>VLOOKUP(C652,'Master truck list'!E:G,3,0)</f>
        <v>Company</v>
      </c>
      <c r="G652" s="1">
        <f>VLOOKUP(C652,'Master truck list'!E:R,14,0)</f>
        <v>2621</v>
      </c>
      <c r="H652" t="str">
        <f>"12/21/2019 7:00:28 AM"</f>
        <v>12/21/2019 7:00:28 AM</v>
      </c>
      <c r="I652" t="str">
        <f>""</f>
        <v/>
      </c>
      <c r="J652" t="str">
        <f t="shared" si="260"/>
        <v>Elite</v>
      </c>
      <c r="K652" t="str">
        <f t="shared" si="246"/>
        <v>Device</v>
      </c>
      <c r="L652" t="str">
        <f t="shared" si="266"/>
        <v>777232097</v>
      </c>
      <c r="M652" t="str">
        <f t="shared" si="267"/>
        <v>16606054</v>
      </c>
      <c r="N652" t="str">
        <f t="shared" si="268"/>
        <v>5133-20T</v>
      </c>
      <c r="O652" t="str">
        <f t="shared" si="261"/>
        <v>TEXAS</v>
      </c>
      <c r="P652" t="str">
        <f t="shared" si="262"/>
        <v>N A</v>
      </c>
      <c r="Q652" t="str">
        <f t="shared" si="263"/>
        <v>N/A</v>
      </c>
      <c r="R652" t="str">
        <f>"SH550 FM1847 05 FM18"</f>
        <v>SH550 FM1847 05 FM18</v>
      </c>
      <c r="S652" t="str">
        <f>"12/20/2019 8:00:27 AM"</f>
        <v>12/20/2019 8:00:27 AM</v>
      </c>
      <c r="T652" t="str">
        <f t="shared" si="249"/>
        <v>5</v>
      </c>
      <c r="U652" t="str">
        <f t="shared" si="264"/>
        <v>N/A</v>
      </c>
      <c r="V652" t="str">
        <f>"2.0000"</f>
        <v>2.0000</v>
      </c>
    </row>
    <row r="653" spans="1:22" x14ac:dyDescent="0.25">
      <c r="A653" s="1" t="str">
        <f t="shared" si="259"/>
        <v>5133-</v>
      </c>
      <c r="B653" s="1" t="str">
        <f t="shared" si="265"/>
        <v>5133-</v>
      </c>
      <c r="C653" s="1" t="str">
        <f>VLOOKUP(B653,'Master truck list'!D:E,2,0)</f>
        <v>5133-20T</v>
      </c>
      <c r="D653" s="1" t="str">
        <f>VLOOKUP(C653,'Master truck list'!E:F,2,0)</f>
        <v>OUT OF SERVICE</v>
      </c>
      <c r="E653" s="1" t="str">
        <f>VLOOKUP(C653,'Master truck list'!E:M,9,0)</f>
        <v>BNK TRANSPORT INC</v>
      </c>
      <c r="F653" s="1" t="str">
        <f>VLOOKUP(C653,'Master truck list'!E:G,3,0)</f>
        <v>Company</v>
      </c>
      <c r="G653" s="1">
        <f>VLOOKUP(C653,'Master truck list'!E:R,14,0)</f>
        <v>2621</v>
      </c>
      <c r="H653" t="str">
        <f>"12/17/2019 7:00:33 AM"</f>
        <v>12/17/2019 7:00:33 AM</v>
      </c>
      <c r="I653" t="str">
        <f>""</f>
        <v/>
      </c>
      <c r="J653" t="str">
        <f t="shared" si="260"/>
        <v>Elite</v>
      </c>
      <c r="K653" t="str">
        <f t="shared" si="246"/>
        <v>Device</v>
      </c>
      <c r="L653" t="str">
        <f t="shared" si="266"/>
        <v>777232097</v>
      </c>
      <c r="M653" t="str">
        <f t="shared" si="267"/>
        <v>16606054</v>
      </c>
      <c r="N653" t="str">
        <f t="shared" si="268"/>
        <v>5133-20T</v>
      </c>
      <c r="O653" t="str">
        <f t="shared" si="261"/>
        <v>TEXAS</v>
      </c>
      <c r="P653" t="str">
        <f t="shared" si="262"/>
        <v>N A</v>
      </c>
      <c r="Q653" t="str">
        <f t="shared" si="263"/>
        <v>N/A</v>
      </c>
      <c r="R653" t="str">
        <f>"SH550 DC N01 DC"</f>
        <v>SH550 DC N01 DC</v>
      </c>
      <c r="S653" t="str">
        <f>"12/16/2019 10:11:32 AM"</f>
        <v>12/16/2019 10:11:32 AM</v>
      </c>
      <c r="T653" t="str">
        <f>"2"</f>
        <v>2</v>
      </c>
      <c r="U653" t="str">
        <f t="shared" si="264"/>
        <v>N/A</v>
      </c>
      <c r="V653" t="str">
        <f>"0.5000"</f>
        <v>0.5000</v>
      </c>
    </row>
    <row r="654" spans="1:22" x14ac:dyDescent="0.25">
      <c r="A654" s="1" t="str">
        <f t="shared" si="259"/>
        <v>5133-</v>
      </c>
      <c r="B654" s="1" t="str">
        <f t="shared" si="265"/>
        <v>5133-</v>
      </c>
      <c r="C654" s="1" t="str">
        <f>VLOOKUP(B654,'Master truck list'!D:E,2,0)</f>
        <v>5133-20T</v>
      </c>
      <c r="D654" s="1" t="str">
        <f>VLOOKUP(C654,'Master truck list'!E:F,2,0)</f>
        <v>OUT OF SERVICE</v>
      </c>
      <c r="E654" s="1" t="str">
        <f>VLOOKUP(C654,'Master truck list'!E:M,9,0)</f>
        <v>BNK TRANSPORT INC</v>
      </c>
      <c r="F654" s="1" t="str">
        <f>VLOOKUP(C654,'Master truck list'!E:G,3,0)</f>
        <v>Company</v>
      </c>
      <c r="G654" s="1">
        <f>VLOOKUP(C654,'Master truck list'!E:R,14,0)</f>
        <v>2621</v>
      </c>
      <c r="H654" t="str">
        <f>"12/19/2019 7:00:35 AM"</f>
        <v>12/19/2019 7:00:35 AM</v>
      </c>
      <c r="I654" t="str">
        <f>""</f>
        <v/>
      </c>
      <c r="J654" t="str">
        <f t="shared" si="260"/>
        <v>Elite</v>
      </c>
      <c r="K654" t="str">
        <f t="shared" si="246"/>
        <v>Device</v>
      </c>
      <c r="L654" t="str">
        <f t="shared" si="266"/>
        <v>777232097</v>
      </c>
      <c r="M654" t="str">
        <f t="shared" si="267"/>
        <v>16606054</v>
      </c>
      <c r="N654" t="str">
        <f t="shared" si="268"/>
        <v>5133-20T</v>
      </c>
      <c r="O654" t="str">
        <f t="shared" si="261"/>
        <v>TEXAS</v>
      </c>
      <c r="P654" t="str">
        <f t="shared" si="262"/>
        <v>N A</v>
      </c>
      <c r="Q654" t="str">
        <f t="shared" si="263"/>
        <v>N/A</v>
      </c>
      <c r="R654" t="str">
        <f>"SH550 FM1847 02 FM18"</f>
        <v>SH550 FM1847 02 FM18</v>
      </c>
      <c r="S654" t="str">
        <f>"12/16/2019 10:09:16 AM"</f>
        <v>12/16/2019 10:09:16 AM</v>
      </c>
      <c r="T654" t="str">
        <f t="shared" ref="T654:T717" si="269">"5"</f>
        <v>5</v>
      </c>
      <c r="U654" t="str">
        <f t="shared" si="264"/>
        <v>N/A</v>
      </c>
      <c r="V654" t="str">
        <f>"2.0000"</f>
        <v>2.0000</v>
      </c>
    </row>
    <row r="655" spans="1:22" x14ac:dyDescent="0.25">
      <c r="A655" s="1" t="str">
        <f t="shared" si="259"/>
        <v>5133-</v>
      </c>
      <c r="B655" s="1" t="str">
        <f t="shared" si="265"/>
        <v>5133-</v>
      </c>
      <c r="C655" s="1" t="str">
        <f>VLOOKUP(B655,'Master truck list'!D:E,2,0)</f>
        <v>5133-20T</v>
      </c>
      <c r="D655" s="1" t="str">
        <f>VLOOKUP(C655,'Master truck list'!E:F,2,0)</f>
        <v>OUT OF SERVICE</v>
      </c>
      <c r="E655" s="1" t="str">
        <f>VLOOKUP(C655,'Master truck list'!E:M,9,0)</f>
        <v>BNK TRANSPORT INC</v>
      </c>
      <c r="F655" s="1" t="str">
        <f>VLOOKUP(C655,'Master truck list'!E:G,3,0)</f>
        <v>Company</v>
      </c>
      <c r="G655" s="1">
        <f>VLOOKUP(C655,'Master truck list'!E:R,14,0)</f>
        <v>2621</v>
      </c>
      <c r="H655" t="str">
        <f>"12/17/2019 7:00:33 AM"</f>
        <v>12/17/2019 7:00:33 AM</v>
      </c>
      <c r="I655" t="str">
        <f>""</f>
        <v/>
      </c>
      <c r="J655" t="str">
        <f t="shared" si="260"/>
        <v>Elite</v>
      </c>
      <c r="K655" t="str">
        <f t="shared" ref="K655:K718" si="270">"Device"</f>
        <v>Device</v>
      </c>
      <c r="L655" t="str">
        <f t="shared" si="266"/>
        <v>777232097</v>
      </c>
      <c r="M655" t="str">
        <f t="shared" si="267"/>
        <v>16606054</v>
      </c>
      <c r="N655" t="str">
        <f t="shared" si="268"/>
        <v>5133-20T</v>
      </c>
      <c r="O655" t="str">
        <f t="shared" si="261"/>
        <v>TEXAS</v>
      </c>
      <c r="P655" t="str">
        <f t="shared" si="262"/>
        <v>N A</v>
      </c>
      <c r="Q655" t="str">
        <f t="shared" si="263"/>
        <v>N/A</v>
      </c>
      <c r="R655" t="str">
        <f>"SH550 FM1847 05 FM18"</f>
        <v>SH550 FM1847 05 FM18</v>
      </c>
      <c r="S655" t="str">
        <f>"12/16/2019 7:58:15 AM"</f>
        <v>12/16/2019 7:58:15 AM</v>
      </c>
      <c r="T655" t="str">
        <f t="shared" si="269"/>
        <v>5</v>
      </c>
      <c r="U655" t="str">
        <f t="shared" si="264"/>
        <v>N/A</v>
      </c>
      <c r="V655" t="str">
        <f>"2.0000"</f>
        <v>2.0000</v>
      </c>
    </row>
    <row r="656" spans="1:22" x14ac:dyDescent="0.25">
      <c r="A656" s="1" t="str">
        <f t="shared" si="259"/>
        <v>5133-</v>
      </c>
      <c r="B656" s="1" t="str">
        <f t="shared" si="265"/>
        <v>5133-</v>
      </c>
      <c r="C656" s="1" t="str">
        <f>VLOOKUP(B656,'Master truck list'!D:E,2,0)</f>
        <v>5133-20T</v>
      </c>
      <c r="D656" s="1" t="str">
        <f>VLOOKUP(C656,'Master truck list'!E:F,2,0)</f>
        <v>OUT OF SERVICE</v>
      </c>
      <c r="E656" s="1" t="str">
        <f>VLOOKUP(C656,'Master truck list'!E:M,9,0)</f>
        <v>BNK TRANSPORT INC</v>
      </c>
      <c r="F656" s="1" t="str">
        <f>VLOOKUP(C656,'Master truck list'!E:G,3,0)</f>
        <v>Company</v>
      </c>
      <c r="G656" s="1">
        <f>VLOOKUP(C656,'Master truck list'!E:R,14,0)</f>
        <v>2621</v>
      </c>
      <c r="H656" t="str">
        <f>"12/19/2019 7:00:35 AM"</f>
        <v>12/19/2019 7:00:35 AM</v>
      </c>
      <c r="I656" t="str">
        <f>""</f>
        <v/>
      </c>
      <c r="J656" t="str">
        <f t="shared" si="260"/>
        <v>Elite</v>
      </c>
      <c r="K656" t="str">
        <f t="shared" si="270"/>
        <v>Device</v>
      </c>
      <c r="L656" t="str">
        <f t="shared" si="266"/>
        <v>777232097</v>
      </c>
      <c r="M656" t="str">
        <f t="shared" si="267"/>
        <v>16606054</v>
      </c>
      <c r="N656" t="str">
        <f t="shared" si="268"/>
        <v>5133-20T</v>
      </c>
      <c r="O656" t="str">
        <f t="shared" si="261"/>
        <v>TEXAS</v>
      </c>
      <c r="P656" t="str">
        <f t="shared" si="262"/>
        <v>N A</v>
      </c>
      <c r="Q656" t="str">
        <f t="shared" si="263"/>
        <v>N/A</v>
      </c>
      <c r="R656" t="str">
        <f>"SH550 DC S05 DC"</f>
        <v>SH550 DC S05 DC</v>
      </c>
      <c r="S656" t="str">
        <f>"12/18/2019 7:51:13 AM"</f>
        <v>12/18/2019 7:51:13 AM</v>
      </c>
      <c r="T656" t="str">
        <f t="shared" si="269"/>
        <v>5</v>
      </c>
      <c r="U656" t="str">
        <f t="shared" si="264"/>
        <v>N/A</v>
      </c>
      <c r="V656" t="str">
        <f>"2.0000"</f>
        <v>2.0000</v>
      </c>
    </row>
    <row r="657" spans="1:22" x14ac:dyDescent="0.25">
      <c r="A657" s="1" t="str">
        <f t="shared" si="259"/>
        <v>5133-</v>
      </c>
      <c r="B657" s="1" t="str">
        <f t="shared" si="265"/>
        <v>5133-</v>
      </c>
      <c r="C657" s="1" t="str">
        <f>VLOOKUP(B657,'Master truck list'!D:E,2,0)</f>
        <v>5133-20T</v>
      </c>
      <c r="D657" s="1" t="str">
        <f>VLOOKUP(C657,'Master truck list'!E:F,2,0)</f>
        <v>OUT OF SERVICE</v>
      </c>
      <c r="E657" s="1" t="str">
        <f>VLOOKUP(C657,'Master truck list'!E:M,9,0)</f>
        <v>BNK TRANSPORT INC</v>
      </c>
      <c r="F657" s="1" t="str">
        <f>VLOOKUP(C657,'Master truck list'!E:G,3,0)</f>
        <v>Company</v>
      </c>
      <c r="G657" s="1">
        <f>VLOOKUP(C657,'Master truck list'!E:R,14,0)</f>
        <v>2621</v>
      </c>
      <c r="H657" t="str">
        <f>"12/19/2019 7:00:35 AM"</f>
        <v>12/19/2019 7:00:35 AM</v>
      </c>
      <c r="I657" t="str">
        <f>""</f>
        <v/>
      </c>
      <c r="J657" t="str">
        <f t="shared" si="260"/>
        <v>Elite</v>
      </c>
      <c r="K657" t="str">
        <f t="shared" si="270"/>
        <v>Device</v>
      </c>
      <c r="L657" t="str">
        <f t="shared" si="266"/>
        <v>777232097</v>
      </c>
      <c r="M657" t="str">
        <f t="shared" si="267"/>
        <v>16606054</v>
      </c>
      <c r="N657" t="str">
        <f t="shared" si="268"/>
        <v>5133-20T</v>
      </c>
      <c r="O657" t="str">
        <f t="shared" si="261"/>
        <v>TEXAS</v>
      </c>
      <c r="P657" t="str">
        <f t="shared" si="262"/>
        <v>N A</v>
      </c>
      <c r="Q657" t="str">
        <f t="shared" si="263"/>
        <v>N/A</v>
      </c>
      <c r="R657" t="str">
        <f>"SH550 FM1847 05 FM18"</f>
        <v>SH550 FM1847 05 FM18</v>
      </c>
      <c r="S657" t="str">
        <f>"12/18/2019 7:53:29 AM"</f>
        <v>12/18/2019 7:53:29 AM</v>
      </c>
      <c r="T657" t="str">
        <f t="shared" si="269"/>
        <v>5</v>
      </c>
      <c r="U657" t="str">
        <f t="shared" si="264"/>
        <v>N/A</v>
      </c>
      <c r="V657" t="str">
        <f>"2.0000"</f>
        <v>2.0000</v>
      </c>
    </row>
    <row r="658" spans="1:22" x14ac:dyDescent="0.25">
      <c r="A658" s="1" t="str">
        <f t="shared" si="259"/>
        <v>5127-</v>
      </c>
      <c r="B658" s="1" t="str">
        <f t="shared" si="265"/>
        <v>5127-</v>
      </c>
      <c r="C658" s="1" t="str">
        <f>VLOOKUP(B658,'Master truck list'!D:E,2,0)</f>
        <v>5127-20T</v>
      </c>
      <c r="D658" s="1" t="str">
        <f>VLOOKUP(C658,'Master truck list'!E:F,2,0)</f>
        <v>ACTIVE</v>
      </c>
      <c r="E658" s="1" t="str">
        <f>VLOOKUP(C658,'Master truck list'!E:M,9,0)</f>
        <v>BNK TRANSPORT INC</v>
      </c>
      <c r="F658" s="1" t="str">
        <f>VLOOKUP(C658,'Master truck list'!E:G,3,0)</f>
        <v>Company</v>
      </c>
      <c r="G658" s="1">
        <f>VLOOKUP(C658,'Master truck list'!E:R,14,0)</f>
        <v>2615</v>
      </c>
      <c r="H658" t="str">
        <f>"12/20/2019 7:00:30 AM"</f>
        <v>12/20/2019 7:00:30 AM</v>
      </c>
      <c r="I658" t="str">
        <f>""</f>
        <v/>
      </c>
      <c r="J658" t="str">
        <f t="shared" si="260"/>
        <v>Elite</v>
      </c>
      <c r="K658" t="str">
        <f t="shared" si="270"/>
        <v>Device</v>
      </c>
      <c r="L658" t="str">
        <f t="shared" ref="L658:L667" si="271">"777254319"</f>
        <v>777254319</v>
      </c>
      <c r="M658" t="str">
        <f t="shared" ref="M658:M667" si="272">"16722201"</f>
        <v>16722201</v>
      </c>
      <c r="N658" t="str">
        <f t="shared" ref="N658:N667" si="273">"5127-20T"</f>
        <v>5127-20T</v>
      </c>
      <c r="O658" t="str">
        <f t="shared" si="261"/>
        <v>TEXAS</v>
      </c>
      <c r="P658" t="str">
        <f t="shared" si="262"/>
        <v>N A</v>
      </c>
      <c r="Q658" t="str">
        <f t="shared" si="263"/>
        <v>N/A</v>
      </c>
      <c r="R658" t="str">
        <f>"130 DKCRP 06 307"</f>
        <v>130 DKCRP 06 307</v>
      </c>
      <c r="S658" t="str">
        <f>"12/19/2019 3:30:20 PM"</f>
        <v>12/19/2019 3:30:20 PM</v>
      </c>
      <c r="T658" t="str">
        <f t="shared" si="269"/>
        <v>5</v>
      </c>
      <c r="U658" t="str">
        <f t="shared" si="264"/>
        <v>N/A</v>
      </c>
      <c r="V658" t="str">
        <f>"5.5500"</f>
        <v>5.5500</v>
      </c>
    </row>
    <row r="659" spans="1:22" x14ac:dyDescent="0.25">
      <c r="A659" s="1" t="str">
        <f t="shared" si="259"/>
        <v>5127-</v>
      </c>
      <c r="B659" s="1" t="str">
        <f t="shared" si="265"/>
        <v>5127-</v>
      </c>
      <c r="C659" s="1" t="str">
        <f>VLOOKUP(B659,'Master truck list'!D:E,2,0)</f>
        <v>5127-20T</v>
      </c>
      <c r="D659" s="1" t="str">
        <f>VLOOKUP(C659,'Master truck list'!E:F,2,0)</f>
        <v>ACTIVE</v>
      </c>
      <c r="E659" s="1" t="str">
        <f>VLOOKUP(C659,'Master truck list'!E:M,9,0)</f>
        <v>BNK TRANSPORT INC</v>
      </c>
      <c r="F659" s="1" t="str">
        <f>VLOOKUP(C659,'Master truck list'!E:G,3,0)</f>
        <v>Company</v>
      </c>
      <c r="G659" s="1">
        <f>VLOOKUP(C659,'Master truck list'!E:R,14,0)</f>
        <v>2615</v>
      </c>
      <c r="H659" t="str">
        <f>"12/21/2019 7:00:28 AM"</f>
        <v>12/21/2019 7:00:28 AM</v>
      </c>
      <c r="I659" t="str">
        <f>""</f>
        <v/>
      </c>
      <c r="J659" t="str">
        <f t="shared" si="260"/>
        <v>Elite</v>
      </c>
      <c r="K659" t="str">
        <f t="shared" si="270"/>
        <v>Device</v>
      </c>
      <c r="L659" t="str">
        <f t="shared" si="271"/>
        <v>777254319</v>
      </c>
      <c r="M659" t="str">
        <f t="shared" si="272"/>
        <v>16722201</v>
      </c>
      <c r="N659" t="str">
        <f t="shared" si="273"/>
        <v>5127-20T</v>
      </c>
      <c r="O659" t="str">
        <f t="shared" si="261"/>
        <v>TEXAS</v>
      </c>
      <c r="P659" t="str">
        <f t="shared" si="262"/>
        <v>N A</v>
      </c>
      <c r="Q659" t="str">
        <f t="shared" si="263"/>
        <v>N/A</v>
      </c>
      <c r="R659" t="str">
        <f>"130 ARPTP 09 308"</f>
        <v>130 ARPTP 09 308</v>
      </c>
      <c r="S659" t="str">
        <f>"12/20/2019 5:59:19 PM"</f>
        <v>12/20/2019 5:59:19 PM</v>
      </c>
      <c r="T659" t="str">
        <f t="shared" si="269"/>
        <v>5</v>
      </c>
      <c r="U659" t="str">
        <f t="shared" si="264"/>
        <v>N/A</v>
      </c>
      <c r="V659" t="str">
        <f>"5.5500"</f>
        <v>5.5500</v>
      </c>
    </row>
    <row r="660" spans="1:22" x14ac:dyDescent="0.25">
      <c r="A660" s="1" t="str">
        <f t="shared" si="259"/>
        <v>5127-</v>
      </c>
      <c r="B660" s="1" t="str">
        <f t="shared" si="265"/>
        <v>5127-</v>
      </c>
      <c r="C660" s="1" t="str">
        <f>VLOOKUP(B660,'Master truck list'!D:E,2,0)</f>
        <v>5127-20T</v>
      </c>
      <c r="D660" s="1" t="str">
        <f>VLOOKUP(C660,'Master truck list'!E:F,2,0)</f>
        <v>ACTIVE</v>
      </c>
      <c r="E660" s="1" t="str">
        <f>VLOOKUP(C660,'Master truck list'!E:M,9,0)</f>
        <v>BNK TRANSPORT INC</v>
      </c>
      <c r="F660" s="1" t="str">
        <f>VLOOKUP(C660,'Master truck list'!E:G,3,0)</f>
        <v>Company</v>
      </c>
      <c r="G660" s="1">
        <f>VLOOKUP(C660,'Master truck list'!E:R,14,0)</f>
        <v>2615</v>
      </c>
      <c r="H660" t="str">
        <f>"12/21/2019 7:00:28 AM"</f>
        <v>12/21/2019 7:00:28 AM</v>
      </c>
      <c r="I660" t="str">
        <f>""</f>
        <v/>
      </c>
      <c r="J660" t="str">
        <f t="shared" si="260"/>
        <v>Elite</v>
      </c>
      <c r="K660" t="str">
        <f t="shared" si="270"/>
        <v>Device</v>
      </c>
      <c r="L660" t="str">
        <f t="shared" si="271"/>
        <v>777254319</v>
      </c>
      <c r="M660" t="str">
        <f t="shared" si="272"/>
        <v>16722201</v>
      </c>
      <c r="N660" t="str">
        <f t="shared" si="273"/>
        <v>5127-20T</v>
      </c>
      <c r="O660" t="str">
        <f t="shared" si="261"/>
        <v>TEXAS</v>
      </c>
      <c r="P660" t="str">
        <f t="shared" si="262"/>
        <v>N A</v>
      </c>
      <c r="Q660" t="str">
        <f t="shared" si="263"/>
        <v>N/A</v>
      </c>
      <c r="R660" t="str">
        <f>"130 CMRNP 13 306"</f>
        <v>130 CMRNP 13 306</v>
      </c>
      <c r="S660" t="str">
        <f>"12/20/2019 6:21:49 PM"</f>
        <v>12/20/2019 6:21:49 PM</v>
      </c>
      <c r="T660" t="str">
        <f t="shared" si="269"/>
        <v>5</v>
      </c>
      <c r="U660" t="str">
        <f t="shared" si="264"/>
        <v>N/A</v>
      </c>
      <c r="V660" t="str">
        <f>"5.5500"</f>
        <v>5.5500</v>
      </c>
    </row>
    <row r="661" spans="1:22" x14ac:dyDescent="0.25">
      <c r="A661" s="1" t="str">
        <f t="shared" si="259"/>
        <v>5127-</v>
      </c>
      <c r="B661" s="1" t="str">
        <f t="shared" si="265"/>
        <v>5127-</v>
      </c>
      <c r="C661" s="1" t="str">
        <f>VLOOKUP(B661,'Master truck list'!D:E,2,0)</f>
        <v>5127-20T</v>
      </c>
      <c r="D661" s="1" t="str">
        <f>VLOOKUP(C661,'Master truck list'!E:F,2,0)</f>
        <v>ACTIVE</v>
      </c>
      <c r="E661" s="1" t="str">
        <f>VLOOKUP(C661,'Master truck list'!E:M,9,0)</f>
        <v>BNK TRANSPORT INC</v>
      </c>
      <c r="F661" s="1" t="str">
        <f>VLOOKUP(C661,'Master truck list'!E:G,3,0)</f>
        <v>Company</v>
      </c>
      <c r="G661" s="1">
        <f>VLOOKUP(C661,'Master truck list'!E:R,14,0)</f>
        <v>2615</v>
      </c>
      <c r="H661" t="str">
        <f>"12/20/2019 7:00:30 AM"</f>
        <v>12/20/2019 7:00:30 AM</v>
      </c>
      <c r="I661" t="str">
        <f>""</f>
        <v/>
      </c>
      <c r="J661" t="str">
        <f t="shared" si="260"/>
        <v>Elite</v>
      </c>
      <c r="K661" t="str">
        <f t="shared" si="270"/>
        <v>Device</v>
      </c>
      <c r="L661" t="str">
        <f t="shared" si="271"/>
        <v>777254319</v>
      </c>
      <c r="M661" t="str">
        <f t="shared" si="272"/>
        <v>16722201</v>
      </c>
      <c r="N661" t="str">
        <f t="shared" si="273"/>
        <v>5127-20T</v>
      </c>
      <c r="O661" t="str">
        <f t="shared" si="261"/>
        <v>TEXAS</v>
      </c>
      <c r="P661" t="str">
        <f t="shared" si="262"/>
        <v>N A</v>
      </c>
      <c r="Q661" t="str">
        <f t="shared" si="263"/>
        <v>N/A</v>
      </c>
      <c r="R661" t="str">
        <f>"130 MGCRP 06 305"</f>
        <v>130 MGCRP 06 305</v>
      </c>
      <c r="S661" t="str">
        <f>"12/19/2019 3:09:15 PM"</f>
        <v>12/19/2019 3:09:15 PM</v>
      </c>
      <c r="T661" t="str">
        <f t="shared" si="269"/>
        <v>5</v>
      </c>
      <c r="U661" t="str">
        <f t="shared" si="264"/>
        <v>N/A</v>
      </c>
      <c r="V661" t="str">
        <f>"5.5500"</f>
        <v>5.5500</v>
      </c>
    </row>
    <row r="662" spans="1:22" x14ac:dyDescent="0.25">
      <c r="A662" s="1" t="str">
        <f t="shared" si="259"/>
        <v>5127-</v>
      </c>
      <c r="B662" s="1" t="str">
        <f t="shared" si="265"/>
        <v>5127-</v>
      </c>
      <c r="C662" s="1" t="str">
        <f>VLOOKUP(B662,'Master truck list'!D:E,2,0)</f>
        <v>5127-20T</v>
      </c>
      <c r="D662" s="1" t="str">
        <f>VLOOKUP(C662,'Master truck list'!E:F,2,0)</f>
        <v>ACTIVE</v>
      </c>
      <c r="E662" s="1" t="str">
        <f>VLOOKUP(C662,'Master truck list'!E:M,9,0)</f>
        <v>BNK TRANSPORT INC</v>
      </c>
      <c r="F662" s="1" t="str">
        <f>VLOOKUP(C662,'Master truck list'!E:G,3,0)</f>
        <v>Company</v>
      </c>
      <c r="G662" s="1">
        <f>VLOOKUP(C662,'Master truck list'!E:R,14,0)</f>
        <v>2615</v>
      </c>
      <c r="H662" t="str">
        <f>"12/20/2019 7:00:30 AM"</f>
        <v>12/20/2019 7:00:30 AM</v>
      </c>
      <c r="I662" t="str">
        <f>""</f>
        <v/>
      </c>
      <c r="J662" t="str">
        <f t="shared" si="260"/>
        <v>Elite</v>
      </c>
      <c r="K662" t="str">
        <f t="shared" si="270"/>
        <v>Device</v>
      </c>
      <c r="L662" t="str">
        <f t="shared" si="271"/>
        <v>777254319</v>
      </c>
      <c r="M662" t="str">
        <f t="shared" si="272"/>
        <v>16722201</v>
      </c>
      <c r="N662" t="str">
        <f t="shared" si="273"/>
        <v>5127-20T</v>
      </c>
      <c r="O662" t="str">
        <f t="shared" si="261"/>
        <v>TEXAS</v>
      </c>
      <c r="P662" t="str">
        <f t="shared" si="262"/>
        <v>N A</v>
      </c>
      <c r="Q662" t="str">
        <f t="shared" si="263"/>
        <v>N/A</v>
      </c>
      <c r="R662" t="str">
        <f>"45SE MLPWB 01 611"</f>
        <v>45SE MLPWB 01 611</v>
      </c>
      <c r="S662" t="str">
        <f>"12/19/2019 3:48:14 PM"</f>
        <v>12/19/2019 3:48:14 PM</v>
      </c>
      <c r="T662" t="str">
        <f t="shared" si="269"/>
        <v>5</v>
      </c>
      <c r="U662" t="str">
        <f t="shared" si="264"/>
        <v>N/A</v>
      </c>
      <c r="V662" t="str">
        <f>"3.3000"</f>
        <v>3.3000</v>
      </c>
    </row>
    <row r="663" spans="1:22" x14ac:dyDescent="0.25">
      <c r="A663" s="1" t="str">
        <f t="shared" si="259"/>
        <v>5127-</v>
      </c>
      <c r="B663" s="1" t="str">
        <f t="shared" si="265"/>
        <v>5127-</v>
      </c>
      <c r="C663" s="1" t="str">
        <f>VLOOKUP(B663,'Master truck list'!D:E,2,0)</f>
        <v>5127-20T</v>
      </c>
      <c r="D663" s="1" t="str">
        <f>VLOOKUP(C663,'Master truck list'!E:F,2,0)</f>
        <v>ACTIVE</v>
      </c>
      <c r="E663" s="1" t="str">
        <f>VLOOKUP(C663,'Master truck list'!E:M,9,0)</f>
        <v>BNK TRANSPORT INC</v>
      </c>
      <c r="F663" s="1" t="str">
        <f>VLOOKUP(C663,'Master truck list'!E:G,3,0)</f>
        <v>Company</v>
      </c>
      <c r="G663" s="1">
        <f>VLOOKUP(C663,'Master truck list'!E:R,14,0)</f>
        <v>2615</v>
      </c>
      <c r="H663" t="str">
        <f>"12/20/2019 7:00:30 AM"</f>
        <v>12/20/2019 7:00:30 AM</v>
      </c>
      <c r="I663" t="str">
        <f>""</f>
        <v/>
      </c>
      <c r="J663" t="str">
        <f t="shared" si="260"/>
        <v>Elite</v>
      </c>
      <c r="K663" t="str">
        <f t="shared" si="270"/>
        <v>Device</v>
      </c>
      <c r="L663" t="str">
        <f t="shared" si="271"/>
        <v>777254319</v>
      </c>
      <c r="M663" t="str">
        <f t="shared" si="272"/>
        <v>16722201</v>
      </c>
      <c r="N663" t="str">
        <f t="shared" si="273"/>
        <v>5127-20T</v>
      </c>
      <c r="O663" t="str">
        <f t="shared" si="261"/>
        <v>TEXAS</v>
      </c>
      <c r="P663" t="str">
        <f t="shared" si="262"/>
        <v>N A</v>
      </c>
      <c r="Q663" t="str">
        <f t="shared" si="263"/>
        <v>N/A</v>
      </c>
      <c r="R663" t="str">
        <f>"130 CMRNP 08 306"</f>
        <v>130 CMRNP 08 306</v>
      </c>
      <c r="S663" t="str">
        <f>"12/19/2019 3:20:13 PM"</f>
        <v>12/19/2019 3:20:13 PM</v>
      </c>
      <c r="T663" t="str">
        <f t="shared" si="269"/>
        <v>5</v>
      </c>
      <c r="U663" t="str">
        <f t="shared" si="264"/>
        <v>N/A</v>
      </c>
      <c r="V663" t="str">
        <f>"5.5500"</f>
        <v>5.5500</v>
      </c>
    </row>
    <row r="664" spans="1:22" x14ac:dyDescent="0.25">
      <c r="A664" s="1" t="str">
        <f t="shared" si="259"/>
        <v>5127-</v>
      </c>
      <c r="B664" s="1" t="str">
        <f t="shared" si="265"/>
        <v>5127-</v>
      </c>
      <c r="C664" s="1" t="str">
        <f>VLOOKUP(B664,'Master truck list'!D:E,2,0)</f>
        <v>5127-20T</v>
      </c>
      <c r="D664" s="1" t="str">
        <f>VLOOKUP(C664,'Master truck list'!E:F,2,0)</f>
        <v>ACTIVE</v>
      </c>
      <c r="E664" s="1" t="str">
        <f>VLOOKUP(C664,'Master truck list'!E:M,9,0)</f>
        <v>BNK TRANSPORT INC</v>
      </c>
      <c r="F664" s="1" t="str">
        <f>VLOOKUP(C664,'Master truck list'!E:G,3,0)</f>
        <v>Company</v>
      </c>
      <c r="G664" s="1">
        <f>VLOOKUP(C664,'Master truck list'!E:R,14,0)</f>
        <v>2615</v>
      </c>
      <c r="H664" t="str">
        <f>"12/20/2019 7:00:30 AM"</f>
        <v>12/20/2019 7:00:30 AM</v>
      </c>
      <c r="I664" t="str">
        <f>""</f>
        <v/>
      </c>
      <c r="J664" t="str">
        <f t="shared" si="260"/>
        <v>Elite</v>
      </c>
      <c r="K664" t="str">
        <f t="shared" si="270"/>
        <v>Device</v>
      </c>
      <c r="L664" t="str">
        <f t="shared" si="271"/>
        <v>777254319</v>
      </c>
      <c r="M664" t="str">
        <f t="shared" si="272"/>
        <v>16722201</v>
      </c>
      <c r="N664" t="str">
        <f t="shared" si="273"/>
        <v>5127-20T</v>
      </c>
      <c r="O664" t="str">
        <f t="shared" si="261"/>
        <v>TEXAS</v>
      </c>
      <c r="P664" t="str">
        <f t="shared" si="262"/>
        <v>N A</v>
      </c>
      <c r="Q664" t="str">
        <f t="shared" si="263"/>
        <v>N/A</v>
      </c>
      <c r="R664" t="str">
        <f>"130 ARPTP 04 308"</f>
        <v>130 ARPTP 04 308</v>
      </c>
      <c r="S664" t="str">
        <f>"12/19/2019 3:37:32 PM"</f>
        <v>12/19/2019 3:37:32 PM</v>
      </c>
      <c r="T664" t="str">
        <f t="shared" si="269"/>
        <v>5</v>
      </c>
      <c r="U664" t="str">
        <f t="shared" si="264"/>
        <v>N/A</v>
      </c>
      <c r="V664" t="str">
        <f>"5.5500"</f>
        <v>5.5500</v>
      </c>
    </row>
    <row r="665" spans="1:22" x14ac:dyDescent="0.25">
      <c r="A665" s="1" t="str">
        <f t="shared" si="259"/>
        <v>5127-</v>
      </c>
      <c r="B665" s="1" t="str">
        <f t="shared" si="265"/>
        <v>5127-</v>
      </c>
      <c r="C665" s="1" t="str">
        <f>VLOOKUP(B665,'Master truck list'!D:E,2,0)</f>
        <v>5127-20T</v>
      </c>
      <c r="D665" s="1" t="str">
        <f>VLOOKUP(C665,'Master truck list'!E:F,2,0)</f>
        <v>ACTIVE</v>
      </c>
      <c r="E665" s="1" t="str">
        <f>VLOOKUP(C665,'Master truck list'!E:M,9,0)</f>
        <v>BNK TRANSPORT INC</v>
      </c>
      <c r="F665" s="1" t="str">
        <f>VLOOKUP(C665,'Master truck list'!E:G,3,0)</f>
        <v>Company</v>
      </c>
      <c r="G665" s="1">
        <f>VLOOKUP(C665,'Master truck list'!E:R,14,0)</f>
        <v>2615</v>
      </c>
      <c r="H665" t="str">
        <f>"12/21/2019 7:00:28 AM"</f>
        <v>12/21/2019 7:00:28 AM</v>
      </c>
      <c r="I665" t="str">
        <f>""</f>
        <v/>
      </c>
      <c r="J665" t="str">
        <f t="shared" si="260"/>
        <v>Elite</v>
      </c>
      <c r="K665" t="str">
        <f t="shared" si="270"/>
        <v>Device</v>
      </c>
      <c r="L665" t="str">
        <f t="shared" si="271"/>
        <v>777254319</v>
      </c>
      <c r="M665" t="str">
        <f t="shared" si="272"/>
        <v>16722201</v>
      </c>
      <c r="N665" t="str">
        <f t="shared" si="273"/>
        <v>5127-20T</v>
      </c>
      <c r="O665" t="str">
        <f t="shared" si="261"/>
        <v>TEXAS</v>
      </c>
      <c r="P665" t="str">
        <f t="shared" si="262"/>
        <v>N A</v>
      </c>
      <c r="Q665" t="str">
        <f t="shared" si="263"/>
        <v>N/A</v>
      </c>
      <c r="R665" t="str">
        <f>"130 MGCRP 11 305"</f>
        <v>130 MGCRP 11 305</v>
      </c>
      <c r="S665" t="str">
        <f>"12/20/2019 6:35:36 PM"</f>
        <v>12/20/2019 6:35:36 PM</v>
      </c>
      <c r="T665" t="str">
        <f t="shared" si="269"/>
        <v>5</v>
      </c>
      <c r="U665" t="str">
        <f t="shared" si="264"/>
        <v>N/A</v>
      </c>
      <c r="V665" t="str">
        <f>"5.5500"</f>
        <v>5.5500</v>
      </c>
    </row>
    <row r="666" spans="1:22" x14ac:dyDescent="0.25">
      <c r="A666" s="1" t="str">
        <f t="shared" si="259"/>
        <v>5127-</v>
      </c>
      <c r="B666" s="1" t="str">
        <f t="shared" si="265"/>
        <v>5127-</v>
      </c>
      <c r="C666" s="1" t="str">
        <f>VLOOKUP(B666,'Master truck list'!D:E,2,0)</f>
        <v>5127-20T</v>
      </c>
      <c r="D666" s="1" t="str">
        <f>VLOOKUP(C666,'Master truck list'!E:F,2,0)</f>
        <v>ACTIVE</v>
      </c>
      <c r="E666" s="1" t="str">
        <f>VLOOKUP(C666,'Master truck list'!E:M,9,0)</f>
        <v>BNK TRANSPORT INC</v>
      </c>
      <c r="F666" s="1" t="str">
        <f>VLOOKUP(C666,'Master truck list'!E:G,3,0)</f>
        <v>Company</v>
      </c>
      <c r="G666" s="1">
        <f>VLOOKUP(C666,'Master truck list'!E:R,14,0)</f>
        <v>2615</v>
      </c>
      <c r="H666" t="str">
        <f>"12/21/2019 7:00:28 AM"</f>
        <v>12/21/2019 7:00:28 AM</v>
      </c>
      <c r="I666" t="str">
        <f>""</f>
        <v/>
      </c>
      <c r="J666" t="str">
        <f t="shared" si="260"/>
        <v>Elite</v>
      </c>
      <c r="K666" t="str">
        <f t="shared" si="270"/>
        <v>Device</v>
      </c>
      <c r="L666" t="str">
        <f t="shared" si="271"/>
        <v>777254319</v>
      </c>
      <c r="M666" t="str">
        <f t="shared" si="272"/>
        <v>16722201</v>
      </c>
      <c r="N666" t="str">
        <f t="shared" si="273"/>
        <v>5127-20T</v>
      </c>
      <c r="O666" t="str">
        <f t="shared" si="261"/>
        <v>TEXAS</v>
      </c>
      <c r="P666" t="str">
        <f t="shared" si="262"/>
        <v>N A</v>
      </c>
      <c r="Q666" t="str">
        <f t="shared" si="263"/>
        <v>N/A</v>
      </c>
      <c r="R666" t="str">
        <f>"45SE MLPEB 02 611"</f>
        <v>45SE MLPEB 02 611</v>
      </c>
      <c r="S666" t="str">
        <f>"12/20/2019 5:48:46 PM"</f>
        <v>12/20/2019 5:48:46 PM</v>
      </c>
      <c r="T666" t="str">
        <f t="shared" si="269"/>
        <v>5</v>
      </c>
      <c r="U666" t="str">
        <f t="shared" si="264"/>
        <v>N/A</v>
      </c>
      <c r="V666" t="str">
        <f>"3.3000"</f>
        <v>3.3000</v>
      </c>
    </row>
    <row r="667" spans="1:22" x14ac:dyDescent="0.25">
      <c r="A667" s="1" t="str">
        <f t="shared" si="259"/>
        <v>5127-</v>
      </c>
      <c r="B667" s="1" t="str">
        <f t="shared" si="265"/>
        <v>5127-</v>
      </c>
      <c r="C667" s="1" t="str">
        <f>VLOOKUP(B667,'Master truck list'!D:E,2,0)</f>
        <v>5127-20T</v>
      </c>
      <c r="D667" s="1" t="str">
        <f>VLOOKUP(C667,'Master truck list'!E:F,2,0)</f>
        <v>ACTIVE</v>
      </c>
      <c r="E667" s="1" t="str">
        <f>VLOOKUP(C667,'Master truck list'!E:M,9,0)</f>
        <v>BNK TRANSPORT INC</v>
      </c>
      <c r="F667" s="1" t="str">
        <f>VLOOKUP(C667,'Master truck list'!E:G,3,0)</f>
        <v>Company</v>
      </c>
      <c r="G667" s="1">
        <f>VLOOKUP(C667,'Master truck list'!E:R,14,0)</f>
        <v>2615</v>
      </c>
      <c r="H667" t="str">
        <f>"12/21/2019 7:00:28 AM"</f>
        <v>12/21/2019 7:00:28 AM</v>
      </c>
      <c r="I667" t="str">
        <f>""</f>
        <v/>
      </c>
      <c r="J667" t="str">
        <f t="shared" si="260"/>
        <v>Elite</v>
      </c>
      <c r="K667" t="str">
        <f t="shared" si="270"/>
        <v>Device</v>
      </c>
      <c r="L667" t="str">
        <f t="shared" si="271"/>
        <v>777254319</v>
      </c>
      <c r="M667" t="str">
        <f t="shared" si="272"/>
        <v>16722201</v>
      </c>
      <c r="N667" t="str">
        <f t="shared" si="273"/>
        <v>5127-20T</v>
      </c>
      <c r="O667" t="str">
        <f t="shared" si="261"/>
        <v>TEXAS</v>
      </c>
      <c r="P667" t="str">
        <f t="shared" si="262"/>
        <v>N A</v>
      </c>
      <c r="Q667" t="str">
        <f t="shared" si="263"/>
        <v>N/A</v>
      </c>
      <c r="R667" t="str">
        <f>"130 DKCRP 11 307"</f>
        <v>130 DKCRP 11 307</v>
      </c>
      <c r="S667" t="str">
        <f>"12/20/2019 6:07:40 PM"</f>
        <v>12/20/2019 6:07:40 PM</v>
      </c>
      <c r="T667" t="str">
        <f t="shared" si="269"/>
        <v>5</v>
      </c>
      <c r="U667" t="str">
        <f t="shared" si="264"/>
        <v>N/A</v>
      </c>
      <c r="V667" t="str">
        <f>"5.5500"</f>
        <v>5.5500</v>
      </c>
    </row>
    <row r="668" spans="1:22" x14ac:dyDescent="0.25">
      <c r="A668" s="1" t="str">
        <f t="shared" si="259"/>
        <v>5130-</v>
      </c>
      <c r="B668" s="1" t="str">
        <f t="shared" si="265"/>
        <v>5130-</v>
      </c>
      <c r="C668" s="1" t="str">
        <f>VLOOKUP(B668,'Master truck list'!D:E,2,0)</f>
        <v>5130-20T</v>
      </c>
      <c r="D668" s="1" t="str">
        <f>VLOOKUP(C668,'Master truck list'!E:F,2,0)</f>
        <v>OUT OF SERVICE</v>
      </c>
      <c r="E668" s="1" t="str">
        <f>VLOOKUP(C668,'Master truck list'!E:M,9,0)</f>
        <v>BNK TRANSPORT INC</v>
      </c>
      <c r="F668" s="1" t="str">
        <f>VLOOKUP(C668,'Master truck list'!E:G,3,0)</f>
        <v>Company</v>
      </c>
      <c r="G668" s="1">
        <f>VLOOKUP(C668,'Master truck list'!E:R,14,0)</f>
        <v>2618</v>
      </c>
      <c r="H668" t="str">
        <f t="shared" ref="H668:H674" si="274">"12/19/2019 7:00:35 AM"</f>
        <v>12/19/2019 7:00:35 AM</v>
      </c>
      <c r="I668" t="str">
        <f>""</f>
        <v/>
      </c>
      <c r="J668" t="str">
        <f t="shared" si="260"/>
        <v>Elite</v>
      </c>
      <c r="K668" t="str">
        <f t="shared" si="270"/>
        <v>Device</v>
      </c>
      <c r="L668" t="str">
        <f t="shared" ref="L668:L674" si="275">"777254315"</f>
        <v>777254315</v>
      </c>
      <c r="M668" t="str">
        <f t="shared" ref="M668:M674" si="276">"16722197"</f>
        <v>16722197</v>
      </c>
      <c r="N668" t="str">
        <f t="shared" ref="N668:N674" si="277">"5130-20T"</f>
        <v>5130-20T</v>
      </c>
      <c r="O668" t="str">
        <f t="shared" si="261"/>
        <v>TEXAS</v>
      </c>
      <c r="P668" t="str">
        <f t="shared" si="262"/>
        <v>N A</v>
      </c>
      <c r="Q668" t="str">
        <f t="shared" si="263"/>
        <v>N/A</v>
      </c>
      <c r="R668" t="str">
        <f>"45SE MLPEB 02 611"</f>
        <v>45SE MLPEB 02 611</v>
      </c>
      <c r="S668" t="str">
        <f>"12/18/2019 12:20:56 PM"</f>
        <v>12/18/2019 12:20:56 PM</v>
      </c>
      <c r="T668" t="str">
        <f t="shared" si="269"/>
        <v>5</v>
      </c>
      <c r="U668" t="str">
        <f t="shared" si="264"/>
        <v>N/A</v>
      </c>
      <c r="V668" t="str">
        <f>"3.3000"</f>
        <v>3.3000</v>
      </c>
    </row>
    <row r="669" spans="1:22" x14ac:dyDescent="0.25">
      <c r="A669" s="1" t="str">
        <f t="shared" si="259"/>
        <v>5130-</v>
      </c>
      <c r="B669" s="1" t="str">
        <f t="shared" si="265"/>
        <v>5130-</v>
      </c>
      <c r="C669" s="1" t="str">
        <f>VLOOKUP(B669,'Master truck list'!D:E,2,0)</f>
        <v>5130-20T</v>
      </c>
      <c r="D669" s="1" t="str">
        <f>VLOOKUP(C669,'Master truck list'!E:F,2,0)</f>
        <v>OUT OF SERVICE</v>
      </c>
      <c r="E669" s="1" t="str">
        <f>VLOOKUP(C669,'Master truck list'!E:M,9,0)</f>
        <v>BNK TRANSPORT INC</v>
      </c>
      <c r="F669" s="1" t="str">
        <f>VLOOKUP(C669,'Master truck list'!E:G,3,0)</f>
        <v>Company</v>
      </c>
      <c r="G669" s="1">
        <f>VLOOKUP(C669,'Master truck list'!E:R,14,0)</f>
        <v>2618</v>
      </c>
      <c r="H669" t="str">
        <f t="shared" si="274"/>
        <v>12/19/2019 7:00:35 AM</v>
      </c>
      <c r="I669" t="str">
        <f>""</f>
        <v/>
      </c>
      <c r="J669" t="str">
        <f t="shared" si="260"/>
        <v>Elite</v>
      </c>
      <c r="K669" t="str">
        <f t="shared" si="270"/>
        <v>Device</v>
      </c>
      <c r="L669" t="str">
        <f t="shared" si="275"/>
        <v>777254315</v>
      </c>
      <c r="M669" t="str">
        <f t="shared" si="276"/>
        <v>16722197</v>
      </c>
      <c r="N669" t="str">
        <f t="shared" si="277"/>
        <v>5130-20T</v>
      </c>
      <c r="O669" t="str">
        <f t="shared" si="261"/>
        <v>TEXAS</v>
      </c>
      <c r="P669" t="str">
        <f t="shared" si="262"/>
        <v>N A</v>
      </c>
      <c r="Q669" t="str">
        <f t="shared" si="263"/>
        <v>N/A</v>
      </c>
      <c r="R669" t="str">
        <f>"130 MGCRP 11 305"</f>
        <v>130 MGCRP 11 305</v>
      </c>
      <c r="S669" t="str">
        <f>"12/18/2019 12:59:23 PM"</f>
        <v>12/18/2019 12:59:23 PM</v>
      </c>
      <c r="T669" t="str">
        <f t="shared" si="269"/>
        <v>5</v>
      </c>
      <c r="U669" t="str">
        <f t="shared" si="264"/>
        <v>N/A</v>
      </c>
      <c r="V669" t="str">
        <f>"5.5500"</f>
        <v>5.5500</v>
      </c>
    </row>
    <row r="670" spans="1:22" x14ac:dyDescent="0.25">
      <c r="A670" s="1" t="str">
        <f t="shared" si="259"/>
        <v>5130-</v>
      </c>
      <c r="B670" s="1" t="str">
        <f t="shared" si="265"/>
        <v>5130-</v>
      </c>
      <c r="C670" s="1" t="str">
        <f>VLOOKUP(B670,'Master truck list'!D:E,2,0)</f>
        <v>5130-20T</v>
      </c>
      <c r="D670" s="1" t="str">
        <f>VLOOKUP(C670,'Master truck list'!E:F,2,0)</f>
        <v>OUT OF SERVICE</v>
      </c>
      <c r="E670" s="1" t="str">
        <f>VLOOKUP(C670,'Master truck list'!E:M,9,0)</f>
        <v>BNK TRANSPORT INC</v>
      </c>
      <c r="F670" s="1" t="str">
        <f>VLOOKUP(C670,'Master truck list'!E:G,3,0)</f>
        <v>Company</v>
      </c>
      <c r="G670" s="1">
        <f>VLOOKUP(C670,'Master truck list'!E:R,14,0)</f>
        <v>2618</v>
      </c>
      <c r="H670" t="str">
        <f t="shared" si="274"/>
        <v>12/19/2019 7:00:35 AM</v>
      </c>
      <c r="I670" t="str">
        <f>""</f>
        <v/>
      </c>
      <c r="J670" t="str">
        <f t="shared" si="260"/>
        <v>Elite</v>
      </c>
      <c r="K670" t="str">
        <f t="shared" si="270"/>
        <v>Device</v>
      </c>
      <c r="L670" t="str">
        <f t="shared" si="275"/>
        <v>777254315</v>
      </c>
      <c r="M670" t="str">
        <f t="shared" si="276"/>
        <v>16722197</v>
      </c>
      <c r="N670" t="str">
        <f t="shared" si="277"/>
        <v>5130-20T</v>
      </c>
      <c r="O670" t="str">
        <f t="shared" si="261"/>
        <v>TEXAS</v>
      </c>
      <c r="P670" t="str">
        <f t="shared" si="262"/>
        <v>N A</v>
      </c>
      <c r="Q670" t="str">
        <f t="shared" si="263"/>
        <v>N/A</v>
      </c>
      <c r="R670" t="str">
        <f>"130 DKCRP 11 307"</f>
        <v>130 DKCRP 11 307</v>
      </c>
      <c r="S670" t="str">
        <f>"12/18/2019 12:38:26 PM"</f>
        <v>12/18/2019 12:38:26 PM</v>
      </c>
      <c r="T670" t="str">
        <f t="shared" si="269"/>
        <v>5</v>
      </c>
      <c r="U670" t="str">
        <f t="shared" si="264"/>
        <v>N/A</v>
      </c>
      <c r="V670" t="str">
        <f>"5.5500"</f>
        <v>5.5500</v>
      </c>
    </row>
    <row r="671" spans="1:22" x14ac:dyDescent="0.25">
      <c r="A671" s="1" t="str">
        <f t="shared" si="259"/>
        <v>5130-</v>
      </c>
      <c r="B671" s="1" t="str">
        <f t="shared" si="265"/>
        <v>5130-</v>
      </c>
      <c r="C671" s="1" t="str">
        <f>VLOOKUP(B671,'Master truck list'!D:E,2,0)</f>
        <v>5130-20T</v>
      </c>
      <c r="D671" s="1" t="str">
        <f>VLOOKUP(C671,'Master truck list'!E:F,2,0)</f>
        <v>OUT OF SERVICE</v>
      </c>
      <c r="E671" s="1" t="str">
        <f>VLOOKUP(C671,'Master truck list'!E:M,9,0)</f>
        <v>BNK TRANSPORT INC</v>
      </c>
      <c r="F671" s="1" t="str">
        <f>VLOOKUP(C671,'Master truck list'!E:G,3,0)</f>
        <v>Company</v>
      </c>
      <c r="G671" s="1">
        <f>VLOOKUP(C671,'Master truck list'!E:R,14,0)</f>
        <v>2618</v>
      </c>
      <c r="H671" t="str">
        <f t="shared" si="274"/>
        <v>12/19/2019 7:00:35 AM</v>
      </c>
      <c r="I671" t="str">
        <f>""</f>
        <v/>
      </c>
      <c r="J671" t="str">
        <f t="shared" si="260"/>
        <v>Elite</v>
      </c>
      <c r="K671" t="str">
        <f t="shared" si="270"/>
        <v>Device</v>
      </c>
      <c r="L671" t="str">
        <f t="shared" si="275"/>
        <v>777254315</v>
      </c>
      <c r="M671" t="str">
        <f t="shared" si="276"/>
        <v>16722197</v>
      </c>
      <c r="N671" t="str">
        <f t="shared" si="277"/>
        <v>5130-20T</v>
      </c>
      <c r="O671" t="str">
        <f t="shared" si="261"/>
        <v>TEXAS</v>
      </c>
      <c r="P671" t="str">
        <f t="shared" si="262"/>
        <v>N A</v>
      </c>
      <c r="Q671" t="str">
        <f t="shared" si="263"/>
        <v>N/A</v>
      </c>
      <c r="R671" t="str">
        <f>"360 MLG14 03 MLG1"</f>
        <v>360 MLG14 03 MLG1</v>
      </c>
      <c r="S671" t="str">
        <f>"12/18/2019 8:50:28 PM"</f>
        <v>12/18/2019 8:50:28 PM</v>
      </c>
      <c r="T671" t="str">
        <f t="shared" si="269"/>
        <v>5</v>
      </c>
      <c r="U671" t="str">
        <f t="shared" si="264"/>
        <v>N/A</v>
      </c>
      <c r="V671" t="str">
        <f>"4.6800"</f>
        <v>4.6800</v>
      </c>
    </row>
    <row r="672" spans="1:22" x14ac:dyDescent="0.25">
      <c r="A672" s="1" t="str">
        <f t="shared" si="259"/>
        <v>5130-</v>
      </c>
      <c r="B672" s="1" t="str">
        <f t="shared" si="265"/>
        <v>5130-</v>
      </c>
      <c r="C672" s="1" t="str">
        <f>VLOOKUP(B672,'Master truck list'!D:E,2,0)</f>
        <v>5130-20T</v>
      </c>
      <c r="D672" s="1" t="str">
        <f>VLOOKUP(C672,'Master truck list'!E:F,2,0)</f>
        <v>OUT OF SERVICE</v>
      </c>
      <c r="E672" s="1" t="str">
        <f>VLOOKUP(C672,'Master truck list'!E:M,9,0)</f>
        <v>BNK TRANSPORT INC</v>
      </c>
      <c r="F672" s="1" t="str">
        <f>VLOOKUP(C672,'Master truck list'!E:G,3,0)</f>
        <v>Company</v>
      </c>
      <c r="G672" s="1">
        <f>VLOOKUP(C672,'Master truck list'!E:R,14,0)</f>
        <v>2618</v>
      </c>
      <c r="H672" t="str">
        <f t="shared" si="274"/>
        <v>12/19/2019 7:00:35 AM</v>
      </c>
      <c r="I672" t="str">
        <f>""</f>
        <v/>
      </c>
      <c r="J672" t="str">
        <f t="shared" si="260"/>
        <v>Elite</v>
      </c>
      <c r="K672" t="str">
        <f t="shared" si="270"/>
        <v>Device</v>
      </c>
      <c r="L672" t="str">
        <f t="shared" si="275"/>
        <v>777254315</v>
      </c>
      <c r="M672" t="str">
        <f t="shared" si="276"/>
        <v>16722197</v>
      </c>
      <c r="N672" t="str">
        <f t="shared" si="277"/>
        <v>5130-20T</v>
      </c>
      <c r="O672" t="str">
        <f t="shared" si="261"/>
        <v>TEXAS</v>
      </c>
      <c r="P672" t="str">
        <f t="shared" si="262"/>
        <v>N A</v>
      </c>
      <c r="Q672" t="str">
        <f t="shared" si="263"/>
        <v>N/A</v>
      </c>
      <c r="R672" t="str">
        <f>"PGBW MLG12 09 MLG1"</f>
        <v>PGBW MLG12 09 MLG1</v>
      </c>
      <c r="S672" t="str">
        <f>"12/18/2019 3:41:46 PM"</f>
        <v>12/18/2019 3:41:46 PM</v>
      </c>
      <c r="T672" t="str">
        <f t="shared" si="269"/>
        <v>5</v>
      </c>
      <c r="U672" t="str">
        <f t="shared" si="264"/>
        <v>N/A</v>
      </c>
      <c r="V672" t="str">
        <f>"4.6400"</f>
        <v>4.6400</v>
      </c>
    </row>
    <row r="673" spans="1:22" x14ac:dyDescent="0.25">
      <c r="A673" s="1" t="str">
        <f t="shared" si="259"/>
        <v>5130-</v>
      </c>
      <c r="B673" s="1" t="str">
        <f t="shared" si="265"/>
        <v>5130-</v>
      </c>
      <c r="C673" s="1" t="str">
        <f>VLOOKUP(B673,'Master truck list'!D:E,2,0)</f>
        <v>5130-20T</v>
      </c>
      <c r="D673" s="1" t="str">
        <f>VLOOKUP(C673,'Master truck list'!E:F,2,0)</f>
        <v>OUT OF SERVICE</v>
      </c>
      <c r="E673" s="1" t="str">
        <f>VLOOKUP(C673,'Master truck list'!E:M,9,0)</f>
        <v>BNK TRANSPORT INC</v>
      </c>
      <c r="F673" s="1" t="str">
        <f>VLOOKUP(C673,'Master truck list'!E:G,3,0)</f>
        <v>Company</v>
      </c>
      <c r="G673" s="1">
        <f>VLOOKUP(C673,'Master truck list'!E:R,14,0)</f>
        <v>2618</v>
      </c>
      <c r="H673" t="str">
        <f t="shared" si="274"/>
        <v>12/19/2019 7:00:35 AM</v>
      </c>
      <c r="I673" t="str">
        <f>""</f>
        <v/>
      </c>
      <c r="J673" t="str">
        <f t="shared" si="260"/>
        <v>Elite</v>
      </c>
      <c r="K673" t="str">
        <f t="shared" si="270"/>
        <v>Device</v>
      </c>
      <c r="L673" t="str">
        <f t="shared" si="275"/>
        <v>777254315</v>
      </c>
      <c r="M673" t="str">
        <f t="shared" si="276"/>
        <v>16722197</v>
      </c>
      <c r="N673" t="str">
        <f t="shared" si="277"/>
        <v>5130-20T</v>
      </c>
      <c r="O673" t="str">
        <f t="shared" si="261"/>
        <v>TEXAS</v>
      </c>
      <c r="P673" t="str">
        <f t="shared" si="262"/>
        <v>N A</v>
      </c>
      <c r="Q673" t="str">
        <f t="shared" si="263"/>
        <v>N/A</v>
      </c>
      <c r="R673" t="str">
        <f>"130 ARPTP 09 308"</f>
        <v>130 ARPTP 09 308</v>
      </c>
      <c r="S673" t="str">
        <f>"12/18/2019 12:31:30 PM"</f>
        <v>12/18/2019 12:31:30 PM</v>
      </c>
      <c r="T673" t="str">
        <f t="shared" si="269"/>
        <v>5</v>
      </c>
      <c r="U673" t="str">
        <f t="shared" si="264"/>
        <v>N/A</v>
      </c>
      <c r="V673" t="str">
        <f>"5.5500"</f>
        <v>5.5500</v>
      </c>
    </row>
    <row r="674" spans="1:22" x14ac:dyDescent="0.25">
      <c r="A674" s="1" t="str">
        <f t="shared" si="259"/>
        <v>5130-</v>
      </c>
      <c r="B674" s="1" t="str">
        <f t="shared" si="265"/>
        <v>5130-</v>
      </c>
      <c r="C674" s="1" t="str">
        <f>VLOOKUP(B674,'Master truck list'!D:E,2,0)</f>
        <v>5130-20T</v>
      </c>
      <c r="D674" s="1" t="str">
        <f>VLOOKUP(C674,'Master truck list'!E:F,2,0)</f>
        <v>OUT OF SERVICE</v>
      </c>
      <c r="E674" s="1" t="str">
        <f>VLOOKUP(C674,'Master truck list'!E:M,9,0)</f>
        <v>BNK TRANSPORT INC</v>
      </c>
      <c r="F674" s="1" t="str">
        <f>VLOOKUP(C674,'Master truck list'!E:G,3,0)</f>
        <v>Company</v>
      </c>
      <c r="G674" s="1">
        <f>VLOOKUP(C674,'Master truck list'!E:R,14,0)</f>
        <v>2618</v>
      </c>
      <c r="H674" t="str">
        <f t="shared" si="274"/>
        <v>12/19/2019 7:00:35 AM</v>
      </c>
      <c r="I674" t="str">
        <f>""</f>
        <v/>
      </c>
      <c r="J674" t="str">
        <f t="shared" si="260"/>
        <v>Elite</v>
      </c>
      <c r="K674" t="str">
        <f t="shared" si="270"/>
        <v>Device</v>
      </c>
      <c r="L674" t="str">
        <f t="shared" si="275"/>
        <v>777254315</v>
      </c>
      <c r="M674" t="str">
        <f t="shared" si="276"/>
        <v>16722197</v>
      </c>
      <c r="N674" t="str">
        <f t="shared" si="277"/>
        <v>5130-20T</v>
      </c>
      <c r="O674" t="str">
        <f t="shared" si="261"/>
        <v>TEXAS</v>
      </c>
      <c r="P674" t="str">
        <f t="shared" si="262"/>
        <v>N A</v>
      </c>
      <c r="Q674" t="str">
        <f t="shared" si="263"/>
        <v>N/A</v>
      </c>
      <c r="R674" t="str">
        <f>"130 CMRNP 13 306"</f>
        <v>130 CMRNP 13 306</v>
      </c>
      <c r="S674" t="str">
        <f>"12/18/2019 12:48:24 PM"</f>
        <v>12/18/2019 12:48:24 PM</v>
      </c>
      <c r="T674" t="str">
        <f t="shared" si="269"/>
        <v>5</v>
      </c>
      <c r="U674" t="str">
        <f t="shared" si="264"/>
        <v>N/A</v>
      </c>
      <c r="V674" t="str">
        <f>"5.5500"</f>
        <v>5.5500</v>
      </c>
    </row>
    <row r="675" spans="1:22" x14ac:dyDescent="0.25">
      <c r="A675" s="1" t="str">
        <f t="shared" si="259"/>
        <v>5128-</v>
      </c>
      <c r="B675" s="1" t="str">
        <f t="shared" si="265"/>
        <v>5128-</v>
      </c>
      <c r="C675" s="1" t="str">
        <f>VLOOKUP(B675,'Master truck list'!D:E,2,0)</f>
        <v>5128-20T</v>
      </c>
      <c r="D675" s="1" t="str">
        <f>VLOOKUP(C675,'Master truck list'!E:F,2,0)</f>
        <v>ACTIVE</v>
      </c>
      <c r="E675" s="1" t="str">
        <f>VLOOKUP(C675,'Master truck list'!E:M,9,0)</f>
        <v>BNK TRANSPORT INC</v>
      </c>
      <c r="F675" s="1" t="str">
        <f>VLOOKUP(C675,'Master truck list'!E:G,3,0)</f>
        <v>Company</v>
      </c>
      <c r="G675" s="1">
        <f>VLOOKUP(C675,'Master truck list'!E:R,14,0)</f>
        <v>2616</v>
      </c>
      <c r="H675" t="str">
        <f>"12/18/2019 7:00:28 AM"</f>
        <v>12/18/2019 7:00:28 AM</v>
      </c>
      <c r="I675" t="str">
        <f>""</f>
        <v/>
      </c>
      <c r="J675" t="str">
        <f t="shared" si="260"/>
        <v>Elite</v>
      </c>
      <c r="K675" t="str">
        <f t="shared" si="270"/>
        <v>Device</v>
      </c>
      <c r="L675" t="str">
        <f t="shared" ref="L675:L683" si="278">"777254317"</f>
        <v>777254317</v>
      </c>
      <c r="M675" t="str">
        <f t="shared" ref="M675:M683" si="279">"16722199"</f>
        <v>16722199</v>
      </c>
      <c r="N675" t="str">
        <f t="shared" ref="N675:N683" si="280">"5128-20T"</f>
        <v>5128-20T</v>
      </c>
      <c r="O675" t="str">
        <f t="shared" si="261"/>
        <v>TEXAS</v>
      </c>
      <c r="P675" t="str">
        <f t="shared" si="262"/>
        <v>N A</v>
      </c>
      <c r="Q675" t="str">
        <f t="shared" si="263"/>
        <v>N/A</v>
      </c>
      <c r="R675" t="str">
        <f>"130 CMRNP 08 306"</f>
        <v>130 CMRNP 08 306</v>
      </c>
      <c r="S675" t="str">
        <f>"12/17/2019 1:11:33 PM"</f>
        <v>12/17/2019 1:11:33 PM</v>
      </c>
      <c r="T675" t="str">
        <f t="shared" si="269"/>
        <v>5</v>
      </c>
      <c r="U675" t="str">
        <f t="shared" si="264"/>
        <v>N/A</v>
      </c>
      <c r="V675" t="str">
        <f>"5.5500"</f>
        <v>5.5500</v>
      </c>
    </row>
    <row r="676" spans="1:22" x14ac:dyDescent="0.25">
      <c r="A676" s="1" t="str">
        <f t="shared" si="259"/>
        <v>5128-</v>
      </c>
      <c r="B676" s="1" t="str">
        <f t="shared" si="265"/>
        <v>5128-</v>
      </c>
      <c r="C676" s="1" t="str">
        <f>VLOOKUP(B676,'Master truck list'!D:E,2,0)</f>
        <v>5128-20T</v>
      </c>
      <c r="D676" s="1" t="str">
        <f>VLOOKUP(C676,'Master truck list'!E:F,2,0)</f>
        <v>ACTIVE</v>
      </c>
      <c r="E676" s="1" t="str">
        <f>VLOOKUP(C676,'Master truck list'!E:M,9,0)</f>
        <v>BNK TRANSPORT INC</v>
      </c>
      <c r="F676" s="1" t="str">
        <f>VLOOKUP(C676,'Master truck list'!E:G,3,0)</f>
        <v>Company</v>
      </c>
      <c r="G676" s="1">
        <f>VLOOKUP(C676,'Master truck list'!E:R,14,0)</f>
        <v>2616</v>
      </c>
      <c r="H676" t="str">
        <f>"12/18/2019 7:00:28 AM"</f>
        <v>12/18/2019 7:00:28 AM</v>
      </c>
      <c r="I676" t="str">
        <f>""</f>
        <v/>
      </c>
      <c r="J676" t="str">
        <f t="shared" si="260"/>
        <v>Elite</v>
      </c>
      <c r="K676" t="str">
        <f t="shared" si="270"/>
        <v>Device</v>
      </c>
      <c r="L676" t="str">
        <f t="shared" si="278"/>
        <v>777254317</v>
      </c>
      <c r="M676" t="str">
        <f t="shared" si="279"/>
        <v>16722199</v>
      </c>
      <c r="N676" t="str">
        <f t="shared" si="280"/>
        <v>5128-20T</v>
      </c>
      <c r="O676" t="str">
        <f t="shared" si="261"/>
        <v>TEXAS</v>
      </c>
      <c r="P676" t="str">
        <f t="shared" si="262"/>
        <v>N A</v>
      </c>
      <c r="Q676" t="str">
        <f t="shared" si="263"/>
        <v>N/A</v>
      </c>
      <c r="R676" t="str">
        <f>"45SE MLPWB 01 611"</f>
        <v>45SE MLPWB 01 611</v>
      </c>
      <c r="S676" t="str">
        <f>"12/17/2019 1:39:56 PM"</f>
        <v>12/17/2019 1:39:56 PM</v>
      </c>
      <c r="T676" t="str">
        <f t="shared" si="269"/>
        <v>5</v>
      </c>
      <c r="U676" t="str">
        <f t="shared" si="264"/>
        <v>N/A</v>
      </c>
      <c r="V676" t="str">
        <f>"3.3000"</f>
        <v>3.3000</v>
      </c>
    </row>
    <row r="677" spans="1:22" x14ac:dyDescent="0.25">
      <c r="A677" s="1" t="str">
        <f t="shared" si="259"/>
        <v>5128-</v>
      </c>
      <c r="B677" s="1" t="str">
        <f t="shared" si="265"/>
        <v>5128-</v>
      </c>
      <c r="C677" s="1" t="str">
        <f>VLOOKUP(B677,'Master truck list'!D:E,2,0)</f>
        <v>5128-20T</v>
      </c>
      <c r="D677" s="1" t="str">
        <f>VLOOKUP(C677,'Master truck list'!E:F,2,0)</f>
        <v>ACTIVE</v>
      </c>
      <c r="E677" s="1" t="str">
        <f>VLOOKUP(C677,'Master truck list'!E:M,9,0)</f>
        <v>BNK TRANSPORT INC</v>
      </c>
      <c r="F677" s="1" t="str">
        <f>VLOOKUP(C677,'Master truck list'!E:G,3,0)</f>
        <v>Company</v>
      </c>
      <c r="G677" s="1">
        <f>VLOOKUP(C677,'Master truck list'!E:R,14,0)</f>
        <v>2616</v>
      </c>
      <c r="H677" t="str">
        <f>"12/18/2019 7:00:28 AM"</f>
        <v>12/18/2019 7:00:28 AM</v>
      </c>
      <c r="I677" t="str">
        <f>""</f>
        <v/>
      </c>
      <c r="J677" t="str">
        <f t="shared" si="260"/>
        <v>Elite</v>
      </c>
      <c r="K677" t="str">
        <f t="shared" si="270"/>
        <v>Device</v>
      </c>
      <c r="L677" t="str">
        <f t="shared" si="278"/>
        <v>777254317</v>
      </c>
      <c r="M677" t="str">
        <f t="shared" si="279"/>
        <v>16722199</v>
      </c>
      <c r="N677" t="str">
        <f t="shared" si="280"/>
        <v>5128-20T</v>
      </c>
      <c r="O677" t="str">
        <f t="shared" si="261"/>
        <v>TEXAS</v>
      </c>
      <c r="P677" t="str">
        <f t="shared" si="262"/>
        <v>N A</v>
      </c>
      <c r="Q677" t="str">
        <f t="shared" si="263"/>
        <v>N/A</v>
      </c>
      <c r="R677" t="str">
        <f>"130 MGCRP 06 305"</f>
        <v>130 MGCRP 06 305</v>
      </c>
      <c r="S677" t="str">
        <f>"12/17/2019 1:00:31 PM"</f>
        <v>12/17/2019 1:00:31 PM</v>
      </c>
      <c r="T677" t="str">
        <f t="shared" si="269"/>
        <v>5</v>
      </c>
      <c r="U677" t="str">
        <f t="shared" si="264"/>
        <v>N/A</v>
      </c>
      <c r="V677" t="str">
        <f>"5.5500"</f>
        <v>5.5500</v>
      </c>
    </row>
    <row r="678" spans="1:22" x14ac:dyDescent="0.25">
      <c r="A678" s="1" t="str">
        <f t="shared" si="259"/>
        <v>5128-</v>
      </c>
      <c r="B678" s="1" t="str">
        <f t="shared" si="265"/>
        <v>5128-</v>
      </c>
      <c r="C678" s="1" t="str">
        <f>VLOOKUP(B678,'Master truck list'!D:E,2,0)</f>
        <v>5128-20T</v>
      </c>
      <c r="D678" s="1" t="str">
        <f>VLOOKUP(C678,'Master truck list'!E:F,2,0)</f>
        <v>ACTIVE</v>
      </c>
      <c r="E678" s="1" t="str">
        <f>VLOOKUP(C678,'Master truck list'!E:M,9,0)</f>
        <v>BNK TRANSPORT INC</v>
      </c>
      <c r="F678" s="1" t="str">
        <f>VLOOKUP(C678,'Master truck list'!E:G,3,0)</f>
        <v>Company</v>
      </c>
      <c r="G678" s="1">
        <f>VLOOKUP(C678,'Master truck list'!E:R,14,0)</f>
        <v>2616</v>
      </c>
      <c r="H678" t="str">
        <f>"12/18/2019 7:00:28 AM"</f>
        <v>12/18/2019 7:00:28 AM</v>
      </c>
      <c r="I678" t="str">
        <f>""</f>
        <v/>
      </c>
      <c r="J678" t="str">
        <f t="shared" si="260"/>
        <v>Elite</v>
      </c>
      <c r="K678" t="str">
        <f t="shared" si="270"/>
        <v>Device</v>
      </c>
      <c r="L678" t="str">
        <f t="shared" si="278"/>
        <v>777254317</v>
      </c>
      <c r="M678" t="str">
        <f t="shared" si="279"/>
        <v>16722199</v>
      </c>
      <c r="N678" t="str">
        <f t="shared" si="280"/>
        <v>5128-20T</v>
      </c>
      <c r="O678" t="str">
        <f t="shared" si="261"/>
        <v>TEXAS</v>
      </c>
      <c r="P678" t="str">
        <f t="shared" si="262"/>
        <v>N A</v>
      </c>
      <c r="Q678" t="str">
        <f t="shared" si="263"/>
        <v>N/A</v>
      </c>
      <c r="R678" t="str">
        <f>"130 DKCRP 06 307"</f>
        <v>130 DKCRP 06 307</v>
      </c>
      <c r="S678" t="str">
        <f>"12/17/2019 1:21:43 PM"</f>
        <v>12/17/2019 1:21:43 PM</v>
      </c>
      <c r="T678" t="str">
        <f t="shared" si="269"/>
        <v>5</v>
      </c>
      <c r="U678" t="str">
        <f t="shared" si="264"/>
        <v>N/A</v>
      </c>
      <c r="V678" t="str">
        <f>"5.5500"</f>
        <v>5.5500</v>
      </c>
    </row>
    <row r="679" spans="1:22" x14ac:dyDescent="0.25">
      <c r="A679" s="1" t="str">
        <f t="shared" si="259"/>
        <v>5128-</v>
      </c>
      <c r="B679" s="1" t="str">
        <f t="shared" si="265"/>
        <v>5128-</v>
      </c>
      <c r="C679" s="1" t="str">
        <f>VLOOKUP(B679,'Master truck list'!D:E,2,0)</f>
        <v>5128-20T</v>
      </c>
      <c r="D679" s="1" t="str">
        <f>VLOOKUP(C679,'Master truck list'!E:F,2,0)</f>
        <v>ACTIVE</v>
      </c>
      <c r="E679" s="1" t="str">
        <f>VLOOKUP(C679,'Master truck list'!E:M,9,0)</f>
        <v>BNK TRANSPORT INC</v>
      </c>
      <c r="F679" s="1" t="str">
        <f>VLOOKUP(C679,'Master truck list'!E:G,3,0)</f>
        <v>Company</v>
      </c>
      <c r="G679" s="1">
        <f>VLOOKUP(C679,'Master truck list'!E:R,14,0)</f>
        <v>2616</v>
      </c>
      <c r="H679" t="str">
        <f>"12/17/2019 7:00:33 AM"</f>
        <v>12/17/2019 7:00:33 AM</v>
      </c>
      <c r="I679" t="str">
        <f>""</f>
        <v/>
      </c>
      <c r="J679" t="str">
        <f t="shared" si="260"/>
        <v>Elite</v>
      </c>
      <c r="K679" t="str">
        <f t="shared" si="270"/>
        <v>Device</v>
      </c>
      <c r="L679" t="str">
        <f t="shared" si="278"/>
        <v>777254317</v>
      </c>
      <c r="M679" t="str">
        <f t="shared" si="279"/>
        <v>16722199</v>
      </c>
      <c r="N679" t="str">
        <f t="shared" si="280"/>
        <v>5128-20T</v>
      </c>
      <c r="O679" t="str">
        <f t="shared" si="261"/>
        <v>TEXAS</v>
      </c>
      <c r="P679" t="str">
        <f t="shared" si="262"/>
        <v>N A</v>
      </c>
      <c r="Q679" t="str">
        <f t="shared" si="263"/>
        <v>N/A</v>
      </c>
      <c r="R679" t="str">
        <f>"130 CMRNP 13 306"</f>
        <v>130 CMRNP 13 306</v>
      </c>
      <c r="S679" t="str">
        <f>"12/16/2019 3:27:34 PM"</f>
        <v>12/16/2019 3:27:34 PM</v>
      </c>
      <c r="T679" t="str">
        <f t="shared" si="269"/>
        <v>5</v>
      </c>
      <c r="U679" t="str">
        <f t="shared" si="264"/>
        <v>N/A</v>
      </c>
      <c r="V679" t="str">
        <f>"5.5500"</f>
        <v>5.5500</v>
      </c>
    </row>
    <row r="680" spans="1:22" x14ac:dyDescent="0.25">
      <c r="A680" s="1" t="str">
        <f t="shared" si="259"/>
        <v>5128-</v>
      </c>
      <c r="B680" s="1" t="str">
        <f t="shared" si="265"/>
        <v>5128-</v>
      </c>
      <c r="C680" s="1" t="str">
        <f>VLOOKUP(B680,'Master truck list'!D:E,2,0)</f>
        <v>5128-20T</v>
      </c>
      <c r="D680" s="1" t="str">
        <f>VLOOKUP(C680,'Master truck list'!E:F,2,0)</f>
        <v>ACTIVE</v>
      </c>
      <c r="E680" s="1" t="str">
        <f>VLOOKUP(C680,'Master truck list'!E:M,9,0)</f>
        <v>BNK TRANSPORT INC</v>
      </c>
      <c r="F680" s="1" t="str">
        <f>VLOOKUP(C680,'Master truck list'!E:G,3,0)</f>
        <v>Company</v>
      </c>
      <c r="G680" s="1">
        <f>VLOOKUP(C680,'Master truck list'!E:R,14,0)</f>
        <v>2616</v>
      </c>
      <c r="H680" t="str">
        <f>"12/17/2019 7:00:33 AM"</f>
        <v>12/17/2019 7:00:33 AM</v>
      </c>
      <c r="I680" t="str">
        <f>""</f>
        <v/>
      </c>
      <c r="J680" t="str">
        <f t="shared" si="260"/>
        <v>Elite</v>
      </c>
      <c r="K680" t="str">
        <f t="shared" si="270"/>
        <v>Device</v>
      </c>
      <c r="L680" t="str">
        <f t="shared" si="278"/>
        <v>777254317</v>
      </c>
      <c r="M680" t="str">
        <f t="shared" si="279"/>
        <v>16722199</v>
      </c>
      <c r="N680" t="str">
        <f t="shared" si="280"/>
        <v>5128-20T</v>
      </c>
      <c r="O680" t="str">
        <f t="shared" si="261"/>
        <v>TEXAS</v>
      </c>
      <c r="P680" t="str">
        <f t="shared" si="262"/>
        <v>N A</v>
      </c>
      <c r="Q680" t="str">
        <f t="shared" si="263"/>
        <v>N/A</v>
      </c>
      <c r="R680" t="str">
        <f>"130 ARPTP 09 308"</f>
        <v>130 ARPTP 09 308</v>
      </c>
      <c r="S680" t="str">
        <f>"12/16/2019 3:09:27 PM"</f>
        <v>12/16/2019 3:09:27 PM</v>
      </c>
      <c r="T680" t="str">
        <f t="shared" si="269"/>
        <v>5</v>
      </c>
      <c r="U680" t="str">
        <f t="shared" si="264"/>
        <v>N/A</v>
      </c>
      <c r="V680" t="str">
        <f>"5.5500"</f>
        <v>5.5500</v>
      </c>
    </row>
    <row r="681" spans="1:22" x14ac:dyDescent="0.25">
      <c r="A681" s="1" t="str">
        <f t="shared" si="259"/>
        <v>5128-</v>
      </c>
      <c r="B681" s="1" t="str">
        <f t="shared" si="265"/>
        <v>5128-</v>
      </c>
      <c r="C681" s="1" t="str">
        <f>VLOOKUP(B681,'Master truck list'!D:E,2,0)</f>
        <v>5128-20T</v>
      </c>
      <c r="D681" s="1" t="str">
        <f>VLOOKUP(C681,'Master truck list'!E:F,2,0)</f>
        <v>ACTIVE</v>
      </c>
      <c r="E681" s="1" t="str">
        <f>VLOOKUP(C681,'Master truck list'!E:M,9,0)</f>
        <v>BNK TRANSPORT INC</v>
      </c>
      <c r="F681" s="1" t="str">
        <f>VLOOKUP(C681,'Master truck list'!E:G,3,0)</f>
        <v>Company</v>
      </c>
      <c r="G681" s="1">
        <f>VLOOKUP(C681,'Master truck list'!E:R,14,0)</f>
        <v>2616</v>
      </c>
      <c r="H681" t="str">
        <f>"12/17/2019 7:00:33 AM"</f>
        <v>12/17/2019 7:00:33 AM</v>
      </c>
      <c r="I681" t="str">
        <f>""</f>
        <v/>
      </c>
      <c r="J681" t="str">
        <f t="shared" si="260"/>
        <v>Elite</v>
      </c>
      <c r="K681" t="str">
        <f t="shared" si="270"/>
        <v>Device</v>
      </c>
      <c r="L681" t="str">
        <f t="shared" si="278"/>
        <v>777254317</v>
      </c>
      <c r="M681" t="str">
        <f t="shared" si="279"/>
        <v>16722199</v>
      </c>
      <c r="N681" t="str">
        <f t="shared" si="280"/>
        <v>5128-20T</v>
      </c>
      <c r="O681" t="str">
        <f t="shared" si="261"/>
        <v>TEXAS</v>
      </c>
      <c r="P681" t="str">
        <f t="shared" si="262"/>
        <v>N A</v>
      </c>
      <c r="Q681" t="str">
        <f t="shared" si="263"/>
        <v>N/A</v>
      </c>
      <c r="R681" t="str">
        <f>"45SE MLPEB 02 611"</f>
        <v>45SE MLPEB 02 611</v>
      </c>
      <c r="S681" t="str">
        <f>"12/16/2019 2:58:51 PM"</f>
        <v>12/16/2019 2:58:51 PM</v>
      </c>
      <c r="T681" t="str">
        <f t="shared" si="269"/>
        <v>5</v>
      </c>
      <c r="U681" t="str">
        <f t="shared" si="264"/>
        <v>N/A</v>
      </c>
      <c r="V681" t="str">
        <f>"3.3000"</f>
        <v>3.3000</v>
      </c>
    </row>
    <row r="682" spans="1:22" x14ac:dyDescent="0.25">
      <c r="A682" s="1" t="str">
        <f t="shared" si="259"/>
        <v>5128-</v>
      </c>
      <c r="B682" s="1" t="str">
        <f t="shared" si="265"/>
        <v>5128-</v>
      </c>
      <c r="C682" s="1" t="str">
        <f>VLOOKUP(B682,'Master truck list'!D:E,2,0)</f>
        <v>5128-20T</v>
      </c>
      <c r="D682" s="1" t="str">
        <f>VLOOKUP(C682,'Master truck list'!E:F,2,0)</f>
        <v>ACTIVE</v>
      </c>
      <c r="E682" s="1" t="str">
        <f>VLOOKUP(C682,'Master truck list'!E:M,9,0)</f>
        <v>BNK TRANSPORT INC</v>
      </c>
      <c r="F682" s="1" t="str">
        <f>VLOOKUP(C682,'Master truck list'!E:G,3,0)</f>
        <v>Company</v>
      </c>
      <c r="G682" s="1">
        <f>VLOOKUP(C682,'Master truck list'!E:R,14,0)</f>
        <v>2616</v>
      </c>
      <c r="H682" t="str">
        <f>"12/18/2019 7:00:28 AM"</f>
        <v>12/18/2019 7:00:28 AM</v>
      </c>
      <c r="I682" t="str">
        <f>""</f>
        <v/>
      </c>
      <c r="J682" t="str">
        <f t="shared" si="260"/>
        <v>Elite</v>
      </c>
      <c r="K682" t="str">
        <f t="shared" si="270"/>
        <v>Device</v>
      </c>
      <c r="L682" t="str">
        <f t="shared" si="278"/>
        <v>777254317</v>
      </c>
      <c r="M682" t="str">
        <f t="shared" si="279"/>
        <v>16722199</v>
      </c>
      <c r="N682" t="str">
        <f t="shared" si="280"/>
        <v>5128-20T</v>
      </c>
      <c r="O682" t="str">
        <f t="shared" si="261"/>
        <v>TEXAS</v>
      </c>
      <c r="P682" t="str">
        <f t="shared" si="262"/>
        <v>N A</v>
      </c>
      <c r="Q682" t="str">
        <f t="shared" si="263"/>
        <v>N/A</v>
      </c>
      <c r="R682" t="str">
        <f>"130 ARPTP 04 308"</f>
        <v>130 ARPTP 04 308</v>
      </c>
      <c r="S682" t="str">
        <f>"12/17/2019 1:28:50 PM"</f>
        <v>12/17/2019 1:28:50 PM</v>
      </c>
      <c r="T682" t="str">
        <f t="shared" si="269"/>
        <v>5</v>
      </c>
      <c r="U682" t="str">
        <f t="shared" si="264"/>
        <v>N/A</v>
      </c>
      <c r="V682" t="str">
        <f>"5.5500"</f>
        <v>5.5500</v>
      </c>
    </row>
    <row r="683" spans="1:22" x14ac:dyDescent="0.25">
      <c r="A683" s="1" t="str">
        <f t="shared" si="259"/>
        <v>5128-</v>
      </c>
      <c r="B683" s="1" t="str">
        <f t="shared" si="265"/>
        <v>5128-</v>
      </c>
      <c r="C683" s="1" t="str">
        <f>VLOOKUP(B683,'Master truck list'!D:E,2,0)</f>
        <v>5128-20T</v>
      </c>
      <c r="D683" s="1" t="str">
        <f>VLOOKUP(C683,'Master truck list'!E:F,2,0)</f>
        <v>ACTIVE</v>
      </c>
      <c r="E683" s="1" t="str">
        <f>VLOOKUP(C683,'Master truck list'!E:M,9,0)</f>
        <v>BNK TRANSPORT INC</v>
      </c>
      <c r="F683" s="1" t="str">
        <f>VLOOKUP(C683,'Master truck list'!E:G,3,0)</f>
        <v>Company</v>
      </c>
      <c r="G683" s="1">
        <f>VLOOKUP(C683,'Master truck list'!E:R,14,0)</f>
        <v>2616</v>
      </c>
      <c r="H683" t="str">
        <f>"12/17/2019 7:00:33 AM"</f>
        <v>12/17/2019 7:00:33 AM</v>
      </c>
      <c r="I683" t="str">
        <f>""</f>
        <v/>
      </c>
      <c r="J683" t="str">
        <f t="shared" si="260"/>
        <v>Elite</v>
      </c>
      <c r="K683" t="str">
        <f t="shared" si="270"/>
        <v>Device</v>
      </c>
      <c r="L683" t="str">
        <f t="shared" si="278"/>
        <v>777254317</v>
      </c>
      <c r="M683" t="str">
        <f t="shared" si="279"/>
        <v>16722199</v>
      </c>
      <c r="N683" t="str">
        <f t="shared" si="280"/>
        <v>5128-20T</v>
      </c>
      <c r="O683" t="str">
        <f t="shared" si="261"/>
        <v>TEXAS</v>
      </c>
      <c r="P683" t="str">
        <f t="shared" si="262"/>
        <v>N A</v>
      </c>
      <c r="Q683" t="str">
        <f t="shared" si="263"/>
        <v>N/A</v>
      </c>
      <c r="R683" t="str">
        <f>"130 DKCRP 11 307"</f>
        <v>130 DKCRP 11 307</v>
      </c>
      <c r="S683" t="str">
        <f>"12/16/2019 3:16:39 PM"</f>
        <v>12/16/2019 3:16:39 PM</v>
      </c>
      <c r="T683" t="str">
        <f t="shared" si="269"/>
        <v>5</v>
      </c>
      <c r="U683" t="str">
        <f t="shared" si="264"/>
        <v>N/A</v>
      </c>
      <c r="V683" t="str">
        <f>"5.5500"</f>
        <v>5.5500</v>
      </c>
    </row>
    <row r="684" spans="1:22" x14ac:dyDescent="0.25">
      <c r="A684" s="1" t="str">
        <f t="shared" si="259"/>
        <v>5115-</v>
      </c>
      <c r="B684" s="1" t="str">
        <f t="shared" si="265"/>
        <v>5115-</v>
      </c>
      <c r="C684" s="1" t="str">
        <f>VLOOKUP(B684,'Master truck list'!D:E,2,0)</f>
        <v>5115-20T</v>
      </c>
      <c r="D684" s="1" t="str">
        <f>VLOOKUP(C684,'Master truck list'!E:F,2,0)</f>
        <v>ACTIVE</v>
      </c>
      <c r="E684" s="1" t="str">
        <f>VLOOKUP(C684,'Master truck list'!E:M,9,0)</f>
        <v>BNK TRANSPORT INC</v>
      </c>
      <c r="F684" s="1" t="str">
        <f>VLOOKUP(C684,'Master truck list'!E:G,3,0)</f>
        <v>Company</v>
      </c>
      <c r="G684" s="1">
        <f>VLOOKUP(C684,'Master truck list'!E:R,14,0)</f>
        <v>2605</v>
      </c>
      <c r="H684" t="str">
        <f>"12/20/2019 7:00:30 AM"</f>
        <v>12/20/2019 7:00:30 AM</v>
      </c>
      <c r="I684" t="str">
        <f>""</f>
        <v/>
      </c>
      <c r="J684" t="str">
        <f t="shared" si="260"/>
        <v>Elite</v>
      </c>
      <c r="K684" t="str">
        <f t="shared" si="270"/>
        <v>Device</v>
      </c>
      <c r="L684" t="str">
        <f>"777232100"</f>
        <v>777232100</v>
      </c>
      <c r="M684" t="str">
        <f>"16606057"</f>
        <v>16606057</v>
      </c>
      <c r="N684" t="str">
        <f>"5115-20T"</f>
        <v>5115-20T</v>
      </c>
      <c r="O684" t="str">
        <f t="shared" si="261"/>
        <v>TEXAS</v>
      </c>
      <c r="P684" t="str">
        <f t="shared" si="262"/>
        <v>N A</v>
      </c>
      <c r="Q684" t="str">
        <f t="shared" si="263"/>
        <v>N/A</v>
      </c>
      <c r="R684" t="str">
        <f>"130 ARPTP 04 308"</f>
        <v>130 ARPTP 04 308</v>
      </c>
      <c r="S684" t="str">
        <f>"12/19/2019 2:58:36 PM"</f>
        <v>12/19/2019 2:58:36 PM</v>
      </c>
      <c r="T684" t="str">
        <f t="shared" si="269"/>
        <v>5</v>
      </c>
      <c r="U684" t="str">
        <f t="shared" si="264"/>
        <v>N/A</v>
      </c>
      <c r="V684" t="str">
        <f>"5.5500"</f>
        <v>5.5500</v>
      </c>
    </row>
    <row r="685" spans="1:22" x14ac:dyDescent="0.25">
      <c r="A685" s="1" t="str">
        <f t="shared" si="259"/>
        <v>5115-</v>
      </c>
      <c r="B685" s="1" t="str">
        <f t="shared" si="265"/>
        <v>5115-</v>
      </c>
      <c r="C685" s="1" t="str">
        <f>VLOOKUP(B685,'Master truck list'!D:E,2,0)</f>
        <v>5115-20T</v>
      </c>
      <c r="D685" s="1" t="str">
        <f>VLOOKUP(C685,'Master truck list'!E:F,2,0)</f>
        <v>ACTIVE</v>
      </c>
      <c r="E685" s="1" t="str">
        <f>VLOOKUP(C685,'Master truck list'!E:M,9,0)</f>
        <v>BNK TRANSPORT INC</v>
      </c>
      <c r="F685" s="1" t="str">
        <f>VLOOKUP(C685,'Master truck list'!E:G,3,0)</f>
        <v>Company</v>
      </c>
      <c r="G685" s="1">
        <f>VLOOKUP(C685,'Master truck list'!E:R,14,0)</f>
        <v>2605</v>
      </c>
      <c r="H685" t="str">
        <f>"12/20/2019 7:00:30 AM"</f>
        <v>12/20/2019 7:00:30 AM</v>
      </c>
      <c r="I685" t="str">
        <f>""</f>
        <v/>
      </c>
      <c r="J685" t="str">
        <f t="shared" si="260"/>
        <v>Elite</v>
      </c>
      <c r="K685" t="str">
        <f t="shared" si="270"/>
        <v>Device</v>
      </c>
      <c r="L685" t="str">
        <f>"777232100"</f>
        <v>777232100</v>
      </c>
      <c r="M685" t="str">
        <f>"16606057"</f>
        <v>16606057</v>
      </c>
      <c r="N685" t="str">
        <f>"5115-20T"</f>
        <v>5115-20T</v>
      </c>
      <c r="O685" t="str">
        <f t="shared" si="261"/>
        <v>TEXAS</v>
      </c>
      <c r="P685" t="str">
        <f t="shared" si="262"/>
        <v>N A</v>
      </c>
      <c r="Q685" t="str">
        <f t="shared" si="263"/>
        <v>N/A</v>
      </c>
      <c r="R685" t="str">
        <f>"45SE MLPWB 01 611"</f>
        <v>45SE MLPWB 01 611</v>
      </c>
      <c r="S685" t="str">
        <f>"12/19/2019 3:09:18 PM"</f>
        <v>12/19/2019 3:09:18 PM</v>
      </c>
      <c r="T685" t="str">
        <f t="shared" si="269"/>
        <v>5</v>
      </c>
      <c r="U685" t="str">
        <f t="shared" si="264"/>
        <v>N/A</v>
      </c>
      <c r="V685" t="str">
        <f>"3.3000"</f>
        <v>3.3000</v>
      </c>
    </row>
    <row r="686" spans="1:22" x14ac:dyDescent="0.25">
      <c r="A686" s="1" t="str">
        <f t="shared" si="259"/>
        <v>5115-</v>
      </c>
      <c r="B686" s="1" t="str">
        <f t="shared" si="265"/>
        <v>5115-</v>
      </c>
      <c r="C686" s="1" t="str">
        <f>VLOOKUP(B686,'Master truck list'!D:E,2,0)</f>
        <v>5115-20T</v>
      </c>
      <c r="D686" s="1" t="str">
        <f>VLOOKUP(C686,'Master truck list'!E:F,2,0)</f>
        <v>ACTIVE</v>
      </c>
      <c r="E686" s="1" t="str">
        <f>VLOOKUP(C686,'Master truck list'!E:M,9,0)</f>
        <v>BNK TRANSPORT INC</v>
      </c>
      <c r="F686" s="1" t="str">
        <f>VLOOKUP(C686,'Master truck list'!E:G,3,0)</f>
        <v>Company</v>
      </c>
      <c r="G686" s="1">
        <f>VLOOKUP(C686,'Master truck list'!E:R,14,0)</f>
        <v>2605</v>
      </c>
      <c r="H686" t="str">
        <f>"12/20/2019 7:00:30 AM"</f>
        <v>12/20/2019 7:00:30 AM</v>
      </c>
      <c r="I686" t="str">
        <f>""</f>
        <v/>
      </c>
      <c r="J686" t="str">
        <f t="shared" si="260"/>
        <v>Elite</v>
      </c>
      <c r="K686" t="str">
        <f t="shared" si="270"/>
        <v>Device</v>
      </c>
      <c r="L686" t="str">
        <f>"777232100"</f>
        <v>777232100</v>
      </c>
      <c r="M686" t="str">
        <f>"16606057"</f>
        <v>16606057</v>
      </c>
      <c r="N686" t="str">
        <f>"5115-20T"</f>
        <v>5115-20T</v>
      </c>
      <c r="O686" t="str">
        <f t="shared" si="261"/>
        <v>TEXAS</v>
      </c>
      <c r="P686" t="str">
        <f t="shared" si="262"/>
        <v>N A</v>
      </c>
      <c r="Q686" t="str">
        <f t="shared" si="263"/>
        <v>N/A</v>
      </c>
      <c r="R686" t="str">
        <f>"130 CMRNP 08 306"</f>
        <v>130 CMRNP 08 306</v>
      </c>
      <c r="S686" t="str">
        <f>"12/19/2019 2:41:15 PM"</f>
        <v>12/19/2019 2:41:15 PM</v>
      </c>
      <c r="T686" t="str">
        <f t="shared" si="269"/>
        <v>5</v>
      </c>
      <c r="U686" t="str">
        <f t="shared" si="264"/>
        <v>N/A</v>
      </c>
      <c r="V686" t="str">
        <f t="shared" ref="V686:V694" si="281">"5.5500"</f>
        <v>5.5500</v>
      </c>
    </row>
    <row r="687" spans="1:22" x14ac:dyDescent="0.25">
      <c r="A687" s="1" t="str">
        <f t="shared" si="259"/>
        <v>5115-</v>
      </c>
      <c r="B687" s="1" t="str">
        <f t="shared" si="265"/>
        <v>5115-</v>
      </c>
      <c r="C687" s="1" t="str">
        <f>VLOOKUP(B687,'Master truck list'!D:E,2,0)</f>
        <v>5115-20T</v>
      </c>
      <c r="D687" s="1" t="str">
        <f>VLOOKUP(C687,'Master truck list'!E:F,2,0)</f>
        <v>ACTIVE</v>
      </c>
      <c r="E687" s="1" t="str">
        <f>VLOOKUP(C687,'Master truck list'!E:M,9,0)</f>
        <v>BNK TRANSPORT INC</v>
      </c>
      <c r="F687" s="1" t="str">
        <f>VLOOKUP(C687,'Master truck list'!E:G,3,0)</f>
        <v>Company</v>
      </c>
      <c r="G687" s="1">
        <f>VLOOKUP(C687,'Master truck list'!E:R,14,0)</f>
        <v>2605</v>
      </c>
      <c r="H687" t="str">
        <f>"12/20/2019 7:00:30 AM"</f>
        <v>12/20/2019 7:00:30 AM</v>
      </c>
      <c r="I687" t="str">
        <f>""</f>
        <v/>
      </c>
      <c r="J687" t="str">
        <f t="shared" si="260"/>
        <v>Elite</v>
      </c>
      <c r="K687" t="str">
        <f t="shared" si="270"/>
        <v>Device</v>
      </c>
      <c r="L687" t="str">
        <f>"777232100"</f>
        <v>777232100</v>
      </c>
      <c r="M687" t="str">
        <f>"16606057"</f>
        <v>16606057</v>
      </c>
      <c r="N687" t="str">
        <f>"5115-20T"</f>
        <v>5115-20T</v>
      </c>
      <c r="O687" t="str">
        <f t="shared" si="261"/>
        <v>TEXAS</v>
      </c>
      <c r="P687" t="str">
        <f t="shared" si="262"/>
        <v>N A</v>
      </c>
      <c r="Q687" t="str">
        <f t="shared" si="263"/>
        <v>N/A</v>
      </c>
      <c r="R687" t="str">
        <f>"130 DKCRP 07 307"</f>
        <v>130 DKCRP 07 307</v>
      </c>
      <c r="S687" t="str">
        <f>"12/19/2019 2:51:37 PM"</f>
        <v>12/19/2019 2:51:37 PM</v>
      </c>
      <c r="T687" t="str">
        <f t="shared" si="269"/>
        <v>5</v>
      </c>
      <c r="U687" t="str">
        <f t="shared" si="264"/>
        <v>N/A</v>
      </c>
      <c r="V687" t="str">
        <f t="shared" si="281"/>
        <v>5.5500</v>
      </c>
    </row>
    <row r="688" spans="1:22" x14ac:dyDescent="0.25">
      <c r="A688" s="1" t="str">
        <f t="shared" si="259"/>
        <v>5115-</v>
      </c>
      <c r="B688" s="1" t="str">
        <f t="shared" si="265"/>
        <v>5115-</v>
      </c>
      <c r="C688" s="1" t="str">
        <f>VLOOKUP(B688,'Master truck list'!D:E,2,0)</f>
        <v>5115-20T</v>
      </c>
      <c r="D688" s="1" t="str">
        <f>VLOOKUP(C688,'Master truck list'!E:F,2,0)</f>
        <v>ACTIVE</v>
      </c>
      <c r="E688" s="1" t="str">
        <f>VLOOKUP(C688,'Master truck list'!E:M,9,0)</f>
        <v>BNK TRANSPORT INC</v>
      </c>
      <c r="F688" s="1" t="str">
        <f>VLOOKUP(C688,'Master truck list'!E:G,3,0)</f>
        <v>Company</v>
      </c>
      <c r="G688" s="1">
        <f>VLOOKUP(C688,'Master truck list'!E:R,14,0)</f>
        <v>2605</v>
      </c>
      <c r="H688" t="str">
        <f>"12/20/2019 7:00:30 AM"</f>
        <v>12/20/2019 7:00:30 AM</v>
      </c>
      <c r="I688" t="str">
        <f>""</f>
        <v/>
      </c>
      <c r="J688" t="str">
        <f t="shared" si="260"/>
        <v>Elite</v>
      </c>
      <c r="K688" t="str">
        <f t="shared" si="270"/>
        <v>Device</v>
      </c>
      <c r="L688" t="str">
        <f>"777232100"</f>
        <v>777232100</v>
      </c>
      <c r="M688" t="str">
        <f>"16606057"</f>
        <v>16606057</v>
      </c>
      <c r="N688" t="str">
        <f>"5115-20T"</f>
        <v>5115-20T</v>
      </c>
      <c r="O688" t="str">
        <f t="shared" si="261"/>
        <v>TEXAS</v>
      </c>
      <c r="P688" t="str">
        <f t="shared" si="262"/>
        <v>N A</v>
      </c>
      <c r="Q688" t="str">
        <f t="shared" si="263"/>
        <v>N/A</v>
      </c>
      <c r="R688" t="str">
        <f>"130 MGCRP 06 305"</f>
        <v>130 MGCRP 06 305</v>
      </c>
      <c r="S688" t="str">
        <f>"12/19/2019 2:30:03 PM"</f>
        <v>12/19/2019 2:30:03 PM</v>
      </c>
      <c r="T688" t="str">
        <f t="shared" si="269"/>
        <v>5</v>
      </c>
      <c r="U688" t="str">
        <f t="shared" si="264"/>
        <v>N/A</v>
      </c>
      <c r="V688" t="str">
        <f t="shared" si="281"/>
        <v>5.5500</v>
      </c>
    </row>
    <row r="689" spans="1:22" x14ac:dyDescent="0.25">
      <c r="A689" s="1" t="str">
        <f t="shared" si="259"/>
        <v>5118-</v>
      </c>
      <c r="B689" s="1" t="str">
        <f t="shared" si="265"/>
        <v>5118-</v>
      </c>
      <c r="C689" s="1" t="str">
        <f>VLOOKUP(B689,'Master truck list'!D:E,2,0)</f>
        <v>5118-20T</v>
      </c>
      <c r="D689" s="1" t="str">
        <f>VLOOKUP(C689,'Master truck list'!E:F,2,0)</f>
        <v>ACTIVE</v>
      </c>
      <c r="E689" s="1" t="str">
        <f>VLOOKUP(C689,'Master truck list'!E:M,9,0)</f>
        <v>BNK TRANSPORT INC</v>
      </c>
      <c r="F689" s="1" t="str">
        <f>VLOOKUP(C689,'Master truck list'!E:G,3,0)</f>
        <v>Company</v>
      </c>
      <c r="G689" s="1">
        <f>VLOOKUP(C689,'Master truck list'!E:R,14,0)</f>
        <v>2607</v>
      </c>
      <c r="H689" t="str">
        <f>"12/21/2019 7:00:28 AM"</f>
        <v>12/21/2019 7:00:28 AM</v>
      </c>
      <c r="I689" t="str">
        <f>""</f>
        <v/>
      </c>
      <c r="J689" t="str">
        <f t="shared" si="260"/>
        <v>Elite</v>
      </c>
      <c r="K689" t="str">
        <f t="shared" si="270"/>
        <v>Device</v>
      </c>
      <c r="L689" t="str">
        <f>"777232103"</f>
        <v>777232103</v>
      </c>
      <c r="M689" t="str">
        <f>"16606060"</f>
        <v>16606060</v>
      </c>
      <c r="N689" t="str">
        <f>"5118-20T"</f>
        <v>5118-20T</v>
      </c>
      <c r="O689" t="str">
        <f t="shared" si="261"/>
        <v>TEXAS</v>
      </c>
      <c r="P689" t="str">
        <f t="shared" si="262"/>
        <v>N A</v>
      </c>
      <c r="Q689" t="str">
        <f t="shared" si="263"/>
        <v>N/A</v>
      </c>
      <c r="R689" t="str">
        <f>"130 ARPTP 04 308"</f>
        <v>130 ARPTP 04 308</v>
      </c>
      <c r="S689" t="str">
        <f>"12/20/2019 5:51:20 PM"</f>
        <v>12/20/2019 5:51:20 PM</v>
      </c>
      <c r="T689" t="str">
        <f t="shared" si="269"/>
        <v>5</v>
      </c>
      <c r="U689" t="str">
        <f t="shared" si="264"/>
        <v>N/A</v>
      </c>
      <c r="V689" t="str">
        <f t="shared" si="281"/>
        <v>5.5500</v>
      </c>
    </row>
    <row r="690" spans="1:22" x14ac:dyDescent="0.25">
      <c r="A690" s="1" t="str">
        <f t="shared" si="259"/>
        <v>5118-</v>
      </c>
      <c r="B690" s="1" t="str">
        <f t="shared" si="265"/>
        <v>5118-</v>
      </c>
      <c r="C690" s="1" t="str">
        <f>VLOOKUP(B690,'Master truck list'!D:E,2,0)</f>
        <v>5118-20T</v>
      </c>
      <c r="D690" s="1" t="str">
        <f>VLOOKUP(C690,'Master truck list'!E:F,2,0)</f>
        <v>ACTIVE</v>
      </c>
      <c r="E690" s="1" t="str">
        <f>VLOOKUP(C690,'Master truck list'!E:M,9,0)</f>
        <v>BNK TRANSPORT INC</v>
      </c>
      <c r="F690" s="1" t="str">
        <f>VLOOKUP(C690,'Master truck list'!E:G,3,0)</f>
        <v>Company</v>
      </c>
      <c r="G690" s="1">
        <f>VLOOKUP(C690,'Master truck list'!E:R,14,0)</f>
        <v>2607</v>
      </c>
      <c r="H690" t="str">
        <f>"12/21/2019 7:00:28 AM"</f>
        <v>12/21/2019 7:00:28 AM</v>
      </c>
      <c r="I690" t="str">
        <f>""</f>
        <v/>
      </c>
      <c r="J690" t="str">
        <f t="shared" si="260"/>
        <v>Elite</v>
      </c>
      <c r="K690" t="str">
        <f t="shared" si="270"/>
        <v>Device</v>
      </c>
      <c r="L690" t="str">
        <f>"777232103"</f>
        <v>777232103</v>
      </c>
      <c r="M690" t="str">
        <f>"16606060"</f>
        <v>16606060</v>
      </c>
      <c r="N690" t="str">
        <f>"5118-20T"</f>
        <v>5118-20T</v>
      </c>
      <c r="O690" t="str">
        <f t="shared" si="261"/>
        <v>TEXAS</v>
      </c>
      <c r="P690" t="str">
        <f t="shared" si="262"/>
        <v>N A</v>
      </c>
      <c r="Q690" t="str">
        <f t="shared" si="263"/>
        <v>N/A</v>
      </c>
      <c r="R690" t="str">
        <f>"130 DKCRP 07 307"</f>
        <v>130 DKCRP 07 307</v>
      </c>
      <c r="S690" t="str">
        <f>"12/20/2019 5:41:39 PM"</f>
        <v>12/20/2019 5:41:39 PM</v>
      </c>
      <c r="T690" t="str">
        <f t="shared" si="269"/>
        <v>5</v>
      </c>
      <c r="U690" t="str">
        <f t="shared" si="264"/>
        <v>N/A</v>
      </c>
      <c r="V690" t="str">
        <f t="shared" si="281"/>
        <v>5.5500</v>
      </c>
    </row>
    <row r="691" spans="1:22" x14ac:dyDescent="0.25">
      <c r="A691" s="1" t="str">
        <f t="shared" si="259"/>
        <v>5118-</v>
      </c>
      <c r="B691" s="1" t="str">
        <f t="shared" si="265"/>
        <v>5118-</v>
      </c>
      <c r="C691" s="1" t="str">
        <f>VLOOKUP(B691,'Master truck list'!D:E,2,0)</f>
        <v>5118-20T</v>
      </c>
      <c r="D691" s="1" t="str">
        <f>VLOOKUP(C691,'Master truck list'!E:F,2,0)</f>
        <v>ACTIVE</v>
      </c>
      <c r="E691" s="1" t="str">
        <f>VLOOKUP(C691,'Master truck list'!E:M,9,0)</f>
        <v>BNK TRANSPORT INC</v>
      </c>
      <c r="F691" s="1" t="str">
        <f>VLOOKUP(C691,'Master truck list'!E:G,3,0)</f>
        <v>Company</v>
      </c>
      <c r="G691" s="1">
        <f>VLOOKUP(C691,'Master truck list'!E:R,14,0)</f>
        <v>2607</v>
      </c>
      <c r="H691" t="str">
        <f>"12/21/2019 7:00:28 AM"</f>
        <v>12/21/2019 7:00:28 AM</v>
      </c>
      <c r="I691" t="str">
        <f>""</f>
        <v/>
      </c>
      <c r="J691" t="str">
        <f t="shared" si="260"/>
        <v>Elite</v>
      </c>
      <c r="K691" t="str">
        <f t="shared" si="270"/>
        <v>Device</v>
      </c>
      <c r="L691" t="str">
        <f>"777232103"</f>
        <v>777232103</v>
      </c>
      <c r="M691" t="str">
        <f>"16606060"</f>
        <v>16606060</v>
      </c>
      <c r="N691" t="str">
        <f>"5118-20T"</f>
        <v>5118-20T</v>
      </c>
      <c r="O691" t="str">
        <f t="shared" si="261"/>
        <v>TEXAS</v>
      </c>
      <c r="P691" t="str">
        <f t="shared" si="262"/>
        <v>N A</v>
      </c>
      <c r="Q691" t="str">
        <f t="shared" si="263"/>
        <v>N/A</v>
      </c>
      <c r="R691" t="str">
        <f>"130 MGCRP 06 305"</f>
        <v>130 MGCRP 06 305</v>
      </c>
      <c r="S691" t="str">
        <f>"12/20/2019 5:18:50 PM"</f>
        <v>12/20/2019 5:18:50 PM</v>
      </c>
      <c r="T691" t="str">
        <f t="shared" si="269"/>
        <v>5</v>
      </c>
      <c r="U691" t="str">
        <f t="shared" si="264"/>
        <v>N/A</v>
      </c>
      <c r="V691" t="str">
        <f t="shared" si="281"/>
        <v>5.5500</v>
      </c>
    </row>
    <row r="692" spans="1:22" x14ac:dyDescent="0.25">
      <c r="A692" s="1" t="str">
        <f t="shared" si="259"/>
        <v>5118-</v>
      </c>
      <c r="B692" s="1" t="str">
        <f t="shared" si="265"/>
        <v>5118-</v>
      </c>
      <c r="C692" s="1" t="str">
        <f>VLOOKUP(B692,'Master truck list'!D:E,2,0)</f>
        <v>5118-20T</v>
      </c>
      <c r="D692" s="1" t="str">
        <f>VLOOKUP(C692,'Master truck list'!E:F,2,0)</f>
        <v>ACTIVE</v>
      </c>
      <c r="E692" s="1" t="str">
        <f>VLOOKUP(C692,'Master truck list'!E:M,9,0)</f>
        <v>BNK TRANSPORT INC</v>
      </c>
      <c r="F692" s="1" t="str">
        <f>VLOOKUP(C692,'Master truck list'!E:G,3,0)</f>
        <v>Company</v>
      </c>
      <c r="G692" s="1">
        <f>VLOOKUP(C692,'Master truck list'!E:R,14,0)</f>
        <v>2607</v>
      </c>
      <c r="H692" t="str">
        <f>"12/21/2019 7:00:28 AM"</f>
        <v>12/21/2019 7:00:28 AM</v>
      </c>
      <c r="I692" t="str">
        <f>""</f>
        <v/>
      </c>
      <c r="J692" t="str">
        <f t="shared" si="260"/>
        <v>Elite</v>
      </c>
      <c r="K692" t="str">
        <f t="shared" si="270"/>
        <v>Device</v>
      </c>
      <c r="L692" t="str">
        <f>"777232103"</f>
        <v>777232103</v>
      </c>
      <c r="M692" t="str">
        <f>"16606060"</f>
        <v>16606060</v>
      </c>
      <c r="N692" t="str">
        <f>"5118-20T"</f>
        <v>5118-20T</v>
      </c>
      <c r="O692" t="str">
        <f t="shared" si="261"/>
        <v>TEXAS</v>
      </c>
      <c r="P692" t="str">
        <f t="shared" si="262"/>
        <v>N A</v>
      </c>
      <c r="Q692" t="str">
        <f t="shared" si="263"/>
        <v>N/A</v>
      </c>
      <c r="R692" t="str">
        <f>"130 CMRNP 08 306"</f>
        <v>130 CMRNP 08 306</v>
      </c>
      <c r="S692" t="str">
        <f>"12/20/2019 5:29:53 PM"</f>
        <v>12/20/2019 5:29:53 PM</v>
      </c>
      <c r="T692" t="str">
        <f t="shared" si="269"/>
        <v>5</v>
      </c>
      <c r="U692" t="str">
        <f t="shared" si="264"/>
        <v>N/A</v>
      </c>
      <c r="V692" t="str">
        <f t="shared" si="281"/>
        <v>5.5500</v>
      </c>
    </row>
    <row r="693" spans="1:22" x14ac:dyDescent="0.25">
      <c r="A693" s="1" t="str">
        <f t="shared" si="259"/>
        <v>5015-</v>
      </c>
      <c r="B693" s="1" t="str">
        <f t="shared" si="265"/>
        <v>5015-</v>
      </c>
      <c r="C693" s="1" t="str">
        <f>VLOOKUP(B693,'Master truck list'!D:E,2,0)</f>
        <v>5015-16TL</v>
      </c>
      <c r="D693" s="1" t="str">
        <f>VLOOKUP(C693,'Master truck list'!E:F,2,0)</f>
        <v>ACTIVE</v>
      </c>
      <c r="E693" s="1" t="str">
        <f>VLOOKUP(C693,'Master truck list'!E:M,9,0)</f>
        <v>BNK TRANSPORT INC</v>
      </c>
      <c r="F693" s="1" t="str">
        <f>VLOOKUP(C693,'Master truck list'!E:G,3,0)</f>
        <v>Owner Operator</v>
      </c>
      <c r="G693" s="1">
        <f>VLOOKUP(C693,'Master truck list'!E:R,14,0)</f>
        <v>1854</v>
      </c>
      <c r="H693" t="str">
        <f>"12/19/2019 7:00:35 AM"</f>
        <v>12/19/2019 7:00:35 AM</v>
      </c>
      <c r="I693" t="str">
        <f>""</f>
        <v/>
      </c>
      <c r="J693" t="str">
        <f t="shared" si="260"/>
        <v>Elite</v>
      </c>
      <c r="K693" t="str">
        <f t="shared" si="270"/>
        <v>Device</v>
      </c>
      <c r="L693" t="str">
        <f t="shared" ref="L693:L702" si="282">"777227233"</f>
        <v>777227233</v>
      </c>
      <c r="M693" t="str">
        <f t="shared" ref="M693:M702" si="283">"16601190"</f>
        <v>16601190</v>
      </c>
      <c r="N693" t="str">
        <f t="shared" ref="N693:N702" si="284">"5015-16T"</f>
        <v>5015-16T</v>
      </c>
      <c r="O693" t="str">
        <f t="shared" si="261"/>
        <v>TEXAS</v>
      </c>
      <c r="P693" t="str">
        <f t="shared" si="262"/>
        <v>N A</v>
      </c>
      <c r="Q693" t="str">
        <f t="shared" si="263"/>
        <v>N/A</v>
      </c>
      <c r="R693" t="str">
        <f>"130 DKCRP 11 307"</f>
        <v>130 DKCRP 11 307</v>
      </c>
      <c r="S693" t="str">
        <f>"12/18/2019 7:50:32 AM"</f>
        <v>12/18/2019 7:50:32 AM</v>
      </c>
      <c r="T693" t="str">
        <f t="shared" si="269"/>
        <v>5</v>
      </c>
      <c r="U693" t="str">
        <f t="shared" si="264"/>
        <v>N/A</v>
      </c>
      <c r="V693" t="str">
        <f t="shared" si="281"/>
        <v>5.5500</v>
      </c>
    </row>
    <row r="694" spans="1:22" x14ac:dyDescent="0.25">
      <c r="A694" s="1" t="str">
        <f t="shared" si="259"/>
        <v>5015-</v>
      </c>
      <c r="B694" s="1" t="str">
        <f t="shared" si="265"/>
        <v>5015-</v>
      </c>
      <c r="C694" s="1" t="str">
        <f>VLOOKUP(B694,'Master truck list'!D:E,2,0)</f>
        <v>5015-16TL</v>
      </c>
      <c r="D694" s="1" t="str">
        <f>VLOOKUP(C694,'Master truck list'!E:F,2,0)</f>
        <v>ACTIVE</v>
      </c>
      <c r="E694" s="1" t="str">
        <f>VLOOKUP(C694,'Master truck list'!E:M,9,0)</f>
        <v>BNK TRANSPORT INC</v>
      </c>
      <c r="F694" s="1" t="str">
        <f>VLOOKUP(C694,'Master truck list'!E:G,3,0)</f>
        <v>Owner Operator</v>
      </c>
      <c r="G694" s="1">
        <f>VLOOKUP(C694,'Master truck list'!E:R,14,0)</f>
        <v>1854</v>
      </c>
      <c r="H694" t="str">
        <f>"12/19/2019 7:00:35 AM"</f>
        <v>12/19/2019 7:00:35 AM</v>
      </c>
      <c r="I694" t="str">
        <f>""</f>
        <v/>
      </c>
      <c r="J694" t="str">
        <f t="shared" si="260"/>
        <v>Elite</v>
      </c>
      <c r="K694" t="str">
        <f t="shared" si="270"/>
        <v>Device</v>
      </c>
      <c r="L694" t="str">
        <f t="shared" si="282"/>
        <v>777227233</v>
      </c>
      <c r="M694" t="str">
        <f t="shared" si="283"/>
        <v>16601190</v>
      </c>
      <c r="N694" t="str">
        <f t="shared" si="284"/>
        <v>5015-16T</v>
      </c>
      <c r="O694" t="str">
        <f t="shared" si="261"/>
        <v>TEXAS</v>
      </c>
      <c r="P694" t="str">
        <f t="shared" si="262"/>
        <v>N A</v>
      </c>
      <c r="Q694" t="str">
        <f t="shared" si="263"/>
        <v>N/A</v>
      </c>
      <c r="R694" t="str">
        <f>"130 MGCRP 11 305"</f>
        <v>130 MGCRP 11 305</v>
      </c>
      <c r="S694" t="str">
        <f>"12/18/2019 8:11:35 AM"</f>
        <v>12/18/2019 8:11:35 AM</v>
      </c>
      <c r="T694" t="str">
        <f t="shared" si="269"/>
        <v>5</v>
      </c>
      <c r="U694" t="str">
        <f t="shared" si="264"/>
        <v>N/A</v>
      </c>
      <c r="V694" t="str">
        <f t="shared" si="281"/>
        <v>5.5500</v>
      </c>
    </row>
    <row r="695" spans="1:22" x14ac:dyDescent="0.25">
      <c r="A695" s="1" t="str">
        <f t="shared" si="259"/>
        <v>5015-</v>
      </c>
      <c r="B695" s="1" t="str">
        <f t="shared" si="265"/>
        <v>5015-</v>
      </c>
      <c r="C695" s="1" t="str">
        <f>VLOOKUP(B695,'Master truck list'!D:E,2,0)</f>
        <v>5015-16TL</v>
      </c>
      <c r="D695" s="1" t="str">
        <f>VLOOKUP(C695,'Master truck list'!E:F,2,0)</f>
        <v>ACTIVE</v>
      </c>
      <c r="E695" s="1" t="str">
        <f>VLOOKUP(C695,'Master truck list'!E:M,9,0)</f>
        <v>BNK TRANSPORT INC</v>
      </c>
      <c r="F695" s="1" t="str">
        <f>VLOOKUP(C695,'Master truck list'!E:G,3,0)</f>
        <v>Owner Operator</v>
      </c>
      <c r="G695" s="1">
        <f>VLOOKUP(C695,'Master truck list'!E:R,14,0)</f>
        <v>1854</v>
      </c>
      <c r="H695" t="str">
        <f>"12/19/2019 7:00:35 AM"</f>
        <v>12/19/2019 7:00:35 AM</v>
      </c>
      <c r="I695" t="str">
        <f>""</f>
        <v/>
      </c>
      <c r="J695" t="str">
        <f t="shared" si="260"/>
        <v>Elite</v>
      </c>
      <c r="K695" t="str">
        <f t="shared" si="270"/>
        <v>Device</v>
      </c>
      <c r="L695" t="str">
        <f t="shared" si="282"/>
        <v>777227233</v>
      </c>
      <c r="M695" t="str">
        <f t="shared" si="283"/>
        <v>16601190</v>
      </c>
      <c r="N695" t="str">
        <f t="shared" si="284"/>
        <v>5015-16T</v>
      </c>
      <c r="O695" t="str">
        <f t="shared" si="261"/>
        <v>TEXAS</v>
      </c>
      <c r="P695" t="str">
        <f t="shared" si="262"/>
        <v>N A</v>
      </c>
      <c r="Q695" t="str">
        <f t="shared" si="263"/>
        <v>N/A</v>
      </c>
      <c r="R695" t="str">
        <f>"45SE MLPEB 02 611"</f>
        <v>45SE MLPEB 02 611</v>
      </c>
      <c r="S695" t="str">
        <f>"12/18/2019 7:31:41 AM"</f>
        <v>12/18/2019 7:31:41 AM</v>
      </c>
      <c r="T695" t="str">
        <f t="shared" si="269"/>
        <v>5</v>
      </c>
      <c r="U695" t="str">
        <f t="shared" si="264"/>
        <v>N/A</v>
      </c>
      <c r="V695" t="str">
        <f>"3.3000"</f>
        <v>3.3000</v>
      </c>
    </row>
    <row r="696" spans="1:22" x14ac:dyDescent="0.25">
      <c r="A696" s="1" t="str">
        <f t="shared" si="259"/>
        <v>5015-</v>
      </c>
      <c r="B696" s="1" t="str">
        <f t="shared" si="265"/>
        <v>5015-</v>
      </c>
      <c r="C696" s="1" t="str">
        <f>VLOOKUP(B696,'Master truck list'!D:E,2,0)</f>
        <v>5015-16TL</v>
      </c>
      <c r="D696" s="1" t="str">
        <f>VLOOKUP(C696,'Master truck list'!E:F,2,0)</f>
        <v>ACTIVE</v>
      </c>
      <c r="E696" s="1" t="str">
        <f>VLOOKUP(C696,'Master truck list'!E:M,9,0)</f>
        <v>BNK TRANSPORT INC</v>
      </c>
      <c r="F696" s="1" t="str">
        <f>VLOOKUP(C696,'Master truck list'!E:G,3,0)</f>
        <v>Owner Operator</v>
      </c>
      <c r="G696" s="1">
        <f>VLOOKUP(C696,'Master truck list'!E:R,14,0)</f>
        <v>1854</v>
      </c>
      <c r="H696" t="str">
        <f>"12/18/2019 7:00:28 AM"</f>
        <v>12/18/2019 7:00:28 AM</v>
      </c>
      <c r="I696" t="str">
        <f>""</f>
        <v/>
      </c>
      <c r="J696" t="str">
        <f t="shared" si="260"/>
        <v>Elite</v>
      </c>
      <c r="K696" t="str">
        <f t="shared" si="270"/>
        <v>Device</v>
      </c>
      <c r="L696" t="str">
        <f t="shared" si="282"/>
        <v>777227233</v>
      </c>
      <c r="M696" t="str">
        <f t="shared" si="283"/>
        <v>16601190</v>
      </c>
      <c r="N696" t="str">
        <f t="shared" si="284"/>
        <v>5015-16T</v>
      </c>
      <c r="O696" t="str">
        <f t="shared" si="261"/>
        <v>TEXAS</v>
      </c>
      <c r="P696" t="str">
        <f t="shared" si="262"/>
        <v>N A</v>
      </c>
      <c r="Q696" t="str">
        <f t="shared" si="263"/>
        <v>N/A</v>
      </c>
      <c r="R696" t="str">
        <f>"130 ARPTP 04 308"</f>
        <v>130 ARPTP 04 308</v>
      </c>
      <c r="S696" t="str">
        <f>"12/17/2019 9:41:16 AM"</f>
        <v>12/17/2019 9:41:16 AM</v>
      </c>
      <c r="T696" t="str">
        <f t="shared" si="269"/>
        <v>5</v>
      </c>
      <c r="U696" t="str">
        <f t="shared" si="264"/>
        <v>N/A</v>
      </c>
      <c r="V696" t="str">
        <f>"5.5500"</f>
        <v>5.5500</v>
      </c>
    </row>
    <row r="697" spans="1:22" x14ac:dyDescent="0.25">
      <c r="A697" s="1" t="str">
        <f t="shared" si="259"/>
        <v>5015-</v>
      </c>
      <c r="B697" s="1" t="str">
        <f t="shared" si="265"/>
        <v>5015-</v>
      </c>
      <c r="C697" s="1" t="str">
        <f>VLOOKUP(B697,'Master truck list'!D:E,2,0)</f>
        <v>5015-16TL</v>
      </c>
      <c r="D697" s="1" t="str">
        <f>VLOOKUP(C697,'Master truck list'!E:F,2,0)</f>
        <v>ACTIVE</v>
      </c>
      <c r="E697" s="1" t="str">
        <f>VLOOKUP(C697,'Master truck list'!E:M,9,0)</f>
        <v>BNK TRANSPORT INC</v>
      </c>
      <c r="F697" s="1" t="str">
        <f>VLOOKUP(C697,'Master truck list'!E:G,3,0)</f>
        <v>Owner Operator</v>
      </c>
      <c r="G697" s="1">
        <f>VLOOKUP(C697,'Master truck list'!E:R,14,0)</f>
        <v>1854</v>
      </c>
      <c r="H697" t="str">
        <f>"12/18/2019 7:00:28 AM"</f>
        <v>12/18/2019 7:00:28 AM</v>
      </c>
      <c r="I697" t="str">
        <f>""</f>
        <v/>
      </c>
      <c r="J697" t="str">
        <f t="shared" si="260"/>
        <v>Elite</v>
      </c>
      <c r="K697" t="str">
        <f t="shared" si="270"/>
        <v>Device</v>
      </c>
      <c r="L697" t="str">
        <f t="shared" si="282"/>
        <v>777227233</v>
      </c>
      <c r="M697" t="str">
        <f t="shared" si="283"/>
        <v>16601190</v>
      </c>
      <c r="N697" t="str">
        <f t="shared" si="284"/>
        <v>5015-16T</v>
      </c>
      <c r="O697" t="str">
        <f t="shared" si="261"/>
        <v>TEXAS</v>
      </c>
      <c r="P697" t="str">
        <f t="shared" si="262"/>
        <v>N A</v>
      </c>
      <c r="Q697" t="str">
        <f t="shared" si="263"/>
        <v>N/A</v>
      </c>
      <c r="R697" t="str">
        <f>"130 DKCRP 06 307"</f>
        <v>130 DKCRP 06 307</v>
      </c>
      <c r="S697" t="str">
        <f>"12/17/2019 9:34:18 AM"</f>
        <v>12/17/2019 9:34:18 AM</v>
      </c>
      <c r="T697" t="str">
        <f t="shared" si="269"/>
        <v>5</v>
      </c>
      <c r="U697" t="str">
        <f t="shared" si="264"/>
        <v>N/A</v>
      </c>
      <c r="V697" t="str">
        <f>"5.5500"</f>
        <v>5.5500</v>
      </c>
    </row>
    <row r="698" spans="1:22" x14ac:dyDescent="0.25">
      <c r="A698" s="1" t="str">
        <f t="shared" si="259"/>
        <v>5015-</v>
      </c>
      <c r="B698" s="1" t="str">
        <f t="shared" si="265"/>
        <v>5015-</v>
      </c>
      <c r="C698" s="1" t="str">
        <f>VLOOKUP(B698,'Master truck list'!D:E,2,0)</f>
        <v>5015-16TL</v>
      </c>
      <c r="D698" s="1" t="str">
        <f>VLOOKUP(C698,'Master truck list'!E:F,2,0)</f>
        <v>ACTIVE</v>
      </c>
      <c r="E698" s="1" t="str">
        <f>VLOOKUP(C698,'Master truck list'!E:M,9,0)</f>
        <v>BNK TRANSPORT INC</v>
      </c>
      <c r="F698" s="1" t="str">
        <f>VLOOKUP(C698,'Master truck list'!E:G,3,0)</f>
        <v>Owner Operator</v>
      </c>
      <c r="G698" s="1">
        <f>VLOOKUP(C698,'Master truck list'!E:R,14,0)</f>
        <v>1854</v>
      </c>
      <c r="H698" t="str">
        <f>"12/18/2019 7:00:28 AM"</f>
        <v>12/18/2019 7:00:28 AM</v>
      </c>
      <c r="I698" t="str">
        <f>""</f>
        <v/>
      </c>
      <c r="J698" t="str">
        <f t="shared" si="260"/>
        <v>Elite</v>
      </c>
      <c r="K698" t="str">
        <f t="shared" si="270"/>
        <v>Device</v>
      </c>
      <c r="L698" t="str">
        <f t="shared" si="282"/>
        <v>777227233</v>
      </c>
      <c r="M698" t="str">
        <f t="shared" si="283"/>
        <v>16601190</v>
      </c>
      <c r="N698" t="str">
        <f t="shared" si="284"/>
        <v>5015-16T</v>
      </c>
      <c r="O698" t="str">
        <f t="shared" si="261"/>
        <v>TEXAS</v>
      </c>
      <c r="P698" t="str">
        <f t="shared" si="262"/>
        <v>N A</v>
      </c>
      <c r="Q698" t="str">
        <f t="shared" si="263"/>
        <v>N/A</v>
      </c>
      <c r="R698" t="str">
        <f>"130 MGCRP 06 305"</f>
        <v>130 MGCRP 06 305</v>
      </c>
      <c r="S698" t="str">
        <f>"12/17/2019 9:13:20 AM"</f>
        <v>12/17/2019 9:13:20 AM</v>
      </c>
      <c r="T698" t="str">
        <f t="shared" si="269"/>
        <v>5</v>
      </c>
      <c r="U698" t="str">
        <f t="shared" si="264"/>
        <v>N/A</v>
      </c>
      <c r="V698" t="str">
        <f>"5.5500"</f>
        <v>5.5500</v>
      </c>
    </row>
    <row r="699" spans="1:22" x14ac:dyDescent="0.25">
      <c r="A699" s="1" t="str">
        <f t="shared" si="259"/>
        <v>5015-</v>
      </c>
      <c r="B699" s="1" t="str">
        <f t="shared" si="265"/>
        <v>5015-</v>
      </c>
      <c r="C699" s="1" t="str">
        <f>VLOOKUP(B699,'Master truck list'!D:E,2,0)</f>
        <v>5015-16TL</v>
      </c>
      <c r="D699" s="1" t="str">
        <f>VLOOKUP(C699,'Master truck list'!E:F,2,0)</f>
        <v>ACTIVE</v>
      </c>
      <c r="E699" s="1" t="str">
        <f>VLOOKUP(C699,'Master truck list'!E:M,9,0)</f>
        <v>BNK TRANSPORT INC</v>
      </c>
      <c r="F699" s="1" t="str">
        <f>VLOOKUP(C699,'Master truck list'!E:G,3,0)</f>
        <v>Owner Operator</v>
      </c>
      <c r="G699" s="1">
        <f>VLOOKUP(C699,'Master truck list'!E:R,14,0)</f>
        <v>1854</v>
      </c>
      <c r="H699" t="str">
        <f>"12/18/2019 7:00:28 AM"</f>
        <v>12/18/2019 7:00:28 AM</v>
      </c>
      <c r="I699" t="str">
        <f>""</f>
        <v/>
      </c>
      <c r="J699" t="str">
        <f t="shared" si="260"/>
        <v>Elite</v>
      </c>
      <c r="K699" t="str">
        <f t="shared" si="270"/>
        <v>Device</v>
      </c>
      <c r="L699" t="str">
        <f t="shared" si="282"/>
        <v>777227233</v>
      </c>
      <c r="M699" t="str">
        <f t="shared" si="283"/>
        <v>16601190</v>
      </c>
      <c r="N699" t="str">
        <f t="shared" si="284"/>
        <v>5015-16T</v>
      </c>
      <c r="O699" t="str">
        <f t="shared" si="261"/>
        <v>TEXAS</v>
      </c>
      <c r="P699" t="str">
        <f t="shared" si="262"/>
        <v>N A</v>
      </c>
      <c r="Q699" t="str">
        <f t="shared" si="263"/>
        <v>N/A</v>
      </c>
      <c r="R699" t="str">
        <f>"45SE MLPWB 01 611"</f>
        <v>45SE MLPWB 01 611</v>
      </c>
      <c r="S699" t="str">
        <f>"12/17/2019 9:51:51 AM"</f>
        <v>12/17/2019 9:51:51 AM</v>
      </c>
      <c r="T699" t="str">
        <f t="shared" si="269"/>
        <v>5</v>
      </c>
      <c r="U699" t="str">
        <f t="shared" si="264"/>
        <v>N/A</v>
      </c>
      <c r="V699" t="str">
        <f>"3.3000"</f>
        <v>3.3000</v>
      </c>
    </row>
    <row r="700" spans="1:22" x14ac:dyDescent="0.25">
      <c r="A700" s="1" t="str">
        <f t="shared" si="259"/>
        <v>5015-</v>
      </c>
      <c r="B700" s="1" t="str">
        <f t="shared" si="265"/>
        <v>5015-</v>
      </c>
      <c r="C700" s="1" t="str">
        <f>VLOOKUP(B700,'Master truck list'!D:E,2,0)</f>
        <v>5015-16TL</v>
      </c>
      <c r="D700" s="1" t="str">
        <f>VLOOKUP(C700,'Master truck list'!E:F,2,0)</f>
        <v>ACTIVE</v>
      </c>
      <c r="E700" s="1" t="str">
        <f>VLOOKUP(C700,'Master truck list'!E:M,9,0)</f>
        <v>BNK TRANSPORT INC</v>
      </c>
      <c r="F700" s="1" t="str">
        <f>VLOOKUP(C700,'Master truck list'!E:G,3,0)</f>
        <v>Owner Operator</v>
      </c>
      <c r="G700" s="1">
        <f>VLOOKUP(C700,'Master truck list'!E:R,14,0)</f>
        <v>1854</v>
      </c>
      <c r="H700" t="str">
        <f>"12/18/2019 7:00:28 AM"</f>
        <v>12/18/2019 7:00:28 AM</v>
      </c>
      <c r="I700" t="str">
        <f>""</f>
        <v/>
      </c>
      <c r="J700" t="str">
        <f t="shared" si="260"/>
        <v>Elite</v>
      </c>
      <c r="K700" t="str">
        <f t="shared" si="270"/>
        <v>Device</v>
      </c>
      <c r="L700" t="str">
        <f t="shared" si="282"/>
        <v>777227233</v>
      </c>
      <c r="M700" t="str">
        <f t="shared" si="283"/>
        <v>16601190</v>
      </c>
      <c r="N700" t="str">
        <f t="shared" si="284"/>
        <v>5015-16T</v>
      </c>
      <c r="O700" t="str">
        <f t="shared" si="261"/>
        <v>TEXAS</v>
      </c>
      <c r="P700" t="str">
        <f t="shared" si="262"/>
        <v>N A</v>
      </c>
      <c r="Q700" t="str">
        <f t="shared" si="263"/>
        <v>N/A</v>
      </c>
      <c r="R700" t="str">
        <f>"130 CMRNP 08 306"</f>
        <v>130 CMRNP 08 306</v>
      </c>
      <c r="S700" t="str">
        <f>"12/17/2019 9:24:20 AM"</f>
        <v>12/17/2019 9:24:20 AM</v>
      </c>
      <c r="T700" t="str">
        <f t="shared" si="269"/>
        <v>5</v>
      </c>
      <c r="U700" t="str">
        <f t="shared" si="264"/>
        <v>N/A</v>
      </c>
      <c r="V700" t="str">
        <f t="shared" ref="V700:V706" si="285">"5.5500"</f>
        <v>5.5500</v>
      </c>
    </row>
    <row r="701" spans="1:22" x14ac:dyDescent="0.25">
      <c r="A701" s="1" t="str">
        <f t="shared" si="259"/>
        <v>5015-</v>
      </c>
      <c r="B701" s="1" t="str">
        <f t="shared" si="265"/>
        <v>5015-</v>
      </c>
      <c r="C701" s="1" t="str">
        <f>VLOOKUP(B701,'Master truck list'!D:E,2,0)</f>
        <v>5015-16TL</v>
      </c>
      <c r="D701" s="1" t="str">
        <f>VLOOKUP(C701,'Master truck list'!E:F,2,0)</f>
        <v>ACTIVE</v>
      </c>
      <c r="E701" s="1" t="str">
        <f>VLOOKUP(C701,'Master truck list'!E:M,9,0)</f>
        <v>BNK TRANSPORT INC</v>
      </c>
      <c r="F701" s="1" t="str">
        <f>VLOOKUP(C701,'Master truck list'!E:G,3,0)</f>
        <v>Owner Operator</v>
      </c>
      <c r="G701" s="1">
        <f>VLOOKUP(C701,'Master truck list'!E:R,14,0)</f>
        <v>1854</v>
      </c>
      <c r="H701" t="str">
        <f>"12/19/2019 7:00:35 AM"</f>
        <v>12/19/2019 7:00:35 AM</v>
      </c>
      <c r="I701" t="str">
        <f>""</f>
        <v/>
      </c>
      <c r="J701" t="str">
        <f t="shared" si="260"/>
        <v>Elite</v>
      </c>
      <c r="K701" t="str">
        <f t="shared" si="270"/>
        <v>Device</v>
      </c>
      <c r="L701" t="str">
        <f t="shared" si="282"/>
        <v>777227233</v>
      </c>
      <c r="M701" t="str">
        <f t="shared" si="283"/>
        <v>16601190</v>
      </c>
      <c r="N701" t="str">
        <f t="shared" si="284"/>
        <v>5015-16T</v>
      </c>
      <c r="O701" t="str">
        <f t="shared" si="261"/>
        <v>TEXAS</v>
      </c>
      <c r="P701" t="str">
        <f t="shared" si="262"/>
        <v>N A</v>
      </c>
      <c r="Q701" t="str">
        <f t="shared" si="263"/>
        <v>N/A</v>
      </c>
      <c r="R701" t="str">
        <f>"130 CMRNP 13 306"</f>
        <v>130 CMRNP 13 306</v>
      </c>
      <c r="S701" t="str">
        <f>"12/18/2019 8:00:33 AM"</f>
        <v>12/18/2019 8:00:33 AM</v>
      </c>
      <c r="T701" t="str">
        <f t="shared" si="269"/>
        <v>5</v>
      </c>
      <c r="U701" t="str">
        <f t="shared" si="264"/>
        <v>N/A</v>
      </c>
      <c r="V701" t="str">
        <f t="shared" si="285"/>
        <v>5.5500</v>
      </c>
    </row>
    <row r="702" spans="1:22" x14ac:dyDescent="0.25">
      <c r="A702" s="1" t="str">
        <f t="shared" si="259"/>
        <v>5015-</v>
      </c>
      <c r="B702" s="1" t="str">
        <f t="shared" si="265"/>
        <v>5015-</v>
      </c>
      <c r="C702" s="1" t="str">
        <f>VLOOKUP(B702,'Master truck list'!D:E,2,0)</f>
        <v>5015-16TL</v>
      </c>
      <c r="D702" s="1" t="str">
        <f>VLOOKUP(C702,'Master truck list'!E:F,2,0)</f>
        <v>ACTIVE</v>
      </c>
      <c r="E702" s="1" t="str">
        <f>VLOOKUP(C702,'Master truck list'!E:M,9,0)</f>
        <v>BNK TRANSPORT INC</v>
      </c>
      <c r="F702" s="1" t="str">
        <f>VLOOKUP(C702,'Master truck list'!E:G,3,0)</f>
        <v>Owner Operator</v>
      </c>
      <c r="G702" s="1">
        <f>VLOOKUP(C702,'Master truck list'!E:R,14,0)</f>
        <v>1854</v>
      </c>
      <c r="H702" t="str">
        <f>"12/19/2019 7:00:35 AM"</f>
        <v>12/19/2019 7:00:35 AM</v>
      </c>
      <c r="I702" t="str">
        <f>""</f>
        <v/>
      </c>
      <c r="J702" t="str">
        <f t="shared" si="260"/>
        <v>Elite</v>
      </c>
      <c r="K702" t="str">
        <f t="shared" si="270"/>
        <v>Device</v>
      </c>
      <c r="L702" t="str">
        <f t="shared" si="282"/>
        <v>777227233</v>
      </c>
      <c r="M702" t="str">
        <f t="shared" si="283"/>
        <v>16601190</v>
      </c>
      <c r="N702" t="str">
        <f t="shared" si="284"/>
        <v>5015-16T</v>
      </c>
      <c r="O702" t="str">
        <f t="shared" si="261"/>
        <v>TEXAS</v>
      </c>
      <c r="P702" t="str">
        <f t="shared" si="262"/>
        <v>N A</v>
      </c>
      <c r="Q702" t="str">
        <f t="shared" si="263"/>
        <v>N/A</v>
      </c>
      <c r="R702" t="str">
        <f>"130 ARPTP 09 308"</f>
        <v>130 ARPTP 09 308</v>
      </c>
      <c r="S702" t="str">
        <f>"12/18/2019 7:42:17 AM"</f>
        <v>12/18/2019 7:42:17 AM</v>
      </c>
      <c r="T702" t="str">
        <f t="shared" si="269"/>
        <v>5</v>
      </c>
      <c r="U702" t="str">
        <f t="shared" si="264"/>
        <v>N/A</v>
      </c>
      <c r="V702" t="str">
        <f t="shared" si="285"/>
        <v>5.5500</v>
      </c>
    </row>
    <row r="703" spans="1:22" x14ac:dyDescent="0.25">
      <c r="A703" s="1" t="str">
        <f t="shared" si="259"/>
        <v>5142-</v>
      </c>
      <c r="B703" s="1" t="str">
        <f t="shared" si="265"/>
        <v>5142-</v>
      </c>
      <c r="C703" s="1" t="str">
        <f>VLOOKUP(B703,'Master truck list'!D:E,2,0)</f>
        <v>5142-20T</v>
      </c>
      <c r="D703" s="1" t="str">
        <f>VLOOKUP(C703,'Master truck list'!E:F,2,0)</f>
        <v>OUT OF SERVICE</v>
      </c>
      <c r="E703" s="1" t="str">
        <f>VLOOKUP(C703,'Master truck list'!E:M,9,0)</f>
        <v>BNK TRANSPORT INC</v>
      </c>
      <c r="F703" s="1" t="str">
        <f>VLOOKUP(C703,'Master truck list'!E:G,3,0)</f>
        <v>Company</v>
      </c>
      <c r="G703" s="1">
        <f>VLOOKUP(C703,'Master truck list'!E:R,14,0)</f>
        <v>2630</v>
      </c>
      <c r="H703" t="str">
        <f t="shared" ref="H703:H710" si="286">"12/20/2019 7:00:30 AM"</f>
        <v>12/20/2019 7:00:30 AM</v>
      </c>
      <c r="I703" t="str">
        <f>""</f>
        <v/>
      </c>
      <c r="J703" t="str">
        <f t="shared" si="260"/>
        <v>Elite</v>
      </c>
      <c r="K703" t="str">
        <f t="shared" si="270"/>
        <v>Device</v>
      </c>
      <c r="L703" t="str">
        <f>"777254228"</f>
        <v>777254228</v>
      </c>
      <c r="M703" t="str">
        <f>"16722110"</f>
        <v>16722110</v>
      </c>
      <c r="N703" t="str">
        <f>"5142-20T"</f>
        <v>5142-20T</v>
      </c>
      <c r="O703" t="str">
        <f t="shared" si="261"/>
        <v>TEXAS</v>
      </c>
      <c r="P703" t="str">
        <f t="shared" si="262"/>
        <v>N A</v>
      </c>
      <c r="Q703" t="str">
        <f t="shared" si="263"/>
        <v>N/A</v>
      </c>
      <c r="R703" t="str">
        <f>"130 ARPTP 04 308"</f>
        <v>130 ARPTP 04 308</v>
      </c>
      <c r="S703" t="str">
        <f>"12/19/2019 4:30:46 PM"</f>
        <v>12/19/2019 4:30:46 PM</v>
      </c>
      <c r="T703" t="str">
        <f t="shared" si="269"/>
        <v>5</v>
      </c>
      <c r="U703" t="str">
        <f t="shared" si="264"/>
        <v>N/A</v>
      </c>
      <c r="V703" t="str">
        <f t="shared" si="285"/>
        <v>5.5500</v>
      </c>
    </row>
    <row r="704" spans="1:22" x14ac:dyDescent="0.25">
      <c r="A704" s="1" t="str">
        <f t="shared" si="259"/>
        <v>5142-</v>
      </c>
      <c r="B704" s="1" t="str">
        <f t="shared" si="265"/>
        <v>5142-</v>
      </c>
      <c r="C704" s="1" t="str">
        <f>VLOOKUP(B704,'Master truck list'!D:E,2,0)</f>
        <v>5142-20T</v>
      </c>
      <c r="D704" s="1" t="str">
        <f>VLOOKUP(C704,'Master truck list'!E:F,2,0)</f>
        <v>OUT OF SERVICE</v>
      </c>
      <c r="E704" s="1" t="str">
        <f>VLOOKUP(C704,'Master truck list'!E:M,9,0)</f>
        <v>BNK TRANSPORT INC</v>
      </c>
      <c r="F704" s="1" t="str">
        <f>VLOOKUP(C704,'Master truck list'!E:G,3,0)</f>
        <v>Company</v>
      </c>
      <c r="G704" s="1">
        <f>VLOOKUP(C704,'Master truck list'!E:R,14,0)</f>
        <v>2630</v>
      </c>
      <c r="H704" t="str">
        <f t="shared" si="286"/>
        <v>12/20/2019 7:00:30 AM</v>
      </c>
      <c r="I704" t="str">
        <f>""</f>
        <v/>
      </c>
      <c r="J704" t="str">
        <f t="shared" si="260"/>
        <v>Elite</v>
      </c>
      <c r="K704" t="str">
        <f t="shared" si="270"/>
        <v>Device</v>
      </c>
      <c r="L704" t="str">
        <f>"777254228"</f>
        <v>777254228</v>
      </c>
      <c r="M704" t="str">
        <f>"16722110"</f>
        <v>16722110</v>
      </c>
      <c r="N704" t="str">
        <f>"5142-20T"</f>
        <v>5142-20T</v>
      </c>
      <c r="O704" t="str">
        <f t="shared" si="261"/>
        <v>TEXAS</v>
      </c>
      <c r="P704" t="str">
        <f t="shared" si="262"/>
        <v>N A</v>
      </c>
      <c r="Q704" t="str">
        <f t="shared" si="263"/>
        <v>N/A</v>
      </c>
      <c r="R704" t="str">
        <f>"130 DKCRP 06 307"</f>
        <v>130 DKCRP 06 307</v>
      </c>
      <c r="S704" t="str">
        <f>"12/19/2019 4:23:10 PM"</f>
        <v>12/19/2019 4:23:10 PM</v>
      </c>
      <c r="T704" t="str">
        <f t="shared" si="269"/>
        <v>5</v>
      </c>
      <c r="U704" t="str">
        <f t="shared" si="264"/>
        <v>N/A</v>
      </c>
      <c r="V704" t="str">
        <f t="shared" si="285"/>
        <v>5.5500</v>
      </c>
    </row>
    <row r="705" spans="1:22" x14ac:dyDescent="0.25">
      <c r="A705" s="1" t="str">
        <f t="shared" si="259"/>
        <v>5142-</v>
      </c>
      <c r="B705" s="1" t="str">
        <f t="shared" si="265"/>
        <v>5142-</v>
      </c>
      <c r="C705" s="1" t="str">
        <f>VLOOKUP(B705,'Master truck list'!D:E,2,0)</f>
        <v>5142-20T</v>
      </c>
      <c r="D705" s="1" t="str">
        <f>VLOOKUP(C705,'Master truck list'!E:F,2,0)</f>
        <v>OUT OF SERVICE</v>
      </c>
      <c r="E705" s="1" t="str">
        <f>VLOOKUP(C705,'Master truck list'!E:M,9,0)</f>
        <v>BNK TRANSPORT INC</v>
      </c>
      <c r="F705" s="1" t="str">
        <f>VLOOKUP(C705,'Master truck list'!E:G,3,0)</f>
        <v>Company</v>
      </c>
      <c r="G705" s="1">
        <f>VLOOKUP(C705,'Master truck list'!E:R,14,0)</f>
        <v>2630</v>
      </c>
      <c r="H705" t="str">
        <f t="shared" si="286"/>
        <v>12/20/2019 7:00:30 AM</v>
      </c>
      <c r="I705" t="str">
        <f>""</f>
        <v/>
      </c>
      <c r="J705" t="str">
        <f t="shared" si="260"/>
        <v>Elite</v>
      </c>
      <c r="K705" t="str">
        <f t="shared" si="270"/>
        <v>Device</v>
      </c>
      <c r="L705" t="str">
        <f>"777254228"</f>
        <v>777254228</v>
      </c>
      <c r="M705" t="str">
        <f>"16722110"</f>
        <v>16722110</v>
      </c>
      <c r="N705" t="str">
        <f>"5142-20T"</f>
        <v>5142-20T</v>
      </c>
      <c r="O705" t="str">
        <f t="shared" si="261"/>
        <v>TEXAS</v>
      </c>
      <c r="P705" t="str">
        <f t="shared" si="262"/>
        <v>N A</v>
      </c>
      <c r="Q705" t="str">
        <f t="shared" si="263"/>
        <v>N/A</v>
      </c>
      <c r="R705" t="str">
        <f>"130 MGCRP 06 305"</f>
        <v>130 MGCRP 06 305</v>
      </c>
      <c r="S705" t="str">
        <f>"12/19/2019 4:00:38 PM"</f>
        <v>12/19/2019 4:00:38 PM</v>
      </c>
      <c r="T705" t="str">
        <f t="shared" si="269"/>
        <v>5</v>
      </c>
      <c r="U705" t="str">
        <f t="shared" si="264"/>
        <v>N/A</v>
      </c>
      <c r="V705" t="str">
        <f t="shared" si="285"/>
        <v>5.5500</v>
      </c>
    </row>
    <row r="706" spans="1:22" x14ac:dyDescent="0.25">
      <c r="A706" s="1" t="str">
        <f t="shared" ref="A706:A769" si="287">LEFT(N706,5)</f>
        <v>5142-</v>
      </c>
      <c r="B706" s="1" t="str">
        <f t="shared" si="265"/>
        <v>5142-</v>
      </c>
      <c r="C706" s="1" t="str">
        <f>VLOOKUP(B706,'Master truck list'!D:E,2,0)</f>
        <v>5142-20T</v>
      </c>
      <c r="D706" s="1" t="str">
        <f>VLOOKUP(C706,'Master truck list'!E:F,2,0)</f>
        <v>OUT OF SERVICE</v>
      </c>
      <c r="E706" s="1" t="str">
        <f>VLOOKUP(C706,'Master truck list'!E:M,9,0)</f>
        <v>BNK TRANSPORT INC</v>
      </c>
      <c r="F706" s="1" t="str">
        <f>VLOOKUP(C706,'Master truck list'!E:G,3,0)</f>
        <v>Company</v>
      </c>
      <c r="G706" s="1">
        <f>VLOOKUP(C706,'Master truck list'!E:R,14,0)</f>
        <v>2630</v>
      </c>
      <c r="H706" t="str">
        <f t="shared" si="286"/>
        <v>12/20/2019 7:00:30 AM</v>
      </c>
      <c r="I706" t="str">
        <f>""</f>
        <v/>
      </c>
      <c r="J706" t="str">
        <f t="shared" ref="J706:J769" si="288">"Elite"</f>
        <v>Elite</v>
      </c>
      <c r="K706" t="str">
        <f t="shared" si="270"/>
        <v>Device</v>
      </c>
      <c r="L706" t="str">
        <f>"777254228"</f>
        <v>777254228</v>
      </c>
      <c r="M706" t="str">
        <f>"16722110"</f>
        <v>16722110</v>
      </c>
      <c r="N706" t="str">
        <f>"5142-20T"</f>
        <v>5142-20T</v>
      </c>
      <c r="O706" t="str">
        <f t="shared" ref="O706:O769" si="289">"TEXAS"</f>
        <v>TEXAS</v>
      </c>
      <c r="P706" t="str">
        <f t="shared" ref="P706:P769" si="290">"N A"</f>
        <v>N A</v>
      </c>
      <c r="Q706" t="str">
        <f t="shared" ref="Q706:Q769" si="291">"N/A"</f>
        <v>N/A</v>
      </c>
      <c r="R706" t="str">
        <f>"130 CMRNP 08 306"</f>
        <v>130 CMRNP 08 306</v>
      </c>
      <c r="S706" t="str">
        <f>"12/19/2019 4:11:57 PM"</f>
        <v>12/19/2019 4:11:57 PM</v>
      </c>
      <c r="T706" t="str">
        <f t="shared" si="269"/>
        <v>5</v>
      </c>
      <c r="U706" t="str">
        <f t="shared" ref="U706:U769" si="292">"N/A"</f>
        <v>N/A</v>
      </c>
      <c r="V706" t="str">
        <f t="shared" si="285"/>
        <v>5.5500</v>
      </c>
    </row>
    <row r="707" spans="1:22" x14ac:dyDescent="0.25">
      <c r="A707" s="1" t="str">
        <f t="shared" si="287"/>
        <v>5142-</v>
      </c>
      <c r="B707" s="1" t="str">
        <f t="shared" ref="B707:B770" si="293">SUBSTITUTE(A707," ","")</f>
        <v>5142-</v>
      </c>
      <c r="C707" s="1" t="str">
        <f>VLOOKUP(B707,'Master truck list'!D:E,2,0)</f>
        <v>5142-20T</v>
      </c>
      <c r="D707" s="1" t="str">
        <f>VLOOKUP(C707,'Master truck list'!E:F,2,0)</f>
        <v>OUT OF SERVICE</v>
      </c>
      <c r="E707" s="1" t="str">
        <f>VLOOKUP(C707,'Master truck list'!E:M,9,0)</f>
        <v>BNK TRANSPORT INC</v>
      </c>
      <c r="F707" s="1" t="str">
        <f>VLOOKUP(C707,'Master truck list'!E:G,3,0)</f>
        <v>Company</v>
      </c>
      <c r="G707" s="1">
        <f>VLOOKUP(C707,'Master truck list'!E:R,14,0)</f>
        <v>2630</v>
      </c>
      <c r="H707" t="str">
        <f t="shared" si="286"/>
        <v>12/20/2019 7:00:30 AM</v>
      </c>
      <c r="I707" t="str">
        <f>""</f>
        <v/>
      </c>
      <c r="J707" t="str">
        <f t="shared" si="288"/>
        <v>Elite</v>
      </c>
      <c r="K707" t="str">
        <f t="shared" si="270"/>
        <v>Device</v>
      </c>
      <c r="L707" t="str">
        <f>"777254228"</f>
        <v>777254228</v>
      </c>
      <c r="M707" t="str">
        <f>"16722110"</f>
        <v>16722110</v>
      </c>
      <c r="N707" t="str">
        <f>"5142-20T"</f>
        <v>5142-20T</v>
      </c>
      <c r="O707" t="str">
        <f t="shared" si="289"/>
        <v>TEXAS</v>
      </c>
      <c r="P707" t="str">
        <f t="shared" si="290"/>
        <v>N A</v>
      </c>
      <c r="Q707" t="str">
        <f t="shared" si="291"/>
        <v>N/A</v>
      </c>
      <c r="R707" t="str">
        <f>"45SE MLPWB 01 611"</f>
        <v>45SE MLPWB 01 611</v>
      </c>
      <c r="S707" t="str">
        <f>"12/19/2019 4:59:09 PM"</f>
        <v>12/19/2019 4:59:09 PM</v>
      </c>
      <c r="T707" t="str">
        <f t="shared" si="269"/>
        <v>5</v>
      </c>
      <c r="U707" t="str">
        <f t="shared" si="292"/>
        <v>N/A</v>
      </c>
      <c r="V707" t="str">
        <f>"3.3000"</f>
        <v>3.3000</v>
      </c>
    </row>
    <row r="708" spans="1:22" x14ac:dyDescent="0.25">
      <c r="A708" s="1" t="str">
        <f t="shared" si="287"/>
        <v>5145-</v>
      </c>
      <c r="B708" s="1" t="str">
        <f t="shared" si="293"/>
        <v>5145-</v>
      </c>
      <c r="C708" s="1" t="str">
        <f>VLOOKUP(B708,'Master truck list'!D:E,2,0)</f>
        <v>5145-20T</v>
      </c>
      <c r="D708" s="1" t="str">
        <f>VLOOKUP(C708,'Master truck list'!E:F,2,0)</f>
        <v>OUT OF SERVICE</v>
      </c>
      <c r="E708" s="1" t="str">
        <f>VLOOKUP(C708,'Master truck list'!E:M,9,0)</f>
        <v>BNK TRANSPORT INC</v>
      </c>
      <c r="F708" s="1" t="str">
        <f>VLOOKUP(C708,'Master truck list'!E:G,3,0)</f>
        <v>Company</v>
      </c>
      <c r="G708" s="1">
        <f>VLOOKUP(C708,'Master truck list'!E:R,14,0)</f>
        <v>2632</v>
      </c>
      <c r="H708" t="str">
        <f t="shared" si="286"/>
        <v>12/20/2019 7:00:30 AM</v>
      </c>
      <c r="I708" t="str">
        <f>""</f>
        <v/>
      </c>
      <c r="J708" t="str">
        <f t="shared" si="288"/>
        <v>Elite</v>
      </c>
      <c r="K708" t="str">
        <f t="shared" si="270"/>
        <v>Device</v>
      </c>
      <c r="L708" t="str">
        <f t="shared" ref="L708:L714" si="294">"777254219"</f>
        <v>777254219</v>
      </c>
      <c r="M708" t="str">
        <f t="shared" ref="M708:M714" si="295">"16722101"</f>
        <v>16722101</v>
      </c>
      <c r="N708" t="str">
        <f t="shared" ref="N708:N714" si="296">"5145-20T"</f>
        <v>5145-20T</v>
      </c>
      <c r="O708" t="str">
        <f t="shared" si="289"/>
        <v>TEXAS</v>
      </c>
      <c r="P708" t="str">
        <f t="shared" si="290"/>
        <v>N A</v>
      </c>
      <c r="Q708" t="str">
        <f t="shared" si="291"/>
        <v>N/A</v>
      </c>
      <c r="R708" t="str">
        <f>"130 MGCRP 11 305"</f>
        <v>130 MGCRP 11 305</v>
      </c>
      <c r="S708" t="str">
        <f>"12/19/2019 8:29:35 AM"</f>
        <v>12/19/2019 8:29:35 AM</v>
      </c>
      <c r="T708" t="str">
        <f t="shared" si="269"/>
        <v>5</v>
      </c>
      <c r="U708" t="str">
        <f t="shared" si="292"/>
        <v>N/A</v>
      </c>
      <c r="V708" t="str">
        <f>"5.5500"</f>
        <v>5.5500</v>
      </c>
    </row>
    <row r="709" spans="1:22" x14ac:dyDescent="0.25">
      <c r="A709" s="1" t="str">
        <f t="shared" si="287"/>
        <v>5145-</v>
      </c>
      <c r="B709" s="1" t="str">
        <f t="shared" si="293"/>
        <v>5145-</v>
      </c>
      <c r="C709" s="1" t="str">
        <f>VLOOKUP(B709,'Master truck list'!D:E,2,0)</f>
        <v>5145-20T</v>
      </c>
      <c r="D709" s="1" t="str">
        <f>VLOOKUP(C709,'Master truck list'!E:F,2,0)</f>
        <v>OUT OF SERVICE</v>
      </c>
      <c r="E709" s="1" t="str">
        <f>VLOOKUP(C709,'Master truck list'!E:M,9,0)</f>
        <v>BNK TRANSPORT INC</v>
      </c>
      <c r="F709" s="1" t="str">
        <f>VLOOKUP(C709,'Master truck list'!E:G,3,0)</f>
        <v>Company</v>
      </c>
      <c r="G709" s="1">
        <f>VLOOKUP(C709,'Master truck list'!E:R,14,0)</f>
        <v>2632</v>
      </c>
      <c r="H709" t="str">
        <f t="shared" si="286"/>
        <v>12/20/2019 7:00:30 AM</v>
      </c>
      <c r="I709" t="str">
        <f>""</f>
        <v/>
      </c>
      <c r="J709" t="str">
        <f t="shared" si="288"/>
        <v>Elite</v>
      </c>
      <c r="K709" t="str">
        <f t="shared" si="270"/>
        <v>Device</v>
      </c>
      <c r="L709" t="str">
        <f t="shared" si="294"/>
        <v>777254219</v>
      </c>
      <c r="M709" t="str">
        <f t="shared" si="295"/>
        <v>16722101</v>
      </c>
      <c r="N709" t="str">
        <f t="shared" si="296"/>
        <v>5145-20T</v>
      </c>
      <c r="O709" t="str">
        <f t="shared" si="289"/>
        <v>TEXAS</v>
      </c>
      <c r="P709" t="str">
        <f t="shared" si="290"/>
        <v>N A</v>
      </c>
      <c r="Q709" t="str">
        <f t="shared" si="291"/>
        <v>N/A</v>
      </c>
      <c r="R709" t="str">
        <f>"130 DKCRP 11 307"</f>
        <v>130 DKCRP 11 307</v>
      </c>
      <c r="S709" t="str">
        <f>"12/19/2019 8:07:58 AM"</f>
        <v>12/19/2019 8:07:58 AM</v>
      </c>
      <c r="T709" t="str">
        <f t="shared" si="269"/>
        <v>5</v>
      </c>
      <c r="U709" t="str">
        <f t="shared" si="292"/>
        <v>N/A</v>
      </c>
      <c r="V709" t="str">
        <f>"5.5500"</f>
        <v>5.5500</v>
      </c>
    </row>
    <row r="710" spans="1:22" x14ac:dyDescent="0.25">
      <c r="A710" s="1" t="str">
        <f t="shared" si="287"/>
        <v>5145-</v>
      </c>
      <c r="B710" s="1" t="str">
        <f t="shared" si="293"/>
        <v>5145-</v>
      </c>
      <c r="C710" s="1" t="str">
        <f>VLOOKUP(B710,'Master truck list'!D:E,2,0)</f>
        <v>5145-20T</v>
      </c>
      <c r="D710" s="1" t="str">
        <f>VLOOKUP(C710,'Master truck list'!E:F,2,0)</f>
        <v>OUT OF SERVICE</v>
      </c>
      <c r="E710" s="1" t="str">
        <f>VLOOKUP(C710,'Master truck list'!E:M,9,0)</f>
        <v>BNK TRANSPORT INC</v>
      </c>
      <c r="F710" s="1" t="str">
        <f>VLOOKUP(C710,'Master truck list'!E:G,3,0)</f>
        <v>Company</v>
      </c>
      <c r="G710" s="1">
        <f>VLOOKUP(C710,'Master truck list'!E:R,14,0)</f>
        <v>2632</v>
      </c>
      <c r="H710" t="str">
        <f t="shared" si="286"/>
        <v>12/20/2019 7:00:30 AM</v>
      </c>
      <c r="I710" t="str">
        <f>""</f>
        <v/>
      </c>
      <c r="J710" t="str">
        <f t="shared" si="288"/>
        <v>Elite</v>
      </c>
      <c r="K710" t="str">
        <f t="shared" si="270"/>
        <v>Device</v>
      </c>
      <c r="L710" t="str">
        <f t="shared" si="294"/>
        <v>777254219</v>
      </c>
      <c r="M710" t="str">
        <f t="shared" si="295"/>
        <v>16722101</v>
      </c>
      <c r="N710" t="str">
        <f t="shared" si="296"/>
        <v>5145-20T</v>
      </c>
      <c r="O710" t="str">
        <f t="shared" si="289"/>
        <v>TEXAS</v>
      </c>
      <c r="P710" t="str">
        <f t="shared" si="290"/>
        <v>N A</v>
      </c>
      <c r="Q710" t="str">
        <f t="shared" si="291"/>
        <v>N/A</v>
      </c>
      <c r="R710" t="str">
        <f>"130 ARPTP 09 308"</f>
        <v>130 ARPTP 09 308</v>
      </c>
      <c r="S710" t="str">
        <f>"12/19/2019 8:01:01 AM"</f>
        <v>12/19/2019 8:01:01 AM</v>
      </c>
      <c r="T710" t="str">
        <f t="shared" si="269"/>
        <v>5</v>
      </c>
      <c r="U710" t="str">
        <f t="shared" si="292"/>
        <v>N/A</v>
      </c>
      <c r="V710" t="str">
        <f>"5.5500"</f>
        <v>5.5500</v>
      </c>
    </row>
    <row r="711" spans="1:22" x14ac:dyDescent="0.25">
      <c r="A711" s="1" t="str">
        <f t="shared" si="287"/>
        <v>5145-</v>
      </c>
      <c r="B711" s="1" t="str">
        <f t="shared" si="293"/>
        <v>5145-</v>
      </c>
      <c r="C711" s="1" t="str">
        <f>VLOOKUP(B711,'Master truck list'!D:E,2,0)</f>
        <v>5145-20T</v>
      </c>
      <c r="D711" s="1" t="str">
        <f>VLOOKUP(C711,'Master truck list'!E:F,2,0)</f>
        <v>OUT OF SERVICE</v>
      </c>
      <c r="E711" s="1" t="str">
        <f>VLOOKUP(C711,'Master truck list'!E:M,9,0)</f>
        <v>BNK TRANSPORT INC</v>
      </c>
      <c r="F711" s="1" t="str">
        <f>VLOOKUP(C711,'Master truck list'!E:G,3,0)</f>
        <v>Company</v>
      </c>
      <c r="G711" s="1">
        <f>VLOOKUP(C711,'Master truck list'!E:R,14,0)</f>
        <v>2632</v>
      </c>
      <c r="H711" t="str">
        <f>"12/19/2019 7:00:35 AM"</f>
        <v>12/19/2019 7:00:35 AM</v>
      </c>
      <c r="I711" t="str">
        <f>""</f>
        <v/>
      </c>
      <c r="J711" t="str">
        <f t="shared" si="288"/>
        <v>Elite</v>
      </c>
      <c r="K711" t="str">
        <f t="shared" si="270"/>
        <v>Device</v>
      </c>
      <c r="L711" t="str">
        <f t="shared" si="294"/>
        <v>777254219</v>
      </c>
      <c r="M711" t="str">
        <f t="shared" si="295"/>
        <v>16722101</v>
      </c>
      <c r="N711" t="str">
        <f t="shared" si="296"/>
        <v>5145-20T</v>
      </c>
      <c r="O711" t="str">
        <f t="shared" si="289"/>
        <v>TEXAS</v>
      </c>
      <c r="P711" t="str">
        <f t="shared" si="290"/>
        <v>N A</v>
      </c>
      <c r="Q711" t="str">
        <f t="shared" si="291"/>
        <v>N/A</v>
      </c>
      <c r="R711" t="str">
        <f>"130 CMRNP 08 306"</f>
        <v>130 CMRNP 08 306</v>
      </c>
      <c r="S711" t="str">
        <f>"12/18/2019 9:04:15 AM"</f>
        <v>12/18/2019 9:04:15 AM</v>
      </c>
      <c r="T711" t="str">
        <f t="shared" si="269"/>
        <v>5</v>
      </c>
      <c r="U711" t="str">
        <f t="shared" si="292"/>
        <v>N/A</v>
      </c>
      <c r="V711" t="str">
        <f>"5.5500"</f>
        <v>5.5500</v>
      </c>
    </row>
    <row r="712" spans="1:22" x14ac:dyDescent="0.25">
      <c r="A712" s="1" t="str">
        <f t="shared" si="287"/>
        <v>5145-</v>
      </c>
      <c r="B712" s="1" t="str">
        <f t="shared" si="293"/>
        <v>5145-</v>
      </c>
      <c r="C712" s="1" t="str">
        <f>VLOOKUP(B712,'Master truck list'!D:E,2,0)</f>
        <v>5145-20T</v>
      </c>
      <c r="D712" s="1" t="str">
        <f>VLOOKUP(C712,'Master truck list'!E:F,2,0)</f>
        <v>OUT OF SERVICE</v>
      </c>
      <c r="E712" s="1" t="str">
        <f>VLOOKUP(C712,'Master truck list'!E:M,9,0)</f>
        <v>BNK TRANSPORT INC</v>
      </c>
      <c r="F712" s="1" t="str">
        <f>VLOOKUP(C712,'Master truck list'!E:G,3,0)</f>
        <v>Company</v>
      </c>
      <c r="G712" s="1">
        <f>VLOOKUP(C712,'Master truck list'!E:R,14,0)</f>
        <v>2632</v>
      </c>
      <c r="H712" t="str">
        <f>"12/19/2019 7:00:35 AM"</f>
        <v>12/19/2019 7:00:35 AM</v>
      </c>
      <c r="I712" t="str">
        <f>""</f>
        <v/>
      </c>
      <c r="J712" t="str">
        <f t="shared" si="288"/>
        <v>Elite</v>
      </c>
      <c r="K712" t="str">
        <f t="shared" si="270"/>
        <v>Device</v>
      </c>
      <c r="L712" t="str">
        <f t="shared" si="294"/>
        <v>777254219</v>
      </c>
      <c r="M712" t="str">
        <f t="shared" si="295"/>
        <v>16722101</v>
      </c>
      <c r="N712" t="str">
        <f t="shared" si="296"/>
        <v>5145-20T</v>
      </c>
      <c r="O712" t="str">
        <f t="shared" si="289"/>
        <v>TEXAS</v>
      </c>
      <c r="P712" t="str">
        <f t="shared" si="290"/>
        <v>N A</v>
      </c>
      <c r="Q712" t="str">
        <f t="shared" si="291"/>
        <v>N/A</v>
      </c>
      <c r="R712" t="str">
        <f>"45SE MLPWB 01 611"</f>
        <v>45SE MLPWB 01 611</v>
      </c>
      <c r="S712" t="str">
        <f>"12/18/2019 9:31:43 AM"</f>
        <v>12/18/2019 9:31:43 AM</v>
      </c>
      <c r="T712" t="str">
        <f t="shared" si="269"/>
        <v>5</v>
      </c>
      <c r="U712" t="str">
        <f t="shared" si="292"/>
        <v>N/A</v>
      </c>
      <c r="V712" t="str">
        <f>"3.3000"</f>
        <v>3.3000</v>
      </c>
    </row>
    <row r="713" spans="1:22" x14ac:dyDescent="0.25">
      <c r="A713" s="1" t="str">
        <f t="shared" si="287"/>
        <v>5145-</v>
      </c>
      <c r="B713" s="1" t="str">
        <f t="shared" si="293"/>
        <v>5145-</v>
      </c>
      <c r="C713" s="1" t="str">
        <f>VLOOKUP(B713,'Master truck list'!D:E,2,0)</f>
        <v>5145-20T</v>
      </c>
      <c r="D713" s="1" t="str">
        <f>VLOOKUP(C713,'Master truck list'!E:F,2,0)</f>
        <v>OUT OF SERVICE</v>
      </c>
      <c r="E713" s="1" t="str">
        <f>VLOOKUP(C713,'Master truck list'!E:M,9,0)</f>
        <v>BNK TRANSPORT INC</v>
      </c>
      <c r="F713" s="1" t="str">
        <f>VLOOKUP(C713,'Master truck list'!E:G,3,0)</f>
        <v>Company</v>
      </c>
      <c r="G713" s="1">
        <f>VLOOKUP(C713,'Master truck list'!E:R,14,0)</f>
        <v>2632</v>
      </c>
      <c r="H713" t="str">
        <f>"12/19/2019 7:00:35 AM"</f>
        <v>12/19/2019 7:00:35 AM</v>
      </c>
      <c r="I713" t="str">
        <f>""</f>
        <v/>
      </c>
      <c r="J713" t="str">
        <f t="shared" si="288"/>
        <v>Elite</v>
      </c>
      <c r="K713" t="str">
        <f t="shared" si="270"/>
        <v>Device</v>
      </c>
      <c r="L713" t="str">
        <f t="shared" si="294"/>
        <v>777254219</v>
      </c>
      <c r="M713" t="str">
        <f t="shared" si="295"/>
        <v>16722101</v>
      </c>
      <c r="N713" t="str">
        <f t="shared" si="296"/>
        <v>5145-20T</v>
      </c>
      <c r="O713" t="str">
        <f t="shared" si="289"/>
        <v>TEXAS</v>
      </c>
      <c r="P713" t="str">
        <f t="shared" si="290"/>
        <v>N A</v>
      </c>
      <c r="Q713" t="str">
        <f t="shared" si="291"/>
        <v>N/A</v>
      </c>
      <c r="R713" t="str">
        <f>"130 DKCRP 06 307"</f>
        <v>130 DKCRP 06 307</v>
      </c>
      <c r="S713" t="str">
        <f>"12/18/2019 9:14:13 AM"</f>
        <v>12/18/2019 9:14:13 AM</v>
      </c>
      <c r="T713" t="str">
        <f t="shared" si="269"/>
        <v>5</v>
      </c>
      <c r="U713" t="str">
        <f t="shared" si="292"/>
        <v>N/A</v>
      </c>
      <c r="V713" t="str">
        <f>"5.5500"</f>
        <v>5.5500</v>
      </c>
    </row>
    <row r="714" spans="1:22" x14ac:dyDescent="0.25">
      <c r="A714" s="1" t="str">
        <f t="shared" si="287"/>
        <v>5145-</v>
      </c>
      <c r="B714" s="1" t="str">
        <f t="shared" si="293"/>
        <v>5145-</v>
      </c>
      <c r="C714" s="1" t="str">
        <f>VLOOKUP(B714,'Master truck list'!D:E,2,0)</f>
        <v>5145-20T</v>
      </c>
      <c r="D714" s="1" t="str">
        <f>VLOOKUP(C714,'Master truck list'!E:F,2,0)</f>
        <v>OUT OF SERVICE</v>
      </c>
      <c r="E714" s="1" t="str">
        <f>VLOOKUP(C714,'Master truck list'!E:M,9,0)</f>
        <v>BNK TRANSPORT INC</v>
      </c>
      <c r="F714" s="1" t="str">
        <f>VLOOKUP(C714,'Master truck list'!E:G,3,0)</f>
        <v>Company</v>
      </c>
      <c r="G714" s="1">
        <f>VLOOKUP(C714,'Master truck list'!E:R,14,0)</f>
        <v>2632</v>
      </c>
      <c r="H714" t="str">
        <f>"12/19/2019 7:00:35 AM"</f>
        <v>12/19/2019 7:00:35 AM</v>
      </c>
      <c r="I714" t="str">
        <f>""</f>
        <v/>
      </c>
      <c r="J714" t="str">
        <f t="shared" si="288"/>
        <v>Elite</v>
      </c>
      <c r="K714" t="str">
        <f t="shared" si="270"/>
        <v>Device</v>
      </c>
      <c r="L714" t="str">
        <f t="shared" si="294"/>
        <v>777254219</v>
      </c>
      <c r="M714" t="str">
        <f t="shared" si="295"/>
        <v>16722101</v>
      </c>
      <c r="N714" t="str">
        <f t="shared" si="296"/>
        <v>5145-20T</v>
      </c>
      <c r="O714" t="str">
        <f t="shared" si="289"/>
        <v>TEXAS</v>
      </c>
      <c r="P714" t="str">
        <f t="shared" si="290"/>
        <v>N A</v>
      </c>
      <c r="Q714" t="str">
        <f t="shared" si="291"/>
        <v>N/A</v>
      </c>
      <c r="R714" t="str">
        <f>"130 ARPTP 04 308"</f>
        <v>130 ARPTP 04 308</v>
      </c>
      <c r="S714" t="str">
        <f>"12/18/2019 9:21:09 AM"</f>
        <v>12/18/2019 9:21:09 AM</v>
      </c>
      <c r="T714" t="str">
        <f t="shared" si="269"/>
        <v>5</v>
      </c>
      <c r="U714" t="str">
        <f t="shared" si="292"/>
        <v>N/A</v>
      </c>
      <c r="V714" t="str">
        <f>"5.5500"</f>
        <v>5.5500</v>
      </c>
    </row>
    <row r="715" spans="1:22" x14ac:dyDescent="0.25">
      <c r="A715" s="1" t="str">
        <f t="shared" si="287"/>
        <v>5141-</v>
      </c>
      <c r="B715" s="1" t="str">
        <f t="shared" si="293"/>
        <v>5141-</v>
      </c>
      <c r="C715" s="1" t="str">
        <f>VLOOKUP(B715,'Master truck list'!D:E,2,0)</f>
        <v>5141-20T</v>
      </c>
      <c r="D715" s="1" t="str">
        <f>VLOOKUP(C715,'Master truck list'!E:F,2,0)</f>
        <v>OUT OF SERVICE</v>
      </c>
      <c r="E715" s="1" t="str">
        <f>VLOOKUP(C715,'Master truck list'!E:M,9,0)</f>
        <v>BNK TRANSPORT INC</v>
      </c>
      <c r="F715" s="1" t="str">
        <f>VLOOKUP(C715,'Master truck list'!E:G,3,0)</f>
        <v>Company</v>
      </c>
      <c r="G715" s="1">
        <f>VLOOKUP(C715,'Master truck list'!E:R,14,0)</f>
        <v>2629</v>
      </c>
      <c r="H715" t="str">
        <f t="shared" ref="H715:H720" si="297">"12/18/2019 7:00:28 AM"</f>
        <v>12/18/2019 7:00:28 AM</v>
      </c>
      <c r="I715" t="str">
        <f>""</f>
        <v/>
      </c>
      <c r="J715" t="str">
        <f t="shared" si="288"/>
        <v>Elite</v>
      </c>
      <c r="K715" t="str">
        <f t="shared" si="270"/>
        <v>Device</v>
      </c>
      <c r="L715" t="str">
        <f>"777232099"</f>
        <v>777232099</v>
      </c>
      <c r="M715" t="str">
        <f>"16606056"</f>
        <v>16606056</v>
      </c>
      <c r="N715" t="str">
        <f>"5141-20T"</f>
        <v>5141-20T</v>
      </c>
      <c r="O715" t="str">
        <f t="shared" si="289"/>
        <v>TEXAS</v>
      </c>
      <c r="P715" t="str">
        <f t="shared" si="290"/>
        <v>N A</v>
      </c>
      <c r="Q715" t="str">
        <f t="shared" si="291"/>
        <v>N/A</v>
      </c>
      <c r="R715" t="str">
        <f>"130 MGCRP 11 305"</f>
        <v>130 MGCRP 11 305</v>
      </c>
      <c r="S715" t="str">
        <f>"12/17/2019 4:06:46 PM"</f>
        <v>12/17/2019 4:06:46 PM</v>
      </c>
      <c r="T715" t="str">
        <f t="shared" si="269"/>
        <v>5</v>
      </c>
      <c r="U715" t="str">
        <f t="shared" si="292"/>
        <v>N/A</v>
      </c>
      <c r="V715" t="str">
        <f>"5.5500"</f>
        <v>5.5500</v>
      </c>
    </row>
    <row r="716" spans="1:22" x14ac:dyDescent="0.25">
      <c r="A716" s="1" t="str">
        <f t="shared" si="287"/>
        <v>5141-</v>
      </c>
      <c r="B716" s="1" t="str">
        <f t="shared" si="293"/>
        <v>5141-</v>
      </c>
      <c r="C716" s="1" t="str">
        <f>VLOOKUP(B716,'Master truck list'!D:E,2,0)</f>
        <v>5141-20T</v>
      </c>
      <c r="D716" s="1" t="str">
        <f>VLOOKUP(C716,'Master truck list'!E:F,2,0)</f>
        <v>OUT OF SERVICE</v>
      </c>
      <c r="E716" s="1" t="str">
        <f>VLOOKUP(C716,'Master truck list'!E:M,9,0)</f>
        <v>BNK TRANSPORT INC</v>
      </c>
      <c r="F716" s="1" t="str">
        <f>VLOOKUP(C716,'Master truck list'!E:G,3,0)</f>
        <v>Company</v>
      </c>
      <c r="G716" s="1">
        <f>VLOOKUP(C716,'Master truck list'!E:R,14,0)</f>
        <v>2629</v>
      </c>
      <c r="H716" t="str">
        <f t="shared" si="297"/>
        <v>12/18/2019 7:00:28 AM</v>
      </c>
      <c r="I716" t="str">
        <f>""</f>
        <v/>
      </c>
      <c r="J716" t="str">
        <f t="shared" si="288"/>
        <v>Elite</v>
      </c>
      <c r="K716" t="str">
        <f t="shared" si="270"/>
        <v>Device</v>
      </c>
      <c r="L716" t="str">
        <f>"777232099"</f>
        <v>777232099</v>
      </c>
      <c r="M716" t="str">
        <f>"16606056"</f>
        <v>16606056</v>
      </c>
      <c r="N716" t="str">
        <f>"5141-20T"</f>
        <v>5141-20T</v>
      </c>
      <c r="O716" t="str">
        <f t="shared" si="289"/>
        <v>TEXAS</v>
      </c>
      <c r="P716" t="str">
        <f t="shared" si="290"/>
        <v>N A</v>
      </c>
      <c r="Q716" t="str">
        <f t="shared" si="291"/>
        <v>N/A</v>
      </c>
      <c r="R716" t="str">
        <f>"45SE MLPEB 02 611"</f>
        <v>45SE MLPEB 02 611</v>
      </c>
      <c r="S716" t="str">
        <f>"12/17/2019 3:27:17 PM"</f>
        <v>12/17/2019 3:27:17 PM</v>
      </c>
      <c r="T716" t="str">
        <f t="shared" si="269"/>
        <v>5</v>
      </c>
      <c r="U716" t="str">
        <f t="shared" si="292"/>
        <v>N/A</v>
      </c>
      <c r="V716" t="str">
        <f>"3.3000"</f>
        <v>3.3000</v>
      </c>
    </row>
    <row r="717" spans="1:22" x14ac:dyDescent="0.25">
      <c r="A717" s="1" t="str">
        <f t="shared" si="287"/>
        <v>5141-</v>
      </c>
      <c r="B717" s="1" t="str">
        <f t="shared" si="293"/>
        <v>5141-</v>
      </c>
      <c r="C717" s="1" t="str">
        <f>VLOOKUP(B717,'Master truck list'!D:E,2,0)</f>
        <v>5141-20T</v>
      </c>
      <c r="D717" s="1" t="str">
        <f>VLOOKUP(C717,'Master truck list'!E:F,2,0)</f>
        <v>OUT OF SERVICE</v>
      </c>
      <c r="E717" s="1" t="str">
        <f>VLOOKUP(C717,'Master truck list'!E:M,9,0)</f>
        <v>BNK TRANSPORT INC</v>
      </c>
      <c r="F717" s="1" t="str">
        <f>VLOOKUP(C717,'Master truck list'!E:G,3,0)</f>
        <v>Company</v>
      </c>
      <c r="G717" s="1">
        <f>VLOOKUP(C717,'Master truck list'!E:R,14,0)</f>
        <v>2629</v>
      </c>
      <c r="H717" t="str">
        <f t="shared" si="297"/>
        <v>12/18/2019 7:00:28 AM</v>
      </c>
      <c r="I717" t="str">
        <f>""</f>
        <v/>
      </c>
      <c r="J717" t="str">
        <f t="shared" si="288"/>
        <v>Elite</v>
      </c>
      <c r="K717" t="str">
        <f t="shared" si="270"/>
        <v>Device</v>
      </c>
      <c r="L717" t="str">
        <f>"777232099"</f>
        <v>777232099</v>
      </c>
      <c r="M717" t="str">
        <f>"16606056"</f>
        <v>16606056</v>
      </c>
      <c r="N717" t="str">
        <f>"5141-20T"</f>
        <v>5141-20T</v>
      </c>
      <c r="O717" t="str">
        <f t="shared" si="289"/>
        <v>TEXAS</v>
      </c>
      <c r="P717" t="str">
        <f t="shared" si="290"/>
        <v>N A</v>
      </c>
      <c r="Q717" t="str">
        <f t="shared" si="291"/>
        <v>N/A</v>
      </c>
      <c r="R717" t="str">
        <f>"130 DKCRP 11 307"</f>
        <v>130 DKCRP 11 307</v>
      </c>
      <c r="S717" t="str">
        <f>"12/17/2019 3:45:26 PM"</f>
        <v>12/17/2019 3:45:26 PM</v>
      </c>
      <c r="T717" t="str">
        <f t="shared" si="269"/>
        <v>5</v>
      </c>
      <c r="U717" t="str">
        <f t="shared" si="292"/>
        <v>N/A</v>
      </c>
      <c r="V717" t="str">
        <f>"5.5500"</f>
        <v>5.5500</v>
      </c>
    </row>
    <row r="718" spans="1:22" x14ac:dyDescent="0.25">
      <c r="A718" s="1" t="str">
        <f t="shared" si="287"/>
        <v>5141-</v>
      </c>
      <c r="B718" s="1" t="str">
        <f t="shared" si="293"/>
        <v>5141-</v>
      </c>
      <c r="C718" s="1" t="str">
        <f>VLOOKUP(B718,'Master truck list'!D:E,2,0)</f>
        <v>5141-20T</v>
      </c>
      <c r="D718" s="1" t="str">
        <f>VLOOKUP(C718,'Master truck list'!E:F,2,0)</f>
        <v>OUT OF SERVICE</v>
      </c>
      <c r="E718" s="1" t="str">
        <f>VLOOKUP(C718,'Master truck list'!E:M,9,0)</f>
        <v>BNK TRANSPORT INC</v>
      </c>
      <c r="F718" s="1" t="str">
        <f>VLOOKUP(C718,'Master truck list'!E:G,3,0)</f>
        <v>Company</v>
      </c>
      <c r="G718" s="1">
        <f>VLOOKUP(C718,'Master truck list'!E:R,14,0)</f>
        <v>2629</v>
      </c>
      <c r="H718" t="str">
        <f t="shared" si="297"/>
        <v>12/18/2019 7:00:28 AM</v>
      </c>
      <c r="I718" t="str">
        <f>""</f>
        <v/>
      </c>
      <c r="J718" t="str">
        <f t="shared" si="288"/>
        <v>Elite</v>
      </c>
      <c r="K718" t="str">
        <f t="shared" si="270"/>
        <v>Device</v>
      </c>
      <c r="L718" t="str">
        <f>"777232099"</f>
        <v>777232099</v>
      </c>
      <c r="M718" t="str">
        <f>"16606056"</f>
        <v>16606056</v>
      </c>
      <c r="N718" t="str">
        <f>"5141-20T"</f>
        <v>5141-20T</v>
      </c>
      <c r="O718" t="str">
        <f t="shared" si="289"/>
        <v>TEXAS</v>
      </c>
      <c r="P718" t="str">
        <f t="shared" si="290"/>
        <v>N A</v>
      </c>
      <c r="Q718" t="str">
        <f t="shared" si="291"/>
        <v>N/A</v>
      </c>
      <c r="R718" t="str">
        <f>"130 CMRNP 13 306"</f>
        <v>130 CMRNP 13 306</v>
      </c>
      <c r="S718" t="str">
        <f>"12/17/2019 3:55:49 PM"</f>
        <v>12/17/2019 3:55:49 PM</v>
      </c>
      <c r="T718" t="str">
        <f t="shared" ref="T718:T734" si="298">"5"</f>
        <v>5</v>
      </c>
      <c r="U718" t="str">
        <f t="shared" si="292"/>
        <v>N/A</v>
      </c>
      <c r="V718" t="str">
        <f>"5.5500"</f>
        <v>5.5500</v>
      </c>
    </row>
    <row r="719" spans="1:22" x14ac:dyDescent="0.25">
      <c r="A719" s="1" t="str">
        <f t="shared" si="287"/>
        <v>5141-</v>
      </c>
      <c r="B719" s="1" t="str">
        <f t="shared" si="293"/>
        <v>5141-</v>
      </c>
      <c r="C719" s="1" t="str">
        <f>VLOOKUP(B719,'Master truck list'!D:E,2,0)</f>
        <v>5141-20T</v>
      </c>
      <c r="D719" s="1" t="str">
        <f>VLOOKUP(C719,'Master truck list'!E:F,2,0)</f>
        <v>OUT OF SERVICE</v>
      </c>
      <c r="E719" s="1" t="str">
        <f>VLOOKUP(C719,'Master truck list'!E:M,9,0)</f>
        <v>BNK TRANSPORT INC</v>
      </c>
      <c r="F719" s="1" t="str">
        <f>VLOOKUP(C719,'Master truck list'!E:G,3,0)</f>
        <v>Company</v>
      </c>
      <c r="G719" s="1">
        <f>VLOOKUP(C719,'Master truck list'!E:R,14,0)</f>
        <v>2629</v>
      </c>
      <c r="H719" t="str">
        <f t="shared" si="297"/>
        <v>12/18/2019 7:00:28 AM</v>
      </c>
      <c r="I719" t="str">
        <f>""</f>
        <v/>
      </c>
      <c r="J719" t="str">
        <f t="shared" si="288"/>
        <v>Elite</v>
      </c>
      <c r="K719" t="str">
        <f t="shared" ref="K719:K782" si="299">"Device"</f>
        <v>Device</v>
      </c>
      <c r="L719" t="str">
        <f>"777232099"</f>
        <v>777232099</v>
      </c>
      <c r="M719" t="str">
        <f>"16606056"</f>
        <v>16606056</v>
      </c>
      <c r="N719" t="str">
        <f>"5141-20T"</f>
        <v>5141-20T</v>
      </c>
      <c r="O719" t="str">
        <f t="shared" si="289"/>
        <v>TEXAS</v>
      </c>
      <c r="P719" t="str">
        <f t="shared" si="290"/>
        <v>N A</v>
      </c>
      <c r="Q719" t="str">
        <f t="shared" si="291"/>
        <v>N/A</v>
      </c>
      <c r="R719" t="str">
        <f>"130 ARPTP 09 308"</f>
        <v>130 ARPTP 09 308</v>
      </c>
      <c r="S719" t="str">
        <f>"12/17/2019 3:38:15 PM"</f>
        <v>12/17/2019 3:38:15 PM</v>
      </c>
      <c r="T719" t="str">
        <f t="shared" si="298"/>
        <v>5</v>
      </c>
      <c r="U719" t="str">
        <f t="shared" si="292"/>
        <v>N/A</v>
      </c>
      <c r="V719" t="str">
        <f>"5.5500"</f>
        <v>5.5500</v>
      </c>
    </row>
    <row r="720" spans="1:22" x14ac:dyDescent="0.25">
      <c r="A720" s="1" t="str">
        <f t="shared" si="287"/>
        <v>5139-</v>
      </c>
      <c r="B720" s="1" t="str">
        <f t="shared" si="293"/>
        <v>5139-</v>
      </c>
      <c r="C720" s="1" t="str">
        <f>VLOOKUP(B720,'Master truck list'!D:E,2,0)</f>
        <v>5139-20T</v>
      </c>
      <c r="D720" s="1" t="str">
        <f>VLOOKUP(C720,'Master truck list'!E:F,2,0)</f>
        <v>OUT OF SERVICE</v>
      </c>
      <c r="E720" s="1" t="str">
        <f>VLOOKUP(C720,'Master truck list'!E:M,9,0)</f>
        <v>BNK TRANSPORT INC</v>
      </c>
      <c r="F720" s="1" t="str">
        <f>VLOOKUP(C720,'Master truck list'!E:G,3,0)</f>
        <v>Company</v>
      </c>
      <c r="G720" s="1">
        <f>VLOOKUP(C720,'Master truck list'!E:R,14,0)</f>
        <v>2627</v>
      </c>
      <c r="H720" t="str">
        <f t="shared" si="297"/>
        <v>12/18/2019 7:00:28 AM</v>
      </c>
      <c r="I720" t="str">
        <f>""</f>
        <v/>
      </c>
      <c r="J720" t="str">
        <f t="shared" si="288"/>
        <v>Elite</v>
      </c>
      <c r="K720" t="str">
        <f t="shared" si="299"/>
        <v>Device</v>
      </c>
      <c r="L720" t="str">
        <f t="shared" ref="L720:L739" si="300">"777232094"</f>
        <v>777232094</v>
      </c>
      <c r="M720" t="str">
        <f t="shared" ref="M720:M739" si="301">"16606051"</f>
        <v>16606051</v>
      </c>
      <c r="N720" t="str">
        <f t="shared" ref="N720:N739" si="302">"5139-20T"</f>
        <v>5139-20T</v>
      </c>
      <c r="O720" t="str">
        <f t="shared" si="289"/>
        <v>TEXAS</v>
      </c>
      <c r="P720" t="str">
        <f t="shared" si="290"/>
        <v>N A</v>
      </c>
      <c r="Q720" t="str">
        <f t="shared" si="291"/>
        <v>N/A</v>
      </c>
      <c r="R720" t="str">
        <f>"130 ARPTP 04 308"</f>
        <v>130 ARPTP 04 308</v>
      </c>
      <c r="S720" t="str">
        <f>"12/17/2019 2:18:00 PM"</f>
        <v>12/17/2019 2:18:00 PM</v>
      </c>
      <c r="T720" t="str">
        <f t="shared" si="298"/>
        <v>5</v>
      </c>
      <c r="U720" t="str">
        <f t="shared" si="292"/>
        <v>N/A</v>
      </c>
      <c r="V720" t="str">
        <f>"5.5500"</f>
        <v>5.5500</v>
      </c>
    </row>
    <row r="721" spans="1:22" x14ac:dyDescent="0.25">
      <c r="A721" s="1" t="str">
        <f t="shared" si="287"/>
        <v>5139-</v>
      </c>
      <c r="B721" s="1" t="str">
        <f t="shared" si="293"/>
        <v>5139-</v>
      </c>
      <c r="C721" s="1" t="str">
        <f>VLOOKUP(B721,'Master truck list'!D:E,2,0)</f>
        <v>5139-20T</v>
      </c>
      <c r="D721" s="1" t="str">
        <f>VLOOKUP(C721,'Master truck list'!E:F,2,0)</f>
        <v>OUT OF SERVICE</v>
      </c>
      <c r="E721" s="1" t="str">
        <f>VLOOKUP(C721,'Master truck list'!E:M,9,0)</f>
        <v>BNK TRANSPORT INC</v>
      </c>
      <c r="F721" s="1" t="str">
        <f>VLOOKUP(C721,'Master truck list'!E:G,3,0)</f>
        <v>Company</v>
      </c>
      <c r="G721" s="1">
        <f>VLOOKUP(C721,'Master truck list'!E:R,14,0)</f>
        <v>2627</v>
      </c>
      <c r="H721" t="str">
        <f>"12/17/2019 7:00:33 AM"</f>
        <v>12/17/2019 7:00:33 AM</v>
      </c>
      <c r="I721" t="str">
        <f>""</f>
        <v/>
      </c>
      <c r="J721" t="str">
        <f t="shared" si="288"/>
        <v>Elite</v>
      </c>
      <c r="K721" t="str">
        <f t="shared" si="299"/>
        <v>Device</v>
      </c>
      <c r="L721" t="str">
        <f t="shared" si="300"/>
        <v>777232094</v>
      </c>
      <c r="M721" t="str">
        <f t="shared" si="301"/>
        <v>16606051</v>
      </c>
      <c r="N721" t="str">
        <f t="shared" si="302"/>
        <v>5139-20T</v>
      </c>
      <c r="O721" t="str">
        <f t="shared" si="289"/>
        <v>TEXAS</v>
      </c>
      <c r="P721" t="str">
        <f t="shared" si="290"/>
        <v>N A</v>
      </c>
      <c r="Q721" t="str">
        <f t="shared" si="291"/>
        <v>N/A</v>
      </c>
      <c r="R721" t="str">
        <f>"130 DKCRP 11 307"</f>
        <v>130 DKCRP 11 307</v>
      </c>
      <c r="S721" t="str">
        <f>"12/16/2019 6:22:16 PM"</f>
        <v>12/16/2019 6:22:16 PM</v>
      </c>
      <c r="T721" t="str">
        <f t="shared" si="298"/>
        <v>5</v>
      </c>
      <c r="U721" t="str">
        <f t="shared" si="292"/>
        <v>N/A</v>
      </c>
      <c r="V721" t="str">
        <f>"5.5500"</f>
        <v>5.5500</v>
      </c>
    </row>
    <row r="722" spans="1:22" x14ac:dyDescent="0.25">
      <c r="A722" s="1" t="str">
        <f t="shared" si="287"/>
        <v>5139-</v>
      </c>
      <c r="B722" s="1" t="str">
        <f t="shared" si="293"/>
        <v>5139-</v>
      </c>
      <c r="C722" s="1" t="str">
        <f>VLOOKUP(B722,'Master truck list'!D:E,2,0)</f>
        <v>5139-20T</v>
      </c>
      <c r="D722" s="1" t="str">
        <f>VLOOKUP(C722,'Master truck list'!E:F,2,0)</f>
        <v>OUT OF SERVICE</v>
      </c>
      <c r="E722" s="1" t="str">
        <f>VLOOKUP(C722,'Master truck list'!E:M,9,0)</f>
        <v>BNK TRANSPORT INC</v>
      </c>
      <c r="F722" s="1" t="str">
        <f>VLOOKUP(C722,'Master truck list'!E:G,3,0)</f>
        <v>Company</v>
      </c>
      <c r="G722" s="1">
        <f>VLOOKUP(C722,'Master truck list'!E:R,14,0)</f>
        <v>2627</v>
      </c>
      <c r="H722" t="str">
        <f>"12/17/2019 7:00:33 AM"</f>
        <v>12/17/2019 7:00:33 AM</v>
      </c>
      <c r="I722" t="str">
        <f>""</f>
        <v/>
      </c>
      <c r="J722" t="str">
        <f t="shared" si="288"/>
        <v>Elite</v>
      </c>
      <c r="K722" t="str">
        <f t="shared" si="299"/>
        <v>Device</v>
      </c>
      <c r="L722" t="str">
        <f t="shared" si="300"/>
        <v>777232094</v>
      </c>
      <c r="M722" t="str">
        <f t="shared" si="301"/>
        <v>16606051</v>
      </c>
      <c r="N722" t="str">
        <f t="shared" si="302"/>
        <v>5139-20T</v>
      </c>
      <c r="O722" t="str">
        <f t="shared" si="289"/>
        <v>TEXAS</v>
      </c>
      <c r="P722" t="str">
        <f t="shared" si="290"/>
        <v>N A</v>
      </c>
      <c r="Q722" t="str">
        <f t="shared" si="291"/>
        <v>N/A</v>
      </c>
      <c r="R722" t="str">
        <f>"45SE MLPEB 02 611"</f>
        <v>45SE MLPEB 02 611</v>
      </c>
      <c r="S722" t="str">
        <f>"12/16/2019 6:04:41 PM"</f>
        <v>12/16/2019 6:04:41 PM</v>
      </c>
      <c r="T722" t="str">
        <f t="shared" si="298"/>
        <v>5</v>
      </c>
      <c r="U722" t="str">
        <f t="shared" si="292"/>
        <v>N/A</v>
      </c>
      <c r="V722" t="str">
        <f>"3.3000"</f>
        <v>3.3000</v>
      </c>
    </row>
    <row r="723" spans="1:22" x14ac:dyDescent="0.25">
      <c r="A723" s="1" t="str">
        <f t="shared" si="287"/>
        <v>5139-</v>
      </c>
      <c r="B723" s="1" t="str">
        <f t="shared" si="293"/>
        <v>5139-</v>
      </c>
      <c r="C723" s="1" t="str">
        <f>VLOOKUP(B723,'Master truck list'!D:E,2,0)</f>
        <v>5139-20T</v>
      </c>
      <c r="D723" s="1" t="str">
        <f>VLOOKUP(C723,'Master truck list'!E:F,2,0)</f>
        <v>OUT OF SERVICE</v>
      </c>
      <c r="E723" s="1" t="str">
        <f>VLOOKUP(C723,'Master truck list'!E:M,9,0)</f>
        <v>BNK TRANSPORT INC</v>
      </c>
      <c r="F723" s="1" t="str">
        <f>VLOOKUP(C723,'Master truck list'!E:G,3,0)</f>
        <v>Company</v>
      </c>
      <c r="G723" s="1">
        <f>VLOOKUP(C723,'Master truck list'!E:R,14,0)</f>
        <v>2627</v>
      </c>
      <c r="H723" t="str">
        <f>"12/17/2019 7:00:33 AM"</f>
        <v>12/17/2019 7:00:33 AM</v>
      </c>
      <c r="I723" t="str">
        <f>""</f>
        <v/>
      </c>
      <c r="J723" t="str">
        <f t="shared" si="288"/>
        <v>Elite</v>
      </c>
      <c r="K723" t="str">
        <f t="shared" si="299"/>
        <v>Device</v>
      </c>
      <c r="L723" t="str">
        <f t="shared" si="300"/>
        <v>777232094</v>
      </c>
      <c r="M723" t="str">
        <f t="shared" si="301"/>
        <v>16606051</v>
      </c>
      <c r="N723" t="str">
        <f t="shared" si="302"/>
        <v>5139-20T</v>
      </c>
      <c r="O723" t="str">
        <f t="shared" si="289"/>
        <v>TEXAS</v>
      </c>
      <c r="P723" t="str">
        <f t="shared" si="290"/>
        <v>N A</v>
      </c>
      <c r="Q723" t="str">
        <f t="shared" si="291"/>
        <v>N/A</v>
      </c>
      <c r="R723" t="str">
        <f>"130 MGCRP 11 305"</f>
        <v>130 MGCRP 11 305</v>
      </c>
      <c r="S723" t="str">
        <f>"12/16/2019 6:43:37 PM"</f>
        <v>12/16/2019 6:43:37 PM</v>
      </c>
      <c r="T723" t="str">
        <f t="shared" si="298"/>
        <v>5</v>
      </c>
      <c r="U723" t="str">
        <f t="shared" si="292"/>
        <v>N/A</v>
      </c>
      <c r="V723" t="str">
        <f t="shared" ref="V723:V728" si="303">"5.5500"</f>
        <v>5.5500</v>
      </c>
    </row>
    <row r="724" spans="1:22" x14ac:dyDescent="0.25">
      <c r="A724" s="1" t="str">
        <f t="shared" si="287"/>
        <v>5139-</v>
      </c>
      <c r="B724" s="1" t="str">
        <f t="shared" si="293"/>
        <v>5139-</v>
      </c>
      <c r="C724" s="1" t="str">
        <f>VLOOKUP(B724,'Master truck list'!D:E,2,0)</f>
        <v>5139-20T</v>
      </c>
      <c r="D724" s="1" t="str">
        <f>VLOOKUP(C724,'Master truck list'!E:F,2,0)</f>
        <v>OUT OF SERVICE</v>
      </c>
      <c r="E724" s="1" t="str">
        <f>VLOOKUP(C724,'Master truck list'!E:M,9,0)</f>
        <v>BNK TRANSPORT INC</v>
      </c>
      <c r="F724" s="1" t="str">
        <f>VLOOKUP(C724,'Master truck list'!E:G,3,0)</f>
        <v>Company</v>
      </c>
      <c r="G724" s="1">
        <f>VLOOKUP(C724,'Master truck list'!E:R,14,0)</f>
        <v>2627</v>
      </c>
      <c r="H724" t="str">
        <f>"12/17/2019 7:00:33 AM"</f>
        <v>12/17/2019 7:00:33 AM</v>
      </c>
      <c r="I724" t="str">
        <f>""</f>
        <v/>
      </c>
      <c r="J724" t="str">
        <f t="shared" si="288"/>
        <v>Elite</v>
      </c>
      <c r="K724" t="str">
        <f t="shared" si="299"/>
        <v>Device</v>
      </c>
      <c r="L724" t="str">
        <f t="shared" si="300"/>
        <v>777232094</v>
      </c>
      <c r="M724" t="str">
        <f t="shared" si="301"/>
        <v>16606051</v>
      </c>
      <c r="N724" t="str">
        <f t="shared" si="302"/>
        <v>5139-20T</v>
      </c>
      <c r="O724" t="str">
        <f t="shared" si="289"/>
        <v>TEXAS</v>
      </c>
      <c r="P724" t="str">
        <f t="shared" si="290"/>
        <v>N A</v>
      </c>
      <c r="Q724" t="str">
        <f t="shared" si="291"/>
        <v>N/A</v>
      </c>
      <c r="R724" t="str">
        <f>"130 ARPTP 09 308"</f>
        <v>130 ARPTP 09 308</v>
      </c>
      <c r="S724" t="str">
        <f>"12/16/2019 6:15:18 PM"</f>
        <v>12/16/2019 6:15:18 PM</v>
      </c>
      <c r="T724" t="str">
        <f t="shared" si="298"/>
        <v>5</v>
      </c>
      <c r="U724" t="str">
        <f t="shared" si="292"/>
        <v>N/A</v>
      </c>
      <c r="V724" t="str">
        <f t="shared" si="303"/>
        <v>5.5500</v>
      </c>
    </row>
    <row r="725" spans="1:22" x14ac:dyDescent="0.25">
      <c r="A725" s="1" t="str">
        <f t="shared" si="287"/>
        <v>5139-</v>
      </c>
      <c r="B725" s="1" t="str">
        <f t="shared" si="293"/>
        <v>5139-</v>
      </c>
      <c r="C725" s="1" t="str">
        <f>VLOOKUP(B725,'Master truck list'!D:E,2,0)</f>
        <v>5139-20T</v>
      </c>
      <c r="D725" s="1" t="str">
        <f>VLOOKUP(C725,'Master truck list'!E:F,2,0)</f>
        <v>OUT OF SERVICE</v>
      </c>
      <c r="E725" s="1" t="str">
        <f>VLOOKUP(C725,'Master truck list'!E:M,9,0)</f>
        <v>BNK TRANSPORT INC</v>
      </c>
      <c r="F725" s="1" t="str">
        <f>VLOOKUP(C725,'Master truck list'!E:G,3,0)</f>
        <v>Company</v>
      </c>
      <c r="G725" s="1">
        <f>VLOOKUP(C725,'Master truck list'!E:R,14,0)</f>
        <v>2627</v>
      </c>
      <c r="H725" t="str">
        <f>"12/17/2019 7:00:33 AM"</f>
        <v>12/17/2019 7:00:33 AM</v>
      </c>
      <c r="I725" t="str">
        <f>""</f>
        <v/>
      </c>
      <c r="J725" t="str">
        <f t="shared" si="288"/>
        <v>Elite</v>
      </c>
      <c r="K725" t="str">
        <f t="shared" si="299"/>
        <v>Device</v>
      </c>
      <c r="L725" t="str">
        <f t="shared" si="300"/>
        <v>777232094</v>
      </c>
      <c r="M725" t="str">
        <f t="shared" si="301"/>
        <v>16606051</v>
      </c>
      <c r="N725" t="str">
        <f t="shared" si="302"/>
        <v>5139-20T</v>
      </c>
      <c r="O725" t="str">
        <f t="shared" si="289"/>
        <v>TEXAS</v>
      </c>
      <c r="P725" t="str">
        <f t="shared" si="290"/>
        <v>N A</v>
      </c>
      <c r="Q725" t="str">
        <f t="shared" si="291"/>
        <v>N/A</v>
      </c>
      <c r="R725" t="str">
        <f>"130 CMRNP 13 306"</f>
        <v>130 CMRNP 13 306</v>
      </c>
      <c r="S725" t="str">
        <f>"12/16/2019 6:32:30 PM"</f>
        <v>12/16/2019 6:32:30 PM</v>
      </c>
      <c r="T725" t="str">
        <f t="shared" si="298"/>
        <v>5</v>
      </c>
      <c r="U725" t="str">
        <f t="shared" si="292"/>
        <v>N/A</v>
      </c>
      <c r="V725" t="str">
        <f t="shared" si="303"/>
        <v>5.5500</v>
      </c>
    </row>
    <row r="726" spans="1:22" x14ac:dyDescent="0.25">
      <c r="A726" s="1" t="str">
        <f t="shared" si="287"/>
        <v>5139-</v>
      </c>
      <c r="B726" s="1" t="str">
        <f t="shared" si="293"/>
        <v>5139-</v>
      </c>
      <c r="C726" s="1" t="str">
        <f>VLOOKUP(B726,'Master truck list'!D:E,2,0)</f>
        <v>5139-20T</v>
      </c>
      <c r="D726" s="1" t="str">
        <f>VLOOKUP(C726,'Master truck list'!E:F,2,0)</f>
        <v>OUT OF SERVICE</v>
      </c>
      <c r="E726" s="1" t="str">
        <f>VLOOKUP(C726,'Master truck list'!E:M,9,0)</f>
        <v>BNK TRANSPORT INC</v>
      </c>
      <c r="F726" s="1" t="str">
        <f>VLOOKUP(C726,'Master truck list'!E:G,3,0)</f>
        <v>Company</v>
      </c>
      <c r="G726" s="1">
        <f>VLOOKUP(C726,'Master truck list'!E:R,14,0)</f>
        <v>2627</v>
      </c>
      <c r="H726" t="str">
        <f>"12/18/2019 7:00:28 AM"</f>
        <v>12/18/2019 7:00:28 AM</v>
      </c>
      <c r="I726" t="str">
        <f>""</f>
        <v/>
      </c>
      <c r="J726" t="str">
        <f t="shared" si="288"/>
        <v>Elite</v>
      </c>
      <c r="K726" t="str">
        <f t="shared" si="299"/>
        <v>Device</v>
      </c>
      <c r="L726" t="str">
        <f t="shared" si="300"/>
        <v>777232094</v>
      </c>
      <c r="M726" t="str">
        <f t="shared" si="301"/>
        <v>16606051</v>
      </c>
      <c r="N726" t="str">
        <f t="shared" si="302"/>
        <v>5139-20T</v>
      </c>
      <c r="O726" t="str">
        <f t="shared" si="289"/>
        <v>TEXAS</v>
      </c>
      <c r="P726" t="str">
        <f t="shared" si="290"/>
        <v>N A</v>
      </c>
      <c r="Q726" t="str">
        <f t="shared" si="291"/>
        <v>N/A</v>
      </c>
      <c r="R726" t="str">
        <f>"130 DKCRP 06 307"</f>
        <v>130 DKCRP 06 307</v>
      </c>
      <c r="S726" t="str">
        <f>"12/17/2019 2:11:04 PM"</f>
        <v>12/17/2019 2:11:04 PM</v>
      </c>
      <c r="T726" t="str">
        <f t="shared" si="298"/>
        <v>5</v>
      </c>
      <c r="U726" t="str">
        <f t="shared" si="292"/>
        <v>N/A</v>
      </c>
      <c r="V726" t="str">
        <f t="shared" si="303"/>
        <v>5.5500</v>
      </c>
    </row>
    <row r="727" spans="1:22" x14ac:dyDescent="0.25">
      <c r="A727" s="1" t="str">
        <f t="shared" si="287"/>
        <v>5139-</v>
      </c>
      <c r="B727" s="1" t="str">
        <f t="shared" si="293"/>
        <v>5139-</v>
      </c>
      <c r="C727" s="1" t="str">
        <f>VLOOKUP(B727,'Master truck list'!D:E,2,0)</f>
        <v>5139-20T</v>
      </c>
      <c r="D727" s="1" t="str">
        <f>VLOOKUP(C727,'Master truck list'!E:F,2,0)</f>
        <v>OUT OF SERVICE</v>
      </c>
      <c r="E727" s="1" t="str">
        <f>VLOOKUP(C727,'Master truck list'!E:M,9,0)</f>
        <v>BNK TRANSPORT INC</v>
      </c>
      <c r="F727" s="1" t="str">
        <f>VLOOKUP(C727,'Master truck list'!E:G,3,0)</f>
        <v>Company</v>
      </c>
      <c r="G727" s="1">
        <f>VLOOKUP(C727,'Master truck list'!E:R,14,0)</f>
        <v>2627</v>
      </c>
      <c r="H727" t="str">
        <f>"12/18/2019 7:00:28 AM"</f>
        <v>12/18/2019 7:00:28 AM</v>
      </c>
      <c r="I727" t="str">
        <f>""</f>
        <v/>
      </c>
      <c r="J727" t="str">
        <f t="shared" si="288"/>
        <v>Elite</v>
      </c>
      <c r="K727" t="str">
        <f t="shared" si="299"/>
        <v>Device</v>
      </c>
      <c r="L727" t="str">
        <f t="shared" si="300"/>
        <v>777232094</v>
      </c>
      <c r="M727" t="str">
        <f t="shared" si="301"/>
        <v>16606051</v>
      </c>
      <c r="N727" t="str">
        <f t="shared" si="302"/>
        <v>5139-20T</v>
      </c>
      <c r="O727" t="str">
        <f t="shared" si="289"/>
        <v>TEXAS</v>
      </c>
      <c r="P727" t="str">
        <f t="shared" si="290"/>
        <v>N A</v>
      </c>
      <c r="Q727" t="str">
        <f t="shared" si="291"/>
        <v>N/A</v>
      </c>
      <c r="R727" t="str">
        <f>"130 MGCRP 06 305"</f>
        <v>130 MGCRP 06 305</v>
      </c>
      <c r="S727" t="str">
        <f>"12/17/2019 1:50:11 PM"</f>
        <v>12/17/2019 1:50:11 PM</v>
      </c>
      <c r="T727" t="str">
        <f t="shared" si="298"/>
        <v>5</v>
      </c>
      <c r="U727" t="str">
        <f t="shared" si="292"/>
        <v>N/A</v>
      </c>
      <c r="V727" t="str">
        <f t="shared" si="303"/>
        <v>5.5500</v>
      </c>
    </row>
    <row r="728" spans="1:22" x14ac:dyDescent="0.25">
      <c r="A728" s="1" t="str">
        <f t="shared" si="287"/>
        <v>5139-</v>
      </c>
      <c r="B728" s="1" t="str">
        <f t="shared" si="293"/>
        <v>5139-</v>
      </c>
      <c r="C728" s="1" t="str">
        <f>VLOOKUP(B728,'Master truck list'!D:E,2,0)</f>
        <v>5139-20T</v>
      </c>
      <c r="D728" s="1" t="str">
        <f>VLOOKUP(C728,'Master truck list'!E:F,2,0)</f>
        <v>OUT OF SERVICE</v>
      </c>
      <c r="E728" s="1" t="str">
        <f>VLOOKUP(C728,'Master truck list'!E:M,9,0)</f>
        <v>BNK TRANSPORT INC</v>
      </c>
      <c r="F728" s="1" t="str">
        <f>VLOOKUP(C728,'Master truck list'!E:G,3,0)</f>
        <v>Company</v>
      </c>
      <c r="G728" s="1">
        <f>VLOOKUP(C728,'Master truck list'!E:R,14,0)</f>
        <v>2627</v>
      </c>
      <c r="H728" t="str">
        <f>"12/18/2019 7:00:28 AM"</f>
        <v>12/18/2019 7:00:28 AM</v>
      </c>
      <c r="I728" t="str">
        <f>""</f>
        <v/>
      </c>
      <c r="J728" t="str">
        <f t="shared" si="288"/>
        <v>Elite</v>
      </c>
      <c r="K728" t="str">
        <f t="shared" si="299"/>
        <v>Device</v>
      </c>
      <c r="L728" t="str">
        <f t="shared" si="300"/>
        <v>777232094</v>
      </c>
      <c r="M728" t="str">
        <f t="shared" si="301"/>
        <v>16606051</v>
      </c>
      <c r="N728" t="str">
        <f t="shared" si="302"/>
        <v>5139-20T</v>
      </c>
      <c r="O728" t="str">
        <f t="shared" si="289"/>
        <v>TEXAS</v>
      </c>
      <c r="P728" t="str">
        <f t="shared" si="290"/>
        <v>N A</v>
      </c>
      <c r="Q728" t="str">
        <f t="shared" si="291"/>
        <v>N/A</v>
      </c>
      <c r="R728" t="str">
        <f>"130 CMRNP 08 306"</f>
        <v>130 CMRNP 08 306</v>
      </c>
      <c r="S728" t="str">
        <f>"12/17/2019 2:01:07 PM"</f>
        <v>12/17/2019 2:01:07 PM</v>
      </c>
      <c r="T728" t="str">
        <f t="shared" si="298"/>
        <v>5</v>
      </c>
      <c r="U728" t="str">
        <f t="shared" si="292"/>
        <v>N/A</v>
      </c>
      <c r="V728" t="str">
        <f t="shared" si="303"/>
        <v>5.5500</v>
      </c>
    </row>
    <row r="729" spans="1:22" x14ac:dyDescent="0.25">
      <c r="A729" s="1" t="str">
        <f t="shared" si="287"/>
        <v>5139-</v>
      </c>
      <c r="B729" s="1" t="str">
        <f t="shared" si="293"/>
        <v>5139-</v>
      </c>
      <c r="C729" s="1" t="str">
        <f>VLOOKUP(B729,'Master truck list'!D:E,2,0)</f>
        <v>5139-20T</v>
      </c>
      <c r="D729" s="1" t="str">
        <f>VLOOKUP(C729,'Master truck list'!E:F,2,0)</f>
        <v>OUT OF SERVICE</v>
      </c>
      <c r="E729" s="1" t="str">
        <f>VLOOKUP(C729,'Master truck list'!E:M,9,0)</f>
        <v>BNK TRANSPORT INC</v>
      </c>
      <c r="F729" s="1" t="str">
        <f>VLOOKUP(C729,'Master truck list'!E:G,3,0)</f>
        <v>Company</v>
      </c>
      <c r="G729" s="1">
        <f>VLOOKUP(C729,'Master truck list'!E:R,14,0)</f>
        <v>2627</v>
      </c>
      <c r="H729" t="str">
        <f>"12/18/2019 7:00:28 AM"</f>
        <v>12/18/2019 7:00:28 AM</v>
      </c>
      <c r="I729" t="str">
        <f>""</f>
        <v/>
      </c>
      <c r="J729" t="str">
        <f t="shared" si="288"/>
        <v>Elite</v>
      </c>
      <c r="K729" t="str">
        <f t="shared" si="299"/>
        <v>Device</v>
      </c>
      <c r="L729" t="str">
        <f t="shared" si="300"/>
        <v>777232094</v>
      </c>
      <c r="M729" t="str">
        <f t="shared" si="301"/>
        <v>16606051</v>
      </c>
      <c r="N729" t="str">
        <f t="shared" si="302"/>
        <v>5139-20T</v>
      </c>
      <c r="O729" t="str">
        <f t="shared" si="289"/>
        <v>TEXAS</v>
      </c>
      <c r="P729" t="str">
        <f t="shared" si="290"/>
        <v>N A</v>
      </c>
      <c r="Q729" t="str">
        <f t="shared" si="291"/>
        <v>N/A</v>
      </c>
      <c r="R729" t="str">
        <f>"45SE MLPWB 01 611"</f>
        <v>45SE MLPWB 01 611</v>
      </c>
      <c r="S729" t="str">
        <f>"12/17/2019 2:28:33 PM"</f>
        <v>12/17/2019 2:28:33 PM</v>
      </c>
      <c r="T729" t="str">
        <f t="shared" si="298"/>
        <v>5</v>
      </c>
      <c r="U729" t="str">
        <f t="shared" si="292"/>
        <v>N/A</v>
      </c>
      <c r="V729" t="str">
        <f>"3.3000"</f>
        <v>3.3000</v>
      </c>
    </row>
    <row r="730" spans="1:22" x14ac:dyDescent="0.25">
      <c r="A730" s="1" t="str">
        <f t="shared" si="287"/>
        <v>5139-</v>
      </c>
      <c r="B730" s="1" t="str">
        <f t="shared" si="293"/>
        <v>5139-</v>
      </c>
      <c r="C730" s="1" t="str">
        <f>VLOOKUP(B730,'Master truck list'!D:E,2,0)</f>
        <v>5139-20T</v>
      </c>
      <c r="D730" s="1" t="str">
        <f>VLOOKUP(C730,'Master truck list'!E:F,2,0)</f>
        <v>OUT OF SERVICE</v>
      </c>
      <c r="E730" s="1" t="str">
        <f>VLOOKUP(C730,'Master truck list'!E:M,9,0)</f>
        <v>BNK TRANSPORT INC</v>
      </c>
      <c r="F730" s="1" t="str">
        <f>VLOOKUP(C730,'Master truck list'!E:G,3,0)</f>
        <v>Company</v>
      </c>
      <c r="G730" s="1">
        <f>VLOOKUP(C730,'Master truck list'!E:R,14,0)</f>
        <v>2627</v>
      </c>
      <c r="H730" t="str">
        <f t="shared" ref="H730:H739" si="304">"12/19/2019 7:00:35 AM"</f>
        <v>12/19/2019 7:00:35 AM</v>
      </c>
      <c r="I730" t="str">
        <f>""</f>
        <v/>
      </c>
      <c r="J730" t="str">
        <f t="shared" si="288"/>
        <v>Elite</v>
      </c>
      <c r="K730" t="str">
        <f t="shared" si="299"/>
        <v>Device</v>
      </c>
      <c r="L730" t="str">
        <f t="shared" si="300"/>
        <v>777232094</v>
      </c>
      <c r="M730" t="str">
        <f t="shared" si="301"/>
        <v>16606051</v>
      </c>
      <c r="N730" t="str">
        <f t="shared" si="302"/>
        <v>5139-20T</v>
      </c>
      <c r="O730" t="str">
        <f t="shared" si="289"/>
        <v>TEXAS</v>
      </c>
      <c r="P730" t="str">
        <f t="shared" si="290"/>
        <v>N A</v>
      </c>
      <c r="Q730" t="str">
        <f t="shared" si="291"/>
        <v>N/A</v>
      </c>
      <c r="R730" t="str">
        <f>"130 DKCRP 11 307"</f>
        <v>130 DKCRP 11 307</v>
      </c>
      <c r="S730" t="str">
        <f>"12/17/2019 10:30:15 PM"</f>
        <v>12/17/2019 10:30:15 PM</v>
      </c>
      <c r="T730" t="str">
        <f t="shared" si="298"/>
        <v>5</v>
      </c>
      <c r="U730" t="str">
        <f t="shared" si="292"/>
        <v>N/A</v>
      </c>
      <c r="V730" t="str">
        <f>"5.5500"</f>
        <v>5.5500</v>
      </c>
    </row>
    <row r="731" spans="1:22" x14ac:dyDescent="0.25">
      <c r="A731" s="1" t="str">
        <f t="shared" si="287"/>
        <v>5139-</v>
      </c>
      <c r="B731" s="1" t="str">
        <f t="shared" si="293"/>
        <v>5139-</v>
      </c>
      <c r="C731" s="1" t="str">
        <f>VLOOKUP(B731,'Master truck list'!D:E,2,0)</f>
        <v>5139-20T</v>
      </c>
      <c r="D731" s="1" t="str">
        <f>VLOOKUP(C731,'Master truck list'!E:F,2,0)</f>
        <v>OUT OF SERVICE</v>
      </c>
      <c r="E731" s="1" t="str">
        <f>VLOOKUP(C731,'Master truck list'!E:M,9,0)</f>
        <v>BNK TRANSPORT INC</v>
      </c>
      <c r="F731" s="1" t="str">
        <f>VLOOKUP(C731,'Master truck list'!E:G,3,0)</f>
        <v>Company</v>
      </c>
      <c r="G731" s="1">
        <f>VLOOKUP(C731,'Master truck list'!E:R,14,0)</f>
        <v>2627</v>
      </c>
      <c r="H731" t="str">
        <f t="shared" si="304"/>
        <v>12/19/2019 7:00:35 AM</v>
      </c>
      <c r="I731" t="str">
        <f>""</f>
        <v/>
      </c>
      <c r="J731" t="str">
        <f t="shared" si="288"/>
        <v>Elite</v>
      </c>
      <c r="K731" t="str">
        <f t="shared" si="299"/>
        <v>Device</v>
      </c>
      <c r="L731" t="str">
        <f t="shared" si="300"/>
        <v>777232094</v>
      </c>
      <c r="M731" t="str">
        <f t="shared" si="301"/>
        <v>16606051</v>
      </c>
      <c r="N731" t="str">
        <f t="shared" si="302"/>
        <v>5139-20T</v>
      </c>
      <c r="O731" t="str">
        <f t="shared" si="289"/>
        <v>TEXAS</v>
      </c>
      <c r="P731" t="str">
        <f t="shared" si="290"/>
        <v>N A</v>
      </c>
      <c r="Q731" t="str">
        <f t="shared" si="291"/>
        <v>N/A</v>
      </c>
      <c r="R731" t="str">
        <f>"130 ARPTP 04 308"</f>
        <v>130 ARPTP 04 308</v>
      </c>
      <c r="S731" t="str">
        <f>"12/18/2019 4:01:11 PM"</f>
        <v>12/18/2019 4:01:11 PM</v>
      </c>
      <c r="T731" t="str">
        <f t="shared" si="298"/>
        <v>5</v>
      </c>
      <c r="U731" t="str">
        <f t="shared" si="292"/>
        <v>N/A</v>
      </c>
      <c r="V731" t="str">
        <f>"5.5500"</f>
        <v>5.5500</v>
      </c>
    </row>
    <row r="732" spans="1:22" x14ac:dyDescent="0.25">
      <c r="A732" s="1" t="str">
        <f t="shared" si="287"/>
        <v>5139-</v>
      </c>
      <c r="B732" s="1" t="str">
        <f t="shared" si="293"/>
        <v>5139-</v>
      </c>
      <c r="C732" s="1" t="str">
        <f>VLOOKUP(B732,'Master truck list'!D:E,2,0)</f>
        <v>5139-20T</v>
      </c>
      <c r="D732" s="1" t="str">
        <f>VLOOKUP(C732,'Master truck list'!E:F,2,0)</f>
        <v>OUT OF SERVICE</v>
      </c>
      <c r="E732" s="1" t="str">
        <f>VLOOKUP(C732,'Master truck list'!E:M,9,0)</f>
        <v>BNK TRANSPORT INC</v>
      </c>
      <c r="F732" s="1" t="str">
        <f>VLOOKUP(C732,'Master truck list'!E:G,3,0)</f>
        <v>Company</v>
      </c>
      <c r="G732" s="1">
        <f>VLOOKUP(C732,'Master truck list'!E:R,14,0)</f>
        <v>2627</v>
      </c>
      <c r="H732" t="str">
        <f t="shared" si="304"/>
        <v>12/19/2019 7:00:35 AM</v>
      </c>
      <c r="I732" t="str">
        <f>""</f>
        <v/>
      </c>
      <c r="J732" t="str">
        <f t="shared" si="288"/>
        <v>Elite</v>
      </c>
      <c r="K732" t="str">
        <f t="shared" si="299"/>
        <v>Device</v>
      </c>
      <c r="L732" t="str">
        <f t="shared" si="300"/>
        <v>777232094</v>
      </c>
      <c r="M732" t="str">
        <f t="shared" si="301"/>
        <v>16606051</v>
      </c>
      <c r="N732" t="str">
        <f t="shared" si="302"/>
        <v>5139-20T</v>
      </c>
      <c r="O732" t="str">
        <f t="shared" si="289"/>
        <v>TEXAS</v>
      </c>
      <c r="P732" t="str">
        <f t="shared" si="290"/>
        <v>N A</v>
      </c>
      <c r="Q732" t="str">
        <f t="shared" si="291"/>
        <v>N/A</v>
      </c>
      <c r="R732" t="str">
        <f>"45SE MLPEB 02 611"</f>
        <v>45SE MLPEB 02 611</v>
      </c>
      <c r="S732" t="str">
        <f>"12/17/2019 10:12:46 PM"</f>
        <v>12/17/2019 10:12:46 PM</v>
      </c>
      <c r="T732" t="str">
        <f t="shared" si="298"/>
        <v>5</v>
      </c>
      <c r="U732" t="str">
        <f t="shared" si="292"/>
        <v>N/A</v>
      </c>
      <c r="V732" t="str">
        <f>"3.3000"</f>
        <v>3.3000</v>
      </c>
    </row>
    <row r="733" spans="1:22" x14ac:dyDescent="0.25">
      <c r="A733" s="1" t="str">
        <f t="shared" si="287"/>
        <v>5139-</v>
      </c>
      <c r="B733" s="1" t="str">
        <f t="shared" si="293"/>
        <v>5139-</v>
      </c>
      <c r="C733" s="1" t="str">
        <f>VLOOKUP(B733,'Master truck list'!D:E,2,0)</f>
        <v>5139-20T</v>
      </c>
      <c r="D733" s="1" t="str">
        <f>VLOOKUP(C733,'Master truck list'!E:F,2,0)</f>
        <v>OUT OF SERVICE</v>
      </c>
      <c r="E733" s="1" t="str">
        <f>VLOOKUP(C733,'Master truck list'!E:M,9,0)</f>
        <v>BNK TRANSPORT INC</v>
      </c>
      <c r="F733" s="1" t="str">
        <f>VLOOKUP(C733,'Master truck list'!E:G,3,0)</f>
        <v>Company</v>
      </c>
      <c r="G733" s="1">
        <f>VLOOKUP(C733,'Master truck list'!E:R,14,0)</f>
        <v>2627</v>
      </c>
      <c r="H733" t="str">
        <f t="shared" si="304"/>
        <v>12/19/2019 7:00:35 AM</v>
      </c>
      <c r="I733" t="str">
        <f>""</f>
        <v/>
      </c>
      <c r="J733" t="str">
        <f t="shared" si="288"/>
        <v>Elite</v>
      </c>
      <c r="K733" t="str">
        <f t="shared" si="299"/>
        <v>Device</v>
      </c>
      <c r="L733" t="str">
        <f t="shared" si="300"/>
        <v>777232094</v>
      </c>
      <c r="M733" t="str">
        <f t="shared" si="301"/>
        <v>16606051</v>
      </c>
      <c r="N733" t="str">
        <f t="shared" si="302"/>
        <v>5139-20T</v>
      </c>
      <c r="O733" t="str">
        <f t="shared" si="289"/>
        <v>TEXAS</v>
      </c>
      <c r="P733" t="str">
        <f t="shared" si="290"/>
        <v>N A</v>
      </c>
      <c r="Q733" t="str">
        <f t="shared" si="291"/>
        <v>N/A</v>
      </c>
      <c r="R733" t="str">
        <f>"130 MGCRP 11 305"</f>
        <v>130 MGCRP 11 305</v>
      </c>
      <c r="S733" t="str">
        <f>"12/17/2019 10:51:25 PM"</f>
        <v>12/17/2019 10:51:25 PM</v>
      </c>
      <c r="T733" t="str">
        <f t="shared" si="298"/>
        <v>5</v>
      </c>
      <c r="U733" t="str">
        <f t="shared" si="292"/>
        <v>N/A</v>
      </c>
      <c r="V733" t="str">
        <f>"5.5500"</f>
        <v>5.5500</v>
      </c>
    </row>
    <row r="734" spans="1:22" x14ac:dyDescent="0.25">
      <c r="A734" s="1" t="str">
        <f t="shared" si="287"/>
        <v>5139-</v>
      </c>
      <c r="B734" s="1" t="str">
        <f t="shared" si="293"/>
        <v>5139-</v>
      </c>
      <c r="C734" s="1" t="str">
        <f>VLOOKUP(B734,'Master truck list'!D:E,2,0)</f>
        <v>5139-20T</v>
      </c>
      <c r="D734" s="1" t="str">
        <f>VLOOKUP(C734,'Master truck list'!E:F,2,0)</f>
        <v>OUT OF SERVICE</v>
      </c>
      <c r="E734" s="1" t="str">
        <f>VLOOKUP(C734,'Master truck list'!E:M,9,0)</f>
        <v>BNK TRANSPORT INC</v>
      </c>
      <c r="F734" s="1" t="str">
        <f>VLOOKUP(C734,'Master truck list'!E:G,3,0)</f>
        <v>Company</v>
      </c>
      <c r="G734" s="1">
        <f>VLOOKUP(C734,'Master truck list'!E:R,14,0)</f>
        <v>2627</v>
      </c>
      <c r="H734" t="str">
        <f t="shared" si="304"/>
        <v>12/19/2019 7:00:35 AM</v>
      </c>
      <c r="I734" t="str">
        <f>""</f>
        <v/>
      </c>
      <c r="J734" t="str">
        <f t="shared" si="288"/>
        <v>Elite</v>
      </c>
      <c r="K734" t="str">
        <f t="shared" si="299"/>
        <v>Device</v>
      </c>
      <c r="L734" t="str">
        <f t="shared" si="300"/>
        <v>777232094</v>
      </c>
      <c r="M734" t="str">
        <f t="shared" si="301"/>
        <v>16606051</v>
      </c>
      <c r="N734" t="str">
        <f t="shared" si="302"/>
        <v>5139-20T</v>
      </c>
      <c r="O734" t="str">
        <f t="shared" si="289"/>
        <v>TEXAS</v>
      </c>
      <c r="P734" t="str">
        <f t="shared" si="290"/>
        <v>N A</v>
      </c>
      <c r="Q734" t="str">
        <f t="shared" si="291"/>
        <v>N/A</v>
      </c>
      <c r="R734" t="str">
        <f>"130 ARPTP 09 308"</f>
        <v>130 ARPTP 09 308</v>
      </c>
      <c r="S734" t="str">
        <f>"12/17/2019 10:23:20 PM"</f>
        <v>12/17/2019 10:23:20 PM</v>
      </c>
      <c r="T734" t="str">
        <f t="shared" si="298"/>
        <v>5</v>
      </c>
      <c r="U734" t="str">
        <f t="shared" si="292"/>
        <v>N/A</v>
      </c>
      <c r="V734" t="str">
        <f>"5.5500"</f>
        <v>5.5500</v>
      </c>
    </row>
    <row r="735" spans="1:22" x14ac:dyDescent="0.25">
      <c r="A735" s="1" t="str">
        <f t="shared" si="287"/>
        <v>5139-</v>
      </c>
      <c r="B735" s="1" t="str">
        <f t="shared" si="293"/>
        <v>5139-</v>
      </c>
      <c r="C735" s="1" t="str">
        <f>VLOOKUP(B735,'Master truck list'!D:E,2,0)</f>
        <v>5139-20T</v>
      </c>
      <c r="D735" s="1" t="str">
        <f>VLOOKUP(C735,'Master truck list'!E:F,2,0)</f>
        <v>OUT OF SERVICE</v>
      </c>
      <c r="E735" s="1" t="str">
        <f>VLOOKUP(C735,'Master truck list'!E:M,9,0)</f>
        <v>BNK TRANSPORT INC</v>
      </c>
      <c r="F735" s="1" t="str">
        <f>VLOOKUP(C735,'Master truck list'!E:G,3,0)</f>
        <v>Company</v>
      </c>
      <c r="G735" s="1">
        <f>VLOOKUP(C735,'Master truck list'!E:R,14,0)</f>
        <v>2627</v>
      </c>
      <c r="H735" t="str">
        <f t="shared" si="304"/>
        <v>12/19/2019 7:00:35 AM</v>
      </c>
      <c r="I735" t="str">
        <f>""</f>
        <v/>
      </c>
      <c r="J735" t="str">
        <f t="shared" si="288"/>
        <v>Elite</v>
      </c>
      <c r="K735" t="str">
        <f t="shared" si="299"/>
        <v>Device</v>
      </c>
      <c r="L735" t="str">
        <f t="shared" si="300"/>
        <v>777232094</v>
      </c>
      <c r="M735" t="str">
        <f t="shared" si="301"/>
        <v>16606051</v>
      </c>
      <c r="N735" t="str">
        <f t="shared" si="302"/>
        <v>5139-20T</v>
      </c>
      <c r="O735" t="str">
        <f t="shared" si="289"/>
        <v>TEXAS</v>
      </c>
      <c r="P735" t="str">
        <f t="shared" si="290"/>
        <v>N A</v>
      </c>
      <c r="Q735" t="str">
        <f t="shared" si="291"/>
        <v>N/A</v>
      </c>
      <c r="R735" t="str">
        <f>"130 CMRNP 13 306"</f>
        <v>130 CMRNP 13 306</v>
      </c>
      <c r="S735" t="str">
        <f>"12/17/2019 10:40:25 PM"</f>
        <v>12/17/2019 10:40:25 PM</v>
      </c>
      <c r="T735" t="str">
        <f>"2"</f>
        <v>2</v>
      </c>
      <c r="U735" t="str">
        <f t="shared" si="292"/>
        <v>N/A</v>
      </c>
      <c r="V735" t="str">
        <f>"1.8500"</f>
        <v>1.8500</v>
      </c>
    </row>
    <row r="736" spans="1:22" x14ac:dyDescent="0.25">
      <c r="A736" s="1" t="str">
        <f t="shared" si="287"/>
        <v>5139-</v>
      </c>
      <c r="B736" s="1" t="str">
        <f t="shared" si="293"/>
        <v>5139-</v>
      </c>
      <c r="C736" s="1" t="str">
        <f>VLOOKUP(B736,'Master truck list'!D:E,2,0)</f>
        <v>5139-20T</v>
      </c>
      <c r="D736" s="1" t="str">
        <f>VLOOKUP(C736,'Master truck list'!E:F,2,0)</f>
        <v>OUT OF SERVICE</v>
      </c>
      <c r="E736" s="1" t="str">
        <f>VLOOKUP(C736,'Master truck list'!E:M,9,0)</f>
        <v>BNK TRANSPORT INC</v>
      </c>
      <c r="F736" s="1" t="str">
        <f>VLOOKUP(C736,'Master truck list'!E:G,3,0)</f>
        <v>Company</v>
      </c>
      <c r="G736" s="1">
        <f>VLOOKUP(C736,'Master truck list'!E:R,14,0)</f>
        <v>2627</v>
      </c>
      <c r="H736" t="str">
        <f t="shared" si="304"/>
        <v>12/19/2019 7:00:35 AM</v>
      </c>
      <c r="I736" t="str">
        <f>""</f>
        <v/>
      </c>
      <c r="J736" t="str">
        <f t="shared" si="288"/>
        <v>Elite</v>
      </c>
      <c r="K736" t="str">
        <f t="shared" si="299"/>
        <v>Device</v>
      </c>
      <c r="L736" t="str">
        <f t="shared" si="300"/>
        <v>777232094</v>
      </c>
      <c r="M736" t="str">
        <f t="shared" si="301"/>
        <v>16606051</v>
      </c>
      <c r="N736" t="str">
        <f t="shared" si="302"/>
        <v>5139-20T</v>
      </c>
      <c r="O736" t="str">
        <f t="shared" si="289"/>
        <v>TEXAS</v>
      </c>
      <c r="P736" t="str">
        <f t="shared" si="290"/>
        <v>N A</v>
      </c>
      <c r="Q736" t="str">
        <f t="shared" si="291"/>
        <v>N/A</v>
      </c>
      <c r="R736" t="str">
        <f>"130 CMRNP 08 306"</f>
        <v>130 CMRNP 08 306</v>
      </c>
      <c r="S736" t="str">
        <f>"12/18/2019 3:44:16 PM"</f>
        <v>12/18/2019 3:44:16 PM</v>
      </c>
      <c r="T736" t="str">
        <f t="shared" ref="T736:T799" si="305">"5"</f>
        <v>5</v>
      </c>
      <c r="U736" t="str">
        <f t="shared" si="292"/>
        <v>N/A</v>
      </c>
      <c r="V736" t="str">
        <f>"5.5500"</f>
        <v>5.5500</v>
      </c>
    </row>
    <row r="737" spans="1:22" x14ac:dyDescent="0.25">
      <c r="A737" s="1" t="str">
        <f t="shared" si="287"/>
        <v>5139-</v>
      </c>
      <c r="B737" s="1" t="str">
        <f t="shared" si="293"/>
        <v>5139-</v>
      </c>
      <c r="C737" s="1" t="str">
        <f>VLOOKUP(B737,'Master truck list'!D:E,2,0)</f>
        <v>5139-20T</v>
      </c>
      <c r="D737" s="1" t="str">
        <f>VLOOKUP(C737,'Master truck list'!E:F,2,0)</f>
        <v>OUT OF SERVICE</v>
      </c>
      <c r="E737" s="1" t="str">
        <f>VLOOKUP(C737,'Master truck list'!E:M,9,0)</f>
        <v>BNK TRANSPORT INC</v>
      </c>
      <c r="F737" s="1" t="str">
        <f>VLOOKUP(C737,'Master truck list'!E:G,3,0)</f>
        <v>Company</v>
      </c>
      <c r="G737" s="1">
        <f>VLOOKUP(C737,'Master truck list'!E:R,14,0)</f>
        <v>2627</v>
      </c>
      <c r="H737" t="str">
        <f t="shared" si="304"/>
        <v>12/19/2019 7:00:35 AM</v>
      </c>
      <c r="I737" t="str">
        <f>""</f>
        <v/>
      </c>
      <c r="J737" t="str">
        <f t="shared" si="288"/>
        <v>Elite</v>
      </c>
      <c r="K737" t="str">
        <f t="shared" si="299"/>
        <v>Device</v>
      </c>
      <c r="L737" t="str">
        <f t="shared" si="300"/>
        <v>777232094</v>
      </c>
      <c r="M737" t="str">
        <f t="shared" si="301"/>
        <v>16606051</v>
      </c>
      <c r="N737" t="str">
        <f t="shared" si="302"/>
        <v>5139-20T</v>
      </c>
      <c r="O737" t="str">
        <f t="shared" si="289"/>
        <v>TEXAS</v>
      </c>
      <c r="P737" t="str">
        <f t="shared" si="290"/>
        <v>N A</v>
      </c>
      <c r="Q737" t="str">
        <f t="shared" si="291"/>
        <v>N/A</v>
      </c>
      <c r="R737" t="str">
        <f>"130 DKCRP 06 307"</f>
        <v>130 DKCRP 06 307</v>
      </c>
      <c r="S737" t="str">
        <f>"12/18/2019 3:54:13 PM"</f>
        <v>12/18/2019 3:54:13 PM</v>
      </c>
      <c r="T737" t="str">
        <f t="shared" si="305"/>
        <v>5</v>
      </c>
      <c r="U737" t="str">
        <f t="shared" si="292"/>
        <v>N/A</v>
      </c>
      <c r="V737" t="str">
        <f>"5.5500"</f>
        <v>5.5500</v>
      </c>
    </row>
    <row r="738" spans="1:22" x14ac:dyDescent="0.25">
      <c r="A738" s="1" t="str">
        <f t="shared" si="287"/>
        <v>5139-</v>
      </c>
      <c r="B738" s="1" t="str">
        <f t="shared" si="293"/>
        <v>5139-</v>
      </c>
      <c r="C738" s="1" t="str">
        <f>VLOOKUP(B738,'Master truck list'!D:E,2,0)</f>
        <v>5139-20T</v>
      </c>
      <c r="D738" s="1" t="str">
        <f>VLOOKUP(C738,'Master truck list'!E:F,2,0)</f>
        <v>OUT OF SERVICE</v>
      </c>
      <c r="E738" s="1" t="str">
        <f>VLOOKUP(C738,'Master truck list'!E:M,9,0)</f>
        <v>BNK TRANSPORT INC</v>
      </c>
      <c r="F738" s="1" t="str">
        <f>VLOOKUP(C738,'Master truck list'!E:G,3,0)</f>
        <v>Company</v>
      </c>
      <c r="G738" s="1">
        <f>VLOOKUP(C738,'Master truck list'!E:R,14,0)</f>
        <v>2627</v>
      </c>
      <c r="H738" t="str">
        <f t="shared" si="304"/>
        <v>12/19/2019 7:00:35 AM</v>
      </c>
      <c r="I738" t="str">
        <f>""</f>
        <v/>
      </c>
      <c r="J738" t="str">
        <f t="shared" si="288"/>
        <v>Elite</v>
      </c>
      <c r="K738" t="str">
        <f t="shared" si="299"/>
        <v>Device</v>
      </c>
      <c r="L738" t="str">
        <f t="shared" si="300"/>
        <v>777232094</v>
      </c>
      <c r="M738" t="str">
        <f t="shared" si="301"/>
        <v>16606051</v>
      </c>
      <c r="N738" t="str">
        <f t="shared" si="302"/>
        <v>5139-20T</v>
      </c>
      <c r="O738" t="str">
        <f t="shared" si="289"/>
        <v>TEXAS</v>
      </c>
      <c r="P738" t="str">
        <f t="shared" si="290"/>
        <v>N A</v>
      </c>
      <c r="Q738" t="str">
        <f t="shared" si="291"/>
        <v>N/A</v>
      </c>
      <c r="R738" t="str">
        <f>"130 MGCRP 06 305"</f>
        <v>130 MGCRP 06 305</v>
      </c>
      <c r="S738" t="str">
        <f>"12/18/2019 3:33:18 PM"</f>
        <v>12/18/2019 3:33:18 PM</v>
      </c>
      <c r="T738" t="str">
        <f t="shared" si="305"/>
        <v>5</v>
      </c>
      <c r="U738" t="str">
        <f t="shared" si="292"/>
        <v>N/A</v>
      </c>
      <c r="V738" t="str">
        <f>"5.5500"</f>
        <v>5.5500</v>
      </c>
    </row>
    <row r="739" spans="1:22" x14ac:dyDescent="0.25">
      <c r="A739" s="1" t="str">
        <f t="shared" si="287"/>
        <v>5139-</v>
      </c>
      <c r="B739" s="1" t="str">
        <f t="shared" si="293"/>
        <v>5139-</v>
      </c>
      <c r="C739" s="1" t="str">
        <f>VLOOKUP(B739,'Master truck list'!D:E,2,0)</f>
        <v>5139-20T</v>
      </c>
      <c r="D739" s="1" t="str">
        <f>VLOOKUP(C739,'Master truck list'!E:F,2,0)</f>
        <v>OUT OF SERVICE</v>
      </c>
      <c r="E739" s="1" t="str">
        <f>VLOOKUP(C739,'Master truck list'!E:M,9,0)</f>
        <v>BNK TRANSPORT INC</v>
      </c>
      <c r="F739" s="1" t="str">
        <f>VLOOKUP(C739,'Master truck list'!E:G,3,0)</f>
        <v>Company</v>
      </c>
      <c r="G739" s="1">
        <f>VLOOKUP(C739,'Master truck list'!E:R,14,0)</f>
        <v>2627</v>
      </c>
      <c r="H739" t="str">
        <f t="shared" si="304"/>
        <v>12/19/2019 7:00:35 AM</v>
      </c>
      <c r="I739" t="str">
        <f>""</f>
        <v/>
      </c>
      <c r="J739" t="str">
        <f t="shared" si="288"/>
        <v>Elite</v>
      </c>
      <c r="K739" t="str">
        <f t="shared" si="299"/>
        <v>Device</v>
      </c>
      <c r="L739" t="str">
        <f t="shared" si="300"/>
        <v>777232094</v>
      </c>
      <c r="M739" t="str">
        <f t="shared" si="301"/>
        <v>16606051</v>
      </c>
      <c r="N739" t="str">
        <f t="shared" si="302"/>
        <v>5139-20T</v>
      </c>
      <c r="O739" t="str">
        <f t="shared" si="289"/>
        <v>TEXAS</v>
      </c>
      <c r="P739" t="str">
        <f t="shared" si="290"/>
        <v>N A</v>
      </c>
      <c r="Q739" t="str">
        <f t="shared" si="291"/>
        <v>N/A</v>
      </c>
      <c r="R739" t="str">
        <f>"45SE MLPWB 01 611"</f>
        <v>45SE MLPWB 01 611</v>
      </c>
      <c r="S739" t="str">
        <f>"12/18/2019 4:11:47 PM"</f>
        <v>12/18/2019 4:11:47 PM</v>
      </c>
      <c r="T739" t="str">
        <f t="shared" si="305"/>
        <v>5</v>
      </c>
      <c r="U739" t="str">
        <f t="shared" si="292"/>
        <v>N/A</v>
      </c>
      <c r="V739" t="str">
        <f>"3.3000"</f>
        <v>3.3000</v>
      </c>
    </row>
    <row r="740" spans="1:22" x14ac:dyDescent="0.25">
      <c r="A740" s="1" t="str">
        <f t="shared" si="287"/>
        <v>5146-</v>
      </c>
      <c r="B740" s="1" t="str">
        <f t="shared" si="293"/>
        <v>5146-</v>
      </c>
      <c r="C740" s="1" t="str">
        <f>VLOOKUP(B740,'Master truck list'!D:E,2,0)</f>
        <v>5146-20T</v>
      </c>
      <c r="D740" s="1" t="str">
        <f>VLOOKUP(C740,'Master truck list'!E:F,2,0)</f>
        <v>OUT OF SERVICE</v>
      </c>
      <c r="E740" s="1" t="str">
        <f>VLOOKUP(C740,'Master truck list'!E:M,9,0)</f>
        <v>BNK TRANSPORT INC</v>
      </c>
      <c r="F740" s="1" t="str">
        <f>VLOOKUP(C740,'Master truck list'!E:G,3,0)</f>
        <v>Company</v>
      </c>
      <c r="G740" s="1">
        <f>VLOOKUP(C740,'Master truck list'!E:R,14,0)</f>
        <v>2633</v>
      </c>
      <c r="H740" t="str">
        <f>"12/18/2019 7:00:28 AM"</f>
        <v>12/18/2019 7:00:28 AM</v>
      </c>
      <c r="I740" t="str">
        <f>""</f>
        <v/>
      </c>
      <c r="J740" t="str">
        <f t="shared" si="288"/>
        <v>Elite</v>
      </c>
      <c r="K740" t="str">
        <f t="shared" si="299"/>
        <v>Device</v>
      </c>
      <c r="L740" t="str">
        <f>"777237682"</f>
        <v>777237682</v>
      </c>
      <c r="M740" t="str">
        <f>"16670439"</f>
        <v>16670439</v>
      </c>
      <c r="N740" t="str">
        <f>"5146-20T"</f>
        <v>5146-20T</v>
      </c>
      <c r="O740" t="str">
        <f t="shared" si="289"/>
        <v>TEXAS</v>
      </c>
      <c r="P740" t="str">
        <f t="shared" si="290"/>
        <v>N A</v>
      </c>
      <c r="Q740" t="str">
        <f t="shared" si="291"/>
        <v>N/A</v>
      </c>
      <c r="R740" t="str">
        <f>"130 ARPTP 09 308"</f>
        <v>130 ARPTP 09 308</v>
      </c>
      <c r="S740" t="str">
        <f>"12/17/2019 3:27:11 PM"</f>
        <v>12/17/2019 3:27:11 PM</v>
      </c>
      <c r="T740" t="str">
        <f t="shared" si="305"/>
        <v>5</v>
      </c>
      <c r="U740" t="str">
        <f t="shared" si="292"/>
        <v>N/A</v>
      </c>
      <c r="V740" t="str">
        <f>"5.5500"</f>
        <v>5.5500</v>
      </c>
    </row>
    <row r="741" spans="1:22" x14ac:dyDescent="0.25">
      <c r="A741" s="1" t="str">
        <f t="shared" si="287"/>
        <v>5146-</v>
      </c>
      <c r="B741" s="1" t="str">
        <f t="shared" si="293"/>
        <v>5146-</v>
      </c>
      <c r="C741" s="1" t="s">
        <v>8886</v>
      </c>
      <c r="D741" s="1" t="s">
        <v>91</v>
      </c>
      <c r="E741" s="1" t="s">
        <v>1738</v>
      </c>
      <c r="F741" s="1" t="s">
        <v>22</v>
      </c>
      <c r="G741" s="1" t="e">
        <f>VLOOKUP(C741,'Master truck list'!E:R,14,0)</f>
        <v>#N/A</v>
      </c>
      <c r="H741" t="str">
        <f>"12/18/2019 7:00:28 AM"</f>
        <v>12/18/2019 7:00:28 AM</v>
      </c>
      <c r="I741" t="str">
        <f>""</f>
        <v/>
      </c>
      <c r="J741" t="str">
        <f t="shared" si="288"/>
        <v>Elite</v>
      </c>
      <c r="K741" t="str">
        <f t="shared" si="299"/>
        <v>Device</v>
      </c>
      <c r="L741" t="str">
        <f>"777237682"</f>
        <v>777237682</v>
      </c>
      <c r="M741" t="str">
        <f>"16670439"</f>
        <v>16670439</v>
      </c>
      <c r="N741" t="str">
        <f>"5146-20T"</f>
        <v>5146-20T</v>
      </c>
      <c r="O741" t="str">
        <f t="shared" si="289"/>
        <v>TEXAS</v>
      </c>
      <c r="P741" t="str">
        <f t="shared" si="290"/>
        <v>N A</v>
      </c>
      <c r="Q741" t="str">
        <f t="shared" si="291"/>
        <v>N/A</v>
      </c>
      <c r="R741" t="str">
        <f>"130 MGCRP 11 305"</f>
        <v>130 MGCRP 11 305</v>
      </c>
      <c r="S741" t="str">
        <f>"12/17/2019 3:55:01 PM"</f>
        <v>12/17/2019 3:55:01 PM</v>
      </c>
      <c r="T741" t="str">
        <f t="shared" si="305"/>
        <v>5</v>
      </c>
      <c r="U741" t="str">
        <f t="shared" si="292"/>
        <v>N/A</v>
      </c>
      <c r="V741" t="str">
        <f>"5.5500"</f>
        <v>5.5500</v>
      </c>
    </row>
    <row r="742" spans="1:22" x14ac:dyDescent="0.25">
      <c r="A742" s="1" t="str">
        <f t="shared" si="287"/>
        <v>5146-</v>
      </c>
      <c r="B742" s="1" t="str">
        <f t="shared" si="293"/>
        <v>5146-</v>
      </c>
      <c r="C742" s="1" t="s">
        <v>8887</v>
      </c>
      <c r="D742" s="1" t="s">
        <v>91</v>
      </c>
      <c r="E742" s="1" t="s">
        <v>1738</v>
      </c>
      <c r="F742" s="1" t="s">
        <v>22</v>
      </c>
      <c r="G742" s="1" t="e">
        <f>VLOOKUP(C742,'Master truck list'!E:R,14,0)</f>
        <v>#N/A</v>
      </c>
      <c r="H742" t="str">
        <f>"12/18/2019 7:00:28 AM"</f>
        <v>12/18/2019 7:00:28 AM</v>
      </c>
      <c r="I742" t="str">
        <f>""</f>
        <v/>
      </c>
      <c r="J742" t="str">
        <f t="shared" si="288"/>
        <v>Elite</v>
      </c>
      <c r="K742" t="str">
        <f t="shared" si="299"/>
        <v>Device</v>
      </c>
      <c r="L742" t="str">
        <f>"777237682"</f>
        <v>777237682</v>
      </c>
      <c r="M742" t="str">
        <f>"16670439"</f>
        <v>16670439</v>
      </c>
      <c r="N742" t="str">
        <f>"5146-20T"</f>
        <v>5146-20T</v>
      </c>
      <c r="O742" t="str">
        <f t="shared" si="289"/>
        <v>TEXAS</v>
      </c>
      <c r="P742" t="str">
        <f t="shared" si="290"/>
        <v>N A</v>
      </c>
      <c r="Q742" t="str">
        <f t="shared" si="291"/>
        <v>N/A</v>
      </c>
      <c r="R742" t="str">
        <f>"45SE MLPEB 02 611"</f>
        <v>45SE MLPEB 02 611</v>
      </c>
      <c r="S742" t="str">
        <f>"12/17/2019 3:16:36 PM"</f>
        <v>12/17/2019 3:16:36 PM</v>
      </c>
      <c r="T742" t="str">
        <f t="shared" si="305"/>
        <v>5</v>
      </c>
      <c r="U742" t="str">
        <f t="shared" si="292"/>
        <v>N/A</v>
      </c>
      <c r="V742" t="str">
        <f>"3.3000"</f>
        <v>3.3000</v>
      </c>
    </row>
    <row r="743" spans="1:22" x14ac:dyDescent="0.25">
      <c r="A743" s="1" t="str">
        <f t="shared" si="287"/>
        <v>5146-</v>
      </c>
      <c r="B743" s="1" t="str">
        <f t="shared" si="293"/>
        <v>5146-</v>
      </c>
      <c r="C743" s="1" t="str">
        <f>VLOOKUP(B743,'Master truck list'!D:E,2,0)</f>
        <v>5146-20T</v>
      </c>
      <c r="D743" s="1" t="str">
        <f>VLOOKUP(C743,'Master truck list'!E:F,2,0)</f>
        <v>OUT OF SERVICE</v>
      </c>
      <c r="E743" s="1" t="str">
        <f>VLOOKUP(C743,'Master truck list'!E:M,9,0)</f>
        <v>BNK TRANSPORT INC</v>
      </c>
      <c r="F743" s="1" t="str">
        <f>VLOOKUP(C743,'Master truck list'!E:G,3,0)</f>
        <v>Company</v>
      </c>
      <c r="G743" s="1">
        <f>VLOOKUP(C743,'Master truck list'!E:R,14,0)</f>
        <v>2633</v>
      </c>
      <c r="H743" t="str">
        <f>"12/18/2019 7:00:28 AM"</f>
        <v>12/18/2019 7:00:28 AM</v>
      </c>
      <c r="I743" t="str">
        <f>""</f>
        <v/>
      </c>
      <c r="J743" t="str">
        <f t="shared" si="288"/>
        <v>Elite</v>
      </c>
      <c r="K743" t="str">
        <f t="shared" si="299"/>
        <v>Device</v>
      </c>
      <c r="L743" t="str">
        <f>"777237682"</f>
        <v>777237682</v>
      </c>
      <c r="M743" t="str">
        <f>"16670439"</f>
        <v>16670439</v>
      </c>
      <c r="N743" t="str">
        <f>"5146-20T"</f>
        <v>5146-20T</v>
      </c>
      <c r="O743" t="str">
        <f t="shared" si="289"/>
        <v>TEXAS</v>
      </c>
      <c r="P743" t="str">
        <f t="shared" si="290"/>
        <v>N A</v>
      </c>
      <c r="Q743" t="str">
        <f t="shared" si="291"/>
        <v>N/A</v>
      </c>
      <c r="R743" t="str">
        <f>"130 DKCRP 11 307"</f>
        <v>130 DKCRP 11 307</v>
      </c>
      <c r="S743" t="str">
        <f>"12/17/2019 3:34:10 PM"</f>
        <v>12/17/2019 3:34:10 PM</v>
      </c>
      <c r="T743" t="str">
        <f t="shared" si="305"/>
        <v>5</v>
      </c>
      <c r="U743" t="str">
        <f t="shared" si="292"/>
        <v>N/A</v>
      </c>
      <c r="V743" t="str">
        <f t="shared" ref="V743:V751" si="306">"5.5500"</f>
        <v>5.5500</v>
      </c>
    </row>
    <row r="744" spans="1:22" x14ac:dyDescent="0.25">
      <c r="A744" s="1" t="str">
        <f t="shared" si="287"/>
        <v>5146-</v>
      </c>
      <c r="B744" s="1" t="str">
        <f t="shared" si="293"/>
        <v>5146-</v>
      </c>
      <c r="C744" s="1" t="str">
        <f>VLOOKUP(B744,'Master truck list'!D:E,2,0)</f>
        <v>5146-20T</v>
      </c>
      <c r="D744" s="1" t="str">
        <f>VLOOKUP(C744,'Master truck list'!E:F,2,0)</f>
        <v>OUT OF SERVICE</v>
      </c>
      <c r="E744" s="1" t="str">
        <f>VLOOKUP(C744,'Master truck list'!E:M,9,0)</f>
        <v>BNK TRANSPORT INC</v>
      </c>
      <c r="F744" s="1" t="str">
        <f>VLOOKUP(C744,'Master truck list'!E:G,3,0)</f>
        <v>Company</v>
      </c>
      <c r="G744" s="1">
        <f>VLOOKUP(C744,'Master truck list'!E:R,14,0)</f>
        <v>2633</v>
      </c>
      <c r="H744" t="str">
        <f>"12/18/2019 7:00:28 AM"</f>
        <v>12/18/2019 7:00:28 AM</v>
      </c>
      <c r="I744" t="str">
        <f>""</f>
        <v/>
      </c>
      <c r="J744" t="str">
        <f t="shared" si="288"/>
        <v>Elite</v>
      </c>
      <c r="K744" t="str">
        <f t="shared" si="299"/>
        <v>Device</v>
      </c>
      <c r="L744" t="str">
        <f>"777237682"</f>
        <v>777237682</v>
      </c>
      <c r="M744" t="str">
        <f>"16670439"</f>
        <v>16670439</v>
      </c>
      <c r="N744" t="str">
        <f>"5146-20T"</f>
        <v>5146-20T</v>
      </c>
      <c r="O744" t="str">
        <f t="shared" si="289"/>
        <v>TEXAS</v>
      </c>
      <c r="P744" t="str">
        <f t="shared" si="290"/>
        <v>N A</v>
      </c>
      <c r="Q744" t="str">
        <f t="shared" si="291"/>
        <v>N/A</v>
      </c>
      <c r="R744" t="str">
        <f>"130 CMRNP 13 306"</f>
        <v>130 CMRNP 13 306</v>
      </c>
      <c r="S744" t="str">
        <f>"12/17/2019 3:44:07 PM"</f>
        <v>12/17/2019 3:44:07 PM</v>
      </c>
      <c r="T744" t="str">
        <f t="shared" si="305"/>
        <v>5</v>
      </c>
      <c r="U744" t="str">
        <f t="shared" si="292"/>
        <v>N/A</v>
      </c>
      <c r="V744" t="str">
        <f t="shared" si="306"/>
        <v>5.5500</v>
      </c>
    </row>
    <row r="745" spans="1:22" x14ac:dyDescent="0.25">
      <c r="A745" s="1" t="str">
        <f t="shared" si="287"/>
        <v>5147-</v>
      </c>
      <c r="B745" s="1" t="str">
        <f t="shared" si="293"/>
        <v>5147-</v>
      </c>
      <c r="C745" s="1" t="str">
        <f>VLOOKUP(B745,'Master truck list'!D:E,2,0)</f>
        <v>5147-20T</v>
      </c>
      <c r="D745" s="1" t="str">
        <f>VLOOKUP(C745,'Master truck list'!E:F,2,0)</f>
        <v>OUT OF SERVICE</v>
      </c>
      <c r="E745" s="1" t="str">
        <f>VLOOKUP(C745,'Master truck list'!E:M,9,0)</f>
        <v>BNK TRANSPORT INC</v>
      </c>
      <c r="F745" s="1" t="str">
        <f>VLOOKUP(C745,'Master truck list'!E:G,3,0)</f>
        <v>Company</v>
      </c>
      <c r="G745" s="1">
        <f>VLOOKUP(C745,'Master truck list'!E:R,14,0)</f>
        <v>2634</v>
      </c>
      <c r="H745" t="str">
        <f t="shared" ref="H745:H753" si="307">"12/21/2019 7:00:28 AM"</f>
        <v>12/21/2019 7:00:28 AM</v>
      </c>
      <c r="I745" t="str">
        <f>""</f>
        <v/>
      </c>
      <c r="J745" t="str">
        <f t="shared" si="288"/>
        <v>Elite</v>
      </c>
      <c r="K745" t="str">
        <f t="shared" si="299"/>
        <v>Device</v>
      </c>
      <c r="L745" t="str">
        <f>"777231717"</f>
        <v>777231717</v>
      </c>
      <c r="M745" t="str">
        <f>"16605674"</f>
        <v>16605674</v>
      </c>
      <c r="N745" t="str">
        <f>"5147-20T"</f>
        <v>5147-20T</v>
      </c>
      <c r="O745" t="str">
        <f t="shared" si="289"/>
        <v>TEXAS</v>
      </c>
      <c r="P745" t="str">
        <f t="shared" si="290"/>
        <v>N A</v>
      </c>
      <c r="Q745" t="str">
        <f t="shared" si="291"/>
        <v>N/A</v>
      </c>
      <c r="R745" t="str">
        <f>"130 ARPTP 04 308"</f>
        <v>130 ARPTP 04 308</v>
      </c>
      <c r="S745" t="str">
        <f>"12/20/2019 2:29:01 PM"</f>
        <v>12/20/2019 2:29:01 PM</v>
      </c>
      <c r="T745" t="str">
        <f t="shared" si="305"/>
        <v>5</v>
      </c>
      <c r="U745" t="str">
        <f t="shared" si="292"/>
        <v>N/A</v>
      </c>
      <c r="V745" t="str">
        <f t="shared" si="306"/>
        <v>5.5500</v>
      </c>
    </row>
    <row r="746" spans="1:22" x14ac:dyDescent="0.25">
      <c r="A746" s="1" t="str">
        <f t="shared" si="287"/>
        <v>5147-</v>
      </c>
      <c r="B746" s="1" t="str">
        <f t="shared" si="293"/>
        <v>5147-</v>
      </c>
      <c r="C746" s="1" t="str">
        <f>VLOOKUP(B746,'Master truck list'!D:E,2,0)</f>
        <v>5147-20T</v>
      </c>
      <c r="D746" s="1" t="str">
        <f>VLOOKUP(C746,'Master truck list'!E:F,2,0)</f>
        <v>OUT OF SERVICE</v>
      </c>
      <c r="E746" s="1" t="str">
        <f>VLOOKUP(C746,'Master truck list'!E:M,9,0)</f>
        <v>BNK TRANSPORT INC</v>
      </c>
      <c r="F746" s="1" t="str">
        <f>VLOOKUP(C746,'Master truck list'!E:G,3,0)</f>
        <v>Company</v>
      </c>
      <c r="G746" s="1">
        <f>VLOOKUP(C746,'Master truck list'!E:R,14,0)</f>
        <v>2634</v>
      </c>
      <c r="H746" t="str">
        <f t="shared" si="307"/>
        <v>12/21/2019 7:00:28 AM</v>
      </c>
      <c r="I746" t="str">
        <f>""</f>
        <v/>
      </c>
      <c r="J746" t="str">
        <f t="shared" si="288"/>
        <v>Elite</v>
      </c>
      <c r="K746" t="str">
        <f t="shared" si="299"/>
        <v>Device</v>
      </c>
      <c r="L746" t="str">
        <f>"777231717"</f>
        <v>777231717</v>
      </c>
      <c r="M746" t="str">
        <f>"16605674"</f>
        <v>16605674</v>
      </c>
      <c r="N746" t="str">
        <f>"5147-20T"</f>
        <v>5147-20T</v>
      </c>
      <c r="O746" t="str">
        <f t="shared" si="289"/>
        <v>TEXAS</v>
      </c>
      <c r="P746" t="str">
        <f t="shared" si="290"/>
        <v>N A</v>
      </c>
      <c r="Q746" t="str">
        <f t="shared" si="291"/>
        <v>N/A</v>
      </c>
      <c r="R746" t="str">
        <f>"130 CMRNP 08 306"</f>
        <v>130 CMRNP 08 306</v>
      </c>
      <c r="S746" t="str">
        <f>"12/20/2019 2:11:03 PM"</f>
        <v>12/20/2019 2:11:03 PM</v>
      </c>
      <c r="T746" t="str">
        <f t="shared" si="305"/>
        <v>5</v>
      </c>
      <c r="U746" t="str">
        <f t="shared" si="292"/>
        <v>N/A</v>
      </c>
      <c r="V746" t="str">
        <f t="shared" si="306"/>
        <v>5.5500</v>
      </c>
    </row>
    <row r="747" spans="1:22" x14ac:dyDescent="0.25">
      <c r="A747" s="1" t="str">
        <f t="shared" si="287"/>
        <v>5147-</v>
      </c>
      <c r="B747" s="1" t="str">
        <f t="shared" si="293"/>
        <v>5147-</v>
      </c>
      <c r="C747" s="1" t="s">
        <v>8888</v>
      </c>
      <c r="D747" s="1" t="s">
        <v>91</v>
      </c>
      <c r="E747" s="1" t="s">
        <v>1738</v>
      </c>
      <c r="F747" s="1" t="s">
        <v>22</v>
      </c>
      <c r="G747" s="1" t="e">
        <f>VLOOKUP(C747,'Master truck list'!E:R,14,0)</f>
        <v>#N/A</v>
      </c>
      <c r="H747" t="str">
        <f t="shared" si="307"/>
        <v>12/21/2019 7:00:28 AM</v>
      </c>
      <c r="I747" t="str">
        <f>""</f>
        <v/>
      </c>
      <c r="J747" t="str">
        <f t="shared" si="288"/>
        <v>Elite</v>
      </c>
      <c r="K747" t="str">
        <f t="shared" si="299"/>
        <v>Device</v>
      </c>
      <c r="L747" t="str">
        <f>"777231717"</f>
        <v>777231717</v>
      </c>
      <c r="M747" t="str">
        <f>"16605674"</f>
        <v>16605674</v>
      </c>
      <c r="N747" t="str">
        <f>"5147-20T"</f>
        <v>5147-20T</v>
      </c>
      <c r="O747" t="str">
        <f t="shared" si="289"/>
        <v>TEXAS</v>
      </c>
      <c r="P747" t="str">
        <f t="shared" si="290"/>
        <v>N A</v>
      </c>
      <c r="Q747" t="str">
        <f t="shared" si="291"/>
        <v>N/A</v>
      </c>
      <c r="R747" t="str">
        <f>"130 MGCRP 06 305"</f>
        <v>130 MGCRP 06 305</v>
      </c>
      <c r="S747" t="str">
        <f>"12/20/2019 1:59:59 PM"</f>
        <v>12/20/2019 1:59:59 PM</v>
      </c>
      <c r="T747" t="str">
        <f t="shared" si="305"/>
        <v>5</v>
      </c>
      <c r="U747" t="str">
        <f t="shared" si="292"/>
        <v>N/A</v>
      </c>
      <c r="V747" t="str">
        <f t="shared" si="306"/>
        <v>5.5500</v>
      </c>
    </row>
    <row r="748" spans="1:22" x14ac:dyDescent="0.25">
      <c r="A748" s="1" t="str">
        <f t="shared" si="287"/>
        <v>5147-</v>
      </c>
      <c r="B748" s="1" t="str">
        <f t="shared" si="293"/>
        <v>5147-</v>
      </c>
      <c r="C748" s="1" t="s">
        <v>8889</v>
      </c>
      <c r="D748" s="1" t="s">
        <v>91</v>
      </c>
      <c r="E748" s="1" t="s">
        <v>1738</v>
      </c>
      <c r="F748" s="1" t="s">
        <v>22</v>
      </c>
      <c r="G748" s="1" t="e">
        <f>VLOOKUP(C748,'Master truck list'!E:R,14,0)</f>
        <v>#N/A</v>
      </c>
      <c r="H748" t="str">
        <f t="shared" si="307"/>
        <v>12/21/2019 7:00:28 AM</v>
      </c>
      <c r="I748" t="str">
        <f>""</f>
        <v/>
      </c>
      <c r="J748" t="str">
        <f t="shared" si="288"/>
        <v>Elite</v>
      </c>
      <c r="K748" t="str">
        <f t="shared" si="299"/>
        <v>Device</v>
      </c>
      <c r="L748" t="str">
        <f>"777231717"</f>
        <v>777231717</v>
      </c>
      <c r="M748" t="str">
        <f>"16605674"</f>
        <v>16605674</v>
      </c>
      <c r="N748" t="str">
        <f>"5147-20T"</f>
        <v>5147-20T</v>
      </c>
      <c r="O748" t="str">
        <f t="shared" si="289"/>
        <v>TEXAS</v>
      </c>
      <c r="P748" t="str">
        <f t="shared" si="290"/>
        <v>N A</v>
      </c>
      <c r="Q748" t="str">
        <f t="shared" si="291"/>
        <v>N/A</v>
      </c>
      <c r="R748" t="str">
        <f>"130 DKCRP 06 307"</f>
        <v>130 DKCRP 06 307</v>
      </c>
      <c r="S748" t="str">
        <f>"12/20/2019 2:21:52 PM"</f>
        <v>12/20/2019 2:21:52 PM</v>
      </c>
      <c r="T748" t="str">
        <f t="shared" si="305"/>
        <v>5</v>
      </c>
      <c r="U748" t="str">
        <f t="shared" si="292"/>
        <v>N/A</v>
      </c>
      <c r="V748" t="str">
        <f t="shared" si="306"/>
        <v>5.5500</v>
      </c>
    </row>
    <row r="749" spans="1:22" x14ac:dyDescent="0.25">
      <c r="A749" s="1" t="str">
        <f t="shared" si="287"/>
        <v>5144-</v>
      </c>
      <c r="B749" s="1" t="str">
        <f t="shared" si="293"/>
        <v>5144-</v>
      </c>
      <c r="C749" s="1" t="s">
        <v>8890</v>
      </c>
      <c r="D749" s="1" t="s">
        <v>91</v>
      </c>
      <c r="E749" s="1" t="s">
        <v>154</v>
      </c>
      <c r="F749" s="1" t="s">
        <v>22</v>
      </c>
      <c r="G749" s="1" t="e">
        <f>VLOOKUP(C749,'Master truck list'!E:R,14,0)</f>
        <v>#N/A</v>
      </c>
      <c r="H749" t="str">
        <f t="shared" si="307"/>
        <v>12/21/2019 7:00:28 AM</v>
      </c>
      <c r="I749" t="str">
        <f>""</f>
        <v/>
      </c>
      <c r="J749" t="str">
        <f t="shared" si="288"/>
        <v>Elite</v>
      </c>
      <c r="K749" t="str">
        <f t="shared" si="299"/>
        <v>Device</v>
      </c>
      <c r="L749" t="str">
        <f t="shared" ref="L749:L758" si="308">"777254218"</f>
        <v>777254218</v>
      </c>
      <c r="M749" t="str">
        <f t="shared" ref="M749:M758" si="309">"16722100"</f>
        <v>16722100</v>
      </c>
      <c r="N749" t="str">
        <f t="shared" ref="N749:N758" si="310">"5144-20T"</f>
        <v>5144-20T</v>
      </c>
      <c r="O749" t="str">
        <f t="shared" si="289"/>
        <v>TEXAS</v>
      </c>
      <c r="P749" t="str">
        <f t="shared" si="290"/>
        <v>N A</v>
      </c>
      <c r="Q749" t="str">
        <f t="shared" si="291"/>
        <v>N/A</v>
      </c>
      <c r="R749" t="str">
        <f>"130 DKCRP 06 307"</f>
        <v>130 DKCRP 06 307</v>
      </c>
      <c r="S749" t="str">
        <f>"12/20/2019 3:31:13 PM"</f>
        <v>12/20/2019 3:31:13 PM</v>
      </c>
      <c r="T749" t="str">
        <f t="shared" si="305"/>
        <v>5</v>
      </c>
      <c r="U749" t="str">
        <f t="shared" si="292"/>
        <v>N/A</v>
      </c>
      <c r="V749" t="str">
        <f t="shared" si="306"/>
        <v>5.5500</v>
      </c>
    </row>
    <row r="750" spans="1:22" x14ac:dyDescent="0.25">
      <c r="A750" s="1" t="str">
        <f t="shared" si="287"/>
        <v>5144-</v>
      </c>
      <c r="B750" s="1" t="str">
        <f t="shared" si="293"/>
        <v>5144-</v>
      </c>
      <c r="C750" s="1" t="str">
        <f>VLOOKUP(B750,'Master truck list'!D:E,2,0)</f>
        <v>5144-20T</v>
      </c>
      <c r="D750" s="1" t="str">
        <f>VLOOKUP(C750,'Master truck list'!E:F,2,0)</f>
        <v>OUT OF SERVICE</v>
      </c>
      <c r="E750" s="1" t="str">
        <f>VLOOKUP(C750,'Master truck list'!E:M,9,0)</f>
        <v>BNK TRANSPORT INC</v>
      </c>
      <c r="F750" s="1" t="str">
        <f>VLOOKUP(C750,'Master truck list'!E:G,3,0)</f>
        <v>Company</v>
      </c>
      <c r="G750" s="1">
        <f>VLOOKUP(C750,'Master truck list'!E:R,14,0)</f>
        <v>2631</v>
      </c>
      <c r="H750" t="str">
        <f t="shared" si="307"/>
        <v>12/21/2019 7:00:28 AM</v>
      </c>
      <c r="I750" t="str">
        <f>""</f>
        <v/>
      </c>
      <c r="J750" t="str">
        <f t="shared" si="288"/>
        <v>Elite</v>
      </c>
      <c r="K750" t="str">
        <f t="shared" si="299"/>
        <v>Device</v>
      </c>
      <c r="L750" t="str">
        <f t="shared" si="308"/>
        <v>777254218</v>
      </c>
      <c r="M750" t="str">
        <f t="shared" si="309"/>
        <v>16722100</v>
      </c>
      <c r="N750" t="str">
        <f t="shared" si="310"/>
        <v>5144-20T</v>
      </c>
      <c r="O750" t="str">
        <f t="shared" si="289"/>
        <v>TEXAS</v>
      </c>
      <c r="P750" t="str">
        <f t="shared" si="290"/>
        <v>N A</v>
      </c>
      <c r="Q750" t="str">
        <f t="shared" si="291"/>
        <v>N/A</v>
      </c>
      <c r="R750" t="str">
        <f>"130 MGCRP 06 305"</f>
        <v>130 MGCRP 06 305</v>
      </c>
      <c r="S750" t="str">
        <f>"12/20/2019 3:06:55 PM"</f>
        <v>12/20/2019 3:06:55 PM</v>
      </c>
      <c r="T750" t="str">
        <f t="shared" si="305"/>
        <v>5</v>
      </c>
      <c r="U750" t="str">
        <f t="shared" si="292"/>
        <v>N/A</v>
      </c>
      <c r="V750" t="str">
        <f t="shared" si="306"/>
        <v>5.5500</v>
      </c>
    </row>
    <row r="751" spans="1:22" x14ac:dyDescent="0.25">
      <c r="A751" s="1" t="str">
        <f t="shared" si="287"/>
        <v>5144-</v>
      </c>
      <c r="B751" s="1" t="str">
        <f t="shared" si="293"/>
        <v>5144-</v>
      </c>
      <c r="C751" s="1" t="str">
        <f>VLOOKUP(B751,'Master truck list'!D:E,2,0)</f>
        <v>5144-20T</v>
      </c>
      <c r="D751" s="1" t="str">
        <f>VLOOKUP(C751,'Master truck list'!E:F,2,0)</f>
        <v>OUT OF SERVICE</v>
      </c>
      <c r="E751" s="1" t="str">
        <f>VLOOKUP(C751,'Master truck list'!E:M,9,0)</f>
        <v>BNK TRANSPORT INC</v>
      </c>
      <c r="F751" s="1" t="str">
        <f>VLOOKUP(C751,'Master truck list'!E:G,3,0)</f>
        <v>Company</v>
      </c>
      <c r="G751" s="1">
        <f>VLOOKUP(C751,'Master truck list'!E:R,14,0)</f>
        <v>2631</v>
      </c>
      <c r="H751" t="str">
        <f t="shared" si="307"/>
        <v>12/21/2019 7:00:28 AM</v>
      </c>
      <c r="I751" t="str">
        <f>""</f>
        <v/>
      </c>
      <c r="J751" t="str">
        <f t="shared" si="288"/>
        <v>Elite</v>
      </c>
      <c r="K751" t="str">
        <f t="shared" si="299"/>
        <v>Device</v>
      </c>
      <c r="L751" t="str">
        <f t="shared" si="308"/>
        <v>777254218</v>
      </c>
      <c r="M751" t="str">
        <f t="shared" si="309"/>
        <v>16722100</v>
      </c>
      <c r="N751" t="str">
        <f t="shared" si="310"/>
        <v>5144-20T</v>
      </c>
      <c r="O751" t="str">
        <f t="shared" si="289"/>
        <v>TEXAS</v>
      </c>
      <c r="P751" t="str">
        <f t="shared" si="290"/>
        <v>N A</v>
      </c>
      <c r="Q751" t="str">
        <f t="shared" si="291"/>
        <v>N/A</v>
      </c>
      <c r="R751" t="str">
        <f>"130 CMRNP 08 306"</f>
        <v>130 CMRNP 08 306</v>
      </c>
      <c r="S751" t="str">
        <f>"12/20/2019 3:18:17 PM"</f>
        <v>12/20/2019 3:18:17 PM</v>
      </c>
      <c r="T751" t="str">
        <f t="shared" si="305"/>
        <v>5</v>
      </c>
      <c r="U751" t="str">
        <f t="shared" si="292"/>
        <v>N/A</v>
      </c>
      <c r="V751" t="str">
        <f t="shared" si="306"/>
        <v>5.5500</v>
      </c>
    </row>
    <row r="752" spans="1:22" x14ac:dyDescent="0.25">
      <c r="A752" s="1" t="str">
        <f t="shared" si="287"/>
        <v>5144-</v>
      </c>
      <c r="B752" s="1" t="str">
        <f t="shared" si="293"/>
        <v>5144-</v>
      </c>
      <c r="C752" s="1" t="str">
        <f>VLOOKUP(B752,'Master truck list'!D:E,2,0)</f>
        <v>5144-20T</v>
      </c>
      <c r="D752" s="1" t="str">
        <f>VLOOKUP(C752,'Master truck list'!E:F,2,0)</f>
        <v>OUT OF SERVICE</v>
      </c>
      <c r="E752" s="1" t="str">
        <f>VLOOKUP(C752,'Master truck list'!E:M,9,0)</f>
        <v>BNK TRANSPORT INC</v>
      </c>
      <c r="F752" s="1" t="str">
        <f>VLOOKUP(C752,'Master truck list'!E:G,3,0)</f>
        <v>Company</v>
      </c>
      <c r="G752" s="1">
        <f>VLOOKUP(C752,'Master truck list'!E:R,14,0)</f>
        <v>2631</v>
      </c>
      <c r="H752" t="str">
        <f t="shared" si="307"/>
        <v>12/21/2019 7:00:28 AM</v>
      </c>
      <c r="I752" t="str">
        <f>""</f>
        <v/>
      </c>
      <c r="J752" t="str">
        <f t="shared" si="288"/>
        <v>Elite</v>
      </c>
      <c r="K752" t="str">
        <f t="shared" si="299"/>
        <v>Device</v>
      </c>
      <c r="L752" t="str">
        <f t="shared" si="308"/>
        <v>777254218</v>
      </c>
      <c r="M752" t="str">
        <f t="shared" si="309"/>
        <v>16722100</v>
      </c>
      <c r="N752" t="str">
        <f t="shared" si="310"/>
        <v>5144-20T</v>
      </c>
      <c r="O752" t="str">
        <f t="shared" si="289"/>
        <v>TEXAS</v>
      </c>
      <c r="P752" t="str">
        <f t="shared" si="290"/>
        <v>N A</v>
      </c>
      <c r="Q752" t="str">
        <f t="shared" si="291"/>
        <v>N/A</v>
      </c>
      <c r="R752" t="str">
        <f>"45SE MLPWB 01 611"</f>
        <v>45SE MLPWB 01 611</v>
      </c>
      <c r="S752" t="str">
        <f>"12/20/2019 3:54:29 PM"</f>
        <v>12/20/2019 3:54:29 PM</v>
      </c>
      <c r="T752" t="str">
        <f t="shared" si="305"/>
        <v>5</v>
      </c>
      <c r="U752" t="str">
        <f t="shared" si="292"/>
        <v>N/A</v>
      </c>
      <c r="V752" t="str">
        <f>"3.3000"</f>
        <v>3.3000</v>
      </c>
    </row>
    <row r="753" spans="1:22" x14ac:dyDescent="0.25">
      <c r="A753" s="1" t="str">
        <f t="shared" si="287"/>
        <v>5144-</v>
      </c>
      <c r="B753" s="1" t="str">
        <f>SUBSTITUTE(A753," ","")</f>
        <v>5144-</v>
      </c>
      <c r="C753" s="1" t="str">
        <f>VLOOKUP(B753,'Master truck list'!D:E,2,0)</f>
        <v>5144-20T</v>
      </c>
      <c r="D753" s="1" t="str">
        <f>VLOOKUP(C753,'Master truck list'!E:F,2,0)</f>
        <v>OUT OF SERVICE</v>
      </c>
      <c r="E753" s="1" t="str">
        <f>VLOOKUP(C753,'Master truck list'!E:M,9,0)</f>
        <v>BNK TRANSPORT INC</v>
      </c>
      <c r="F753" s="1" t="str">
        <f>VLOOKUP(C753,'Master truck list'!E:G,3,0)</f>
        <v>Company</v>
      </c>
      <c r="G753" s="1">
        <f>VLOOKUP(C753,'Master truck list'!E:R,14,0)</f>
        <v>2631</v>
      </c>
      <c r="H753" t="str">
        <f t="shared" si="307"/>
        <v>12/21/2019 7:00:28 AM</v>
      </c>
      <c r="I753" t="str">
        <f>""</f>
        <v/>
      </c>
      <c r="J753" t="str">
        <f t="shared" si="288"/>
        <v>Elite</v>
      </c>
      <c r="K753" t="str">
        <f t="shared" si="299"/>
        <v>Device</v>
      </c>
      <c r="L753" t="str">
        <f t="shared" si="308"/>
        <v>777254218</v>
      </c>
      <c r="M753" t="str">
        <f t="shared" si="309"/>
        <v>16722100</v>
      </c>
      <c r="N753" t="str">
        <f t="shared" si="310"/>
        <v>5144-20T</v>
      </c>
      <c r="O753" t="str">
        <f t="shared" si="289"/>
        <v>TEXAS</v>
      </c>
      <c r="P753" t="str">
        <f t="shared" si="290"/>
        <v>N A</v>
      </c>
      <c r="Q753" t="str">
        <f t="shared" si="291"/>
        <v>N/A</v>
      </c>
      <c r="R753" t="str">
        <f>"130 ARPTP 04 308"</f>
        <v>130 ARPTP 04 308</v>
      </c>
      <c r="S753" t="str">
        <f>"12/20/2019 3:43:18 PM"</f>
        <v>12/20/2019 3:43:18 PM</v>
      </c>
      <c r="T753" t="str">
        <f t="shared" si="305"/>
        <v>5</v>
      </c>
      <c r="U753" t="str">
        <f t="shared" si="292"/>
        <v>N/A</v>
      </c>
      <c r="V753" t="str">
        <f>"5.5500"</f>
        <v>5.5500</v>
      </c>
    </row>
    <row r="754" spans="1:22" x14ac:dyDescent="0.25">
      <c r="A754" s="1" t="str">
        <f t="shared" si="287"/>
        <v>5144-</v>
      </c>
      <c r="B754" s="1" t="str">
        <f t="shared" si="293"/>
        <v>5144-</v>
      </c>
      <c r="C754" s="1" t="str">
        <f>VLOOKUP(B754,'Master truck list'!D:E,2,0)</f>
        <v>5144-20T</v>
      </c>
      <c r="D754" s="1" t="str">
        <f>VLOOKUP(C754,'Master truck list'!E:F,2,0)</f>
        <v>OUT OF SERVICE</v>
      </c>
      <c r="E754" s="1" t="str">
        <f>VLOOKUP(C754,'Master truck list'!E:M,9,0)</f>
        <v>BNK TRANSPORT INC</v>
      </c>
      <c r="F754" s="1" t="str">
        <f>VLOOKUP(C754,'Master truck list'!E:G,3,0)</f>
        <v>Company</v>
      </c>
      <c r="G754" s="1">
        <f>VLOOKUP(C754,'Master truck list'!E:R,14,0)</f>
        <v>2631</v>
      </c>
      <c r="H754" t="str">
        <f>"12/17/2019 7:00:33 AM"</f>
        <v>12/17/2019 7:00:33 AM</v>
      </c>
      <c r="I754" t="str">
        <f>""</f>
        <v/>
      </c>
      <c r="J754" t="str">
        <f t="shared" si="288"/>
        <v>Elite</v>
      </c>
      <c r="K754" t="str">
        <f t="shared" si="299"/>
        <v>Device</v>
      </c>
      <c r="L754" t="str">
        <f t="shared" si="308"/>
        <v>777254218</v>
      </c>
      <c r="M754" t="str">
        <f t="shared" si="309"/>
        <v>16722100</v>
      </c>
      <c r="N754" t="str">
        <f t="shared" si="310"/>
        <v>5144-20T</v>
      </c>
      <c r="O754" t="str">
        <f t="shared" si="289"/>
        <v>TEXAS</v>
      </c>
      <c r="P754" t="str">
        <f t="shared" si="290"/>
        <v>N A</v>
      </c>
      <c r="Q754" t="str">
        <f t="shared" si="291"/>
        <v>N/A</v>
      </c>
      <c r="R754" t="str">
        <f>"130 DKCRP 11 307"</f>
        <v>130 DKCRP 11 307</v>
      </c>
      <c r="S754" t="str">
        <f>"12/16/2019 4:15:08 PM"</f>
        <v>12/16/2019 4:15:08 PM</v>
      </c>
      <c r="T754" t="str">
        <f t="shared" si="305"/>
        <v>5</v>
      </c>
      <c r="U754" t="str">
        <f t="shared" si="292"/>
        <v>N/A</v>
      </c>
      <c r="V754" t="str">
        <f>"5.5500"</f>
        <v>5.5500</v>
      </c>
    </row>
    <row r="755" spans="1:22" x14ac:dyDescent="0.25">
      <c r="A755" s="1" t="str">
        <f t="shared" si="287"/>
        <v>5144-</v>
      </c>
      <c r="B755" s="1" t="str">
        <f t="shared" si="293"/>
        <v>5144-</v>
      </c>
      <c r="C755" s="1" t="str">
        <f>VLOOKUP(B755,'Master truck list'!D:E,2,0)</f>
        <v>5144-20T</v>
      </c>
      <c r="D755" s="1" t="str">
        <f>VLOOKUP(C755,'Master truck list'!E:F,2,0)</f>
        <v>OUT OF SERVICE</v>
      </c>
      <c r="E755" s="1" t="str">
        <f>VLOOKUP(C755,'Master truck list'!E:M,9,0)</f>
        <v>BNK TRANSPORT INC</v>
      </c>
      <c r="F755" s="1" t="str">
        <f>VLOOKUP(C755,'Master truck list'!E:G,3,0)</f>
        <v>Company</v>
      </c>
      <c r="G755" s="1">
        <f>VLOOKUP(C755,'Master truck list'!E:R,14,0)</f>
        <v>2631</v>
      </c>
      <c r="H755" t="str">
        <f>"12/17/2019 7:00:33 AM"</f>
        <v>12/17/2019 7:00:33 AM</v>
      </c>
      <c r="I755" t="str">
        <f>""</f>
        <v/>
      </c>
      <c r="J755" t="str">
        <f t="shared" si="288"/>
        <v>Elite</v>
      </c>
      <c r="K755" t="str">
        <f t="shared" si="299"/>
        <v>Device</v>
      </c>
      <c r="L755" t="str">
        <f t="shared" si="308"/>
        <v>777254218</v>
      </c>
      <c r="M755" t="str">
        <f t="shared" si="309"/>
        <v>16722100</v>
      </c>
      <c r="N755" t="str">
        <f t="shared" si="310"/>
        <v>5144-20T</v>
      </c>
      <c r="O755" t="str">
        <f t="shared" si="289"/>
        <v>TEXAS</v>
      </c>
      <c r="P755" t="str">
        <f t="shared" si="290"/>
        <v>N A</v>
      </c>
      <c r="Q755" t="str">
        <f t="shared" si="291"/>
        <v>N/A</v>
      </c>
      <c r="R755" t="str">
        <f>"130 ARPTP 09 308"</f>
        <v>130 ARPTP 09 308</v>
      </c>
      <c r="S755" t="str">
        <f>"12/16/2019 4:07:56 PM"</f>
        <v>12/16/2019 4:07:56 PM</v>
      </c>
      <c r="T755" t="str">
        <f t="shared" si="305"/>
        <v>5</v>
      </c>
      <c r="U755" t="str">
        <f t="shared" si="292"/>
        <v>N/A</v>
      </c>
      <c r="V755" t="str">
        <f>"5.5500"</f>
        <v>5.5500</v>
      </c>
    </row>
    <row r="756" spans="1:22" x14ac:dyDescent="0.25">
      <c r="A756" s="1" t="str">
        <f t="shared" si="287"/>
        <v>5144-</v>
      </c>
      <c r="B756" s="1" t="str">
        <f t="shared" si="293"/>
        <v>5144-</v>
      </c>
      <c r="C756" s="1" t="str">
        <f>VLOOKUP(B756,'Master truck list'!D:E,2,0)</f>
        <v>5144-20T</v>
      </c>
      <c r="D756" s="1" t="str">
        <f>VLOOKUP(C756,'Master truck list'!E:F,2,0)</f>
        <v>OUT OF SERVICE</v>
      </c>
      <c r="E756" s="1" t="str">
        <f>VLOOKUP(C756,'Master truck list'!E:M,9,0)</f>
        <v>BNK TRANSPORT INC</v>
      </c>
      <c r="F756" s="1" t="str">
        <f>VLOOKUP(C756,'Master truck list'!E:G,3,0)</f>
        <v>Company</v>
      </c>
      <c r="G756" s="1">
        <f>VLOOKUP(C756,'Master truck list'!E:R,14,0)</f>
        <v>2631</v>
      </c>
      <c r="H756" t="str">
        <f>"12/17/2019 7:00:33 AM"</f>
        <v>12/17/2019 7:00:33 AM</v>
      </c>
      <c r="I756" t="str">
        <f>""</f>
        <v/>
      </c>
      <c r="J756" t="str">
        <f t="shared" si="288"/>
        <v>Elite</v>
      </c>
      <c r="K756" t="str">
        <f t="shared" si="299"/>
        <v>Device</v>
      </c>
      <c r="L756" t="str">
        <f t="shared" si="308"/>
        <v>777254218</v>
      </c>
      <c r="M756" t="str">
        <f t="shared" si="309"/>
        <v>16722100</v>
      </c>
      <c r="N756" t="str">
        <f t="shared" si="310"/>
        <v>5144-20T</v>
      </c>
      <c r="O756" t="str">
        <f t="shared" si="289"/>
        <v>TEXAS</v>
      </c>
      <c r="P756" t="str">
        <f t="shared" si="290"/>
        <v>N A</v>
      </c>
      <c r="Q756" t="str">
        <f t="shared" si="291"/>
        <v>N/A</v>
      </c>
      <c r="R756" t="str">
        <f>"130 CMRNP 13 306"</f>
        <v>130 CMRNP 13 306</v>
      </c>
      <c r="S756" t="str">
        <f>"12/16/2019 4:25:53 PM"</f>
        <v>12/16/2019 4:25:53 PM</v>
      </c>
      <c r="T756" t="str">
        <f t="shared" si="305"/>
        <v>5</v>
      </c>
      <c r="U756" t="str">
        <f t="shared" si="292"/>
        <v>N/A</v>
      </c>
      <c r="V756" t="str">
        <f>"5.5500"</f>
        <v>5.5500</v>
      </c>
    </row>
    <row r="757" spans="1:22" x14ac:dyDescent="0.25">
      <c r="A757" s="1" t="str">
        <f t="shared" si="287"/>
        <v>5144-</v>
      </c>
      <c r="B757" s="1" t="str">
        <f t="shared" si="293"/>
        <v>5144-</v>
      </c>
      <c r="C757" s="1" t="str">
        <f>VLOOKUP(B757,'Master truck list'!D:E,2,0)</f>
        <v>5144-20T</v>
      </c>
      <c r="D757" s="1" t="str">
        <f>VLOOKUP(C757,'Master truck list'!E:F,2,0)</f>
        <v>OUT OF SERVICE</v>
      </c>
      <c r="E757" s="1" t="str">
        <f>VLOOKUP(C757,'Master truck list'!E:M,9,0)</f>
        <v>BNK TRANSPORT INC</v>
      </c>
      <c r="F757" s="1" t="str">
        <f>VLOOKUP(C757,'Master truck list'!E:G,3,0)</f>
        <v>Company</v>
      </c>
      <c r="G757" s="1">
        <f>VLOOKUP(C757,'Master truck list'!E:R,14,0)</f>
        <v>2631</v>
      </c>
      <c r="H757" t="str">
        <f>"12/17/2019 7:00:33 AM"</f>
        <v>12/17/2019 7:00:33 AM</v>
      </c>
      <c r="I757" t="str">
        <f>""</f>
        <v/>
      </c>
      <c r="J757" t="str">
        <f t="shared" si="288"/>
        <v>Elite</v>
      </c>
      <c r="K757" t="str">
        <f t="shared" si="299"/>
        <v>Device</v>
      </c>
      <c r="L757" t="str">
        <f t="shared" si="308"/>
        <v>777254218</v>
      </c>
      <c r="M757" t="str">
        <f t="shared" si="309"/>
        <v>16722100</v>
      </c>
      <c r="N757" t="str">
        <f t="shared" si="310"/>
        <v>5144-20T</v>
      </c>
      <c r="O757" t="str">
        <f t="shared" si="289"/>
        <v>TEXAS</v>
      </c>
      <c r="P757" t="str">
        <f t="shared" si="290"/>
        <v>N A</v>
      </c>
      <c r="Q757" t="str">
        <f t="shared" si="291"/>
        <v>N/A</v>
      </c>
      <c r="R757" t="str">
        <f>"130 MGCRP 11 305"</f>
        <v>130 MGCRP 11 305</v>
      </c>
      <c r="S757" t="str">
        <f>"12/16/2019 4:37:15 PM"</f>
        <v>12/16/2019 4:37:15 PM</v>
      </c>
      <c r="T757" t="str">
        <f t="shared" si="305"/>
        <v>5</v>
      </c>
      <c r="U757" t="str">
        <f t="shared" si="292"/>
        <v>N/A</v>
      </c>
      <c r="V757" t="str">
        <f>"5.5500"</f>
        <v>5.5500</v>
      </c>
    </row>
    <row r="758" spans="1:22" x14ac:dyDescent="0.25">
      <c r="A758" s="1" t="str">
        <f t="shared" si="287"/>
        <v>5144-</v>
      </c>
      <c r="B758" s="1" t="str">
        <f t="shared" si="293"/>
        <v>5144-</v>
      </c>
      <c r="C758" s="1" t="s">
        <v>8891</v>
      </c>
      <c r="D758" s="1" t="s">
        <v>91</v>
      </c>
      <c r="E758" s="1" t="s">
        <v>1738</v>
      </c>
      <c r="F758" s="1" t="s">
        <v>22</v>
      </c>
      <c r="G758" s="1" t="e">
        <f>VLOOKUP(C758,'Master truck list'!E:R,14,0)</f>
        <v>#N/A</v>
      </c>
      <c r="H758" t="str">
        <f>"12/17/2019 7:00:33 AM"</f>
        <v>12/17/2019 7:00:33 AM</v>
      </c>
      <c r="I758" t="str">
        <f>""</f>
        <v/>
      </c>
      <c r="J758" t="str">
        <f t="shared" si="288"/>
        <v>Elite</v>
      </c>
      <c r="K758" t="str">
        <f t="shared" si="299"/>
        <v>Device</v>
      </c>
      <c r="L758" t="str">
        <f t="shared" si="308"/>
        <v>777254218</v>
      </c>
      <c r="M758" t="str">
        <f t="shared" si="309"/>
        <v>16722100</v>
      </c>
      <c r="N758" t="str">
        <f t="shared" si="310"/>
        <v>5144-20T</v>
      </c>
      <c r="O758" t="str">
        <f t="shared" si="289"/>
        <v>TEXAS</v>
      </c>
      <c r="P758" t="str">
        <f t="shared" si="290"/>
        <v>N A</v>
      </c>
      <c r="Q758" t="str">
        <f t="shared" si="291"/>
        <v>N/A</v>
      </c>
      <c r="R758" t="str">
        <f>"45SE MLPEB 02 611"</f>
        <v>45SE MLPEB 02 611</v>
      </c>
      <c r="S758" t="str">
        <f>"12/16/2019 3:57:11 PM"</f>
        <v>12/16/2019 3:57:11 PM</v>
      </c>
      <c r="T758" t="str">
        <f t="shared" si="305"/>
        <v>5</v>
      </c>
      <c r="U758" t="str">
        <f t="shared" si="292"/>
        <v>N/A</v>
      </c>
      <c r="V758" t="str">
        <f>"3.3000"</f>
        <v>3.3000</v>
      </c>
    </row>
    <row r="759" spans="1:22" x14ac:dyDescent="0.25">
      <c r="A759" s="1" t="str">
        <f t="shared" si="287"/>
        <v>5140-</v>
      </c>
      <c r="B759" s="1" t="str">
        <f t="shared" si="293"/>
        <v>5140-</v>
      </c>
      <c r="C759" s="1" t="str">
        <f>VLOOKUP(B759,'Master truck list'!D:E,2,0)</f>
        <v>5140-20T</v>
      </c>
      <c r="D759" s="1" t="str">
        <f>VLOOKUP(C759,'Master truck list'!E:F,2,0)</f>
        <v>OUT OF SERVICE</v>
      </c>
      <c r="E759" s="1" t="str">
        <f>VLOOKUP(C759,'Master truck list'!E:M,9,0)</f>
        <v>BNK TRANSPORT INC</v>
      </c>
      <c r="F759" s="1" t="str">
        <f>VLOOKUP(C759,'Master truck list'!E:G,3,0)</f>
        <v>Company</v>
      </c>
      <c r="G759" s="1">
        <f>VLOOKUP(C759,'Master truck list'!E:R,14,0)</f>
        <v>2628</v>
      </c>
      <c r="H759" t="str">
        <f t="shared" ref="H759:H768" si="311">"12/18/2019 7:00:28 AM"</f>
        <v>12/18/2019 7:00:28 AM</v>
      </c>
      <c r="I759" t="str">
        <f>""</f>
        <v/>
      </c>
      <c r="J759" t="str">
        <f t="shared" si="288"/>
        <v>Elite</v>
      </c>
      <c r="K759" t="str">
        <f t="shared" si="299"/>
        <v>Device</v>
      </c>
      <c r="L759" t="str">
        <f t="shared" ref="L759:L778" si="312">"777232093"</f>
        <v>777232093</v>
      </c>
      <c r="M759" t="str">
        <f t="shared" ref="M759:M778" si="313">"16606050"</f>
        <v>16606050</v>
      </c>
      <c r="N759" t="str">
        <f t="shared" ref="N759:N778" si="314">"5140-20T"</f>
        <v>5140-20T</v>
      </c>
      <c r="O759" t="str">
        <f t="shared" si="289"/>
        <v>TEXAS</v>
      </c>
      <c r="P759" t="str">
        <f t="shared" si="290"/>
        <v>N A</v>
      </c>
      <c r="Q759" t="str">
        <f t="shared" si="291"/>
        <v>N/A</v>
      </c>
      <c r="R759" t="str">
        <f>"130 DKCRP 11 307"</f>
        <v>130 DKCRP 11 307</v>
      </c>
      <c r="S759" t="str">
        <f>"12/16/2019 11:02:12 PM"</f>
        <v>12/16/2019 11:02:12 PM</v>
      </c>
      <c r="T759" t="str">
        <f t="shared" si="305"/>
        <v>5</v>
      </c>
      <c r="U759" t="str">
        <f t="shared" si="292"/>
        <v>N/A</v>
      </c>
      <c r="V759" t="str">
        <f>"5.5500"</f>
        <v>5.5500</v>
      </c>
    </row>
    <row r="760" spans="1:22" x14ac:dyDescent="0.25">
      <c r="A760" s="1" t="str">
        <f t="shared" si="287"/>
        <v>5140-</v>
      </c>
      <c r="B760" s="1" t="str">
        <f t="shared" si="293"/>
        <v>5140-</v>
      </c>
      <c r="C760" s="1" t="str">
        <f>VLOOKUP(B760,'Master truck list'!D:E,2,0)</f>
        <v>5140-20T</v>
      </c>
      <c r="D760" s="1" t="str">
        <f>VLOOKUP(C760,'Master truck list'!E:F,2,0)</f>
        <v>OUT OF SERVICE</v>
      </c>
      <c r="E760" s="1" t="str">
        <f>VLOOKUP(C760,'Master truck list'!E:M,9,0)</f>
        <v>BNK TRANSPORT INC</v>
      </c>
      <c r="F760" s="1" t="str">
        <f>VLOOKUP(C760,'Master truck list'!E:G,3,0)</f>
        <v>Company</v>
      </c>
      <c r="G760" s="1">
        <f>VLOOKUP(C760,'Master truck list'!E:R,14,0)</f>
        <v>2628</v>
      </c>
      <c r="H760" t="str">
        <f t="shared" si="311"/>
        <v>12/18/2019 7:00:28 AM</v>
      </c>
      <c r="I760" t="str">
        <f>""</f>
        <v/>
      </c>
      <c r="J760" t="str">
        <f t="shared" si="288"/>
        <v>Elite</v>
      </c>
      <c r="K760" t="str">
        <f t="shared" si="299"/>
        <v>Device</v>
      </c>
      <c r="L760" t="str">
        <f t="shared" si="312"/>
        <v>777232093</v>
      </c>
      <c r="M760" t="str">
        <f t="shared" si="313"/>
        <v>16606050</v>
      </c>
      <c r="N760" t="str">
        <f t="shared" si="314"/>
        <v>5140-20T</v>
      </c>
      <c r="O760" t="str">
        <f t="shared" si="289"/>
        <v>TEXAS</v>
      </c>
      <c r="P760" t="str">
        <f t="shared" si="290"/>
        <v>N A</v>
      </c>
      <c r="Q760" t="str">
        <f t="shared" si="291"/>
        <v>N/A</v>
      </c>
      <c r="R760" t="str">
        <f>"130 MGCRP 11 305"</f>
        <v>130 MGCRP 11 305</v>
      </c>
      <c r="S760" t="str">
        <f>"12/16/2019 11:24:55 PM"</f>
        <v>12/16/2019 11:24:55 PM</v>
      </c>
      <c r="T760" t="str">
        <f t="shared" si="305"/>
        <v>5</v>
      </c>
      <c r="U760" t="str">
        <f t="shared" si="292"/>
        <v>N/A</v>
      </c>
      <c r="V760" t="str">
        <f>"5.5500"</f>
        <v>5.5500</v>
      </c>
    </row>
    <row r="761" spans="1:22" x14ac:dyDescent="0.25">
      <c r="A761" s="1" t="str">
        <f t="shared" si="287"/>
        <v>5140-</v>
      </c>
      <c r="B761" s="1" t="str">
        <f t="shared" si="293"/>
        <v>5140-</v>
      </c>
      <c r="C761" s="1" t="s">
        <v>8888</v>
      </c>
      <c r="D761" s="1" t="s">
        <v>91</v>
      </c>
      <c r="E761" s="1" t="s">
        <v>1738</v>
      </c>
      <c r="F761" s="1" t="s">
        <v>22</v>
      </c>
      <c r="G761" s="1" t="e">
        <f>VLOOKUP(C761,'Master truck list'!E:R,14,0)</f>
        <v>#N/A</v>
      </c>
      <c r="H761" t="str">
        <f t="shared" si="311"/>
        <v>12/18/2019 7:00:28 AM</v>
      </c>
      <c r="I761" t="str">
        <f>""</f>
        <v/>
      </c>
      <c r="J761" t="str">
        <f t="shared" si="288"/>
        <v>Elite</v>
      </c>
      <c r="K761" t="str">
        <f t="shared" si="299"/>
        <v>Device</v>
      </c>
      <c r="L761" t="str">
        <f t="shared" si="312"/>
        <v>777232093</v>
      </c>
      <c r="M761" t="str">
        <f t="shared" si="313"/>
        <v>16606050</v>
      </c>
      <c r="N761" t="str">
        <f t="shared" si="314"/>
        <v>5140-20T</v>
      </c>
      <c r="O761" t="str">
        <f t="shared" si="289"/>
        <v>TEXAS</v>
      </c>
      <c r="P761" t="str">
        <f t="shared" si="290"/>
        <v>N A</v>
      </c>
      <c r="Q761" t="str">
        <f t="shared" si="291"/>
        <v>N/A</v>
      </c>
      <c r="R761" t="str">
        <f>"130 ARPTP 09 308"</f>
        <v>130 ARPTP 09 308</v>
      </c>
      <c r="S761" t="str">
        <f>"12/16/2019 10:55:14 PM"</f>
        <v>12/16/2019 10:55:14 PM</v>
      </c>
      <c r="T761" t="str">
        <f t="shared" si="305"/>
        <v>5</v>
      </c>
      <c r="U761" t="str">
        <f t="shared" si="292"/>
        <v>N/A</v>
      </c>
      <c r="V761" t="str">
        <f>"5.5500"</f>
        <v>5.5500</v>
      </c>
    </row>
    <row r="762" spans="1:22" x14ac:dyDescent="0.25">
      <c r="A762" s="1" t="str">
        <f t="shared" si="287"/>
        <v>5140-</v>
      </c>
      <c r="B762" s="1" t="str">
        <f t="shared" si="293"/>
        <v>5140-</v>
      </c>
      <c r="C762" s="1" t="str">
        <f>VLOOKUP(B762,'Master truck list'!D:E,2,0)</f>
        <v>5140-20T</v>
      </c>
      <c r="D762" s="1" t="str">
        <f>VLOOKUP(C762,'Master truck list'!E:F,2,0)</f>
        <v>OUT OF SERVICE</v>
      </c>
      <c r="E762" s="1" t="str">
        <f>VLOOKUP(C762,'Master truck list'!E:M,9,0)</f>
        <v>BNK TRANSPORT INC</v>
      </c>
      <c r="F762" s="1" t="str">
        <f>VLOOKUP(C762,'Master truck list'!E:G,3,0)</f>
        <v>Company</v>
      </c>
      <c r="G762" s="1">
        <f>VLOOKUP(C762,'Master truck list'!E:R,14,0)</f>
        <v>2628</v>
      </c>
      <c r="H762" t="str">
        <f t="shared" si="311"/>
        <v>12/18/2019 7:00:28 AM</v>
      </c>
      <c r="I762" t="str">
        <f>""</f>
        <v/>
      </c>
      <c r="J762" t="str">
        <f t="shared" si="288"/>
        <v>Elite</v>
      </c>
      <c r="K762" t="str">
        <f t="shared" si="299"/>
        <v>Device</v>
      </c>
      <c r="L762" t="str">
        <f t="shared" si="312"/>
        <v>777232093</v>
      </c>
      <c r="M762" t="str">
        <f t="shared" si="313"/>
        <v>16606050</v>
      </c>
      <c r="N762" t="str">
        <f t="shared" si="314"/>
        <v>5140-20T</v>
      </c>
      <c r="O762" t="str">
        <f t="shared" si="289"/>
        <v>TEXAS</v>
      </c>
      <c r="P762" t="str">
        <f t="shared" si="290"/>
        <v>N A</v>
      </c>
      <c r="Q762" t="str">
        <f t="shared" si="291"/>
        <v>N/A</v>
      </c>
      <c r="R762" t="str">
        <f>"130 CMRNP 13 306"</f>
        <v>130 CMRNP 13 306</v>
      </c>
      <c r="S762" t="str">
        <f>"12/16/2019 11:13:20 PM"</f>
        <v>12/16/2019 11:13:20 PM</v>
      </c>
      <c r="T762" t="str">
        <f t="shared" si="305"/>
        <v>5</v>
      </c>
      <c r="U762" t="str">
        <f t="shared" si="292"/>
        <v>N/A</v>
      </c>
      <c r="V762" t="str">
        <f>"5.5500"</f>
        <v>5.5500</v>
      </c>
    </row>
    <row r="763" spans="1:22" x14ac:dyDescent="0.25">
      <c r="A763" s="1" t="str">
        <f t="shared" si="287"/>
        <v>5140-</v>
      </c>
      <c r="B763" s="1" t="str">
        <f t="shared" si="293"/>
        <v>5140-</v>
      </c>
      <c r="C763" s="1" t="str">
        <f>VLOOKUP(B763,'Master truck list'!D:E,2,0)</f>
        <v>5140-20T</v>
      </c>
      <c r="D763" s="1" t="str">
        <f>VLOOKUP(C763,'Master truck list'!E:F,2,0)</f>
        <v>OUT OF SERVICE</v>
      </c>
      <c r="E763" s="1" t="str">
        <f>VLOOKUP(C763,'Master truck list'!E:M,9,0)</f>
        <v>BNK TRANSPORT INC</v>
      </c>
      <c r="F763" s="1" t="str">
        <f>VLOOKUP(C763,'Master truck list'!E:G,3,0)</f>
        <v>Company</v>
      </c>
      <c r="G763" s="1">
        <f>VLOOKUP(C763,'Master truck list'!E:R,14,0)</f>
        <v>2628</v>
      </c>
      <c r="H763" t="str">
        <f t="shared" si="311"/>
        <v>12/18/2019 7:00:28 AM</v>
      </c>
      <c r="I763" t="str">
        <f>""</f>
        <v/>
      </c>
      <c r="J763" t="str">
        <f t="shared" si="288"/>
        <v>Elite</v>
      </c>
      <c r="K763" t="str">
        <f t="shared" si="299"/>
        <v>Device</v>
      </c>
      <c r="L763" t="str">
        <f t="shared" si="312"/>
        <v>777232093</v>
      </c>
      <c r="M763" t="str">
        <f t="shared" si="313"/>
        <v>16606050</v>
      </c>
      <c r="N763" t="str">
        <f t="shared" si="314"/>
        <v>5140-20T</v>
      </c>
      <c r="O763" t="str">
        <f t="shared" si="289"/>
        <v>TEXAS</v>
      </c>
      <c r="P763" t="str">
        <f t="shared" si="290"/>
        <v>N A</v>
      </c>
      <c r="Q763" t="str">
        <f t="shared" si="291"/>
        <v>N/A</v>
      </c>
      <c r="R763" t="str">
        <f>"130 ARPTP 04 308"</f>
        <v>130 ARPTP 04 308</v>
      </c>
      <c r="S763" t="str">
        <f>"12/17/2019 6:55:01 PM"</f>
        <v>12/17/2019 6:55:01 PM</v>
      </c>
      <c r="T763" t="str">
        <f t="shared" si="305"/>
        <v>5</v>
      </c>
      <c r="U763" t="str">
        <f t="shared" si="292"/>
        <v>N/A</v>
      </c>
      <c r="V763" t="str">
        <f>"5.5500"</f>
        <v>5.5500</v>
      </c>
    </row>
    <row r="764" spans="1:22" x14ac:dyDescent="0.25">
      <c r="A764" s="1" t="str">
        <f t="shared" si="287"/>
        <v>5140-</v>
      </c>
      <c r="B764" s="1" t="str">
        <f t="shared" si="293"/>
        <v>5140-</v>
      </c>
      <c r="C764" s="1" t="str">
        <f>VLOOKUP(B764,'Master truck list'!D:E,2,0)</f>
        <v>5140-20T</v>
      </c>
      <c r="D764" s="1" t="str">
        <f>VLOOKUP(C764,'Master truck list'!E:F,2,0)</f>
        <v>OUT OF SERVICE</v>
      </c>
      <c r="E764" s="1" t="str">
        <f>VLOOKUP(C764,'Master truck list'!E:M,9,0)</f>
        <v>BNK TRANSPORT INC</v>
      </c>
      <c r="F764" s="1" t="str">
        <f>VLOOKUP(C764,'Master truck list'!E:G,3,0)</f>
        <v>Company</v>
      </c>
      <c r="G764" s="1">
        <f>VLOOKUP(C764,'Master truck list'!E:R,14,0)</f>
        <v>2628</v>
      </c>
      <c r="H764" t="str">
        <f t="shared" si="311"/>
        <v>12/18/2019 7:00:28 AM</v>
      </c>
      <c r="I764" t="str">
        <f>""</f>
        <v/>
      </c>
      <c r="J764" t="str">
        <f t="shared" si="288"/>
        <v>Elite</v>
      </c>
      <c r="K764" t="str">
        <f t="shared" si="299"/>
        <v>Device</v>
      </c>
      <c r="L764" t="str">
        <f t="shared" si="312"/>
        <v>777232093</v>
      </c>
      <c r="M764" t="str">
        <f t="shared" si="313"/>
        <v>16606050</v>
      </c>
      <c r="N764" t="str">
        <f t="shared" si="314"/>
        <v>5140-20T</v>
      </c>
      <c r="O764" t="str">
        <f t="shared" si="289"/>
        <v>TEXAS</v>
      </c>
      <c r="P764" t="str">
        <f t="shared" si="290"/>
        <v>N A</v>
      </c>
      <c r="Q764" t="str">
        <f t="shared" si="291"/>
        <v>N/A</v>
      </c>
      <c r="R764" t="str">
        <f>"45SE MLPEB 02 611"</f>
        <v>45SE MLPEB 02 611</v>
      </c>
      <c r="S764" t="str">
        <f>"12/16/2019 10:44:34 PM"</f>
        <v>12/16/2019 10:44:34 PM</v>
      </c>
      <c r="T764" t="str">
        <f t="shared" si="305"/>
        <v>5</v>
      </c>
      <c r="U764" t="str">
        <f t="shared" si="292"/>
        <v>N/A</v>
      </c>
      <c r="V764" t="str">
        <f>"3.3000"</f>
        <v>3.3000</v>
      </c>
    </row>
    <row r="765" spans="1:22" x14ac:dyDescent="0.25">
      <c r="A765" s="1" t="str">
        <f t="shared" si="287"/>
        <v>5140-</v>
      </c>
      <c r="B765" s="1" t="str">
        <f t="shared" si="293"/>
        <v>5140-</v>
      </c>
      <c r="C765" s="1" t="str">
        <f>VLOOKUP(B765,'Master truck list'!D:E,2,0)</f>
        <v>5140-20T</v>
      </c>
      <c r="D765" s="1" t="str">
        <f>VLOOKUP(C765,'Master truck list'!E:F,2,0)</f>
        <v>OUT OF SERVICE</v>
      </c>
      <c r="E765" s="1" t="str">
        <f>VLOOKUP(C765,'Master truck list'!E:M,9,0)</f>
        <v>BNK TRANSPORT INC</v>
      </c>
      <c r="F765" s="1" t="str">
        <f>VLOOKUP(C765,'Master truck list'!E:G,3,0)</f>
        <v>Company</v>
      </c>
      <c r="G765" s="1">
        <f>VLOOKUP(C765,'Master truck list'!E:R,14,0)</f>
        <v>2628</v>
      </c>
      <c r="H765" t="str">
        <f t="shared" si="311"/>
        <v>12/18/2019 7:00:28 AM</v>
      </c>
      <c r="I765" t="str">
        <f>""</f>
        <v/>
      </c>
      <c r="J765" t="str">
        <f t="shared" si="288"/>
        <v>Elite</v>
      </c>
      <c r="K765" t="str">
        <f t="shared" si="299"/>
        <v>Device</v>
      </c>
      <c r="L765" t="str">
        <f t="shared" si="312"/>
        <v>777232093</v>
      </c>
      <c r="M765" t="str">
        <f t="shared" si="313"/>
        <v>16606050</v>
      </c>
      <c r="N765" t="str">
        <f t="shared" si="314"/>
        <v>5140-20T</v>
      </c>
      <c r="O765" t="str">
        <f t="shared" si="289"/>
        <v>TEXAS</v>
      </c>
      <c r="P765" t="str">
        <f t="shared" si="290"/>
        <v>N A</v>
      </c>
      <c r="Q765" t="str">
        <f t="shared" si="291"/>
        <v>N/A</v>
      </c>
      <c r="R765" t="str">
        <f>"130 MGCRP 06 305"</f>
        <v>130 MGCRP 06 305</v>
      </c>
      <c r="S765" t="str">
        <f>"12/17/2019 6:24:01 PM"</f>
        <v>12/17/2019 6:24:01 PM</v>
      </c>
      <c r="T765" t="str">
        <f t="shared" si="305"/>
        <v>5</v>
      </c>
      <c r="U765" t="str">
        <f t="shared" si="292"/>
        <v>N/A</v>
      </c>
      <c r="V765" t="str">
        <f>"5.5500"</f>
        <v>5.5500</v>
      </c>
    </row>
    <row r="766" spans="1:22" x14ac:dyDescent="0.25">
      <c r="A766" s="1" t="str">
        <f t="shared" si="287"/>
        <v>5140-</v>
      </c>
      <c r="B766" s="1" t="str">
        <f t="shared" si="293"/>
        <v>5140-</v>
      </c>
      <c r="C766" s="1" t="str">
        <f>VLOOKUP(B766,'Master truck list'!D:E,2,0)</f>
        <v>5140-20T</v>
      </c>
      <c r="D766" s="1" t="str">
        <f>VLOOKUP(C766,'Master truck list'!E:F,2,0)</f>
        <v>OUT OF SERVICE</v>
      </c>
      <c r="E766" s="1" t="str">
        <f>VLOOKUP(C766,'Master truck list'!E:M,9,0)</f>
        <v>BNK TRANSPORT INC</v>
      </c>
      <c r="F766" s="1" t="str">
        <f>VLOOKUP(C766,'Master truck list'!E:G,3,0)</f>
        <v>Company</v>
      </c>
      <c r="G766" s="1">
        <f>VLOOKUP(C766,'Master truck list'!E:R,14,0)</f>
        <v>2628</v>
      </c>
      <c r="H766" t="str">
        <f t="shared" si="311"/>
        <v>12/18/2019 7:00:28 AM</v>
      </c>
      <c r="I766" t="str">
        <f>""</f>
        <v/>
      </c>
      <c r="J766" t="str">
        <f t="shared" si="288"/>
        <v>Elite</v>
      </c>
      <c r="K766" t="str">
        <f t="shared" si="299"/>
        <v>Device</v>
      </c>
      <c r="L766" t="str">
        <f t="shared" si="312"/>
        <v>777232093</v>
      </c>
      <c r="M766" t="str">
        <f t="shared" si="313"/>
        <v>16606050</v>
      </c>
      <c r="N766" t="str">
        <f t="shared" si="314"/>
        <v>5140-20T</v>
      </c>
      <c r="O766" t="str">
        <f t="shared" si="289"/>
        <v>TEXAS</v>
      </c>
      <c r="P766" t="str">
        <f t="shared" si="290"/>
        <v>N A</v>
      </c>
      <c r="Q766" t="str">
        <f t="shared" si="291"/>
        <v>N/A</v>
      </c>
      <c r="R766" t="str">
        <f>"45SE MLPWB 01 611"</f>
        <v>45SE MLPWB 01 611</v>
      </c>
      <c r="S766" t="str">
        <f>"12/17/2019 7:05:41 PM"</f>
        <v>12/17/2019 7:05:41 PM</v>
      </c>
      <c r="T766" t="str">
        <f t="shared" si="305"/>
        <v>5</v>
      </c>
      <c r="U766" t="str">
        <f t="shared" si="292"/>
        <v>N/A</v>
      </c>
      <c r="V766" t="str">
        <f>"3.3000"</f>
        <v>3.3000</v>
      </c>
    </row>
    <row r="767" spans="1:22" x14ac:dyDescent="0.25">
      <c r="A767" s="1" t="str">
        <f t="shared" si="287"/>
        <v>5140-</v>
      </c>
      <c r="B767" s="1" t="str">
        <f t="shared" si="293"/>
        <v>5140-</v>
      </c>
      <c r="C767" s="1" t="str">
        <f>VLOOKUP(B767,'Master truck list'!D:E,2,0)</f>
        <v>5140-20T</v>
      </c>
      <c r="D767" s="1" t="str">
        <f>VLOOKUP(C767,'Master truck list'!E:F,2,0)</f>
        <v>OUT OF SERVICE</v>
      </c>
      <c r="E767" s="1" t="str">
        <f>VLOOKUP(C767,'Master truck list'!E:M,9,0)</f>
        <v>BNK TRANSPORT INC</v>
      </c>
      <c r="F767" s="1" t="str">
        <f>VLOOKUP(C767,'Master truck list'!E:G,3,0)</f>
        <v>Company</v>
      </c>
      <c r="G767" s="1">
        <f>VLOOKUP(C767,'Master truck list'!E:R,14,0)</f>
        <v>2628</v>
      </c>
      <c r="H767" t="str">
        <f t="shared" si="311"/>
        <v>12/18/2019 7:00:28 AM</v>
      </c>
      <c r="I767" t="str">
        <f>""</f>
        <v/>
      </c>
      <c r="J767" t="str">
        <f t="shared" si="288"/>
        <v>Elite</v>
      </c>
      <c r="K767" t="str">
        <f t="shared" si="299"/>
        <v>Device</v>
      </c>
      <c r="L767" t="str">
        <f t="shared" si="312"/>
        <v>777232093</v>
      </c>
      <c r="M767" t="str">
        <f t="shared" si="313"/>
        <v>16606050</v>
      </c>
      <c r="N767" t="str">
        <f t="shared" si="314"/>
        <v>5140-20T</v>
      </c>
      <c r="O767" t="str">
        <f t="shared" si="289"/>
        <v>TEXAS</v>
      </c>
      <c r="P767" t="str">
        <f t="shared" si="290"/>
        <v>N A</v>
      </c>
      <c r="Q767" t="str">
        <f t="shared" si="291"/>
        <v>N/A</v>
      </c>
      <c r="R767" t="str">
        <f>"130 CMRNP 08 306"</f>
        <v>130 CMRNP 08 306</v>
      </c>
      <c r="S767" t="str">
        <f>"12/17/2019 6:35:02 PM"</f>
        <v>12/17/2019 6:35:02 PM</v>
      </c>
      <c r="T767" t="str">
        <f t="shared" si="305"/>
        <v>5</v>
      </c>
      <c r="U767" t="str">
        <f t="shared" si="292"/>
        <v>N/A</v>
      </c>
      <c r="V767" t="str">
        <f>"5.5500"</f>
        <v>5.5500</v>
      </c>
    </row>
    <row r="768" spans="1:22" x14ac:dyDescent="0.25">
      <c r="A768" s="1" t="str">
        <f t="shared" si="287"/>
        <v>5140-</v>
      </c>
      <c r="B768" s="1" t="str">
        <f t="shared" si="293"/>
        <v>5140-</v>
      </c>
      <c r="C768" s="1" t="str">
        <f>VLOOKUP(B768,'Master truck list'!D:E,2,0)</f>
        <v>5140-20T</v>
      </c>
      <c r="D768" s="1" t="str">
        <f>VLOOKUP(C768,'Master truck list'!E:F,2,0)</f>
        <v>OUT OF SERVICE</v>
      </c>
      <c r="E768" s="1" t="str">
        <f>VLOOKUP(C768,'Master truck list'!E:M,9,0)</f>
        <v>BNK TRANSPORT INC</v>
      </c>
      <c r="F768" s="1" t="str">
        <f>VLOOKUP(C768,'Master truck list'!E:G,3,0)</f>
        <v>Company</v>
      </c>
      <c r="G768" s="1">
        <f>VLOOKUP(C768,'Master truck list'!E:R,14,0)</f>
        <v>2628</v>
      </c>
      <c r="H768" t="str">
        <f t="shared" si="311"/>
        <v>12/18/2019 7:00:28 AM</v>
      </c>
      <c r="I768" t="str">
        <f>""</f>
        <v/>
      </c>
      <c r="J768" t="str">
        <f t="shared" si="288"/>
        <v>Elite</v>
      </c>
      <c r="K768" t="str">
        <f t="shared" si="299"/>
        <v>Device</v>
      </c>
      <c r="L768" t="str">
        <f t="shared" si="312"/>
        <v>777232093</v>
      </c>
      <c r="M768" t="str">
        <f t="shared" si="313"/>
        <v>16606050</v>
      </c>
      <c r="N768" t="str">
        <f t="shared" si="314"/>
        <v>5140-20T</v>
      </c>
      <c r="O768" t="str">
        <f t="shared" si="289"/>
        <v>TEXAS</v>
      </c>
      <c r="P768" t="str">
        <f t="shared" si="290"/>
        <v>N A</v>
      </c>
      <c r="Q768" t="str">
        <f t="shared" si="291"/>
        <v>N/A</v>
      </c>
      <c r="R768" t="str">
        <f>"130 DKCRP 06 307"</f>
        <v>130 DKCRP 06 307</v>
      </c>
      <c r="S768" t="str">
        <f>"12/17/2019 6:47:58 PM"</f>
        <v>12/17/2019 6:47:58 PM</v>
      </c>
      <c r="T768" t="str">
        <f t="shared" si="305"/>
        <v>5</v>
      </c>
      <c r="U768" t="str">
        <f t="shared" si="292"/>
        <v>N/A</v>
      </c>
      <c r="V768" t="str">
        <f>"5.5500"</f>
        <v>5.5500</v>
      </c>
    </row>
    <row r="769" spans="1:22" x14ac:dyDescent="0.25">
      <c r="A769" s="1" t="str">
        <f t="shared" si="287"/>
        <v>5140-</v>
      </c>
      <c r="B769" s="1" t="str">
        <f t="shared" si="293"/>
        <v>5140-</v>
      </c>
      <c r="C769" s="1" t="str">
        <f>VLOOKUP(B769,'Master truck list'!D:E,2,0)</f>
        <v>5140-20T</v>
      </c>
      <c r="D769" s="1" t="str">
        <f>VLOOKUP(C769,'Master truck list'!E:F,2,0)</f>
        <v>OUT OF SERVICE</v>
      </c>
      <c r="E769" s="1" t="str">
        <f>VLOOKUP(C769,'Master truck list'!E:M,9,0)</f>
        <v>BNK TRANSPORT INC</v>
      </c>
      <c r="F769" s="1" t="str">
        <f>VLOOKUP(C769,'Master truck list'!E:G,3,0)</f>
        <v>Company</v>
      </c>
      <c r="G769" s="1">
        <f>VLOOKUP(C769,'Master truck list'!E:R,14,0)</f>
        <v>2628</v>
      </c>
      <c r="H769" t="str">
        <f>"12/21/2019 7:00:28 AM"</f>
        <v>12/21/2019 7:00:28 AM</v>
      </c>
      <c r="I769" t="str">
        <f>""</f>
        <v/>
      </c>
      <c r="J769" t="str">
        <f t="shared" si="288"/>
        <v>Elite</v>
      </c>
      <c r="K769" t="str">
        <f t="shared" si="299"/>
        <v>Device</v>
      </c>
      <c r="L769" t="str">
        <f t="shared" si="312"/>
        <v>777232093</v>
      </c>
      <c r="M769" t="str">
        <f t="shared" si="313"/>
        <v>16606050</v>
      </c>
      <c r="N769" t="str">
        <f t="shared" si="314"/>
        <v>5140-20T</v>
      </c>
      <c r="O769" t="str">
        <f t="shared" si="289"/>
        <v>TEXAS</v>
      </c>
      <c r="P769" t="str">
        <f t="shared" si="290"/>
        <v>N A</v>
      </c>
      <c r="Q769" t="str">
        <f t="shared" si="291"/>
        <v>N/A</v>
      </c>
      <c r="R769" t="str">
        <f>"130 ARPTP 04 308"</f>
        <v>130 ARPTP 04 308</v>
      </c>
      <c r="S769" t="str">
        <f>"12/20/2019 8:09:14 PM"</f>
        <v>12/20/2019 8:09:14 PM</v>
      </c>
      <c r="T769" t="str">
        <f t="shared" si="305"/>
        <v>5</v>
      </c>
      <c r="U769" t="str">
        <f t="shared" si="292"/>
        <v>N/A</v>
      </c>
      <c r="V769" t="str">
        <f>"5.5500"</f>
        <v>5.5500</v>
      </c>
    </row>
    <row r="770" spans="1:22" x14ac:dyDescent="0.25">
      <c r="A770" s="1" t="str">
        <f t="shared" ref="A770:A833" si="315">LEFT(N770,5)</f>
        <v>5140-</v>
      </c>
      <c r="B770" s="1" t="str">
        <f t="shared" si="293"/>
        <v>5140-</v>
      </c>
      <c r="C770" s="1" t="s">
        <v>8886</v>
      </c>
      <c r="D770" s="1" t="s">
        <v>91</v>
      </c>
      <c r="E770" s="1" t="s">
        <v>1738</v>
      </c>
      <c r="F770" s="1" t="s">
        <v>22</v>
      </c>
      <c r="G770" s="1" t="e">
        <f>VLOOKUP(C770,'Master truck list'!E:R,14,0)</f>
        <v>#N/A</v>
      </c>
      <c r="H770" t="str">
        <f>"12/20/2019 7:00:30 AM"</f>
        <v>12/20/2019 7:00:30 AM</v>
      </c>
      <c r="I770" t="str">
        <f>""</f>
        <v/>
      </c>
      <c r="J770" t="str">
        <f t="shared" ref="J770:J833" si="316">"Elite"</f>
        <v>Elite</v>
      </c>
      <c r="K770" t="str">
        <f t="shared" si="299"/>
        <v>Device</v>
      </c>
      <c r="L770" t="str">
        <f t="shared" si="312"/>
        <v>777232093</v>
      </c>
      <c r="M770" t="str">
        <f t="shared" si="313"/>
        <v>16606050</v>
      </c>
      <c r="N770" t="str">
        <f t="shared" si="314"/>
        <v>5140-20T</v>
      </c>
      <c r="O770" t="str">
        <f t="shared" ref="O770:O833" si="317">"TEXAS"</f>
        <v>TEXAS</v>
      </c>
      <c r="P770" t="str">
        <f t="shared" ref="P770:P833" si="318">"N A"</f>
        <v>N A</v>
      </c>
      <c r="Q770" t="str">
        <f t="shared" ref="Q770:Q833" si="319">"N/A"</f>
        <v>N/A</v>
      </c>
      <c r="R770" t="str">
        <f>"130 DKCRP 11 307"</f>
        <v>130 DKCRP 11 307</v>
      </c>
      <c r="S770" t="str">
        <f>"12/19/2019 8:22:04 PM"</f>
        <v>12/19/2019 8:22:04 PM</v>
      </c>
      <c r="T770" t="str">
        <f t="shared" si="305"/>
        <v>5</v>
      </c>
      <c r="U770" t="str">
        <f t="shared" ref="U770:U833" si="320">"N/A"</f>
        <v>N/A</v>
      </c>
      <c r="V770" t="str">
        <f>"5.5500"</f>
        <v>5.5500</v>
      </c>
    </row>
    <row r="771" spans="1:22" x14ac:dyDescent="0.25">
      <c r="A771" s="1" t="str">
        <f t="shared" si="315"/>
        <v>5140-</v>
      </c>
      <c r="B771" s="1" t="str">
        <f t="shared" ref="B771:B834" si="321">SUBSTITUTE(A771," ","")</f>
        <v>5140-</v>
      </c>
      <c r="C771" s="1" t="s">
        <v>8891</v>
      </c>
      <c r="D771" s="1" t="s">
        <v>91</v>
      </c>
      <c r="E771" s="1" t="s">
        <v>1738</v>
      </c>
      <c r="F771" s="1" t="s">
        <v>22</v>
      </c>
      <c r="G771" s="1" t="e">
        <f>VLOOKUP(C771,'Master truck list'!E:R,14,0)</f>
        <v>#N/A</v>
      </c>
      <c r="H771" t="str">
        <f>"12/20/2019 7:00:30 AM"</f>
        <v>12/20/2019 7:00:30 AM</v>
      </c>
      <c r="I771" t="str">
        <f>""</f>
        <v/>
      </c>
      <c r="J771" t="str">
        <f t="shared" si="316"/>
        <v>Elite</v>
      </c>
      <c r="K771" t="str">
        <f t="shared" si="299"/>
        <v>Device</v>
      </c>
      <c r="L771" t="str">
        <f t="shared" si="312"/>
        <v>777232093</v>
      </c>
      <c r="M771" t="str">
        <f t="shared" si="313"/>
        <v>16606050</v>
      </c>
      <c r="N771" t="str">
        <f t="shared" si="314"/>
        <v>5140-20T</v>
      </c>
      <c r="O771" t="str">
        <f t="shared" si="317"/>
        <v>TEXAS</v>
      </c>
      <c r="P771" t="str">
        <f t="shared" si="318"/>
        <v>N A</v>
      </c>
      <c r="Q771" t="str">
        <f t="shared" si="319"/>
        <v>N/A</v>
      </c>
      <c r="R771" t="str">
        <f>"45SE MLPEB 02 611"</f>
        <v>45SE MLPEB 02 611</v>
      </c>
      <c r="S771" t="str">
        <f>"12/19/2019 8:04:27 PM"</f>
        <v>12/19/2019 8:04:27 PM</v>
      </c>
      <c r="T771" t="str">
        <f t="shared" si="305"/>
        <v>5</v>
      </c>
      <c r="U771" t="str">
        <f t="shared" si="320"/>
        <v>N/A</v>
      </c>
      <c r="V771" t="str">
        <f>"3.3000"</f>
        <v>3.3000</v>
      </c>
    </row>
    <row r="772" spans="1:22" x14ac:dyDescent="0.25">
      <c r="A772" s="1" t="str">
        <f t="shared" si="315"/>
        <v>5140-</v>
      </c>
      <c r="B772" s="1" t="str">
        <f t="shared" si="321"/>
        <v>5140-</v>
      </c>
      <c r="C772" s="1" t="str">
        <f>VLOOKUP(B772,'Master truck list'!D:E,2,0)</f>
        <v>5140-20T</v>
      </c>
      <c r="D772" s="1" t="str">
        <f>VLOOKUP(C772,'Master truck list'!E:F,2,0)</f>
        <v>OUT OF SERVICE</v>
      </c>
      <c r="E772" s="1" t="str">
        <f>VLOOKUP(C772,'Master truck list'!E:M,9,0)</f>
        <v>BNK TRANSPORT INC</v>
      </c>
      <c r="F772" s="1" t="str">
        <f>VLOOKUP(C772,'Master truck list'!E:G,3,0)</f>
        <v>Company</v>
      </c>
      <c r="G772" s="1">
        <f>VLOOKUP(C772,'Master truck list'!E:R,14,0)</f>
        <v>2628</v>
      </c>
      <c r="H772" t="str">
        <f>"12/20/2019 7:00:30 AM"</f>
        <v>12/20/2019 7:00:30 AM</v>
      </c>
      <c r="I772" t="str">
        <f>""</f>
        <v/>
      </c>
      <c r="J772" t="str">
        <f t="shared" si="316"/>
        <v>Elite</v>
      </c>
      <c r="K772" t="str">
        <f t="shared" si="299"/>
        <v>Device</v>
      </c>
      <c r="L772" t="str">
        <f t="shared" si="312"/>
        <v>777232093</v>
      </c>
      <c r="M772" t="str">
        <f t="shared" si="313"/>
        <v>16606050</v>
      </c>
      <c r="N772" t="str">
        <f t="shared" si="314"/>
        <v>5140-20T</v>
      </c>
      <c r="O772" t="str">
        <f t="shared" si="317"/>
        <v>TEXAS</v>
      </c>
      <c r="P772" t="str">
        <f t="shared" si="318"/>
        <v>N A</v>
      </c>
      <c r="Q772" t="str">
        <f t="shared" si="319"/>
        <v>N/A</v>
      </c>
      <c r="R772" t="str">
        <f>"130 CMRNP 13 306"</f>
        <v>130 CMRNP 13 306</v>
      </c>
      <c r="S772" t="str">
        <f>"12/19/2019 8:32:17 PM"</f>
        <v>12/19/2019 8:32:17 PM</v>
      </c>
      <c r="T772" t="str">
        <f t="shared" si="305"/>
        <v>5</v>
      </c>
      <c r="U772" t="str">
        <f t="shared" si="320"/>
        <v>N/A</v>
      </c>
      <c r="V772" t="str">
        <f>"5.5500"</f>
        <v>5.5500</v>
      </c>
    </row>
    <row r="773" spans="1:22" x14ac:dyDescent="0.25">
      <c r="A773" s="1" t="str">
        <f t="shared" si="315"/>
        <v>5140-</v>
      </c>
      <c r="B773" s="1" t="str">
        <f t="shared" si="321"/>
        <v>5140-</v>
      </c>
      <c r="C773" s="1" t="str">
        <f>VLOOKUP(B773,'Master truck list'!D:E,2,0)</f>
        <v>5140-20T</v>
      </c>
      <c r="D773" s="1" t="str">
        <f>VLOOKUP(C773,'Master truck list'!E:F,2,0)</f>
        <v>OUT OF SERVICE</v>
      </c>
      <c r="E773" s="1" t="str">
        <f>VLOOKUP(C773,'Master truck list'!E:M,9,0)</f>
        <v>BNK TRANSPORT INC</v>
      </c>
      <c r="F773" s="1" t="str">
        <f>VLOOKUP(C773,'Master truck list'!E:G,3,0)</f>
        <v>Company</v>
      </c>
      <c r="G773" s="1">
        <f>VLOOKUP(C773,'Master truck list'!E:R,14,0)</f>
        <v>2628</v>
      </c>
      <c r="H773" t="str">
        <f>"12/20/2019 7:00:30 AM"</f>
        <v>12/20/2019 7:00:30 AM</v>
      </c>
      <c r="I773" t="str">
        <f>""</f>
        <v/>
      </c>
      <c r="J773" t="str">
        <f t="shared" si="316"/>
        <v>Elite</v>
      </c>
      <c r="K773" t="str">
        <f t="shared" si="299"/>
        <v>Device</v>
      </c>
      <c r="L773" t="str">
        <f t="shared" si="312"/>
        <v>777232093</v>
      </c>
      <c r="M773" t="str">
        <f t="shared" si="313"/>
        <v>16606050</v>
      </c>
      <c r="N773" t="str">
        <f t="shared" si="314"/>
        <v>5140-20T</v>
      </c>
      <c r="O773" t="str">
        <f t="shared" si="317"/>
        <v>TEXAS</v>
      </c>
      <c r="P773" t="str">
        <f t="shared" si="318"/>
        <v>N A</v>
      </c>
      <c r="Q773" t="str">
        <f t="shared" si="319"/>
        <v>N/A</v>
      </c>
      <c r="R773" t="str">
        <f>"130 ARPTP 09 308"</f>
        <v>130 ARPTP 09 308</v>
      </c>
      <c r="S773" t="str">
        <f>"12/19/2019 8:15:04 PM"</f>
        <v>12/19/2019 8:15:04 PM</v>
      </c>
      <c r="T773" t="str">
        <f t="shared" si="305"/>
        <v>5</v>
      </c>
      <c r="U773" t="str">
        <f t="shared" si="320"/>
        <v>N/A</v>
      </c>
      <c r="V773" t="str">
        <f>"5.5500"</f>
        <v>5.5500</v>
      </c>
    </row>
    <row r="774" spans="1:22" x14ac:dyDescent="0.25">
      <c r="A774" s="1" t="str">
        <f t="shared" si="315"/>
        <v>5140-</v>
      </c>
      <c r="B774" s="1" t="str">
        <f t="shared" si="321"/>
        <v>5140-</v>
      </c>
      <c r="C774" s="1" t="s">
        <v>8887</v>
      </c>
      <c r="D774" s="1" t="s">
        <v>91</v>
      </c>
      <c r="E774" s="1" t="s">
        <v>1738</v>
      </c>
      <c r="F774" s="1" t="s">
        <v>22</v>
      </c>
      <c r="G774" s="1" t="e">
        <f>VLOOKUP(C774,'Master truck list'!E:R,14,0)</f>
        <v>#N/A</v>
      </c>
      <c r="H774" t="str">
        <f>"12/20/2019 7:00:30 AM"</f>
        <v>12/20/2019 7:00:30 AM</v>
      </c>
      <c r="I774" t="str">
        <f>""</f>
        <v/>
      </c>
      <c r="J774" t="str">
        <f t="shared" si="316"/>
        <v>Elite</v>
      </c>
      <c r="K774" t="str">
        <f t="shared" si="299"/>
        <v>Device</v>
      </c>
      <c r="L774" t="str">
        <f t="shared" si="312"/>
        <v>777232093</v>
      </c>
      <c r="M774" t="str">
        <f t="shared" si="313"/>
        <v>16606050</v>
      </c>
      <c r="N774" t="str">
        <f t="shared" si="314"/>
        <v>5140-20T</v>
      </c>
      <c r="O774" t="str">
        <f t="shared" si="317"/>
        <v>TEXAS</v>
      </c>
      <c r="P774" t="str">
        <f t="shared" si="318"/>
        <v>N A</v>
      </c>
      <c r="Q774" t="str">
        <f t="shared" si="319"/>
        <v>N/A</v>
      </c>
      <c r="R774" t="str">
        <f>"130 MGCRP 10 305"</f>
        <v>130 MGCRP 10 305</v>
      </c>
      <c r="S774" t="str">
        <f>"12/19/2019 8:43:27 PM"</f>
        <v>12/19/2019 8:43:27 PM</v>
      </c>
      <c r="T774" t="str">
        <f t="shared" si="305"/>
        <v>5</v>
      </c>
      <c r="U774" t="str">
        <f t="shared" si="320"/>
        <v>N/A</v>
      </c>
      <c r="V774" t="str">
        <f>"5.5500"</f>
        <v>5.5500</v>
      </c>
    </row>
    <row r="775" spans="1:22" x14ac:dyDescent="0.25">
      <c r="A775" s="1" t="str">
        <f t="shared" si="315"/>
        <v>5140-</v>
      </c>
      <c r="B775" s="1" t="str">
        <f t="shared" si="321"/>
        <v>5140-</v>
      </c>
      <c r="C775" s="1" t="str">
        <f>VLOOKUP(B775,'Master truck list'!D:E,2,0)</f>
        <v>5140-20T</v>
      </c>
      <c r="D775" s="1" t="str">
        <f>VLOOKUP(C775,'Master truck list'!E:F,2,0)</f>
        <v>OUT OF SERVICE</v>
      </c>
      <c r="E775" s="1" t="str">
        <f>VLOOKUP(C775,'Master truck list'!E:M,9,0)</f>
        <v>BNK TRANSPORT INC</v>
      </c>
      <c r="F775" s="1" t="str">
        <f>VLOOKUP(C775,'Master truck list'!E:G,3,0)</f>
        <v>Company</v>
      </c>
      <c r="G775" s="1">
        <f>VLOOKUP(C775,'Master truck list'!E:R,14,0)</f>
        <v>2628</v>
      </c>
      <c r="H775" t="str">
        <f>"12/21/2019 7:00:28 AM"</f>
        <v>12/21/2019 7:00:28 AM</v>
      </c>
      <c r="I775" t="str">
        <f>""</f>
        <v/>
      </c>
      <c r="J775" t="str">
        <f t="shared" si="316"/>
        <v>Elite</v>
      </c>
      <c r="K775" t="str">
        <f t="shared" si="299"/>
        <v>Device</v>
      </c>
      <c r="L775" t="str">
        <f t="shared" si="312"/>
        <v>777232093</v>
      </c>
      <c r="M775" t="str">
        <f t="shared" si="313"/>
        <v>16606050</v>
      </c>
      <c r="N775" t="str">
        <f t="shared" si="314"/>
        <v>5140-20T</v>
      </c>
      <c r="O775" t="str">
        <f t="shared" si="317"/>
        <v>TEXAS</v>
      </c>
      <c r="P775" t="str">
        <f t="shared" si="318"/>
        <v>N A</v>
      </c>
      <c r="Q775" t="str">
        <f t="shared" si="319"/>
        <v>N/A</v>
      </c>
      <c r="R775" t="str">
        <f>"45SE MLPWB 01 611"</f>
        <v>45SE MLPWB 01 611</v>
      </c>
      <c r="S775" t="str">
        <f>"12/20/2019 8:23:16 PM"</f>
        <v>12/20/2019 8:23:16 PM</v>
      </c>
      <c r="T775" t="str">
        <f t="shared" si="305"/>
        <v>5</v>
      </c>
      <c r="U775" t="str">
        <f t="shared" si="320"/>
        <v>N/A</v>
      </c>
      <c r="V775" t="str">
        <f>"3.3000"</f>
        <v>3.3000</v>
      </c>
    </row>
    <row r="776" spans="1:22" x14ac:dyDescent="0.25">
      <c r="A776" s="1" t="str">
        <f t="shared" si="315"/>
        <v>5140-</v>
      </c>
      <c r="B776" s="1" t="str">
        <f t="shared" si="321"/>
        <v>5140-</v>
      </c>
      <c r="C776" s="1" t="str">
        <f>VLOOKUP(B776,'Master truck list'!D:E,2,0)</f>
        <v>5140-20T</v>
      </c>
      <c r="D776" s="1" t="str">
        <f>VLOOKUP(C776,'Master truck list'!E:F,2,0)</f>
        <v>OUT OF SERVICE</v>
      </c>
      <c r="E776" s="1" t="str">
        <f>VLOOKUP(C776,'Master truck list'!E:M,9,0)</f>
        <v>BNK TRANSPORT INC</v>
      </c>
      <c r="F776" s="1" t="str">
        <f>VLOOKUP(C776,'Master truck list'!E:G,3,0)</f>
        <v>Company</v>
      </c>
      <c r="G776" s="1">
        <f>VLOOKUP(C776,'Master truck list'!E:R,14,0)</f>
        <v>2628</v>
      </c>
      <c r="H776" t="str">
        <f>"12/21/2019 7:00:28 AM"</f>
        <v>12/21/2019 7:00:28 AM</v>
      </c>
      <c r="I776" t="str">
        <f>""</f>
        <v/>
      </c>
      <c r="J776" t="str">
        <f t="shared" si="316"/>
        <v>Elite</v>
      </c>
      <c r="K776" t="str">
        <f t="shared" si="299"/>
        <v>Device</v>
      </c>
      <c r="L776" t="str">
        <f t="shared" si="312"/>
        <v>777232093</v>
      </c>
      <c r="M776" t="str">
        <f t="shared" si="313"/>
        <v>16606050</v>
      </c>
      <c r="N776" t="str">
        <f t="shared" si="314"/>
        <v>5140-20T</v>
      </c>
      <c r="O776" t="str">
        <f t="shared" si="317"/>
        <v>TEXAS</v>
      </c>
      <c r="P776" t="str">
        <f t="shared" si="318"/>
        <v>N A</v>
      </c>
      <c r="Q776" t="str">
        <f t="shared" si="319"/>
        <v>N/A</v>
      </c>
      <c r="R776" t="str">
        <f>"130 CMRNP 08 306"</f>
        <v>130 CMRNP 08 306</v>
      </c>
      <c r="S776" t="str">
        <f>"12/20/2019 7:51:50 PM"</f>
        <v>12/20/2019 7:51:50 PM</v>
      </c>
      <c r="T776" t="str">
        <f t="shared" si="305"/>
        <v>5</v>
      </c>
      <c r="U776" t="str">
        <f t="shared" si="320"/>
        <v>N/A</v>
      </c>
      <c r="V776" t="str">
        <f>"5.5500"</f>
        <v>5.5500</v>
      </c>
    </row>
    <row r="777" spans="1:22" x14ac:dyDescent="0.25">
      <c r="A777" s="1" t="str">
        <f t="shared" si="315"/>
        <v>5140-</v>
      </c>
      <c r="B777" s="1" t="str">
        <f t="shared" si="321"/>
        <v>5140-</v>
      </c>
      <c r="C777" s="1" t="str">
        <f>VLOOKUP(B777,'Master truck list'!D:E,2,0)</f>
        <v>5140-20T</v>
      </c>
      <c r="D777" s="1" t="str">
        <f>VLOOKUP(C777,'Master truck list'!E:F,2,0)</f>
        <v>OUT OF SERVICE</v>
      </c>
      <c r="E777" s="1" t="str">
        <f>VLOOKUP(C777,'Master truck list'!E:M,9,0)</f>
        <v>BNK TRANSPORT INC</v>
      </c>
      <c r="F777" s="1" t="str">
        <f>VLOOKUP(C777,'Master truck list'!E:G,3,0)</f>
        <v>Company</v>
      </c>
      <c r="G777" s="1">
        <f>VLOOKUP(C777,'Master truck list'!E:R,14,0)</f>
        <v>2628</v>
      </c>
      <c r="H777" t="str">
        <f>"12/21/2019 7:00:28 AM"</f>
        <v>12/21/2019 7:00:28 AM</v>
      </c>
      <c r="I777" t="str">
        <f>""</f>
        <v/>
      </c>
      <c r="J777" t="str">
        <f t="shared" si="316"/>
        <v>Elite</v>
      </c>
      <c r="K777" t="str">
        <f t="shared" si="299"/>
        <v>Device</v>
      </c>
      <c r="L777" t="str">
        <f t="shared" si="312"/>
        <v>777232093</v>
      </c>
      <c r="M777" t="str">
        <f t="shared" si="313"/>
        <v>16606050</v>
      </c>
      <c r="N777" t="str">
        <f t="shared" si="314"/>
        <v>5140-20T</v>
      </c>
      <c r="O777" t="str">
        <f t="shared" si="317"/>
        <v>TEXAS</v>
      </c>
      <c r="P777" t="str">
        <f t="shared" si="318"/>
        <v>N A</v>
      </c>
      <c r="Q777" t="str">
        <f t="shared" si="319"/>
        <v>N/A</v>
      </c>
      <c r="R777" t="str">
        <f>"130 MGCRP 06 305"</f>
        <v>130 MGCRP 06 305</v>
      </c>
      <c r="S777" t="str">
        <f>"12/20/2019 7:40:19 PM"</f>
        <v>12/20/2019 7:40:19 PM</v>
      </c>
      <c r="T777" t="str">
        <f t="shared" si="305"/>
        <v>5</v>
      </c>
      <c r="U777" t="str">
        <f t="shared" si="320"/>
        <v>N/A</v>
      </c>
      <c r="V777" t="str">
        <f>"5.5500"</f>
        <v>5.5500</v>
      </c>
    </row>
    <row r="778" spans="1:22" x14ac:dyDescent="0.25">
      <c r="A778" s="1" t="str">
        <f t="shared" si="315"/>
        <v>5140-</v>
      </c>
      <c r="B778" s="1" t="str">
        <f t="shared" si="321"/>
        <v>5140-</v>
      </c>
      <c r="C778" s="1" t="str">
        <f>VLOOKUP(B778,'Master truck list'!D:E,2,0)</f>
        <v>5140-20T</v>
      </c>
      <c r="D778" s="1" t="str">
        <f>VLOOKUP(C778,'Master truck list'!E:F,2,0)</f>
        <v>OUT OF SERVICE</v>
      </c>
      <c r="E778" s="1" t="str">
        <f>VLOOKUP(C778,'Master truck list'!E:M,9,0)</f>
        <v>BNK TRANSPORT INC</v>
      </c>
      <c r="F778" s="1" t="str">
        <f>VLOOKUP(C778,'Master truck list'!E:G,3,0)</f>
        <v>Company</v>
      </c>
      <c r="G778" s="1">
        <f>VLOOKUP(C778,'Master truck list'!E:R,14,0)</f>
        <v>2628</v>
      </c>
      <c r="H778" t="str">
        <f>"12/21/2019 7:00:28 AM"</f>
        <v>12/21/2019 7:00:28 AM</v>
      </c>
      <c r="I778" t="str">
        <f>""</f>
        <v/>
      </c>
      <c r="J778" t="str">
        <f t="shared" si="316"/>
        <v>Elite</v>
      </c>
      <c r="K778" t="str">
        <f t="shared" si="299"/>
        <v>Device</v>
      </c>
      <c r="L778" t="str">
        <f t="shared" si="312"/>
        <v>777232093</v>
      </c>
      <c r="M778" t="str">
        <f t="shared" si="313"/>
        <v>16606050</v>
      </c>
      <c r="N778" t="str">
        <f t="shared" si="314"/>
        <v>5140-20T</v>
      </c>
      <c r="O778" t="str">
        <f t="shared" si="317"/>
        <v>TEXAS</v>
      </c>
      <c r="P778" t="str">
        <f t="shared" si="318"/>
        <v>N A</v>
      </c>
      <c r="Q778" t="str">
        <f t="shared" si="319"/>
        <v>N/A</v>
      </c>
      <c r="R778" t="str">
        <f>"130 DKCRP 06 307"</f>
        <v>130 DKCRP 06 307</v>
      </c>
      <c r="S778" t="str">
        <f>"12/20/2019 8:02:06 PM"</f>
        <v>12/20/2019 8:02:06 PM</v>
      </c>
      <c r="T778" t="str">
        <f t="shared" si="305"/>
        <v>5</v>
      </c>
      <c r="U778" t="str">
        <f t="shared" si="320"/>
        <v>N/A</v>
      </c>
      <c r="V778" t="str">
        <f>"5.5500"</f>
        <v>5.5500</v>
      </c>
    </row>
    <row r="779" spans="1:22" x14ac:dyDescent="0.25">
      <c r="A779" s="1" t="str">
        <f t="shared" si="315"/>
        <v>2599-</v>
      </c>
      <c r="B779" s="1" t="str">
        <f t="shared" si="321"/>
        <v>2599-</v>
      </c>
      <c r="C779" s="1" t="str">
        <f>VLOOKUP(B779,'Master truck list'!D:E,2,0)</f>
        <v>2599-20T</v>
      </c>
      <c r="D779" s="1" t="str">
        <f>VLOOKUP(C779,'Master truck list'!E:F,2,0)</f>
        <v>OUT OF SERVICE</v>
      </c>
      <c r="E779" s="1" t="str">
        <f>VLOOKUP(C779,'Master truck list'!E:M,9,0)</f>
        <v>CHARGER LOGISTICS USA INC</v>
      </c>
      <c r="F779" s="1" t="str">
        <f>VLOOKUP(C779,'Master truck list'!E:G,3,0)</f>
        <v>Company</v>
      </c>
      <c r="G779" s="1">
        <f>VLOOKUP(C779,'Master truck list'!E:R,14,0)</f>
        <v>2642</v>
      </c>
      <c r="H779" t="str">
        <f>"12/20/2019 7:00:30 AM"</f>
        <v>12/20/2019 7:00:30 AM</v>
      </c>
      <c r="I779" t="str">
        <f>""</f>
        <v/>
      </c>
      <c r="J779" t="str">
        <f t="shared" si="316"/>
        <v>Elite</v>
      </c>
      <c r="K779" t="str">
        <f t="shared" si="299"/>
        <v>Device</v>
      </c>
      <c r="L779" t="str">
        <f t="shared" ref="L779:L788" si="322">"777237587"</f>
        <v>777237587</v>
      </c>
      <c r="M779" t="str">
        <f t="shared" ref="M779:M788" si="323">"16670344"</f>
        <v>16670344</v>
      </c>
      <c r="N779" t="str">
        <f t="shared" ref="N779:N788" si="324">"2599-20T"</f>
        <v>2599-20T</v>
      </c>
      <c r="O779" t="str">
        <f t="shared" si="317"/>
        <v>TEXAS</v>
      </c>
      <c r="P779" t="str">
        <f t="shared" si="318"/>
        <v>N A</v>
      </c>
      <c r="Q779" t="str">
        <f t="shared" si="319"/>
        <v>N/A</v>
      </c>
      <c r="R779" t="str">
        <f>"130 ARPTP 09 308"</f>
        <v>130 ARPTP 09 308</v>
      </c>
      <c r="S779" t="str">
        <f>"12/19/2019 7:15:25 PM"</f>
        <v>12/19/2019 7:15:25 PM</v>
      </c>
      <c r="T779" t="str">
        <f t="shared" si="305"/>
        <v>5</v>
      </c>
      <c r="U779" t="str">
        <f t="shared" si="320"/>
        <v>N/A</v>
      </c>
      <c r="V779" t="str">
        <f>"5.5500"</f>
        <v>5.5500</v>
      </c>
    </row>
    <row r="780" spans="1:22" x14ac:dyDescent="0.25">
      <c r="A780" s="1" t="str">
        <f t="shared" si="315"/>
        <v>2599-</v>
      </c>
      <c r="B780" s="1" t="str">
        <f t="shared" si="321"/>
        <v>2599-</v>
      </c>
      <c r="C780" s="1" t="s">
        <v>8888</v>
      </c>
      <c r="D780" s="1" t="s">
        <v>91</v>
      </c>
      <c r="E780" s="1" t="s">
        <v>1738</v>
      </c>
      <c r="F780" s="1" t="s">
        <v>22</v>
      </c>
      <c r="G780" s="1" t="e">
        <f>VLOOKUP(C780,'Master truck list'!E:R,14,0)</f>
        <v>#N/A</v>
      </c>
      <c r="H780" t="str">
        <f>"12/19/2019 7:00:35 AM"</f>
        <v>12/19/2019 7:00:35 AM</v>
      </c>
      <c r="I780" t="str">
        <f>""</f>
        <v/>
      </c>
      <c r="J780" t="str">
        <f t="shared" si="316"/>
        <v>Elite</v>
      </c>
      <c r="K780" t="str">
        <f t="shared" si="299"/>
        <v>Device</v>
      </c>
      <c r="L780" t="str">
        <f t="shared" si="322"/>
        <v>777237587</v>
      </c>
      <c r="M780" t="str">
        <f t="shared" si="323"/>
        <v>16670344</v>
      </c>
      <c r="N780" t="str">
        <f t="shared" si="324"/>
        <v>2599-20T</v>
      </c>
      <c r="O780" t="str">
        <f t="shared" si="317"/>
        <v>TEXAS</v>
      </c>
      <c r="P780" t="str">
        <f t="shared" si="318"/>
        <v>N A</v>
      </c>
      <c r="Q780" t="str">
        <f t="shared" si="319"/>
        <v>N/A</v>
      </c>
      <c r="R780" t="str">
        <f>"45SE MLPWB 01 611"</f>
        <v>45SE MLPWB 01 611</v>
      </c>
      <c r="S780" t="str">
        <f>"12/18/2019 4:50:28 PM"</f>
        <v>12/18/2019 4:50:28 PM</v>
      </c>
      <c r="T780" t="str">
        <f t="shared" si="305"/>
        <v>5</v>
      </c>
      <c r="U780" t="str">
        <f t="shared" si="320"/>
        <v>N/A</v>
      </c>
      <c r="V780" t="str">
        <f>"3.3000"</f>
        <v>3.3000</v>
      </c>
    </row>
    <row r="781" spans="1:22" x14ac:dyDescent="0.25">
      <c r="A781" s="1" t="str">
        <f t="shared" si="315"/>
        <v>2599-</v>
      </c>
      <c r="B781" s="1" t="str">
        <f t="shared" si="321"/>
        <v>2599-</v>
      </c>
      <c r="C781" s="1" t="s">
        <v>8889</v>
      </c>
      <c r="D781" s="1" t="s">
        <v>91</v>
      </c>
      <c r="E781" s="1" t="s">
        <v>1738</v>
      </c>
      <c r="F781" s="1" t="s">
        <v>22</v>
      </c>
      <c r="G781" s="1" t="e">
        <f>VLOOKUP(C781,'Master truck list'!E:R,14,0)</f>
        <v>#N/A</v>
      </c>
      <c r="H781" t="str">
        <f>"12/19/2019 7:00:35 AM"</f>
        <v>12/19/2019 7:00:35 AM</v>
      </c>
      <c r="I781" t="str">
        <f>""</f>
        <v/>
      </c>
      <c r="J781" t="str">
        <f t="shared" si="316"/>
        <v>Elite</v>
      </c>
      <c r="K781" t="str">
        <f t="shared" si="299"/>
        <v>Device</v>
      </c>
      <c r="L781" t="str">
        <f t="shared" si="322"/>
        <v>777237587</v>
      </c>
      <c r="M781" t="str">
        <f t="shared" si="323"/>
        <v>16670344</v>
      </c>
      <c r="N781" t="str">
        <f t="shared" si="324"/>
        <v>2599-20T</v>
      </c>
      <c r="O781" t="str">
        <f t="shared" si="317"/>
        <v>TEXAS</v>
      </c>
      <c r="P781" t="str">
        <f t="shared" si="318"/>
        <v>N A</v>
      </c>
      <c r="Q781" t="str">
        <f t="shared" si="319"/>
        <v>N/A</v>
      </c>
      <c r="R781" t="str">
        <f>"130 MGCRP 06 305"</f>
        <v>130 MGCRP 06 305</v>
      </c>
      <c r="S781" t="str">
        <f>"12/18/2019 4:11:55 PM"</f>
        <v>12/18/2019 4:11:55 PM</v>
      </c>
      <c r="T781" t="str">
        <f t="shared" si="305"/>
        <v>5</v>
      </c>
      <c r="U781" t="str">
        <f t="shared" si="320"/>
        <v>N/A</v>
      </c>
      <c r="V781" t="str">
        <f>"5.5500"</f>
        <v>5.5500</v>
      </c>
    </row>
    <row r="782" spans="1:22" x14ac:dyDescent="0.25">
      <c r="A782" s="1" t="str">
        <f t="shared" si="315"/>
        <v>2599-</v>
      </c>
      <c r="B782" s="1" t="str">
        <f t="shared" si="321"/>
        <v>2599-</v>
      </c>
      <c r="C782" s="1" t="s">
        <v>8890</v>
      </c>
      <c r="D782" s="1" t="s">
        <v>91</v>
      </c>
      <c r="E782" s="1" t="s">
        <v>154</v>
      </c>
      <c r="F782" s="1" t="s">
        <v>22</v>
      </c>
      <c r="G782" s="1" t="e">
        <f>VLOOKUP(C782,'Master truck list'!E:R,14,0)</f>
        <v>#N/A</v>
      </c>
      <c r="H782" t="str">
        <f>"12/19/2019 7:00:35 AM"</f>
        <v>12/19/2019 7:00:35 AM</v>
      </c>
      <c r="I782" t="str">
        <f>""</f>
        <v/>
      </c>
      <c r="J782" t="str">
        <f t="shared" si="316"/>
        <v>Elite</v>
      </c>
      <c r="K782" t="str">
        <f t="shared" si="299"/>
        <v>Device</v>
      </c>
      <c r="L782" t="str">
        <f t="shared" si="322"/>
        <v>777237587</v>
      </c>
      <c r="M782" t="str">
        <f t="shared" si="323"/>
        <v>16670344</v>
      </c>
      <c r="N782" t="str">
        <f t="shared" si="324"/>
        <v>2599-20T</v>
      </c>
      <c r="O782" t="str">
        <f t="shared" si="317"/>
        <v>TEXAS</v>
      </c>
      <c r="P782" t="str">
        <f t="shared" si="318"/>
        <v>N A</v>
      </c>
      <c r="Q782" t="str">
        <f t="shared" si="319"/>
        <v>N/A</v>
      </c>
      <c r="R782" t="str">
        <f>"130 DKCRP 06 307"</f>
        <v>130 DKCRP 06 307</v>
      </c>
      <c r="S782" t="str">
        <f>"12/18/2019 4:32:51 PM"</f>
        <v>12/18/2019 4:32:51 PM</v>
      </c>
      <c r="T782" t="str">
        <f t="shared" si="305"/>
        <v>5</v>
      </c>
      <c r="U782" t="str">
        <f t="shared" si="320"/>
        <v>N/A</v>
      </c>
      <c r="V782" t="str">
        <f>"5.5500"</f>
        <v>5.5500</v>
      </c>
    </row>
    <row r="783" spans="1:22" x14ac:dyDescent="0.25">
      <c r="A783" s="1" t="str">
        <f t="shared" si="315"/>
        <v>2599-</v>
      </c>
      <c r="B783" s="1" t="str">
        <f t="shared" si="321"/>
        <v>2599-</v>
      </c>
      <c r="C783" s="1" t="str">
        <f>VLOOKUP(B783,'Master truck list'!D:E,2,0)</f>
        <v>2599-20T</v>
      </c>
      <c r="D783" s="1" t="str">
        <f>VLOOKUP(C783,'Master truck list'!E:F,2,0)</f>
        <v>OUT OF SERVICE</v>
      </c>
      <c r="E783" s="1" t="str">
        <f>VLOOKUP(C783,'Master truck list'!E:M,9,0)</f>
        <v>CHARGER LOGISTICS USA INC</v>
      </c>
      <c r="F783" s="1" t="str">
        <f>VLOOKUP(C783,'Master truck list'!E:G,3,0)</f>
        <v>Company</v>
      </c>
      <c r="G783" s="1">
        <f>VLOOKUP(C783,'Master truck list'!E:R,14,0)</f>
        <v>2642</v>
      </c>
      <c r="H783" t="str">
        <f>"12/20/2019 7:00:30 AM"</f>
        <v>12/20/2019 7:00:30 AM</v>
      </c>
      <c r="I783" t="str">
        <f>""</f>
        <v/>
      </c>
      <c r="J783" t="str">
        <f t="shared" si="316"/>
        <v>Elite</v>
      </c>
      <c r="K783" t="str">
        <f t="shared" ref="K783:K846" si="325">"Device"</f>
        <v>Device</v>
      </c>
      <c r="L783" t="str">
        <f t="shared" si="322"/>
        <v>777237587</v>
      </c>
      <c r="M783" t="str">
        <f t="shared" si="323"/>
        <v>16670344</v>
      </c>
      <c r="N783" t="str">
        <f t="shared" si="324"/>
        <v>2599-20T</v>
      </c>
      <c r="O783" t="str">
        <f t="shared" si="317"/>
        <v>TEXAS</v>
      </c>
      <c r="P783" t="str">
        <f t="shared" si="318"/>
        <v>N A</v>
      </c>
      <c r="Q783" t="str">
        <f t="shared" si="319"/>
        <v>N/A</v>
      </c>
      <c r="R783" t="str">
        <f>"45SE MLPEB 02 611"</f>
        <v>45SE MLPEB 02 611</v>
      </c>
      <c r="S783" t="str">
        <f>"12/19/2019 7:04:49 PM"</f>
        <v>12/19/2019 7:04:49 PM</v>
      </c>
      <c r="T783" t="str">
        <f t="shared" si="305"/>
        <v>5</v>
      </c>
      <c r="U783" t="str">
        <f t="shared" si="320"/>
        <v>N/A</v>
      </c>
      <c r="V783" t="str">
        <f>"3.3000"</f>
        <v>3.3000</v>
      </c>
    </row>
    <row r="784" spans="1:22" x14ac:dyDescent="0.25">
      <c r="A784" s="1" t="str">
        <f t="shared" si="315"/>
        <v>2599-</v>
      </c>
      <c r="B784" s="1" t="str">
        <f t="shared" si="321"/>
        <v>2599-</v>
      </c>
      <c r="C784" s="1" t="str">
        <f>VLOOKUP(B784,'Master truck list'!D:E,2,0)</f>
        <v>2599-20T</v>
      </c>
      <c r="D784" s="1" t="str">
        <f>VLOOKUP(C784,'Master truck list'!E:F,2,0)</f>
        <v>OUT OF SERVICE</v>
      </c>
      <c r="E784" s="1" t="str">
        <f>VLOOKUP(C784,'Master truck list'!E:M,9,0)</f>
        <v>CHARGER LOGISTICS USA INC</v>
      </c>
      <c r="F784" s="1" t="str">
        <f>VLOOKUP(C784,'Master truck list'!E:G,3,0)</f>
        <v>Company</v>
      </c>
      <c r="G784" s="1">
        <f>VLOOKUP(C784,'Master truck list'!E:R,14,0)</f>
        <v>2642</v>
      </c>
      <c r="H784" t="str">
        <f>"12/20/2019 7:00:30 AM"</f>
        <v>12/20/2019 7:00:30 AM</v>
      </c>
      <c r="I784" t="str">
        <f>""</f>
        <v/>
      </c>
      <c r="J784" t="str">
        <f t="shared" si="316"/>
        <v>Elite</v>
      </c>
      <c r="K784" t="str">
        <f t="shared" si="325"/>
        <v>Device</v>
      </c>
      <c r="L784" t="str">
        <f t="shared" si="322"/>
        <v>777237587</v>
      </c>
      <c r="M784" t="str">
        <f t="shared" si="323"/>
        <v>16670344</v>
      </c>
      <c r="N784" t="str">
        <f t="shared" si="324"/>
        <v>2599-20T</v>
      </c>
      <c r="O784" t="str">
        <f t="shared" si="317"/>
        <v>TEXAS</v>
      </c>
      <c r="P784" t="str">
        <f t="shared" si="318"/>
        <v>N A</v>
      </c>
      <c r="Q784" t="str">
        <f t="shared" si="319"/>
        <v>N/A</v>
      </c>
      <c r="R784" t="str">
        <f>"130 MGCRP 11 305"</f>
        <v>130 MGCRP 11 305</v>
      </c>
      <c r="S784" t="str">
        <f>"12/19/2019 7:43:29 PM"</f>
        <v>12/19/2019 7:43:29 PM</v>
      </c>
      <c r="T784" t="str">
        <f t="shared" si="305"/>
        <v>5</v>
      </c>
      <c r="U784" t="str">
        <f t="shared" si="320"/>
        <v>N/A</v>
      </c>
      <c r="V784" t="str">
        <f t="shared" ref="V784:V790" si="326">"5.5500"</f>
        <v>5.5500</v>
      </c>
    </row>
    <row r="785" spans="1:22" x14ac:dyDescent="0.25">
      <c r="A785" s="1" t="str">
        <f t="shared" si="315"/>
        <v>2599-</v>
      </c>
      <c r="B785" s="1" t="str">
        <f t="shared" si="321"/>
        <v>2599-</v>
      </c>
      <c r="C785" s="1" t="str">
        <f>VLOOKUP(B785,'Master truck list'!D:E,2,0)</f>
        <v>2599-20T</v>
      </c>
      <c r="D785" s="1" t="str">
        <f>VLOOKUP(C785,'Master truck list'!E:F,2,0)</f>
        <v>OUT OF SERVICE</v>
      </c>
      <c r="E785" s="1" t="str">
        <f>VLOOKUP(C785,'Master truck list'!E:M,9,0)</f>
        <v>CHARGER LOGISTICS USA INC</v>
      </c>
      <c r="F785" s="1" t="str">
        <f>VLOOKUP(C785,'Master truck list'!E:G,3,0)</f>
        <v>Company</v>
      </c>
      <c r="G785" s="1">
        <f>VLOOKUP(C785,'Master truck list'!E:R,14,0)</f>
        <v>2642</v>
      </c>
      <c r="H785" t="str">
        <f>"12/20/2019 7:00:30 AM"</f>
        <v>12/20/2019 7:00:30 AM</v>
      </c>
      <c r="I785" t="str">
        <f>""</f>
        <v/>
      </c>
      <c r="J785" t="str">
        <f t="shared" si="316"/>
        <v>Elite</v>
      </c>
      <c r="K785" t="str">
        <f t="shared" si="325"/>
        <v>Device</v>
      </c>
      <c r="L785" t="str">
        <f t="shared" si="322"/>
        <v>777237587</v>
      </c>
      <c r="M785" t="str">
        <f t="shared" si="323"/>
        <v>16670344</v>
      </c>
      <c r="N785" t="str">
        <f t="shared" si="324"/>
        <v>2599-20T</v>
      </c>
      <c r="O785" t="str">
        <f t="shared" si="317"/>
        <v>TEXAS</v>
      </c>
      <c r="P785" t="str">
        <f t="shared" si="318"/>
        <v>N A</v>
      </c>
      <c r="Q785" t="str">
        <f t="shared" si="319"/>
        <v>N/A</v>
      </c>
      <c r="R785" t="str">
        <f>"130 CMRNP 12 306"</f>
        <v>130 CMRNP 12 306</v>
      </c>
      <c r="S785" t="str">
        <f>"12/19/2019 7:32:27 PM"</f>
        <v>12/19/2019 7:32:27 PM</v>
      </c>
      <c r="T785" t="str">
        <f t="shared" si="305"/>
        <v>5</v>
      </c>
      <c r="U785" t="str">
        <f t="shared" si="320"/>
        <v>N/A</v>
      </c>
      <c r="V785" t="str">
        <f t="shared" si="326"/>
        <v>5.5500</v>
      </c>
    </row>
    <row r="786" spans="1:22" x14ac:dyDescent="0.25">
      <c r="A786" s="1" t="str">
        <f t="shared" si="315"/>
        <v>2599-</v>
      </c>
      <c r="B786" s="1" t="str">
        <f t="shared" si="321"/>
        <v>2599-</v>
      </c>
      <c r="C786" s="1" t="str">
        <f>VLOOKUP(B786,'Master truck list'!D:E,2,0)</f>
        <v>2599-20T</v>
      </c>
      <c r="D786" s="1" t="str">
        <f>VLOOKUP(C786,'Master truck list'!E:F,2,0)</f>
        <v>OUT OF SERVICE</v>
      </c>
      <c r="E786" s="1" t="str">
        <f>VLOOKUP(C786,'Master truck list'!E:M,9,0)</f>
        <v>CHARGER LOGISTICS USA INC</v>
      </c>
      <c r="F786" s="1" t="str">
        <f>VLOOKUP(C786,'Master truck list'!E:G,3,0)</f>
        <v>Company</v>
      </c>
      <c r="G786" s="1">
        <f>VLOOKUP(C786,'Master truck list'!E:R,14,0)</f>
        <v>2642</v>
      </c>
      <c r="H786" t="str">
        <f>"12/20/2019 7:00:30 AM"</f>
        <v>12/20/2019 7:00:30 AM</v>
      </c>
      <c r="I786" t="str">
        <f>""</f>
        <v/>
      </c>
      <c r="J786" t="str">
        <f t="shared" si="316"/>
        <v>Elite</v>
      </c>
      <c r="K786" t="str">
        <f t="shared" si="325"/>
        <v>Device</v>
      </c>
      <c r="L786" t="str">
        <f t="shared" si="322"/>
        <v>777237587</v>
      </c>
      <c r="M786" t="str">
        <f t="shared" si="323"/>
        <v>16670344</v>
      </c>
      <c r="N786" t="str">
        <f t="shared" si="324"/>
        <v>2599-20T</v>
      </c>
      <c r="O786" t="str">
        <f t="shared" si="317"/>
        <v>TEXAS</v>
      </c>
      <c r="P786" t="str">
        <f t="shared" si="318"/>
        <v>N A</v>
      </c>
      <c r="Q786" t="str">
        <f t="shared" si="319"/>
        <v>N/A</v>
      </c>
      <c r="R786" t="str">
        <f>"130 DKCRP 11 307"</f>
        <v>130 DKCRP 11 307</v>
      </c>
      <c r="S786" t="str">
        <f>"12/19/2019 7:22:21 PM"</f>
        <v>12/19/2019 7:22:21 PM</v>
      </c>
      <c r="T786" t="str">
        <f t="shared" si="305"/>
        <v>5</v>
      </c>
      <c r="U786" t="str">
        <f t="shared" si="320"/>
        <v>N/A</v>
      </c>
      <c r="V786" t="str">
        <f t="shared" si="326"/>
        <v>5.5500</v>
      </c>
    </row>
    <row r="787" spans="1:22" x14ac:dyDescent="0.25">
      <c r="A787" s="1" t="str">
        <f t="shared" si="315"/>
        <v>2599-</v>
      </c>
      <c r="B787" s="1" t="str">
        <f t="shared" si="321"/>
        <v>2599-</v>
      </c>
      <c r="C787" s="1" t="str">
        <f>VLOOKUP(B787,'Master truck list'!D:E,2,0)</f>
        <v>2599-20T</v>
      </c>
      <c r="D787" s="1" t="str">
        <f>VLOOKUP(C787,'Master truck list'!E:F,2,0)</f>
        <v>OUT OF SERVICE</v>
      </c>
      <c r="E787" s="1" t="str">
        <f>VLOOKUP(C787,'Master truck list'!E:M,9,0)</f>
        <v>CHARGER LOGISTICS USA INC</v>
      </c>
      <c r="F787" s="1" t="str">
        <f>VLOOKUP(C787,'Master truck list'!E:G,3,0)</f>
        <v>Company</v>
      </c>
      <c r="G787" s="1">
        <f>VLOOKUP(C787,'Master truck list'!E:R,14,0)</f>
        <v>2642</v>
      </c>
      <c r="H787" t="str">
        <f>"12/19/2019 7:00:35 AM"</f>
        <v>12/19/2019 7:00:35 AM</v>
      </c>
      <c r="I787" t="str">
        <f>""</f>
        <v/>
      </c>
      <c r="J787" t="str">
        <f t="shared" si="316"/>
        <v>Elite</v>
      </c>
      <c r="K787" t="str">
        <f t="shared" si="325"/>
        <v>Device</v>
      </c>
      <c r="L787" t="str">
        <f t="shared" si="322"/>
        <v>777237587</v>
      </c>
      <c r="M787" t="str">
        <f t="shared" si="323"/>
        <v>16670344</v>
      </c>
      <c r="N787" t="str">
        <f t="shared" si="324"/>
        <v>2599-20T</v>
      </c>
      <c r="O787" t="str">
        <f t="shared" si="317"/>
        <v>TEXAS</v>
      </c>
      <c r="P787" t="str">
        <f t="shared" si="318"/>
        <v>N A</v>
      </c>
      <c r="Q787" t="str">
        <f t="shared" si="319"/>
        <v>N/A</v>
      </c>
      <c r="R787" t="str">
        <f>"130 ARPTP 04 308"</f>
        <v>130 ARPTP 04 308</v>
      </c>
      <c r="S787" t="str">
        <f>"12/18/2019 4:39:57 PM"</f>
        <v>12/18/2019 4:39:57 PM</v>
      </c>
      <c r="T787" t="str">
        <f t="shared" si="305"/>
        <v>5</v>
      </c>
      <c r="U787" t="str">
        <f t="shared" si="320"/>
        <v>N/A</v>
      </c>
      <c r="V787" t="str">
        <f t="shared" si="326"/>
        <v>5.5500</v>
      </c>
    </row>
    <row r="788" spans="1:22" x14ac:dyDescent="0.25">
      <c r="A788" s="1" t="str">
        <f t="shared" si="315"/>
        <v>2599-</v>
      </c>
      <c r="B788" s="1" t="str">
        <f t="shared" si="321"/>
        <v>2599-</v>
      </c>
      <c r="C788" s="1" t="str">
        <f>VLOOKUP(B788,'Master truck list'!D:E,2,0)</f>
        <v>2599-20T</v>
      </c>
      <c r="D788" s="1" t="str">
        <f>VLOOKUP(C788,'Master truck list'!E:F,2,0)</f>
        <v>OUT OF SERVICE</v>
      </c>
      <c r="E788" s="1" t="str">
        <f>VLOOKUP(C788,'Master truck list'!E:M,9,0)</f>
        <v>CHARGER LOGISTICS USA INC</v>
      </c>
      <c r="F788" s="1" t="str">
        <f>VLOOKUP(C788,'Master truck list'!E:G,3,0)</f>
        <v>Company</v>
      </c>
      <c r="G788" s="1">
        <f>VLOOKUP(C788,'Master truck list'!E:R,14,0)</f>
        <v>2642</v>
      </c>
      <c r="H788" t="str">
        <f>"12/19/2019 7:00:35 AM"</f>
        <v>12/19/2019 7:00:35 AM</v>
      </c>
      <c r="I788" t="str">
        <f>""</f>
        <v/>
      </c>
      <c r="J788" t="str">
        <f t="shared" si="316"/>
        <v>Elite</v>
      </c>
      <c r="K788" t="str">
        <f t="shared" si="325"/>
        <v>Device</v>
      </c>
      <c r="L788" t="str">
        <f t="shared" si="322"/>
        <v>777237587</v>
      </c>
      <c r="M788" t="str">
        <f t="shared" si="323"/>
        <v>16670344</v>
      </c>
      <c r="N788" t="str">
        <f t="shared" si="324"/>
        <v>2599-20T</v>
      </c>
      <c r="O788" t="str">
        <f t="shared" si="317"/>
        <v>TEXAS</v>
      </c>
      <c r="P788" t="str">
        <f t="shared" si="318"/>
        <v>N A</v>
      </c>
      <c r="Q788" t="str">
        <f t="shared" si="319"/>
        <v>N/A</v>
      </c>
      <c r="R788" t="str">
        <f>"130 CMRNP 08 306"</f>
        <v>130 CMRNP 08 306</v>
      </c>
      <c r="S788" t="str">
        <f>"12/18/2019 4:22:52 PM"</f>
        <v>12/18/2019 4:22:52 PM</v>
      </c>
      <c r="T788" t="str">
        <f t="shared" si="305"/>
        <v>5</v>
      </c>
      <c r="U788" t="str">
        <f t="shared" si="320"/>
        <v>N/A</v>
      </c>
      <c r="V788" t="str">
        <f t="shared" si="326"/>
        <v>5.5500</v>
      </c>
    </row>
    <row r="789" spans="1:22" x14ac:dyDescent="0.25">
      <c r="A789" s="1" t="str">
        <f t="shared" si="315"/>
        <v>2600-</v>
      </c>
      <c r="B789" s="1" t="str">
        <f t="shared" si="321"/>
        <v>2600-</v>
      </c>
      <c r="C789" s="1" t="str">
        <f>VLOOKUP(B789,'Master truck list'!D:E,2,0)</f>
        <v>2600-20T</v>
      </c>
      <c r="D789" s="1" t="str">
        <f>VLOOKUP(C789,'Master truck list'!E:F,2,0)</f>
        <v>OUT OF SERVICE</v>
      </c>
      <c r="E789" s="1" t="str">
        <f>VLOOKUP(C789,'Master truck list'!E:M,9,0)</f>
        <v>CHARGER LOGISTICS USA INC</v>
      </c>
      <c r="F789" s="1" t="str">
        <f>VLOOKUP(C789,'Master truck list'!E:G,3,0)</f>
        <v>Company</v>
      </c>
      <c r="G789" s="1">
        <f>VLOOKUP(C789,'Master truck list'!E:R,14,0)</f>
        <v>2643</v>
      </c>
      <c r="H789" t="str">
        <f t="shared" ref="H789:H795" si="327">"12/20/2019 7:00:30 AM"</f>
        <v>12/20/2019 7:00:30 AM</v>
      </c>
      <c r="I789" t="str">
        <f>""</f>
        <v/>
      </c>
      <c r="J789" t="str">
        <f t="shared" si="316"/>
        <v>Elite</v>
      </c>
      <c r="K789" t="str">
        <f t="shared" si="325"/>
        <v>Device</v>
      </c>
      <c r="L789" t="str">
        <f>"777237608"</f>
        <v>777237608</v>
      </c>
      <c r="M789" t="str">
        <f>"16670365"</f>
        <v>16670365</v>
      </c>
      <c r="N789" t="str">
        <f>"2600-20T"</f>
        <v>2600-20T</v>
      </c>
      <c r="O789" t="str">
        <f t="shared" si="317"/>
        <v>TEXAS</v>
      </c>
      <c r="P789" t="str">
        <f t="shared" si="318"/>
        <v>N A</v>
      </c>
      <c r="Q789" t="str">
        <f t="shared" si="319"/>
        <v>N/A</v>
      </c>
      <c r="R789" t="str">
        <f>"130 ARPTP 08 308"</f>
        <v>130 ARPTP 08 308</v>
      </c>
      <c r="S789" t="str">
        <f>"12/19/2019 7:08:28 PM"</f>
        <v>12/19/2019 7:08:28 PM</v>
      </c>
      <c r="T789" t="str">
        <f t="shared" si="305"/>
        <v>5</v>
      </c>
      <c r="U789" t="str">
        <f t="shared" si="320"/>
        <v>N/A</v>
      </c>
      <c r="V789" t="str">
        <f t="shared" si="326"/>
        <v>5.5500</v>
      </c>
    </row>
    <row r="790" spans="1:22" x14ac:dyDescent="0.25">
      <c r="A790" s="1" t="str">
        <f t="shared" si="315"/>
        <v>2600-</v>
      </c>
      <c r="B790" s="1" t="str">
        <f t="shared" si="321"/>
        <v>2600-</v>
      </c>
      <c r="C790" s="1" t="str">
        <f>VLOOKUP(B790,'Master truck list'!D:E,2,0)</f>
        <v>2600-20T</v>
      </c>
      <c r="D790" s="1" t="str">
        <f>VLOOKUP(C790,'Master truck list'!E:F,2,0)</f>
        <v>OUT OF SERVICE</v>
      </c>
      <c r="E790" s="1" t="str">
        <f>VLOOKUP(C790,'Master truck list'!E:M,9,0)</f>
        <v>CHARGER LOGISTICS USA INC</v>
      </c>
      <c r="F790" s="1" t="str">
        <f>VLOOKUP(C790,'Master truck list'!E:G,3,0)</f>
        <v>Company</v>
      </c>
      <c r="G790" s="1">
        <f>VLOOKUP(C790,'Master truck list'!E:R,14,0)</f>
        <v>2643</v>
      </c>
      <c r="H790" t="str">
        <f t="shared" si="327"/>
        <v>12/20/2019 7:00:30 AM</v>
      </c>
      <c r="I790" t="str">
        <f>""</f>
        <v/>
      </c>
      <c r="J790" t="str">
        <f t="shared" si="316"/>
        <v>Elite</v>
      </c>
      <c r="K790" t="str">
        <f t="shared" si="325"/>
        <v>Device</v>
      </c>
      <c r="L790" t="str">
        <f>"777237608"</f>
        <v>777237608</v>
      </c>
      <c r="M790" t="str">
        <f>"16670365"</f>
        <v>16670365</v>
      </c>
      <c r="N790" t="str">
        <f>"2600-20T"</f>
        <v>2600-20T</v>
      </c>
      <c r="O790" t="str">
        <f t="shared" si="317"/>
        <v>TEXAS</v>
      </c>
      <c r="P790" t="str">
        <f t="shared" si="318"/>
        <v>N A</v>
      </c>
      <c r="Q790" t="str">
        <f t="shared" si="319"/>
        <v>N/A</v>
      </c>
      <c r="R790" t="str">
        <f>"130 MGCRP 11 305"</f>
        <v>130 MGCRP 11 305</v>
      </c>
      <c r="S790" t="str">
        <f>"12/19/2019 7:36:25 PM"</f>
        <v>12/19/2019 7:36:25 PM</v>
      </c>
      <c r="T790" t="str">
        <f t="shared" si="305"/>
        <v>5</v>
      </c>
      <c r="U790" t="str">
        <f t="shared" si="320"/>
        <v>N/A</v>
      </c>
      <c r="V790" t="str">
        <f t="shared" si="326"/>
        <v>5.5500</v>
      </c>
    </row>
    <row r="791" spans="1:22" x14ac:dyDescent="0.25">
      <c r="A791" s="1" t="str">
        <f t="shared" si="315"/>
        <v>2600-</v>
      </c>
      <c r="B791" s="1" t="str">
        <f t="shared" si="321"/>
        <v>2600-</v>
      </c>
      <c r="C791" s="1" t="str">
        <f>VLOOKUP(B791,'Master truck list'!D:E,2,0)</f>
        <v>2600-20T</v>
      </c>
      <c r="D791" s="1" t="str">
        <f>VLOOKUP(C791,'Master truck list'!E:F,2,0)</f>
        <v>OUT OF SERVICE</v>
      </c>
      <c r="E791" s="1" t="str">
        <f>VLOOKUP(C791,'Master truck list'!E:M,9,0)</f>
        <v>CHARGER LOGISTICS USA INC</v>
      </c>
      <c r="F791" s="1" t="str">
        <f>VLOOKUP(C791,'Master truck list'!E:G,3,0)</f>
        <v>Company</v>
      </c>
      <c r="G791" s="1">
        <f>VLOOKUP(C791,'Master truck list'!E:R,14,0)</f>
        <v>2643</v>
      </c>
      <c r="H791" t="str">
        <f t="shared" si="327"/>
        <v>12/20/2019 7:00:30 AM</v>
      </c>
      <c r="I791" t="str">
        <f>""</f>
        <v/>
      </c>
      <c r="J791" t="str">
        <f t="shared" si="316"/>
        <v>Elite</v>
      </c>
      <c r="K791" t="str">
        <f t="shared" si="325"/>
        <v>Device</v>
      </c>
      <c r="L791" t="str">
        <f>"777237608"</f>
        <v>777237608</v>
      </c>
      <c r="M791" t="str">
        <f>"16670365"</f>
        <v>16670365</v>
      </c>
      <c r="N791" t="str">
        <f>"2600-20T"</f>
        <v>2600-20T</v>
      </c>
      <c r="O791" t="str">
        <f t="shared" si="317"/>
        <v>TEXAS</v>
      </c>
      <c r="P791" t="str">
        <f t="shared" si="318"/>
        <v>N A</v>
      </c>
      <c r="Q791" t="str">
        <f t="shared" si="319"/>
        <v>N/A</v>
      </c>
      <c r="R791" t="str">
        <f>"45SE MLPEB 02 611"</f>
        <v>45SE MLPEB 02 611</v>
      </c>
      <c r="S791" t="str">
        <f>"12/19/2019 6:57:55 PM"</f>
        <v>12/19/2019 6:57:55 PM</v>
      </c>
      <c r="T791" t="str">
        <f t="shared" si="305"/>
        <v>5</v>
      </c>
      <c r="U791" t="str">
        <f t="shared" si="320"/>
        <v>N/A</v>
      </c>
      <c r="V791" t="str">
        <f>"3.3000"</f>
        <v>3.3000</v>
      </c>
    </row>
    <row r="792" spans="1:22" x14ac:dyDescent="0.25">
      <c r="A792" s="1" t="str">
        <f t="shared" si="315"/>
        <v>2600-</v>
      </c>
      <c r="B792" s="1" t="str">
        <f t="shared" si="321"/>
        <v>2600-</v>
      </c>
      <c r="C792" s="1" t="s">
        <v>8886</v>
      </c>
      <c r="D792" s="1" t="s">
        <v>91</v>
      </c>
      <c r="E792" s="1" t="s">
        <v>1738</v>
      </c>
      <c r="F792" s="1" t="s">
        <v>22</v>
      </c>
      <c r="G792" s="1" t="e">
        <f>VLOOKUP(C792,'Master truck list'!E:R,14,0)</f>
        <v>#N/A</v>
      </c>
      <c r="H792" t="str">
        <f t="shared" si="327"/>
        <v>12/20/2019 7:00:30 AM</v>
      </c>
      <c r="I792" t="str">
        <f>""</f>
        <v/>
      </c>
      <c r="J792" t="str">
        <f t="shared" si="316"/>
        <v>Elite</v>
      </c>
      <c r="K792" t="str">
        <f t="shared" si="325"/>
        <v>Device</v>
      </c>
      <c r="L792" t="str">
        <f>"777237608"</f>
        <v>777237608</v>
      </c>
      <c r="M792" t="str">
        <f>"16670365"</f>
        <v>16670365</v>
      </c>
      <c r="N792" t="str">
        <f>"2600-20T"</f>
        <v>2600-20T</v>
      </c>
      <c r="O792" t="str">
        <f t="shared" si="317"/>
        <v>TEXAS</v>
      </c>
      <c r="P792" t="str">
        <f t="shared" si="318"/>
        <v>N A</v>
      </c>
      <c r="Q792" t="str">
        <f t="shared" si="319"/>
        <v>N/A</v>
      </c>
      <c r="R792" t="str">
        <f>"130 CMRNP 13 306"</f>
        <v>130 CMRNP 13 306</v>
      </c>
      <c r="S792" t="str">
        <f>"12/19/2019 7:25:26 PM"</f>
        <v>12/19/2019 7:25:26 PM</v>
      </c>
      <c r="T792" t="str">
        <f t="shared" si="305"/>
        <v>5</v>
      </c>
      <c r="U792" t="str">
        <f t="shared" si="320"/>
        <v>N/A</v>
      </c>
      <c r="V792" t="str">
        <f t="shared" ref="V792:V797" si="328">"5.5500"</f>
        <v>5.5500</v>
      </c>
    </row>
    <row r="793" spans="1:22" x14ac:dyDescent="0.25">
      <c r="A793" s="1" t="str">
        <f t="shared" si="315"/>
        <v>2600-</v>
      </c>
      <c r="B793" s="1" t="str">
        <f t="shared" si="321"/>
        <v>2600-</v>
      </c>
      <c r="C793" s="1" t="str">
        <f>VLOOKUP(B793,'Master truck list'!D:E,2,0)</f>
        <v>2600-20T</v>
      </c>
      <c r="D793" s="1" t="str">
        <f>VLOOKUP(C793,'Master truck list'!E:F,2,0)</f>
        <v>OUT OF SERVICE</v>
      </c>
      <c r="E793" s="1" t="str">
        <f>VLOOKUP(C793,'Master truck list'!E:M,9,0)</f>
        <v>CHARGER LOGISTICS USA INC</v>
      </c>
      <c r="F793" s="1" t="str">
        <f>VLOOKUP(C793,'Master truck list'!E:G,3,0)</f>
        <v>Company</v>
      </c>
      <c r="G793" s="1">
        <f>VLOOKUP(C793,'Master truck list'!E:R,14,0)</f>
        <v>2643</v>
      </c>
      <c r="H793" t="str">
        <f t="shared" si="327"/>
        <v>12/20/2019 7:00:30 AM</v>
      </c>
      <c r="I793" t="str">
        <f>""</f>
        <v/>
      </c>
      <c r="J793" t="str">
        <f t="shared" si="316"/>
        <v>Elite</v>
      </c>
      <c r="K793" t="str">
        <f t="shared" si="325"/>
        <v>Device</v>
      </c>
      <c r="L793" t="str">
        <f>"777237608"</f>
        <v>777237608</v>
      </c>
      <c r="M793" t="str">
        <f>"16670365"</f>
        <v>16670365</v>
      </c>
      <c r="N793" t="str">
        <f>"2600-20T"</f>
        <v>2600-20T</v>
      </c>
      <c r="O793" t="str">
        <f t="shared" si="317"/>
        <v>TEXAS</v>
      </c>
      <c r="P793" t="str">
        <f t="shared" si="318"/>
        <v>N A</v>
      </c>
      <c r="Q793" t="str">
        <f t="shared" si="319"/>
        <v>N/A</v>
      </c>
      <c r="R793" t="str">
        <f>"130 DKCRP 10 307"</f>
        <v>130 DKCRP 10 307</v>
      </c>
      <c r="S793" t="str">
        <f>"12/19/2019 7:15:25 PM"</f>
        <v>12/19/2019 7:15:25 PM</v>
      </c>
      <c r="T793" t="str">
        <f t="shared" si="305"/>
        <v>5</v>
      </c>
      <c r="U793" t="str">
        <f t="shared" si="320"/>
        <v>N/A</v>
      </c>
      <c r="V793" t="str">
        <f t="shared" si="328"/>
        <v>5.5500</v>
      </c>
    </row>
    <row r="794" spans="1:22" x14ac:dyDescent="0.25">
      <c r="A794" s="1" t="str">
        <f t="shared" si="315"/>
        <v>2277-</v>
      </c>
      <c r="B794" s="1" t="str">
        <f t="shared" si="321"/>
        <v>2277-</v>
      </c>
      <c r="C794" s="1" t="str">
        <f>VLOOKUP(B794,'Master truck list'!D:E,2,0)</f>
        <v>2277-18AT</v>
      </c>
      <c r="D794" s="1" t="str">
        <f>VLOOKUP(C794,'Master truck list'!E:F,2,0)</f>
        <v>ACTIVE</v>
      </c>
      <c r="E794" s="1" t="str">
        <f>VLOOKUP(C794,'Master truck list'!E:M,9,0)</f>
        <v>CHARGER LOGISTICS USA INC</v>
      </c>
      <c r="F794" s="1" t="str">
        <f>VLOOKUP(C794,'Master truck list'!E:G,3,0)</f>
        <v>Company</v>
      </c>
      <c r="G794" s="1">
        <f>VLOOKUP(C794,'Master truck list'!E:R,14,0)</f>
        <v>1034</v>
      </c>
      <c r="H794" t="str">
        <f t="shared" si="327"/>
        <v>12/20/2019 7:00:30 AM</v>
      </c>
      <c r="I794" t="str">
        <f>""</f>
        <v/>
      </c>
      <c r="J794" t="str">
        <f t="shared" si="316"/>
        <v>Elite</v>
      </c>
      <c r="K794" t="str">
        <f t="shared" si="325"/>
        <v>Device</v>
      </c>
      <c r="L794" t="str">
        <f t="shared" ref="L794:L813" si="329">"777231404"</f>
        <v>777231404</v>
      </c>
      <c r="M794" t="str">
        <f t="shared" ref="M794:M813" si="330">"16605361"</f>
        <v>16605361</v>
      </c>
      <c r="N794" t="str">
        <f t="shared" ref="N794:N813" si="331">"2277-18A"</f>
        <v>2277-18A</v>
      </c>
      <c r="O794" t="str">
        <f t="shared" si="317"/>
        <v>TEXAS</v>
      </c>
      <c r="P794" t="str">
        <f t="shared" si="318"/>
        <v>N A</v>
      </c>
      <c r="Q794" t="str">
        <f t="shared" si="319"/>
        <v>N/A</v>
      </c>
      <c r="R794" t="str">
        <f>"130 CMRNP 13 306"</f>
        <v>130 CMRNP 13 306</v>
      </c>
      <c r="S794" t="str">
        <f>"12/19/2019 1:57:13 PM"</f>
        <v>12/19/2019 1:57:13 PM</v>
      </c>
      <c r="T794" t="str">
        <f t="shared" si="305"/>
        <v>5</v>
      </c>
      <c r="U794" t="str">
        <f t="shared" si="320"/>
        <v>N/A</v>
      </c>
      <c r="V794" t="str">
        <f t="shared" si="328"/>
        <v>5.5500</v>
      </c>
    </row>
    <row r="795" spans="1:22" x14ac:dyDescent="0.25">
      <c r="A795" s="1" t="str">
        <f t="shared" si="315"/>
        <v>2277-</v>
      </c>
      <c r="B795" s="1" t="str">
        <f t="shared" si="321"/>
        <v>2277-</v>
      </c>
      <c r="C795" s="1" t="s">
        <v>8891</v>
      </c>
      <c r="D795" s="1" t="s">
        <v>91</v>
      </c>
      <c r="E795" s="1" t="s">
        <v>1738</v>
      </c>
      <c r="F795" s="1" t="s">
        <v>22</v>
      </c>
      <c r="G795" s="1" t="e">
        <f>VLOOKUP(C795,'Master truck list'!E:R,14,0)</f>
        <v>#N/A</v>
      </c>
      <c r="H795" t="str">
        <f t="shared" si="327"/>
        <v>12/20/2019 7:00:30 AM</v>
      </c>
      <c r="I795" t="str">
        <f>""</f>
        <v/>
      </c>
      <c r="J795" t="str">
        <f t="shared" si="316"/>
        <v>Elite</v>
      </c>
      <c r="K795" t="str">
        <f t="shared" si="325"/>
        <v>Device</v>
      </c>
      <c r="L795" t="str">
        <f t="shared" si="329"/>
        <v>777231404</v>
      </c>
      <c r="M795" t="str">
        <f t="shared" si="330"/>
        <v>16605361</v>
      </c>
      <c r="N795" t="str">
        <f t="shared" si="331"/>
        <v>2277-18A</v>
      </c>
      <c r="O795" t="str">
        <f t="shared" si="317"/>
        <v>TEXAS</v>
      </c>
      <c r="P795" t="str">
        <f t="shared" si="318"/>
        <v>N A</v>
      </c>
      <c r="Q795" t="str">
        <f t="shared" si="319"/>
        <v>N/A</v>
      </c>
      <c r="R795" t="str">
        <f>"130 ARPTP 09 308"</f>
        <v>130 ARPTP 09 308</v>
      </c>
      <c r="S795" t="str">
        <f>"12/19/2019 1:40:24 PM"</f>
        <v>12/19/2019 1:40:24 PM</v>
      </c>
      <c r="T795" t="str">
        <f t="shared" si="305"/>
        <v>5</v>
      </c>
      <c r="U795" t="str">
        <f t="shared" si="320"/>
        <v>N/A</v>
      </c>
      <c r="V795" t="str">
        <f t="shared" si="328"/>
        <v>5.5500</v>
      </c>
    </row>
    <row r="796" spans="1:22" x14ac:dyDescent="0.25">
      <c r="A796" s="1" t="str">
        <f t="shared" si="315"/>
        <v>2277-</v>
      </c>
      <c r="B796" s="1" t="str">
        <f t="shared" si="321"/>
        <v>2277-</v>
      </c>
      <c r="C796" s="1" t="s">
        <v>8887</v>
      </c>
      <c r="D796" s="1" t="s">
        <v>91</v>
      </c>
      <c r="E796" s="1" t="s">
        <v>1738</v>
      </c>
      <c r="F796" s="1" t="s">
        <v>22</v>
      </c>
      <c r="G796" s="1" t="e">
        <f>VLOOKUP(C796,'Master truck list'!E:R,14,0)</f>
        <v>#N/A</v>
      </c>
      <c r="H796" t="str">
        <f>"12/19/2019 7:00:35 AM"</f>
        <v>12/19/2019 7:00:35 AM</v>
      </c>
      <c r="I796" t="str">
        <f>""</f>
        <v/>
      </c>
      <c r="J796" t="str">
        <f t="shared" si="316"/>
        <v>Elite</v>
      </c>
      <c r="K796" t="str">
        <f t="shared" si="325"/>
        <v>Device</v>
      </c>
      <c r="L796" t="str">
        <f t="shared" si="329"/>
        <v>777231404</v>
      </c>
      <c r="M796" t="str">
        <f t="shared" si="330"/>
        <v>16605361</v>
      </c>
      <c r="N796" t="str">
        <f t="shared" si="331"/>
        <v>2277-18A</v>
      </c>
      <c r="O796" t="str">
        <f t="shared" si="317"/>
        <v>TEXAS</v>
      </c>
      <c r="P796" t="str">
        <f t="shared" si="318"/>
        <v>N A</v>
      </c>
      <c r="Q796" t="str">
        <f t="shared" si="319"/>
        <v>N/A</v>
      </c>
      <c r="R796" t="str">
        <f>"130 DKCRP 06 307"</f>
        <v>130 DKCRP 06 307</v>
      </c>
      <c r="S796" t="str">
        <f>"12/18/2019 1:59:28 PM"</f>
        <v>12/18/2019 1:59:28 PM</v>
      </c>
      <c r="T796" t="str">
        <f t="shared" si="305"/>
        <v>5</v>
      </c>
      <c r="U796" t="str">
        <f t="shared" si="320"/>
        <v>N/A</v>
      </c>
      <c r="V796" t="str">
        <f t="shared" si="328"/>
        <v>5.5500</v>
      </c>
    </row>
    <row r="797" spans="1:22" x14ac:dyDescent="0.25">
      <c r="A797" s="1" t="str">
        <f t="shared" si="315"/>
        <v>2277-</v>
      </c>
      <c r="B797" s="1" t="str">
        <f t="shared" si="321"/>
        <v>2277-</v>
      </c>
      <c r="C797" s="1" t="s">
        <v>8887</v>
      </c>
      <c r="D797" s="1" t="s">
        <v>91</v>
      </c>
      <c r="E797" s="1" t="s">
        <v>1738</v>
      </c>
      <c r="F797" s="1" t="s">
        <v>22</v>
      </c>
      <c r="G797" s="1" t="e">
        <f>VLOOKUP(C797,'Master truck list'!E:R,14,0)</f>
        <v>#N/A</v>
      </c>
      <c r="H797" t="str">
        <f>"12/19/2019 7:00:35 AM"</f>
        <v>12/19/2019 7:00:35 AM</v>
      </c>
      <c r="I797" t="str">
        <f>""</f>
        <v/>
      </c>
      <c r="J797" t="str">
        <f t="shared" si="316"/>
        <v>Elite</v>
      </c>
      <c r="K797" t="str">
        <f t="shared" si="325"/>
        <v>Device</v>
      </c>
      <c r="L797" t="str">
        <f t="shared" si="329"/>
        <v>777231404</v>
      </c>
      <c r="M797" t="str">
        <f t="shared" si="330"/>
        <v>16605361</v>
      </c>
      <c r="N797" t="str">
        <f t="shared" si="331"/>
        <v>2277-18A</v>
      </c>
      <c r="O797" t="str">
        <f t="shared" si="317"/>
        <v>TEXAS</v>
      </c>
      <c r="P797" t="str">
        <f t="shared" si="318"/>
        <v>N A</v>
      </c>
      <c r="Q797" t="str">
        <f t="shared" si="319"/>
        <v>N/A</v>
      </c>
      <c r="R797" t="str">
        <f>"130 MGCRP 06 305"</f>
        <v>130 MGCRP 06 305</v>
      </c>
      <c r="S797" t="str">
        <f>"12/18/2019 1:38:46 PM"</f>
        <v>12/18/2019 1:38:46 PM</v>
      </c>
      <c r="T797" t="str">
        <f t="shared" si="305"/>
        <v>5</v>
      </c>
      <c r="U797" t="str">
        <f t="shared" si="320"/>
        <v>N/A</v>
      </c>
      <c r="V797" t="str">
        <f t="shared" si="328"/>
        <v>5.5500</v>
      </c>
    </row>
    <row r="798" spans="1:22" x14ac:dyDescent="0.25">
      <c r="A798" s="1" t="str">
        <f t="shared" si="315"/>
        <v>2277-</v>
      </c>
      <c r="B798" s="1" t="str">
        <f t="shared" si="321"/>
        <v>2277-</v>
      </c>
      <c r="C798" s="1" t="str">
        <f>VLOOKUP(B798,'Master truck list'!D:E,2,0)</f>
        <v>2277-18AT</v>
      </c>
      <c r="D798" s="1" t="str">
        <f>VLOOKUP(C798,'Master truck list'!E:F,2,0)</f>
        <v>ACTIVE</v>
      </c>
      <c r="E798" s="1" t="str">
        <f>VLOOKUP(C798,'Master truck list'!E:M,9,0)</f>
        <v>CHARGER LOGISTICS USA INC</v>
      </c>
      <c r="F798" s="1" t="str">
        <f>VLOOKUP(C798,'Master truck list'!E:G,3,0)</f>
        <v>Company</v>
      </c>
      <c r="G798" s="1">
        <f>VLOOKUP(C798,'Master truck list'!E:R,14,0)</f>
        <v>1034</v>
      </c>
      <c r="H798" t="str">
        <f>"12/19/2019 7:00:35 AM"</f>
        <v>12/19/2019 7:00:35 AM</v>
      </c>
      <c r="I798" t="str">
        <f>""</f>
        <v/>
      </c>
      <c r="J798" t="str">
        <f t="shared" si="316"/>
        <v>Elite</v>
      </c>
      <c r="K798" t="str">
        <f t="shared" si="325"/>
        <v>Device</v>
      </c>
      <c r="L798" t="str">
        <f t="shared" si="329"/>
        <v>777231404</v>
      </c>
      <c r="M798" t="str">
        <f t="shared" si="330"/>
        <v>16605361</v>
      </c>
      <c r="N798" t="str">
        <f t="shared" si="331"/>
        <v>2277-18A</v>
      </c>
      <c r="O798" t="str">
        <f t="shared" si="317"/>
        <v>TEXAS</v>
      </c>
      <c r="P798" t="str">
        <f t="shared" si="318"/>
        <v>N A</v>
      </c>
      <c r="Q798" t="str">
        <f t="shared" si="319"/>
        <v>N/A</v>
      </c>
      <c r="R798" t="str">
        <f>"45SE MLPWB 01 611"</f>
        <v>45SE MLPWB 01 611</v>
      </c>
      <c r="S798" t="str">
        <f>"12/18/2019 2:16:46 PM"</f>
        <v>12/18/2019 2:16:46 PM</v>
      </c>
      <c r="T798" t="str">
        <f t="shared" si="305"/>
        <v>5</v>
      </c>
      <c r="U798" t="str">
        <f t="shared" si="320"/>
        <v>N/A</v>
      </c>
      <c r="V798" t="str">
        <f>"3.3000"</f>
        <v>3.3000</v>
      </c>
    </row>
    <row r="799" spans="1:22" x14ac:dyDescent="0.25">
      <c r="A799" s="1" t="str">
        <f t="shared" si="315"/>
        <v>2277-</v>
      </c>
      <c r="B799" s="1" t="str">
        <f t="shared" si="321"/>
        <v>2277-</v>
      </c>
      <c r="C799" s="1" t="str">
        <f>VLOOKUP(B799,'Master truck list'!D:E,2,0)</f>
        <v>2277-18AT</v>
      </c>
      <c r="D799" s="1" t="str">
        <f>VLOOKUP(C799,'Master truck list'!E:F,2,0)</f>
        <v>ACTIVE</v>
      </c>
      <c r="E799" s="1" t="str">
        <f>VLOOKUP(C799,'Master truck list'!E:M,9,0)</f>
        <v>CHARGER LOGISTICS USA INC</v>
      </c>
      <c r="F799" s="1" t="str">
        <f>VLOOKUP(C799,'Master truck list'!E:G,3,0)</f>
        <v>Company</v>
      </c>
      <c r="G799" s="1">
        <f>VLOOKUP(C799,'Master truck list'!E:R,14,0)</f>
        <v>1034</v>
      </c>
      <c r="H799" t="str">
        <f>"12/20/2019 7:00:30 AM"</f>
        <v>12/20/2019 7:00:30 AM</v>
      </c>
      <c r="I799" t="str">
        <f>""</f>
        <v/>
      </c>
      <c r="J799" t="str">
        <f t="shared" si="316"/>
        <v>Elite</v>
      </c>
      <c r="K799" t="str">
        <f t="shared" si="325"/>
        <v>Device</v>
      </c>
      <c r="L799" t="str">
        <f t="shared" si="329"/>
        <v>777231404</v>
      </c>
      <c r="M799" t="str">
        <f t="shared" si="330"/>
        <v>16605361</v>
      </c>
      <c r="N799" t="str">
        <f t="shared" si="331"/>
        <v>2277-18A</v>
      </c>
      <c r="O799" t="str">
        <f t="shared" si="317"/>
        <v>TEXAS</v>
      </c>
      <c r="P799" t="str">
        <f t="shared" si="318"/>
        <v>N A</v>
      </c>
      <c r="Q799" t="str">
        <f t="shared" si="319"/>
        <v>N/A</v>
      </c>
      <c r="R799" t="str">
        <f>"45SE MLPEB 02 611"</f>
        <v>45SE MLPEB 02 611</v>
      </c>
      <c r="S799" t="str">
        <f>"12/19/2019 1:29:55 PM"</f>
        <v>12/19/2019 1:29:55 PM</v>
      </c>
      <c r="T799" t="str">
        <f t="shared" si="305"/>
        <v>5</v>
      </c>
      <c r="U799" t="str">
        <f t="shared" si="320"/>
        <v>N/A</v>
      </c>
      <c r="V799" t="str">
        <f>"3.3000"</f>
        <v>3.3000</v>
      </c>
    </row>
    <row r="800" spans="1:22" x14ac:dyDescent="0.25">
      <c r="A800" s="1" t="str">
        <f t="shared" si="315"/>
        <v>2277-</v>
      </c>
      <c r="B800" s="1" t="str">
        <f t="shared" si="321"/>
        <v>2277-</v>
      </c>
      <c r="C800" s="1" t="str">
        <f>VLOOKUP(B800,'Master truck list'!D:E,2,0)</f>
        <v>2277-18AT</v>
      </c>
      <c r="D800" s="1" t="str">
        <f>VLOOKUP(C800,'Master truck list'!E:F,2,0)</f>
        <v>ACTIVE</v>
      </c>
      <c r="E800" s="1" t="str">
        <f>VLOOKUP(C800,'Master truck list'!E:M,9,0)</f>
        <v>CHARGER LOGISTICS USA INC</v>
      </c>
      <c r="F800" s="1" t="str">
        <f>VLOOKUP(C800,'Master truck list'!E:G,3,0)</f>
        <v>Company</v>
      </c>
      <c r="G800" s="1">
        <f>VLOOKUP(C800,'Master truck list'!E:R,14,0)</f>
        <v>1034</v>
      </c>
      <c r="H800" t="str">
        <f>"12/20/2019 7:00:30 AM"</f>
        <v>12/20/2019 7:00:30 AM</v>
      </c>
      <c r="I800" t="str">
        <f>""</f>
        <v/>
      </c>
      <c r="J800" t="str">
        <f t="shared" si="316"/>
        <v>Elite</v>
      </c>
      <c r="K800" t="str">
        <f t="shared" si="325"/>
        <v>Device</v>
      </c>
      <c r="L800" t="str">
        <f t="shared" si="329"/>
        <v>777231404</v>
      </c>
      <c r="M800" t="str">
        <f t="shared" si="330"/>
        <v>16605361</v>
      </c>
      <c r="N800" t="str">
        <f t="shared" si="331"/>
        <v>2277-18A</v>
      </c>
      <c r="O800" t="str">
        <f t="shared" si="317"/>
        <v>TEXAS</v>
      </c>
      <c r="P800" t="str">
        <f t="shared" si="318"/>
        <v>N A</v>
      </c>
      <c r="Q800" t="str">
        <f t="shared" si="319"/>
        <v>N/A</v>
      </c>
      <c r="R800" t="str">
        <f>"130 MGCRP 11 305"</f>
        <v>130 MGCRP 11 305</v>
      </c>
      <c r="S800" t="str">
        <f>"12/19/2019 2:08:09 PM"</f>
        <v>12/19/2019 2:08:09 PM</v>
      </c>
      <c r="T800" t="str">
        <f t="shared" ref="T800:T808" si="332">"5"</f>
        <v>5</v>
      </c>
      <c r="U800" t="str">
        <f t="shared" si="320"/>
        <v>N/A</v>
      </c>
      <c r="V800" t="str">
        <f t="shared" ref="V800:V808" si="333">"5.5500"</f>
        <v>5.5500</v>
      </c>
    </row>
    <row r="801" spans="1:22" x14ac:dyDescent="0.25">
      <c r="A801" s="1" t="str">
        <f t="shared" si="315"/>
        <v>2277-</v>
      </c>
      <c r="B801" s="1" t="str">
        <f t="shared" si="321"/>
        <v>2277-</v>
      </c>
      <c r="C801" s="1" t="str">
        <f>VLOOKUP(B801,'Master truck list'!D:E,2,0)</f>
        <v>2277-18AT</v>
      </c>
      <c r="D801" s="1" t="str">
        <f>VLOOKUP(C801,'Master truck list'!E:F,2,0)</f>
        <v>ACTIVE</v>
      </c>
      <c r="E801" s="1" t="str">
        <f>VLOOKUP(C801,'Master truck list'!E:M,9,0)</f>
        <v>CHARGER LOGISTICS USA INC</v>
      </c>
      <c r="F801" s="1" t="str">
        <f>VLOOKUP(C801,'Master truck list'!E:G,3,0)</f>
        <v>Company</v>
      </c>
      <c r="G801" s="1">
        <f>VLOOKUP(C801,'Master truck list'!E:R,14,0)</f>
        <v>1034</v>
      </c>
      <c r="H801" t="str">
        <f>"12/20/2019 7:00:30 AM"</f>
        <v>12/20/2019 7:00:30 AM</v>
      </c>
      <c r="I801" t="str">
        <f>""</f>
        <v/>
      </c>
      <c r="J801" t="str">
        <f t="shared" si="316"/>
        <v>Elite</v>
      </c>
      <c r="K801" t="str">
        <f t="shared" si="325"/>
        <v>Device</v>
      </c>
      <c r="L801" t="str">
        <f t="shared" si="329"/>
        <v>777231404</v>
      </c>
      <c r="M801" t="str">
        <f t="shared" si="330"/>
        <v>16605361</v>
      </c>
      <c r="N801" t="str">
        <f t="shared" si="331"/>
        <v>2277-18A</v>
      </c>
      <c r="O801" t="str">
        <f t="shared" si="317"/>
        <v>TEXAS</v>
      </c>
      <c r="P801" t="str">
        <f t="shared" si="318"/>
        <v>N A</v>
      </c>
      <c r="Q801" t="str">
        <f t="shared" si="319"/>
        <v>N/A</v>
      </c>
      <c r="R801" t="str">
        <f>"130 DKCRP 11 307"</f>
        <v>130 DKCRP 11 307</v>
      </c>
      <c r="S801" t="str">
        <f>"12/19/2019 1:47:17 PM"</f>
        <v>12/19/2019 1:47:17 PM</v>
      </c>
      <c r="T801" t="str">
        <f t="shared" si="332"/>
        <v>5</v>
      </c>
      <c r="U801" t="str">
        <f t="shared" si="320"/>
        <v>N/A</v>
      </c>
      <c r="V801" t="str">
        <f t="shared" si="333"/>
        <v>5.5500</v>
      </c>
    </row>
    <row r="802" spans="1:22" x14ac:dyDescent="0.25">
      <c r="A802" s="1" t="str">
        <f t="shared" si="315"/>
        <v>2277-</v>
      </c>
      <c r="B802" s="1" t="str">
        <f t="shared" si="321"/>
        <v>2277-</v>
      </c>
      <c r="C802" s="1" t="str">
        <f>VLOOKUP(B802,'Master truck list'!D:E,2,0)</f>
        <v>2277-18AT</v>
      </c>
      <c r="D802" s="1" t="str">
        <f>VLOOKUP(C802,'Master truck list'!E:F,2,0)</f>
        <v>ACTIVE</v>
      </c>
      <c r="E802" s="1" t="str">
        <f>VLOOKUP(C802,'Master truck list'!E:M,9,0)</f>
        <v>CHARGER LOGISTICS USA INC</v>
      </c>
      <c r="F802" s="1" t="str">
        <f>VLOOKUP(C802,'Master truck list'!E:G,3,0)</f>
        <v>Company</v>
      </c>
      <c r="G802" s="1">
        <f>VLOOKUP(C802,'Master truck list'!E:R,14,0)</f>
        <v>1034</v>
      </c>
      <c r="H802" t="str">
        <f>"12/21/2019 7:00:28 AM"</f>
        <v>12/21/2019 7:00:28 AM</v>
      </c>
      <c r="I802" t="str">
        <f>""</f>
        <v/>
      </c>
      <c r="J802" t="str">
        <f t="shared" si="316"/>
        <v>Elite</v>
      </c>
      <c r="K802" t="str">
        <f t="shared" si="325"/>
        <v>Device</v>
      </c>
      <c r="L802" t="str">
        <f t="shared" si="329"/>
        <v>777231404</v>
      </c>
      <c r="M802" t="str">
        <f t="shared" si="330"/>
        <v>16605361</v>
      </c>
      <c r="N802" t="str">
        <f t="shared" si="331"/>
        <v>2277-18A</v>
      </c>
      <c r="O802" t="str">
        <f t="shared" si="317"/>
        <v>TEXAS</v>
      </c>
      <c r="P802" t="str">
        <f t="shared" si="318"/>
        <v>N A</v>
      </c>
      <c r="Q802" t="str">
        <f t="shared" si="319"/>
        <v>N/A</v>
      </c>
      <c r="R802" t="str">
        <f>"130 ARPTP 04 308"</f>
        <v>130 ARPTP 04 308</v>
      </c>
      <c r="S802" t="str">
        <f>"12/20/2019 8:10:17 AM"</f>
        <v>12/20/2019 8:10:17 AM</v>
      </c>
      <c r="T802" t="str">
        <f t="shared" si="332"/>
        <v>5</v>
      </c>
      <c r="U802" t="str">
        <f t="shared" si="320"/>
        <v>N/A</v>
      </c>
      <c r="V802" t="str">
        <f t="shared" si="333"/>
        <v>5.5500</v>
      </c>
    </row>
    <row r="803" spans="1:22" x14ac:dyDescent="0.25">
      <c r="A803" s="1" t="str">
        <f t="shared" si="315"/>
        <v>2277-</v>
      </c>
      <c r="B803" s="1" t="str">
        <f t="shared" si="321"/>
        <v>2277-</v>
      </c>
      <c r="C803" s="1" t="str">
        <f>VLOOKUP(B803,'Master truck list'!D:E,2,0)</f>
        <v>2277-18AT</v>
      </c>
      <c r="D803" s="1" t="str">
        <f>VLOOKUP(C803,'Master truck list'!E:F,2,0)</f>
        <v>ACTIVE</v>
      </c>
      <c r="E803" s="1" t="str">
        <f>VLOOKUP(C803,'Master truck list'!E:M,9,0)</f>
        <v>CHARGER LOGISTICS USA INC</v>
      </c>
      <c r="F803" s="1" t="str">
        <f>VLOOKUP(C803,'Master truck list'!E:G,3,0)</f>
        <v>Company</v>
      </c>
      <c r="G803" s="1">
        <f>VLOOKUP(C803,'Master truck list'!E:R,14,0)</f>
        <v>1034</v>
      </c>
      <c r="H803" t="str">
        <f>"12/21/2019 7:00:28 AM"</f>
        <v>12/21/2019 7:00:28 AM</v>
      </c>
      <c r="I803" t="str">
        <f>""</f>
        <v/>
      </c>
      <c r="J803" t="str">
        <f t="shared" si="316"/>
        <v>Elite</v>
      </c>
      <c r="K803" t="str">
        <f t="shared" si="325"/>
        <v>Device</v>
      </c>
      <c r="L803" t="str">
        <f t="shared" si="329"/>
        <v>777231404</v>
      </c>
      <c r="M803" t="str">
        <f t="shared" si="330"/>
        <v>16605361</v>
      </c>
      <c r="N803" t="str">
        <f t="shared" si="331"/>
        <v>2277-18A</v>
      </c>
      <c r="O803" t="str">
        <f t="shared" si="317"/>
        <v>TEXAS</v>
      </c>
      <c r="P803" t="str">
        <f t="shared" si="318"/>
        <v>N A</v>
      </c>
      <c r="Q803" t="str">
        <f t="shared" si="319"/>
        <v>N/A</v>
      </c>
      <c r="R803" t="str">
        <f>"130 DKCRP 10 307"</f>
        <v>130 DKCRP 10 307</v>
      </c>
      <c r="S803" t="str">
        <f>"12/20/2019 7:08:35 PM"</f>
        <v>12/20/2019 7:08:35 PM</v>
      </c>
      <c r="T803" t="str">
        <f t="shared" si="332"/>
        <v>5</v>
      </c>
      <c r="U803" t="str">
        <f t="shared" si="320"/>
        <v>N/A</v>
      </c>
      <c r="V803" t="str">
        <f t="shared" si="333"/>
        <v>5.5500</v>
      </c>
    </row>
    <row r="804" spans="1:22" x14ac:dyDescent="0.25">
      <c r="A804" s="1" t="str">
        <f t="shared" si="315"/>
        <v>2277-</v>
      </c>
      <c r="B804" s="1" t="str">
        <f t="shared" si="321"/>
        <v>2277-</v>
      </c>
      <c r="C804" s="1" t="str">
        <f>VLOOKUP(B804,'Master truck list'!D:E,2,0)</f>
        <v>2277-18AT</v>
      </c>
      <c r="D804" s="1" t="str">
        <f>VLOOKUP(C804,'Master truck list'!E:F,2,0)</f>
        <v>ACTIVE</v>
      </c>
      <c r="E804" s="1" t="str">
        <f>VLOOKUP(C804,'Master truck list'!E:M,9,0)</f>
        <v>CHARGER LOGISTICS USA INC</v>
      </c>
      <c r="F804" s="1" t="str">
        <f>VLOOKUP(C804,'Master truck list'!E:G,3,0)</f>
        <v>Company</v>
      </c>
      <c r="G804" s="1">
        <f>VLOOKUP(C804,'Master truck list'!E:R,14,0)</f>
        <v>1034</v>
      </c>
      <c r="H804" t="str">
        <f>"12/21/2019 7:00:28 AM"</f>
        <v>12/21/2019 7:00:28 AM</v>
      </c>
      <c r="I804" t="str">
        <f>""</f>
        <v/>
      </c>
      <c r="J804" t="str">
        <f t="shared" si="316"/>
        <v>Elite</v>
      </c>
      <c r="K804" t="str">
        <f t="shared" si="325"/>
        <v>Device</v>
      </c>
      <c r="L804" t="str">
        <f t="shared" si="329"/>
        <v>777231404</v>
      </c>
      <c r="M804" t="str">
        <f t="shared" si="330"/>
        <v>16605361</v>
      </c>
      <c r="N804" t="str">
        <f t="shared" si="331"/>
        <v>2277-18A</v>
      </c>
      <c r="O804" t="str">
        <f t="shared" si="317"/>
        <v>TEXAS</v>
      </c>
      <c r="P804" t="str">
        <f t="shared" si="318"/>
        <v>N A</v>
      </c>
      <c r="Q804" t="str">
        <f t="shared" si="319"/>
        <v>N/A</v>
      </c>
      <c r="R804" t="str">
        <f>"130 CMRNP 13 306"</f>
        <v>130 CMRNP 13 306</v>
      </c>
      <c r="S804" t="str">
        <f>"12/20/2019 7:18:53 PM"</f>
        <v>12/20/2019 7:18:53 PM</v>
      </c>
      <c r="T804" t="str">
        <f t="shared" si="332"/>
        <v>5</v>
      </c>
      <c r="U804" t="str">
        <f t="shared" si="320"/>
        <v>N/A</v>
      </c>
      <c r="V804" t="str">
        <f t="shared" si="333"/>
        <v>5.5500</v>
      </c>
    </row>
    <row r="805" spans="1:22" x14ac:dyDescent="0.25">
      <c r="A805" s="1" t="str">
        <f t="shared" si="315"/>
        <v>2277-</v>
      </c>
      <c r="B805" s="1" t="str">
        <f t="shared" si="321"/>
        <v>2277-</v>
      </c>
      <c r="C805" s="1" t="str">
        <f>VLOOKUP(B805,'Master truck list'!D:E,2,0)</f>
        <v>2277-18AT</v>
      </c>
      <c r="D805" s="1" t="str">
        <f>VLOOKUP(C805,'Master truck list'!E:F,2,0)</f>
        <v>ACTIVE</v>
      </c>
      <c r="E805" s="1" t="str">
        <f>VLOOKUP(C805,'Master truck list'!E:M,9,0)</f>
        <v>CHARGER LOGISTICS USA INC</v>
      </c>
      <c r="F805" s="1" t="str">
        <f>VLOOKUP(C805,'Master truck list'!E:G,3,0)</f>
        <v>Company</v>
      </c>
      <c r="G805" s="1">
        <f>VLOOKUP(C805,'Master truck list'!E:R,14,0)</f>
        <v>1034</v>
      </c>
      <c r="H805" t="str">
        <f>"12/21/2019 7:00:28 AM"</f>
        <v>12/21/2019 7:00:28 AM</v>
      </c>
      <c r="I805" t="str">
        <f>""</f>
        <v/>
      </c>
      <c r="J805" t="str">
        <f t="shared" si="316"/>
        <v>Elite</v>
      </c>
      <c r="K805" t="str">
        <f t="shared" si="325"/>
        <v>Device</v>
      </c>
      <c r="L805" t="str">
        <f t="shared" si="329"/>
        <v>777231404</v>
      </c>
      <c r="M805" t="str">
        <f t="shared" si="330"/>
        <v>16605361</v>
      </c>
      <c r="N805" t="str">
        <f t="shared" si="331"/>
        <v>2277-18A</v>
      </c>
      <c r="O805" t="str">
        <f t="shared" si="317"/>
        <v>TEXAS</v>
      </c>
      <c r="P805" t="str">
        <f t="shared" si="318"/>
        <v>N A</v>
      </c>
      <c r="Q805" t="str">
        <f t="shared" si="319"/>
        <v>N/A</v>
      </c>
      <c r="R805" t="str">
        <f>"130 ARPTP 09 308"</f>
        <v>130 ARPTP 09 308</v>
      </c>
      <c r="S805" t="str">
        <f>"12/20/2019 7:01:33 PM"</f>
        <v>12/20/2019 7:01:33 PM</v>
      </c>
      <c r="T805" t="str">
        <f t="shared" si="332"/>
        <v>5</v>
      </c>
      <c r="U805" t="str">
        <f t="shared" si="320"/>
        <v>N/A</v>
      </c>
      <c r="V805" t="str">
        <f t="shared" si="333"/>
        <v>5.5500</v>
      </c>
    </row>
    <row r="806" spans="1:22" x14ac:dyDescent="0.25">
      <c r="A806" s="1" t="str">
        <f t="shared" si="315"/>
        <v>2277-</v>
      </c>
      <c r="B806" s="1" t="str">
        <f t="shared" si="321"/>
        <v>2277-</v>
      </c>
      <c r="C806" s="1" t="s">
        <v>8888</v>
      </c>
      <c r="D806" s="1" t="s">
        <v>91</v>
      </c>
      <c r="E806" s="1" t="s">
        <v>1738</v>
      </c>
      <c r="F806" s="1" t="s">
        <v>22</v>
      </c>
      <c r="G806" s="1" t="e">
        <f>VLOOKUP(C806,'Master truck list'!E:R,14,0)</f>
        <v>#N/A</v>
      </c>
      <c r="H806" t="str">
        <f>"12/19/2019 7:00:35 AM"</f>
        <v>12/19/2019 7:00:35 AM</v>
      </c>
      <c r="I806" t="str">
        <f>""</f>
        <v/>
      </c>
      <c r="J806" t="str">
        <f t="shared" si="316"/>
        <v>Elite</v>
      </c>
      <c r="K806" t="str">
        <f t="shared" si="325"/>
        <v>Device</v>
      </c>
      <c r="L806" t="str">
        <f t="shared" si="329"/>
        <v>777231404</v>
      </c>
      <c r="M806" t="str">
        <f t="shared" si="330"/>
        <v>16605361</v>
      </c>
      <c r="N806" t="str">
        <f t="shared" si="331"/>
        <v>2277-18A</v>
      </c>
      <c r="O806" t="str">
        <f t="shared" si="317"/>
        <v>TEXAS</v>
      </c>
      <c r="P806" t="str">
        <f t="shared" si="318"/>
        <v>N A</v>
      </c>
      <c r="Q806" t="str">
        <f t="shared" si="319"/>
        <v>N/A</v>
      </c>
      <c r="R806" t="str">
        <f>"130 CMRNP 08 306"</f>
        <v>130 CMRNP 08 306</v>
      </c>
      <c r="S806" t="str">
        <f>"12/18/2019 1:49:37 PM"</f>
        <v>12/18/2019 1:49:37 PM</v>
      </c>
      <c r="T806" t="str">
        <f t="shared" si="332"/>
        <v>5</v>
      </c>
      <c r="U806" t="str">
        <f t="shared" si="320"/>
        <v>N/A</v>
      </c>
      <c r="V806" t="str">
        <f t="shared" si="333"/>
        <v>5.5500</v>
      </c>
    </row>
    <row r="807" spans="1:22" x14ac:dyDescent="0.25">
      <c r="A807" s="1" t="str">
        <f t="shared" si="315"/>
        <v>2277-</v>
      </c>
      <c r="B807" s="1" t="str">
        <f t="shared" si="321"/>
        <v>2277-</v>
      </c>
      <c r="C807" s="1" t="s">
        <v>8889</v>
      </c>
      <c r="D807" s="1" t="s">
        <v>91</v>
      </c>
      <c r="E807" s="1" t="s">
        <v>1738</v>
      </c>
      <c r="F807" s="1" t="s">
        <v>22</v>
      </c>
      <c r="G807" s="1" t="e">
        <f>VLOOKUP(C807,'Master truck list'!E:R,14,0)</f>
        <v>#N/A</v>
      </c>
      <c r="H807" t="str">
        <f>"12/19/2019 7:00:35 AM"</f>
        <v>12/19/2019 7:00:35 AM</v>
      </c>
      <c r="I807" t="str">
        <f>""</f>
        <v/>
      </c>
      <c r="J807" t="str">
        <f t="shared" si="316"/>
        <v>Elite</v>
      </c>
      <c r="K807" t="str">
        <f t="shared" si="325"/>
        <v>Device</v>
      </c>
      <c r="L807" t="str">
        <f t="shared" si="329"/>
        <v>777231404</v>
      </c>
      <c r="M807" t="str">
        <f t="shared" si="330"/>
        <v>16605361</v>
      </c>
      <c r="N807" t="str">
        <f t="shared" si="331"/>
        <v>2277-18A</v>
      </c>
      <c r="O807" t="str">
        <f t="shared" si="317"/>
        <v>TEXAS</v>
      </c>
      <c r="P807" t="str">
        <f t="shared" si="318"/>
        <v>N A</v>
      </c>
      <c r="Q807" t="str">
        <f t="shared" si="319"/>
        <v>N/A</v>
      </c>
      <c r="R807" t="str">
        <f>"130 ARPTP 04 308"</f>
        <v>130 ARPTP 04 308</v>
      </c>
      <c r="S807" t="str">
        <f>"12/18/2019 2:06:21 PM"</f>
        <v>12/18/2019 2:06:21 PM</v>
      </c>
      <c r="T807" t="str">
        <f t="shared" si="332"/>
        <v>5</v>
      </c>
      <c r="U807" t="str">
        <f t="shared" si="320"/>
        <v>N/A</v>
      </c>
      <c r="V807" t="str">
        <f t="shared" si="333"/>
        <v>5.5500</v>
      </c>
    </row>
    <row r="808" spans="1:22" x14ac:dyDescent="0.25">
      <c r="A808" s="1" t="str">
        <f t="shared" si="315"/>
        <v>2277-</v>
      </c>
      <c r="B808" s="1" t="str">
        <f t="shared" si="321"/>
        <v>2277-</v>
      </c>
      <c r="C808" s="1" t="s">
        <v>8889</v>
      </c>
      <c r="D808" s="1" t="s">
        <v>91</v>
      </c>
      <c r="E808" s="1" t="s">
        <v>1738</v>
      </c>
      <c r="F808" s="1" t="s">
        <v>22</v>
      </c>
      <c r="G808" s="1" t="e">
        <f>VLOOKUP(C808,'Master truck list'!E:R,14,0)</f>
        <v>#N/A</v>
      </c>
      <c r="H808" t="str">
        <f t="shared" ref="H808:H817" si="334">"12/21/2019 7:00:28 AM"</f>
        <v>12/21/2019 7:00:28 AM</v>
      </c>
      <c r="I808" t="str">
        <f>""</f>
        <v/>
      </c>
      <c r="J808" t="str">
        <f t="shared" si="316"/>
        <v>Elite</v>
      </c>
      <c r="K808" t="str">
        <f t="shared" si="325"/>
        <v>Device</v>
      </c>
      <c r="L808" t="str">
        <f t="shared" si="329"/>
        <v>777231404</v>
      </c>
      <c r="M808" t="str">
        <f t="shared" si="330"/>
        <v>16605361</v>
      </c>
      <c r="N808" t="str">
        <f t="shared" si="331"/>
        <v>2277-18A</v>
      </c>
      <c r="O808" t="str">
        <f t="shared" si="317"/>
        <v>TEXAS</v>
      </c>
      <c r="P808" t="str">
        <f t="shared" si="318"/>
        <v>N A</v>
      </c>
      <c r="Q808" t="str">
        <f t="shared" si="319"/>
        <v>N/A</v>
      </c>
      <c r="R808" t="str">
        <f>"130 DKCRP 06 307"</f>
        <v>130 DKCRP 06 307</v>
      </c>
      <c r="S808" t="str">
        <f>"12/20/2019 8:03:24 AM"</f>
        <v>12/20/2019 8:03:24 AM</v>
      </c>
      <c r="T808" t="str">
        <f t="shared" si="332"/>
        <v>5</v>
      </c>
      <c r="U808" t="str">
        <f t="shared" si="320"/>
        <v>N/A</v>
      </c>
      <c r="V808" t="str">
        <f t="shared" si="333"/>
        <v>5.5500</v>
      </c>
    </row>
    <row r="809" spans="1:22" x14ac:dyDescent="0.25">
      <c r="A809" s="1" t="str">
        <f t="shared" si="315"/>
        <v>2277-</v>
      </c>
      <c r="B809" s="1" t="str">
        <f t="shared" si="321"/>
        <v>2277-</v>
      </c>
      <c r="C809" s="1" t="s">
        <v>8890</v>
      </c>
      <c r="D809" s="1" t="s">
        <v>91</v>
      </c>
      <c r="E809" s="1" t="s">
        <v>154</v>
      </c>
      <c r="F809" s="1" t="s">
        <v>22</v>
      </c>
      <c r="G809" s="1" t="e">
        <f>VLOOKUP(C809,'Master truck list'!E:R,14,0)</f>
        <v>#N/A</v>
      </c>
      <c r="H809" t="str">
        <f t="shared" si="334"/>
        <v>12/21/2019 7:00:28 AM</v>
      </c>
      <c r="I809" t="str">
        <f>""</f>
        <v/>
      </c>
      <c r="J809" t="str">
        <f t="shared" si="316"/>
        <v>Elite</v>
      </c>
      <c r="K809" t="str">
        <f t="shared" si="325"/>
        <v>Device</v>
      </c>
      <c r="L809" t="str">
        <f t="shared" si="329"/>
        <v>777231404</v>
      </c>
      <c r="M809" t="str">
        <f t="shared" si="330"/>
        <v>16605361</v>
      </c>
      <c r="N809" t="str">
        <f t="shared" si="331"/>
        <v>2277-18A</v>
      </c>
      <c r="O809" t="str">
        <f t="shared" si="317"/>
        <v>TEXAS</v>
      </c>
      <c r="P809" t="str">
        <f t="shared" si="318"/>
        <v>N A</v>
      </c>
      <c r="Q809" t="str">
        <f t="shared" si="319"/>
        <v>N/A</v>
      </c>
      <c r="R809" t="str">
        <f>"130 MGCRP 06 305"</f>
        <v>130 MGCRP 06 305</v>
      </c>
      <c r="S809" t="str">
        <f>"12/20/2019 7:42:38 AM"</f>
        <v>12/20/2019 7:42:38 AM</v>
      </c>
      <c r="T809" t="str">
        <f>"2"</f>
        <v>2</v>
      </c>
      <c r="U809" t="str">
        <f t="shared" si="320"/>
        <v>N/A</v>
      </c>
      <c r="V809" t="str">
        <f>"1.8500"</f>
        <v>1.8500</v>
      </c>
    </row>
    <row r="810" spans="1:22" x14ac:dyDescent="0.25">
      <c r="A810" s="1" t="str">
        <f t="shared" si="315"/>
        <v>2277-</v>
      </c>
      <c r="B810" s="1" t="str">
        <f t="shared" si="321"/>
        <v>2277-</v>
      </c>
      <c r="C810" s="1" t="str">
        <f>VLOOKUP(B810,'Master truck list'!D:E,2,0)</f>
        <v>2277-18AT</v>
      </c>
      <c r="D810" s="1" t="str">
        <f>VLOOKUP(C810,'Master truck list'!E:F,2,0)</f>
        <v>ACTIVE</v>
      </c>
      <c r="E810" s="1" t="str">
        <f>VLOOKUP(C810,'Master truck list'!E:M,9,0)</f>
        <v>CHARGER LOGISTICS USA INC</v>
      </c>
      <c r="F810" s="1" t="str">
        <f>VLOOKUP(C810,'Master truck list'!E:G,3,0)</f>
        <v>Company</v>
      </c>
      <c r="G810" s="1">
        <f>VLOOKUP(C810,'Master truck list'!E:R,14,0)</f>
        <v>1034</v>
      </c>
      <c r="H810" t="str">
        <f t="shared" si="334"/>
        <v>12/21/2019 7:00:28 AM</v>
      </c>
      <c r="I810" t="str">
        <f>""</f>
        <v/>
      </c>
      <c r="J810" t="str">
        <f t="shared" si="316"/>
        <v>Elite</v>
      </c>
      <c r="K810" t="str">
        <f t="shared" si="325"/>
        <v>Device</v>
      </c>
      <c r="L810" t="str">
        <f t="shared" si="329"/>
        <v>777231404</v>
      </c>
      <c r="M810" t="str">
        <f t="shared" si="330"/>
        <v>16605361</v>
      </c>
      <c r="N810" t="str">
        <f t="shared" si="331"/>
        <v>2277-18A</v>
      </c>
      <c r="O810" t="str">
        <f t="shared" si="317"/>
        <v>TEXAS</v>
      </c>
      <c r="P810" t="str">
        <f t="shared" si="318"/>
        <v>N A</v>
      </c>
      <c r="Q810" t="str">
        <f t="shared" si="319"/>
        <v>N/A</v>
      </c>
      <c r="R810" t="str">
        <f>"45SE MLPEB 02 611"</f>
        <v>45SE MLPEB 02 611</v>
      </c>
      <c r="S810" t="str">
        <f>"12/20/2019 6:51:03 PM"</f>
        <v>12/20/2019 6:51:03 PM</v>
      </c>
      <c r="T810" t="str">
        <f t="shared" ref="T810:T815" si="335">"5"</f>
        <v>5</v>
      </c>
      <c r="U810" t="str">
        <f t="shared" si="320"/>
        <v>N/A</v>
      </c>
      <c r="V810" t="str">
        <f>"3.3000"</f>
        <v>3.3000</v>
      </c>
    </row>
    <row r="811" spans="1:22" x14ac:dyDescent="0.25">
      <c r="A811" s="1" t="str">
        <f t="shared" si="315"/>
        <v>2277-</v>
      </c>
      <c r="B811" s="1" t="str">
        <f t="shared" si="321"/>
        <v>2277-</v>
      </c>
      <c r="C811" s="1" t="str">
        <f>VLOOKUP(B811,'Master truck list'!D:E,2,0)</f>
        <v>2277-18AT</v>
      </c>
      <c r="D811" s="1" t="str">
        <f>VLOOKUP(C811,'Master truck list'!E:F,2,0)</f>
        <v>ACTIVE</v>
      </c>
      <c r="E811" s="1" t="str">
        <f>VLOOKUP(C811,'Master truck list'!E:M,9,0)</f>
        <v>CHARGER LOGISTICS USA INC</v>
      </c>
      <c r="F811" s="1" t="str">
        <f>VLOOKUP(C811,'Master truck list'!E:G,3,0)</f>
        <v>Company</v>
      </c>
      <c r="G811" s="1">
        <f>VLOOKUP(C811,'Master truck list'!E:R,14,0)</f>
        <v>1034</v>
      </c>
      <c r="H811" t="str">
        <f t="shared" si="334"/>
        <v>12/21/2019 7:00:28 AM</v>
      </c>
      <c r="I811" t="str">
        <f>""</f>
        <v/>
      </c>
      <c r="J811" t="str">
        <f t="shared" si="316"/>
        <v>Elite</v>
      </c>
      <c r="K811" t="str">
        <f t="shared" si="325"/>
        <v>Device</v>
      </c>
      <c r="L811" t="str">
        <f t="shared" si="329"/>
        <v>777231404</v>
      </c>
      <c r="M811" t="str">
        <f t="shared" si="330"/>
        <v>16605361</v>
      </c>
      <c r="N811" t="str">
        <f t="shared" si="331"/>
        <v>2277-18A</v>
      </c>
      <c r="O811" t="str">
        <f t="shared" si="317"/>
        <v>TEXAS</v>
      </c>
      <c r="P811" t="str">
        <f t="shared" si="318"/>
        <v>N A</v>
      </c>
      <c r="Q811" t="str">
        <f t="shared" si="319"/>
        <v>N/A</v>
      </c>
      <c r="R811" t="str">
        <f>"130 MGCRP 11 305"</f>
        <v>130 MGCRP 11 305</v>
      </c>
      <c r="S811" t="str">
        <f>"12/20/2019 7:29:59 PM"</f>
        <v>12/20/2019 7:29:59 PM</v>
      </c>
      <c r="T811" t="str">
        <f t="shared" si="335"/>
        <v>5</v>
      </c>
      <c r="U811" t="str">
        <f t="shared" si="320"/>
        <v>N/A</v>
      </c>
      <c r="V811" t="str">
        <f>"5.5500"</f>
        <v>5.5500</v>
      </c>
    </row>
    <row r="812" spans="1:22" x14ac:dyDescent="0.25">
      <c r="A812" s="1" t="str">
        <f t="shared" si="315"/>
        <v>2277-</v>
      </c>
      <c r="B812" s="1" t="str">
        <f t="shared" si="321"/>
        <v>2277-</v>
      </c>
      <c r="C812" s="1" t="s">
        <v>8886</v>
      </c>
      <c r="D812" s="1" t="s">
        <v>91</v>
      </c>
      <c r="E812" s="1" t="s">
        <v>1738</v>
      </c>
      <c r="F812" s="1" t="s">
        <v>22</v>
      </c>
      <c r="G812" s="1" t="e">
        <f>VLOOKUP(C812,'Master truck list'!E:R,14,0)</f>
        <v>#N/A</v>
      </c>
      <c r="H812" t="str">
        <f t="shared" si="334"/>
        <v>12/21/2019 7:00:28 AM</v>
      </c>
      <c r="I812" t="str">
        <f>""</f>
        <v/>
      </c>
      <c r="J812" t="str">
        <f t="shared" si="316"/>
        <v>Elite</v>
      </c>
      <c r="K812" t="str">
        <f t="shared" si="325"/>
        <v>Device</v>
      </c>
      <c r="L812" t="str">
        <f t="shared" si="329"/>
        <v>777231404</v>
      </c>
      <c r="M812" t="str">
        <f t="shared" si="330"/>
        <v>16605361</v>
      </c>
      <c r="N812" t="str">
        <f t="shared" si="331"/>
        <v>2277-18A</v>
      </c>
      <c r="O812" t="str">
        <f t="shared" si="317"/>
        <v>TEXAS</v>
      </c>
      <c r="P812" t="str">
        <f t="shared" si="318"/>
        <v>N A</v>
      </c>
      <c r="Q812" t="str">
        <f t="shared" si="319"/>
        <v>N/A</v>
      </c>
      <c r="R812" t="str">
        <f>"130 CMRNP 08 306"</f>
        <v>130 CMRNP 08 306</v>
      </c>
      <c r="S812" t="str">
        <f>"12/20/2019 7:53:29 AM"</f>
        <v>12/20/2019 7:53:29 AM</v>
      </c>
      <c r="T812" t="str">
        <f t="shared" si="335"/>
        <v>5</v>
      </c>
      <c r="U812" t="str">
        <f t="shared" si="320"/>
        <v>N/A</v>
      </c>
      <c r="V812" t="str">
        <f>"5.5500"</f>
        <v>5.5500</v>
      </c>
    </row>
    <row r="813" spans="1:22" x14ac:dyDescent="0.25">
      <c r="A813" s="1" t="str">
        <f t="shared" si="315"/>
        <v>2277-</v>
      </c>
      <c r="B813" s="1" t="str">
        <f t="shared" si="321"/>
        <v>2277-</v>
      </c>
      <c r="C813" s="1" t="str">
        <f>VLOOKUP(B813,'Master truck list'!D:E,2,0)</f>
        <v>2277-18AT</v>
      </c>
      <c r="D813" s="1" t="str">
        <f>VLOOKUP(C813,'Master truck list'!E:F,2,0)</f>
        <v>ACTIVE</v>
      </c>
      <c r="E813" s="1" t="str">
        <f>VLOOKUP(C813,'Master truck list'!E:M,9,0)</f>
        <v>CHARGER LOGISTICS USA INC</v>
      </c>
      <c r="F813" s="1" t="str">
        <f>VLOOKUP(C813,'Master truck list'!E:G,3,0)</f>
        <v>Company</v>
      </c>
      <c r="G813" s="1">
        <f>VLOOKUP(C813,'Master truck list'!E:R,14,0)</f>
        <v>1034</v>
      </c>
      <c r="H813" t="str">
        <f t="shared" si="334"/>
        <v>12/21/2019 7:00:28 AM</v>
      </c>
      <c r="I813" t="str">
        <f>""</f>
        <v/>
      </c>
      <c r="J813" t="str">
        <f t="shared" si="316"/>
        <v>Elite</v>
      </c>
      <c r="K813" t="str">
        <f t="shared" si="325"/>
        <v>Device</v>
      </c>
      <c r="L813" t="str">
        <f t="shared" si="329"/>
        <v>777231404</v>
      </c>
      <c r="M813" t="str">
        <f t="shared" si="330"/>
        <v>16605361</v>
      </c>
      <c r="N813" t="str">
        <f t="shared" si="331"/>
        <v>2277-18A</v>
      </c>
      <c r="O813" t="str">
        <f t="shared" si="317"/>
        <v>TEXAS</v>
      </c>
      <c r="P813" t="str">
        <f t="shared" si="318"/>
        <v>N A</v>
      </c>
      <c r="Q813" t="str">
        <f t="shared" si="319"/>
        <v>N/A</v>
      </c>
      <c r="R813" t="str">
        <f>"45SE MLPWB 01 611"</f>
        <v>45SE MLPWB 01 611</v>
      </c>
      <c r="S813" t="str">
        <f>"12/20/2019 8:20:44 AM"</f>
        <v>12/20/2019 8:20:44 AM</v>
      </c>
      <c r="T813" t="str">
        <f t="shared" si="335"/>
        <v>5</v>
      </c>
      <c r="U813" t="str">
        <f t="shared" si="320"/>
        <v>N/A</v>
      </c>
      <c r="V813" t="str">
        <f>"3.3000"</f>
        <v>3.3000</v>
      </c>
    </row>
    <row r="814" spans="1:22" x14ac:dyDescent="0.25">
      <c r="A814" s="1" t="str">
        <f t="shared" si="315"/>
        <v>2593-</v>
      </c>
      <c r="B814" s="1" t="str">
        <f t="shared" si="321"/>
        <v>2593-</v>
      </c>
      <c r="C814" s="1" t="str">
        <f>VLOOKUP(B814,'Master truck list'!D:E,2,0)</f>
        <v>2593-20T</v>
      </c>
      <c r="D814" s="1" t="str">
        <f>VLOOKUP(C814,'Master truck list'!E:F,2,0)</f>
        <v>ACTIVE</v>
      </c>
      <c r="E814" s="1" t="str">
        <f>VLOOKUP(C814,'Master truck list'!E:M,9,0)</f>
        <v>CHARGER LOGISTICS USA INC</v>
      </c>
      <c r="F814" s="1" t="str">
        <f>VLOOKUP(C814,'Master truck list'!E:G,3,0)</f>
        <v>Company</v>
      </c>
      <c r="G814" s="1">
        <f>VLOOKUP(C814,'Master truck list'!E:R,14,0)</f>
        <v>2636</v>
      </c>
      <c r="H814" t="str">
        <f t="shared" si="334"/>
        <v>12/21/2019 7:00:28 AM</v>
      </c>
      <c r="I814" t="str">
        <f>""</f>
        <v/>
      </c>
      <c r="J814" t="str">
        <f t="shared" si="316"/>
        <v>Elite</v>
      </c>
      <c r="K814" t="str">
        <f t="shared" si="325"/>
        <v>Device</v>
      </c>
      <c r="L814" t="str">
        <f t="shared" ref="L814:L833" si="336">"777237601"</f>
        <v>777237601</v>
      </c>
      <c r="M814" t="str">
        <f t="shared" ref="M814:M833" si="337">"16670358"</f>
        <v>16670358</v>
      </c>
      <c r="N814" t="str">
        <f t="shared" ref="N814:N833" si="338">"2593-20T"</f>
        <v>2593-20T</v>
      </c>
      <c r="O814" t="str">
        <f t="shared" si="317"/>
        <v>TEXAS</v>
      </c>
      <c r="P814" t="str">
        <f t="shared" si="318"/>
        <v>N A</v>
      </c>
      <c r="Q814" t="str">
        <f t="shared" si="319"/>
        <v>N/A</v>
      </c>
      <c r="R814" t="str">
        <f>"45SE MLPWB 01 611"</f>
        <v>45SE MLPWB 01 611</v>
      </c>
      <c r="S814" t="str">
        <f>"12/20/2019 4:56:54 PM"</f>
        <v>12/20/2019 4:56:54 PM</v>
      </c>
      <c r="T814" t="str">
        <f t="shared" si="335"/>
        <v>5</v>
      </c>
      <c r="U814" t="str">
        <f t="shared" si="320"/>
        <v>N/A</v>
      </c>
      <c r="V814" t="str">
        <f>"3.3000"</f>
        <v>3.3000</v>
      </c>
    </row>
    <row r="815" spans="1:22" x14ac:dyDescent="0.25">
      <c r="A815" s="1" t="str">
        <f t="shared" si="315"/>
        <v>2593-</v>
      </c>
      <c r="B815" s="1" t="str">
        <f t="shared" si="321"/>
        <v>2593-</v>
      </c>
      <c r="C815" s="1" t="str">
        <f>VLOOKUP(B815,'Master truck list'!D:E,2,0)</f>
        <v>2593-20T</v>
      </c>
      <c r="D815" s="1" t="str">
        <f>VLOOKUP(C815,'Master truck list'!E:F,2,0)</f>
        <v>ACTIVE</v>
      </c>
      <c r="E815" s="1" t="str">
        <f>VLOOKUP(C815,'Master truck list'!E:M,9,0)</f>
        <v>CHARGER LOGISTICS USA INC</v>
      </c>
      <c r="F815" s="1" t="str">
        <f>VLOOKUP(C815,'Master truck list'!E:G,3,0)</f>
        <v>Company</v>
      </c>
      <c r="G815" s="1">
        <f>VLOOKUP(C815,'Master truck list'!E:R,14,0)</f>
        <v>2636</v>
      </c>
      <c r="H815" t="str">
        <f t="shared" si="334"/>
        <v>12/21/2019 7:00:28 AM</v>
      </c>
      <c r="I815" t="str">
        <f>""</f>
        <v/>
      </c>
      <c r="J815" t="str">
        <f t="shared" si="316"/>
        <v>Elite</v>
      </c>
      <c r="K815" t="str">
        <f t="shared" si="325"/>
        <v>Device</v>
      </c>
      <c r="L815" t="str">
        <f t="shared" si="336"/>
        <v>777237601</v>
      </c>
      <c r="M815" t="str">
        <f t="shared" si="337"/>
        <v>16670358</v>
      </c>
      <c r="N815" t="str">
        <f t="shared" si="338"/>
        <v>2593-20T</v>
      </c>
      <c r="O815" t="str">
        <f t="shared" si="317"/>
        <v>TEXAS</v>
      </c>
      <c r="P815" t="str">
        <f t="shared" si="318"/>
        <v>N A</v>
      </c>
      <c r="Q815" t="str">
        <f t="shared" si="319"/>
        <v>N/A</v>
      </c>
      <c r="R815" t="str">
        <f>"130 CMRNP 08 306"</f>
        <v>130 CMRNP 08 306</v>
      </c>
      <c r="S815" t="str">
        <f>"12/20/2019 4:11:22 PM"</f>
        <v>12/20/2019 4:11:22 PM</v>
      </c>
      <c r="T815" t="str">
        <f t="shared" si="335"/>
        <v>5</v>
      </c>
      <c r="U815" t="str">
        <f t="shared" si="320"/>
        <v>N/A</v>
      </c>
      <c r="V815" t="str">
        <f>"5.5500"</f>
        <v>5.5500</v>
      </c>
    </row>
    <row r="816" spans="1:22" x14ac:dyDescent="0.25">
      <c r="A816" s="1" t="str">
        <f t="shared" si="315"/>
        <v>2593-</v>
      </c>
      <c r="B816" s="1" t="str">
        <f t="shared" si="321"/>
        <v>2593-</v>
      </c>
      <c r="C816" s="1" t="s">
        <v>8890</v>
      </c>
      <c r="D816" s="1" t="s">
        <v>91</v>
      </c>
      <c r="E816" s="1" t="s">
        <v>154</v>
      </c>
      <c r="F816" s="1" t="s">
        <v>22</v>
      </c>
      <c r="G816" s="1" t="e">
        <f>VLOOKUP(C816,'Master truck list'!E:R,14,0)</f>
        <v>#N/A</v>
      </c>
      <c r="H816" t="str">
        <f t="shared" si="334"/>
        <v>12/21/2019 7:00:28 AM</v>
      </c>
      <c r="I816" t="str">
        <f>""</f>
        <v/>
      </c>
      <c r="J816" t="str">
        <f t="shared" si="316"/>
        <v>Elite</v>
      </c>
      <c r="K816" t="str">
        <f t="shared" si="325"/>
        <v>Device</v>
      </c>
      <c r="L816" t="str">
        <f t="shared" si="336"/>
        <v>777237601</v>
      </c>
      <c r="M816" t="str">
        <f t="shared" si="337"/>
        <v>16670358</v>
      </c>
      <c r="N816" t="str">
        <f t="shared" si="338"/>
        <v>2593-20T</v>
      </c>
      <c r="O816" t="str">
        <f t="shared" si="317"/>
        <v>TEXAS</v>
      </c>
      <c r="P816" t="str">
        <f t="shared" si="318"/>
        <v>N A</v>
      </c>
      <c r="Q816" t="str">
        <f t="shared" si="319"/>
        <v>N/A</v>
      </c>
      <c r="R816" t="str">
        <f>"130 MGCRP 06 305"</f>
        <v>130 MGCRP 06 305</v>
      </c>
      <c r="S816" t="str">
        <f>"12/20/2019 4:00:14 PM"</f>
        <v>12/20/2019 4:00:14 PM</v>
      </c>
      <c r="T816" t="str">
        <f>"2"</f>
        <v>2</v>
      </c>
      <c r="U816" t="str">
        <f t="shared" si="320"/>
        <v>N/A</v>
      </c>
      <c r="V816" t="str">
        <f>"1.8500"</f>
        <v>1.8500</v>
      </c>
    </row>
    <row r="817" spans="1:22" x14ac:dyDescent="0.25">
      <c r="A817" s="1" t="str">
        <f t="shared" si="315"/>
        <v>2593-</v>
      </c>
      <c r="B817" s="1" t="str">
        <f t="shared" si="321"/>
        <v>2593-</v>
      </c>
      <c r="C817" s="1" t="str">
        <f>VLOOKUP(B817,'Master truck list'!D:E,2,0)</f>
        <v>2593-20T</v>
      </c>
      <c r="D817" s="1" t="str">
        <f>VLOOKUP(C817,'Master truck list'!E:F,2,0)</f>
        <v>ACTIVE</v>
      </c>
      <c r="E817" s="1" t="str">
        <f>VLOOKUP(C817,'Master truck list'!E:M,9,0)</f>
        <v>CHARGER LOGISTICS USA INC</v>
      </c>
      <c r="F817" s="1" t="str">
        <f>VLOOKUP(C817,'Master truck list'!E:G,3,0)</f>
        <v>Company</v>
      </c>
      <c r="G817" s="1">
        <f>VLOOKUP(C817,'Master truck list'!E:R,14,0)</f>
        <v>2636</v>
      </c>
      <c r="H817" t="str">
        <f t="shared" si="334"/>
        <v>12/21/2019 7:00:28 AM</v>
      </c>
      <c r="I817" t="str">
        <f>""</f>
        <v/>
      </c>
      <c r="J817" t="str">
        <f t="shared" si="316"/>
        <v>Elite</v>
      </c>
      <c r="K817" t="str">
        <f t="shared" si="325"/>
        <v>Device</v>
      </c>
      <c r="L817" t="str">
        <f t="shared" si="336"/>
        <v>777237601</v>
      </c>
      <c r="M817" t="str">
        <f t="shared" si="337"/>
        <v>16670358</v>
      </c>
      <c r="N817" t="str">
        <f t="shared" si="338"/>
        <v>2593-20T</v>
      </c>
      <c r="O817" t="str">
        <f t="shared" si="317"/>
        <v>TEXAS</v>
      </c>
      <c r="P817" t="str">
        <f t="shared" si="318"/>
        <v>N A</v>
      </c>
      <c r="Q817" t="str">
        <f t="shared" si="319"/>
        <v>N/A</v>
      </c>
      <c r="R817" t="str">
        <f>"130 DKCRP 06 307"</f>
        <v>130 DKCRP 06 307</v>
      </c>
      <c r="S817" t="str">
        <f>"12/20/2019 4:29:57 PM"</f>
        <v>12/20/2019 4:29:57 PM</v>
      </c>
      <c r="T817" t="str">
        <f t="shared" ref="T817:T869" si="339">"5"</f>
        <v>5</v>
      </c>
      <c r="U817" t="str">
        <f t="shared" si="320"/>
        <v>N/A</v>
      </c>
      <c r="V817" t="str">
        <f>"5.5500"</f>
        <v>5.5500</v>
      </c>
    </row>
    <row r="818" spans="1:22" x14ac:dyDescent="0.25">
      <c r="A818" s="1" t="str">
        <f t="shared" si="315"/>
        <v>2593-</v>
      </c>
      <c r="B818" s="1" t="str">
        <f t="shared" si="321"/>
        <v>2593-</v>
      </c>
      <c r="C818" s="1" t="str">
        <f>VLOOKUP(B818,'Master truck list'!D:E,2,0)</f>
        <v>2593-20T</v>
      </c>
      <c r="D818" s="1" t="str">
        <f>VLOOKUP(C818,'Master truck list'!E:F,2,0)</f>
        <v>ACTIVE</v>
      </c>
      <c r="E818" s="1" t="str">
        <f>VLOOKUP(C818,'Master truck list'!E:M,9,0)</f>
        <v>CHARGER LOGISTICS USA INC</v>
      </c>
      <c r="F818" s="1" t="str">
        <f>VLOOKUP(C818,'Master truck list'!E:G,3,0)</f>
        <v>Company</v>
      </c>
      <c r="G818" s="1">
        <f>VLOOKUP(C818,'Master truck list'!E:R,14,0)</f>
        <v>2636</v>
      </c>
      <c r="H818" t="str">
        <f>"12/19/2019 7:00:35 AM"</f>
        <v>12/19/2019 7:00:35 AM</v>
      </c>
      <c r="I818" t="str">
        <f>""</f>
        <v/>
      </c>
      <c r="J818" t="str">
        <f t="shared" si="316"/>
        <v>Elite</v>
      </c>
      <c r="K818" t="str">
        <f t="shared" si="325"/>
        <v>Device</v>
      </c>
      <c r="L818" t="str">
        <f t="shared" si="336"/>
        <v>777237601</v>
      </c>
      <c r="M818" t="str">
        <f t="shared" si="337"/>
        <v>16670358</v>
      </c>
      <c r="N818" t="str">
        <f t="shared" si="338"/>
        <v>2593-20T</v>
      </c>
      <c r="O818" t="str">
        <f t="shared" si="317"/>
        <v>TEXAS</v>
      </c>
      <c r="P818" t="str">
        <f t="shared" si="318"/>
        <v>N A</v>
      </c>
      <c r="Q818" t="str">
        <f t="shared" si="319"/>
        <v>N/A</v>
      </c>
      <c r="R818" t="str">
        <f>"130 ARPTP 04 308"</f>
        <v>130 ARPTP 04 308</v>
      </c>
      <c r="S818" t="str">
        <f>"12/18/2019 9:26:23 AM"</f>
        <v>12/18/2019 9:26:23 AM</v>
      </c>
      <c r="T818" t="str">
        <f t="shared" si="339"/>
        <v>5</v>
      </c>
      <c r="U818" t="str">
        <f t="shared" si="320"/>
        <v>N/A</v>
      </c>
      <c r="V818" t="str">
        <f>"5.5500"</f>
        <v>5.5500</v>
      </c>
    </row>
    <row r="819" spans="1:22" x14ac:dyDescent="0.25">
      <c r="A819" s="1" t="str">
        <f t="shared" si="315"/>
        <v>2593-</v>
      </c>
      <c r="B819" s="1" t="str">
        <f t="shared" si="321"/>
        <v>2593-</v>
      </c>
      <c r="C819" s="1" t="str">
        <f>VLOOKUP(B819,'Master truck list'!D:E,2,0)</f>
        <v>2593-20T</v>
      </c>
      <c r="D819" s="1" t="str">
        <f>VLOOKUP(C819,'Master truck list'!E:F,2,0)</f>
        <v>ACTIVE</v>
      </c>
      <c r="E819" s="1" t="str">
        <f>VLOOKUP(C819,'Master truck list'!E:M,9,0)</f>
        <v>CHARGER LOGISTICS USA INC</v>
      </c>
      <c r="F819" s="1" t="str">
        <f>VLOOKUP(C819,'Master truck list'!E:G,3,0)</f>
        <v>Company</v>
      </c>
      <c r="G819" s="1">
        <f>VLOOKUP(C819,'Master truck list'!E:R,14,0)</f>
        <v>2636</v>
      </c>
      <c r="H819" t="str">
        <f>"12/19/2019 7:00:35 AM"</f>
        <v>12/19/2019 7:00:35 AM</v>
      </c>
      <c r="I819" t="str">
        <f>""</f>
        <v/>
      </c>
      <c r="J819" t="str">
        <f t="shared" si="316"/>
        <v>Elite</v>
      </c>
      <c r="K819" t="str">
        <f t="shared" si="325"/>
        <v>Device</v>
      </c>
      <c r="L819" t="str">
        <f t="shared" si="336"/>
        <v>777237601</v>
      </c>
      <c r="M819" t="str">
        <f t="shared" si="337"/>
        <v>16670358</v>
      </c>
      <c r="N819" t="str">
        <f t="shared" si="338"/>
        <v>2593-20T</v>
      </c>
      <c r="O819" t="str">
        <f t="shared" si="317"/>
        <v>TEXAS</v>
      </c>
      <c r="P819" t="str">
        <f t="shared" si="318"/>
        <v>N A</v>
      </c>
      <c r="Q819" t="str">
        <f t="shared" si="319"/>
        <v>N/A</v>
      </c>
      <c r="R819" t="str">
        <f>"130 CMRNP 08 306"</f>
        <v>130 CMRNP 08 306</v>
      </c>
      <c r="S819" t="str">
        <f>"12/18/2019 9:08:59 AM"</f>
        <v>12/18/2019 9:08:59 AM</v>
      </c>
      <c r="T819" t="str">
        <f t="shared" si="339"/>
        <v>5</v>
      </c>
      <c r="U819" t="str">
        <f t="shared" si="320"/>
        <v>N/A</v>
      </c>
      <c r="V819" t="str">
        <f>"5.5500"</f>
        <v>5.5500</v>
      </c>
    </row>
    <row r="820" spans="1:22" x14ac:dyDescent="0.25">
      <c r="A820" s="1" t="str">
        <f t="shared" si="315"/>
        <v>2593-</v>
      </c>
      <c r="B820" s="1" t="str">
        <f t="shared" si="321"/>
        <v>2593-</v>
      </c>
      <c r="C820" s="1" t="str">
        <f>VLOOKUP(B820,'Master truck list'!D:E,2,0)</f>
        <v>2593-20T</v>
      </c>
      <c r="D820" s="1" t="str">
        <f>VLOOKUP(C820,'Master truck list'!E:F,2,0)</f>
        <v>ACTIVE</v>
      </c>
      <c r="E820" s="1" t="str">
        <f>VLOOKUP(C820,'Master truck list'!E:M,9,0)</f>
        <v>CHARGER LOGISTICS USA INC</v>
      </c>
      <c r="F820" s="1" t="str">
        <f>VLOOKUP(C820,'Master truck list'!E:G,3,0)</f>
        <v>Company</v>
      </c>
      <c r="G820" s="1">
        <f>VLOOKUP(C820,'Master truck list'!E:R,14,0)</f>
        <v>2636</v>
      </c>
      <c r="H820" t="str">
        <f>"12/18/2019 7:00:28 AM"</f>
        <v>12/18/2019 7:00:28 AM</v>
      </c>
      <c r="I820" t="str">
        <f>""</f>
        <v/>
      </c>
      <c r="J820" t="str">
        <f t="shared" si="316"/>
        <v>Elite</v>
      </c>
      <c r="K820" t="str">
        <f t="shared" si="325"/>
        <v>Device</v>
      </c>
      <c r="L820" t="str">
        <f t="shared" si="336"/>
        <v>777237601</v>
      </c>
      <c r="M820" t="str">
        <f t="shared" si="337"/>
        <v>16670358</v>
      </c>
      <c r="N820" t="str">
        <f t="shared" si="338"/>
        <v>2593-20T</v>
      </c>
      <c r="O820" t="str">
        <f t="shared" si="317"/>
        <v>TEXAS</v>
      </c>
      <c r="P820" t="str">
        <f t="shared" si="318"/>
        <v>N A</v>
      </c>
      <c r="Q820" t="str">
        <f t="shared" si="319"/>
        <v>N/A</v>
      </c>
      <c r="R820" t="str">
        <f>"130 MGCRP 11 305"</f>
        <v>130 MGCRP 11 305</v>
      </c>
      <c r="S820" t="str">
        <f>"12/17/2019 1:57:55 PM"</f>
        <v>12/17/2019 1:57:55 PM</v>
      </c>
      <c r="T820" t="str">
        <f t="shared" si="339"/>
        <v>5</v>
      </c>
      <c r="U820" t="str">
        <f t="shared" si="320"/>
        <v>N/A</v>
      </c>
      <c r="V820" t="str">
        <f>"5.5500"</f>
        <v>5.5500</v>
      </c>
    </row>
    <row r="821" spans="1:22" x14ac:dyDescent="0.25">
      <c r="A821" s="1" t="str">
        <f t="shared" si="315"/>
        <v>2593-</v>
      </c>
      <c r="B821" s="1" t="str">
        <f t="shared" si="321"/>
        <v>2593-</v>
      </c>
      <c r="C821" s="1" t="str">
        <f>VLOOKUP(B821,'Master truck list'!D:E,2,0)</f>
        <v>2593-20T</v>
      </c>
      <c r="D821" s="1" t="str">
        <f>VLOOKUP(C821,'Master truck list'!E:F,2,0)</f>
        <v>ACTIVE</v>
      </c>
      <c r="E821" s="1" t="str">
        <f>VLOOKUP(C821,'Master truck list'!E:M,9,0)</f>
        <v>CHARGER LOGISTICS USA INC</v>
      </c>
      <c r="F821" s="1" t="str">
        <f>VLOOKUP(C821,'Master truck list'!E:G,3,0)</f>
        <v>Company</v>
      </c>
      <c r="G821" s="1">
        <f>VLOOKUP(C821,'Master truck list'!E:R,14,0)</f>
        <v>2636</v>
      </c>
      <c r="H821" t="str">
        <f>"12/18/2019 7:00:28 AM"</f>
        <v>12/18/2019 7:00:28 AM</v>
      </c>
      <c r="I821" t="str">
        <f>""</f>
        <v/>
      </c>
      <c r="J821" t="str">
        <f t="shared" si="316"/>
        <v>Elite</v>
      </c>
      <c r="K821" t="str">
        <f t="shared" si="325"/>
        <v>Device</v>
      </c>
      <c r="L821" t="str">
        <f t="shared" si="336"/>
        <v>777237601</v>
      </c>
      <c r="M821" t="str">
        <f t="shared" si="337"/>
        <v>16670358</v>
      </c>
      <c r="N821" t="str">
        <f t="shared" si="338"/>
        <v>2593-20T</v>
      </c>
      <c r="O821" t="str">
        <f t="shared" si="317"/>
        <v>TEXAS</v>
      </c>
      <c r="P821" t="str">
        <f t="shared" si="318"/>
        <v>N A</v>
      </c>
      <c r="Q821" t="str">
        <f t="shared" si="319"/>
        <v>N/A</v>
      </c>
      <c r="R821" t="str">
        <f>"45SE MLPEB 02 611"</f>
        <v>45SE MLPEB 02 611</v>
      </c>
      <c r="S821" t="str">
        <f>"12/17/2019 1:19:21 PM"</f>
        <v>12/17/2019 1:19:21 PM</v>
      </c>
      <c r="T821" t="str">
        <f t="shared" si="339"/>
        <v>5</v>
      </c>
      <c r="U821" t="str">
        <f t="shared" si="320"/>
        <v>N/A</v>
      </c>
      <c r="V821" t="str">
        <f>"3.3000"</f>
        <v>3.3000</v>
      </c>
    </row>
    <row r="822" spans="1:22" x14ac:dyDescent="0.25">
      <c r="A822" s="1" t="str">
        <f t="shared" si="315"/>
        <v>2593-</v>
      </c>
      <c r="B822" s="1" t="str">
        <f t="shared" si="321"/>
        <v>2593-</v>
      </c>
      <c r="C822" s="1" t="s">
        <v>8886</v>
      </c>
      <c r="D822" s="1" t="s">
        <v>91</v>
      </c>
      <c r="E822" s="1" t="s">
        <v>1738</v>
      </c>
      <c r="F822" s="1" t="s">
        <v>22</v>
      </c>
      <c r="G822" s="1" t="e">
        <f>VLOOKUP(C822,'Master truck list'!E:R,14,0)</f>
        <v>#N/A</v>
      </c>
      <c r="H822" t="str">
        <f>"12/18/2019 7:00:28 AM"</f>
        <v>12/18/2019 7:00:28 AM</v>
      </c>
      <c r="I822" t="str">
        <f>""</f>
        <v/>
      </c>
      <c r="J822" t="str">
        <f t="shared" si="316"/>
        <v>Elite</v>
      </c>
      <c r="K822" t="str">
        <f t="shared" si="325"/>
        <v>Device</v>
      </c>
      <c r="L822" t="str">
        <f t="shared" si="336"/>
        <v>777237601</v>
      </c>
      <c r="M822" t="str">
        <f t="shared" si="337"/>
        <v>16670358</v>
      </c>
      <c r="N822" t="str">
        <f t="shared" si="338"/>
        <v>2593-20T</v>
      </c>
      <c r="O822" t="str">
        <f t="shared" si="317"/>
        <v>TEXAS</v>
      </c>
      <c r="P822" t="str">
        <f t="shared" si="318"/>
        <v>N A</v>
      </c>
      <c r="Q822" t="str">
        <f t="shared" si="319"/>
        <v>N/A</v>
      </c>
      <c r="R822" t="str">
        <f>"130 DKCRP 11 307"</f>
        <v>130 DKCRP 11 307</v>
      </c>
      <c r="S822" t="str">
        <f>"12/17/2019 1:36:42 PM"</f>
        <v>12/17/2019 1:36:42 PM</v>
      </c>
      <c r="T822" t="str">
        <f t="shared" si="339"/>
        <v>5</v>
      </c>
      <c r="U822" t="str">
        <f t="shared" si="320"/>
        <v>N/A</v>
      </c>
      <c r="V822" t="str">
        <f>"5.5500"</f>
        <v>5.5500</v>
      </c>
    </row>
    <row r="823" spans="1:22" x14ac:dyDescent="0.25">
      <c r="A823" s="1" t="str">
        <f t="shared" si="315"/>
        <v>2593-</v>
      </c>
      <c r="B823" s="1" t="str">
        <f t="shared" si="321"/>
        <v>2593-</v>
      </c>
      <c r="C823" s="1" t="s">
        <v>8891</v>
      </c>
      <c r="D823" s="1" t="s">
        <v>91</v>
      </c>
      <c r="E823" s="1" t="s">
        <v>1738</v>
      </c>
      <c r="F823" s="1" t="s">
        <v>22</v>
      </c>
      <c r="G823" s="1" t="e">
        <f>VLOOKUP(C823,'Master truck list'!E:R,14,0)</f>
        <v>#N/A</v>
      </c>
      <c r="H823" t="str">
        <f>"12/18/2019 7:00:28 AM"</f>
        <v>12/18/2019 7:00:28 AM</v>
      </c>
      <c r="I823" t="str">
        <f>""</f>
        <v/>
      </c>
      <c r="J823" t="str">
        <f t="shared" si="316"/>
        <v>Elite</v>
      </c>
      <c r="K823" t="str">
        <f t="shared" si="325"/>
        <v>Device</v>
      </c>
      <c r="L823" t="str">
        <f t="shared" si="336"/>
        <v>777237601</v>
      </c>
      <c r="M823" t="str">
        <f t="shared" si="337"/>
        <v>16670358</v>
      </c>
      <c r="N823" t="str">
        <f t="shared" si="338"/>
        <v>2593-20T</v>
      </c>
      <c r="O823" t="str">
        <f t="shared" si="317"/>
        <v>TEXAS</v>
      </c>
      <c r="P823" t="str">
        <f t="shared" si="318"/>
        <v>N A</v>
      </c>
      <c r="Q823" t="str">
        <f t="shared" si="319"/>
        <v>N/A</v>
      </c>
      <c r="R823" t="str">
        <f>"130 CMRNP 13 306"</f>
        <v>130 CMRNP 13 306</v>
      </c>
      <c r="S823" t="str">
        <f>"12/17/2019 1:46:48 PM"</f>
        <v>12/17/2019 1:46:48 PM</v>
      </c>
      <c r="T823" t="str">
        <f t="shared" si="339"/>
        <v>5</v>
      </c>
      <c r="U823" t="str">
        <f t="shared" si="320"/>
        <v>N/A</v>
      </c>
      <c r="V823" t="str">
        <f>"5.5500"</f>
        <v>5.5500</v>
      </c>
    </row>
    <row r="824" spans="1:22" x14ac:dyDescent="0.25">
      <c r="A824" s="1" t="str">
        <f t="shared" si="315"/>
        <v>2593-</v>
      </c>
      <c r="B824" s="1" t="str">
        <f t="shared" si="321"/>
        <v>2593-</v>
      </c>
      <c r="C824" s="1" t="str">
        <f>VLOOKUP(B824,'Master truck list'!D:E,2,0)</f>
        <v>2593-20T</v>
      </c>
      <c r="D824" s="1" t="str">
        <f>VLOOKUP(C824,'Master truck list'!E:F,2,0)</f>
        <v>ACTIVE</v>
      </c>
      <c r="E824" s="1" t="str">
        <f>VLOOKUP(C824,'Master truck list'!E:M,9,0)</f>
        <v>CHARGER LOGISTICS USA INC</v>
      </c>
      <c r="F824" s="1" t="str">
        <f>VLOOKUP(C824,'Master truck list'!E:G,3,0)</f>
        <v>Company</v>
      </c>
      <c r="G824" s="1">
        <f>VLOOKUP(C824,'Master truck list'!E:R,14,0)</f>
        <v>2636</v>
      </c>
      <c r="H824" t="str">
        <f>"12/18/2019 7:00:28 AM"</f>
        <v>12/18/2019 7:00:28 AM</v>
      </c>
      <c r="I824" t="str">
        <f>""</f>
        <v/>
      </c>
      <c r="J824" t="str">
        <f t="shared" si="316"/>
        <v>Elite</v>
      </c>
      <c r="K824" t="str">
        <f t="shared" si="325"/>
        <v>Device</v>
      </c>
      <c r="L824" t="str">
        <f t="shared" si="336"/>
        <v>777237601</v>
      </c>
      <c r="M824" t="str">
        <f t="shared" si="337"/>
        <v>16670358</v>
      </c>
      <c r="N824" t="str">
        <f t="shared" si="338"/>
        <v>2593-20T</v>
      </c>
      <c r="O824" t="str">
        <f t="shared" si="317"/>
        <v>TEXAS</v>
      </c>
      <c r="P824" t="str">
        <f t="shared" si="318"/>
        <v>N A</v>
      </c>
      <c r="Q824" t="str">
        <f t="shared" si="319"/>
        <v>N/A</v>
      </c>
      <c r="R824" t="str">
        <f>"130 ARPTP 09 308"</f>
        <v>130 ARPTP 09 308</v>
      </c>
      <c r="S824" t="str">
        <f>"12/17/2019 1:29:45 PM"</f>
        <v>12/17/2019 1:29:45 PM</v>
      </c>
      <c r="T824" t="str">
        <f t="shared" si="339"/>
        <v>5</v>
      </c>
      <c r="U824" t="str">
        <f t="shared" si="320"/>
        <v>N/A</v>
      </c>
      <c r="V824" t="str">
        <f>"5.5500"</f>
        <v>5.5500</v>
      </c>
    </row>
    <row r="825" spans="1:22" x14ac:dyDescent="0.25">
      <c r="A825" s="1" t="str">
        <f t="shared" si="315"/>
        <v>2593-</v>
      </c>
      <c r="B825" s="1" t="str">
        <f t="shared" si="321"/>
        <v>2593-</v>
      </c>
      <c r="C825" s="1" t="str">
        <f>VLOOKUP(B825,'Master truck list'!D:E,2,0)</f>
        <v>2593-20T</v>
      </c>
      <c r="D825" s="1" t="str">
        <f>VLOOKUP(C825,'Master truck list'!E:F,2,0)</f>
        <v>ACTIVE</v>
      </c>
      <c r="E825" s="1" t="str">
        <f>VLOOKUP(C825,'Master truck list'!E:M,9,0)</f>
        <v>CHARGER LOGISTICS USA INC</v>
      </c>
      <c r="F825" s="1" t="str">
        <f>VLOOKUP(C825,'Master truck list'!E:G,3,0)</f>
        <v>Company</v>
      </c>
      <c r="G825" s="1">
        <f>VLOOKUP(C825,'Master truck list'!E:R,14,0)</f>
        <v>2636</v>
      </c>
      <c r="H825" t="str">
        <f>"12/17/2019 7:00:33 AM"</f>
        <v>12/17/2019 7:00:33 AM</v>
      </c>
      <c r="I825" t="str">
        <f>""</f>
        <v/>
      </c>
      <c r="J825" t="str">
        <f t="shared" si="316"/>
        <v>Elite</v>
      </c>
      <c r="K825" t="str">
        <f t="shared" si="325"/>
        <v>Device</v>
      </c>
      <c r="L825" t="str">
        <f t="shared" si="336"/>
        <v>777237601</v>
      </c>
      <c r="M825" t="str">
        <f t="shared" si="337"/>
        <v>16670358</v>
      </c>
      <c r="N825" t="str">
        <f t="shared" si="338"/>
        <v>2593-20T</v>
      </c>
      <c r="O825" t="str">
        <f t="shared" si="317"/>
        <v>TEXAS</v>
      </c>
      <c r="P825" t="str">
        <f t="shared" si="318"/>
        <v>N A</v>
      </c>
      <c r="Q825" t="str">
        <f t="shared" si="319"/>
        <v>N/A</v>
      </c>
      <c r="R825" t="str">
        <f>"130 DKCRP 06 307"</f>
        <v>130 DKCRP 06 307</v>
      </c>
      <c r="S825" t="str">
        <f>"12/16/2019 5:11:16 PM"</f>
        <v>12/16/2019 5:11:16 PM</v>
      </c>
      <c r="T825" t="str">
        <f t="shared" si="339"/>
        <v>5</v>
      </c>
      <c r="U825" t="str">
        <f t="shared" si="320"/>
        <v>N/A</v>
      </c>
      <c r="V825" t="str">
        <f>"5.5500"</f>
        <v>5.5500</v>
      </c>
    </row>
    <row r="826" spans="1:22" x14ac:dyDescent="0.25">
      <c r="A826" s="1" t="str">
        <f t="shared" si="315"/>
        <v>2593-</v>
      </c>
      <c r="B826" s="1" t="str">
        <f t="shared" si="321"/>
        <v>2593-</v>
      </c>
      <c r="C826" s="1" t="str">
        <f>VLOOKUP(B826,'Master truck list'!D:E,2,0)</f>
        <v>2593-20T</v>
      </c>
      <c r="D826" s="1" t="str">
        <f>VLOOKUP(C826,'Master truck list'!E:F,2,0)</f>
        <v>ACTIVE</v>
      </c>
      <c r="E826" s="1" t="str">
        <f>VLOOKUP(C826,'Master truck list'!E:M,9,0)</f>
        <v>CHARGER LOGISTICS USA INC</v>
      </c>
      <c r="F826" s="1" t="str">
        <f>VLOOKUP(C826,'Master truck list'!E:G,3,0)</f>
        <v>Company</v>
      </c>
      <c r="G826" s="1">
        <f>VLOOKUP(C826,'Master truck list'!E:R,14,0)</f>
        <v>2636</v>
      </c>
      <c r="H826" t="str">
        <f>"12/17/2019 7:00:33 AM"</f>
        <v>12/17/2019 7:00:33 AM</v>
      </c>
      <c r="I826" t="str">
        <f>""</f>
        <v/>
      </c>
      <c r="J826" t="str">
        <f t="shared" si="316"/>
        <v>Elite</v>
      </c>
      <c r="K826" t="str">
        <f t="shared" si="325"/>
        <v>Device</v>
      </c>
      <c r="L826" t="str">
        <f t="shared" si="336"/>
        <v>777237601</v>
      </c>
      <c r="M826" t="str">
        <f t="shared" si="337"/>
        <v>16670358</v>
      </c>
      <c r="N826" t="str">
        <f t="shared" si="338"/>
        <v>2593-20T</v>
      </c>
      <c r="O826" t="str">
        <f t="shared" si="317"/>
        <v>TEXAS</v>
      </c>
      <c r="P826" t="str">
        <f t="shared" si="318"/>
        <v>N A</v>
      </c>
      <c r="Q826" t="str">
        <f t="shared" si="319"/>
        <v>N/A</v>
      </c>
      <c r="R826" t="str">
        <f>"130 MGCRP 06 305"</f>
        <v>130 MGCRP 06 305</v>
      </c>
      <c r="S826" t="str">
        <f>"12/16/2019 4:48:34 PM"</f>
        <v>12/16/2019 4:48:34 PM</v>
      </c>
      <c r="T826" t="str">
        <f t="shared" si="339"/>
        <v>5</v>
      </c>
      <c r="U826" t="str">
        <f t="shared" si="320"/>
        <v>N/A</v>
      </c>
      <c r="V826" t="str">
        <f>"5.5500"</f>
        <v>5.5500</v>
      </c>
    </row>
    <row r="827" spans="1:22" x14ac:dyDescent="0.25">
      <c r="A827" s="1" t="str">
        <f t="shared" si="315"/>
        <v>2593-</v>
      </c>
      <c r="B827" s="1" t="str">
        <f t="shared" si="321"/>
        <v>2593-</v>
      </c>
      <c r="C827" s="1" t="str">
        <f>VLOOKUP(B827,'Master truck list'!D:E,2,0)</f>
        <v>2593-20T</v>
      </c>
      <c r="D827" s="1" t="str">
        <f>VLOOKUP(C827,'Master truck list'!E:F,2,0)</f>
        <v>ACTIVE</v>
      </c>
      <c r="E827" s="1" t="str">
        <f>VLOOKUP(C827,'Master truck list'!E:M,9,0)</f>
        <v>CHARGER LOGISTICS USA INC</v>
      </c>
      <c r="F827" s="1" t="str">
        <f>VLOOKUP(C827,'Master truck list'!E:G,3,0)</f>
        <v>Company</v>
      </c>
      <c r="G827" s="1">
        <f>VLOOKUP(C827,'Master truck list'!E:R,14,0)</f>
        <v>2636</v>
      </c>
      <c r="H827" t="str">
        <f>"12/17/2019 7:00:33 AM"</f>
        <v>12/17/2019 7:00:33 AM</v>
      </c>
      <c r="I827" t="str">
        <f>""</f>
        <v/>
      </c>
      <c r="J827" t="str">
        <f t="shared" si="316"/>
        <v>Elite</v>
      </c>
      <c r="K827" t="str">
        <f t="shared" si="325"/>
        <v>Device</v>
      </c>
      <c r="L827" t="str">
        <f t="shared" si="336"/>
        <v>777237601</v>
      </c>
      <c r="M827" t="str">
        <f t="shared" si="337"/>
        <v>16670358</v>
      </c>
      <c r="N827" t="str">
        <f t="shared" si="338"/>
        <v>2593-20T</v>
      </c>
      <c r="O827" t="str">
        <f t="shared" si="317"/>
        <v>TEXAS</v>
      </c>
      <c r="P827" t="str">
        <f t="shared" si="318"/>
        <v>N A</v>
      </c>
      <c r="Q827" t="str">
        <f t="shared" si="319"/>
        <v>N/A</v>
      </c>
      <c r="R827" t="str">
        <f>"45SE MLPWB 01 611"</f>
        <v>45SE MLPWB 01 611</v>
      </c>
      <c r="S827" t="str">
        <f>"12/16/2019 6:03:16 PM"</f>
        <v>12/16/2019 6:03:16 PM</v>
      </c>
      <c r="T827" t="str">
        <f t="shared" si="339"/>
        <v>5</v>
      </c>
      <c r="U827" t="str">
        <f t="shared" si="320"/>
        <v>N/A</v>
      </c>
      <c r="V827" t="str">
        <f>"3.3000"</f>
        <v>3.3000</v>
      </c>
    </row>
    <row r="828" spans="1:22" x14ac:dyDescent="0.25">
      <c r="A828" s="1" t="str">
        <f t="shared" si="315"/>
        <v>2593-</v>
      </c>
      <c r="B828" s="1" t="str">
        <f t="shared" si="321"/>
        <v>2593-</v>
      </c>
      <c r="C828" s="1" t="s">
        <v>8888</v>
      </c>
      <c r="D828" s="1" t="s">
        <v>91</v>
      </c>
      <c r="E828" s="1" t="s">
        <v>1738</v>
      </c>
      <c r="F828" s="1" t="s">
        <v>22</v>
      </c>
      <c r="G828" s="1" t="e">
        <f>VLOOKUP(C828,'Master truck list'!E:R,14,0)</f>
        <v>#N/A</v>
      </c>
      <c r="H828" t="str">
        <f>"12/17/2019 7:00:33 AM"</f>
        <v>12/17/2019 7:00:33 AM</v>
      </c>
      <c r="I828" t="str">
        <f>""</f>
        <v/>
      </c>
      <c r="J828" t="str">
        <f t="shared" si="316"/>
        <v>Elite</v>
      </c>
      <c r="K828" t="str">
        <f t="shared" si="325"/>
        <v>Device</v>
      </c>
      <c r="L828" t="str">
        <f t="shared" si="336"/>
        <v>777237601</v>
      </c>
      <c r="M828" t="str">
        <f t="shared" si="337"/>
        <v>16670358</v>
      </c>
      <c r="N828" t="str">
        <f t="shared" si="338"/>
        <v>2593-20T</v>
      </c>
      <c r="O828" t="str">
        <f t="shared" si="317"/>
        <v>TEXAS</v>
      </c>
      <c r="P828" t="str">
        <f t="shared" si="318"/>
        <v>N A</v>
      </c>
      <c r="Q828" t="str">
        <f t="shared" si="319"/>
        <v>N/A</v>
      </c>
      <c r="R828" t="str">
        <f>"130 CMRNP 08 306"</f>
        <v>130 CMRNP 08 306</v>
      </c>
      <c r="S828" t="str">
        <f>"12/16/2019 4:59:34 PM"</f>
        <v>12/16/2019 4:59:34 PM</v>
      </c>
      <c r="T828" t="str">
        <f t="shared" si="339"/>
        <v>5</v>
      </c>
      <c r="U828" t="str">
        <f t="shared" si="320"/>
        <v>N/A</v>
      </c>
      <c r="V828" t="str">
        <f>"5.5500"</f>
        <v>5.5500</v>
      </c>
    </row>
    <row r="829" spans="1:22" x14ac:dyDescent="0.25">
      <c r="A829" s="1" t="str">
        <f t="shared" si="315"/>
        <v>2593-</v>
      </c>
      <c r="B829" s="1" t="str">
        <f t="shared" si="321"/>
        <v>2593-</v>
      </c>
      <c r="C829" s="1" t="s">
        <v>8889</v>
      </c>
      <c r="D829" s="1" t="s">
        <v>91</v>
      </c>
      <c r="E829" s="1" t="s">
        <v>1738</v>
      </c>
      <c r="F829" s="1" t="s">
        <v>22</v>
      </c>
      <c r="G829" s="1" t="e">
        <f>VLOOKUP(C829,'Master truck list'!E:R,14,0)</f>
        <v>#N/A</v>
      </c>
      <c r="H829" t="str">
        <f>"12/17/2019 7:00:33 AM"</f>
        <v>12/17/2019 7:00:33 AM</v>
      </c>
      <c r="I829" t="str">
        <f>""</f>
        <v/>
      </c>
      <c r="J829" t="str">
        <f t="shared" si="316"/>
        <v>Elite</v>
      </c>
      <c r="K829" t="str">
        <f t="shared" si="325"/>
        <v>Device</v>
      </c>
      <c r="L829" t="str">
        <f t="shared" si="336"/>
        <v>777237601</v>
      </c>
      <c r="M829" t="str">
        <f t="shared" si="337"/>
        <v>16670358</v>
      </c>
      <c r="N829" t="str">
        <f t="shared" si="338"/>
        <v>2593-20T</v>
      </c>
      <c r="O829" t="str">
        <f t="shared" si="317"/>
        <v>TEXAS</v>
      </c>
      <c r="P829" t="str">
        <f t="shared" si="318"/>
        <v>N A</v>
      </c>
      <c r="Q829" t="str">
        <f t="shared" si="319"/>
        <v>N/A</v>
      </c>
      <c r="R829" t="str">
        <f>"130 ARPTP 04 308"</f>
        <v>130 ARPTP 04 308</v>
      </c>
      <c r="S829" t="str">
        <f>"12/16/2019 5:19:13 PM"</f>
        <v>12/16/2019 5:19:13 PM</v>
      </c>
      <c r="T829" t="str">
        <f t="shared" si="339"/>
        <v>5</v>
      </c>
      <c r="U829" t="str">
        <f t="shared" si="320"/>
        <v>N/A</v>
      </c>
      <c r="V829" t="str">
        <f>"5.5500"</f>
        <v>5.5500</v>
      </c>
    </row>
    <row r="830" spans="1:22" x14ac:dyDescent="0.25">
      <c r="A830" s="1" t="str">
        <f t="shared" si="315"/>
        <v>2593-</v>
      </c>
      <c r="B830" s="1" t="str">
        <f t="shared" si="321"/>
        <v>2593-</v>
      </c>
      <c r="C830" s="1" t="str">
        <f>VLOOKUP(B830,'Master truck list'!D:E,2,0)</f>
        <v>2593-20T</v>
      </c>
      <c r="D830" s="1" t="str">
        <f>VLOOKUP(C830,'Master truck list'!E:F,2,0)</f>
        <v>ACTIVE</v>
      </c>
      <c r="E830" s="1" t="str">
        <f>VLOOKUP(C830,'Master truck list'!E:M,9,0)</f>
        <v>CHARGER LOGISTICS USA INC</v>
      </c>
      <c r="F830" s="1" t="str">
        <f>VLOOKUP(C830,'Master truck list'!E:G,3,0)</f>
        <v>Company</v>
      </c>
      <c r="G830" s="1">
        <f>VLOOKUP(C830,'Master truck list'!E:R,14,0)</f>
        <v>2636</v>
      </c>
      <c r="H830" t="str">
        <f>"12/21/2019 7:00:28 AM"</f>
        <v>12/21/2019 7:00:28 AM</v>
      </c>
      <c r="I830" t="str">
        <f>""</f>
        <v/>
      </c>
      <c r="J830" t="str">
        <f t="shared" si="316"/>
        <v>Elite</v>
      </c>
      <c r="K830" t="str">
        <f t="shared" si="325"/>
        <v>Device</v>
      </c>
      <c r="L830" t="str">
        <f t="shared" si="336"/>
        <v>777237601</v>
      </c>
      <c r="M830" t="str">
        <f t="shared" si="337"/>
        <v>16670358</v>
      </c>
      <c r="N830" t="str">
        <f t="shared" si="338"/>
        <v>2593-20T</v>
      </c>
      <c r="O830" t="str">
        <f t="shared" si="317"/>
        <v>TEXAS</v>
      </c>
      <c r="P830" t="str">
        <f t="shared" si="318"/>
        <v>N A</v>
      </c>
      <c r="Q830" t="str">
        <f t="shared" si="319"/>
        <v>N/A</v>
      </c>
      <c r="R830" t="str">
        <f>"130 ARPTP 04 308"</f>
        <v>130 ARPTP 04 308</v>
      </c>
      <c r="S830" t="str">
        <f>"12/20/2019 4:41:46 PM"</f>
        <v>12/20/2019 4:41:46 PM</v>
      </c>
      <c r="T830" t="str">
        <f t="shared" si="339"/>
        <v>5</v>
      </c>
      <c r="U830" t="str">
        <f t="shared" si="320"/>
        <v>N/A</v>
      </c>
      <c r="V830" t="str">
        <f>"5.5500"</f>
        <v>5.5500</v>
      </c>
    </row>
    <row r="831" spans="1:22" x14ac:dyDescent="0.25">
      <c r="A831" s="1" t="str">
        <f t="shared" si="315"/>
        <v>2593-</v>
      </c>
      <c r="B831" s="1" t="str">
        <f t="shared" si="321"/>
        <v>2593-</v>
      </c>
      <c r="C831" s="1" t="str">
        <f>VLOOKUP(B831,'Master truck list'!D:E,2,0)</f>
        <v>2593-20T</v>
      </c>
      <c r="D831" s="1" t="str">
        <f>VLOOKUP(C831,'Master truck list'!E:F,2,0)</f>
        <v>ACTIVE</v>
      </c>
      <c r="E831" s="1" t="str">
        <f>VLOOKUP(C831,'Master truck list'!E:M,9,0)</f>
        <v>CHARGER LOGISTICS USA INC</v>
      </c>
      <c r="F831" s="1" t="str">
        <f>VLOOKUP(C831,'Master truck list'!E:G,3,0)</f>
        <v>Company</v>
      </c>
      <c r="G831" s="1">
        <f>VLOOKUP(C831,'Master truck list'!E:R,14,0)</f>
        <v>2636</v>
      </c>
      <c r="H831" t="str">
        <f>"12/19/2019 7:00:35 AM"</f>
        <v>12/19/2019 7:00:35 AM</v>
      </c>
      <c r="I831" t="str">
        <f>""</f>
        <v/>
      </c>
      <c r="J831" t="str">
        <f t="shared" si="316"/>
        <v>Elite</v>
      </c>
      <c r="K831" t="str">
        <f t="shared" si="325"/>
        <v>Device</v>
      </c>
      <c r="L831" t="str">
        <f t="shared" si="336"/>
        <v>777237601</v>
      </c>
      <c r="M831" t="str">
        <f t="shared" si="337"/>
        <v>16670358</v>
      </c>
      <c r="N831" t="str">
        <f t="shared" si="338"/>
        <v>2593-20T</v>
      </c>
      <c r="O831" t="str">
        <f t="shared" si="317"/>
        <v>TEXAS</v>
      </c>
      <c r="P831" t="str">
        <f t="shared" si="318"/>
        <v>N A</v>
      </c>
      <c r="Q831" t="str">
        <f t="shared" si="319"/>
        <v>N/A</v>
      </c>
      <c r="R831" t="str">
        <f>"45SE MLPWB 01 611"</f>
        <v>45SE MLPWB 01 611</v>
      </c>
      <c r="S831" t="str">
        <f>"12/18/2019 9:37:08 AM"</f>
        <v>12/18/2019 9:37:08 AM</v>
      </c>
      <c r="T831" t="str">
        <f t="shared" si="339"/>
        <v>5</v>
      </c>
      <c r="U831" t="str">
        <f t="shared" si="320"/>
        <v>N/A</v>
      </c>
      <c r="V831" t="str">
        <f>"3.3000"</f>
        <v>3.3000</v>
      </c>
    </row>
    <row r="832" spans="1:22" x14ac:dyDescent="0.25">
      <c r="A832" s="1" t="str">
        <f t="shared" si="315"/>
        <v>2593-</v>
      </c>
      <c r="B832" s="1" t="str">
        <f t="shared" si="321"/>
        <v>2593-</v>
      </c>
      <c r="C832" s="1" t="str">
        <f>VLOOKUP(B832,'Master truck list'!D:E,2,0)</f>
        <v>2593-20T</v>
      </c>
      <c r="D832" s="1" t="str">
        <f>VLOOKUP(C832,'Master truck list'!E:F,2,0)</f>
        <v>ACTIVE</v>
      </c>
      <c r="E832" s="1" t="str">
        <f>VLOOKUP(C832,'Master truck list'!E:M,9,0)</f>
        <v>CHARGER LOGISTICS USA INC</v>
      </c>
      <c r="F832" s="1" t="str">
        <f>VLOOKUP(C832,'Master truck list'!E:G,3,0)</f>
        <v>Company</v>
      </c>
      <c r="G832" s="1">
        <f>VLOOKUP(C832,'Master truck list'!E:R,14,0)</f>
        <v>2636</v>
      </c>
      <c r="H832" t="str">
        <f>"12/19/2019 7:00:35 AM"</f>
        <v>12/19/2019 7:00:35 AM</v>
      </c>
      <c r="I832" t="str">
        <f>""</f>
        <v/>
      </c>
      <c r="J832" t="str">
        <f t="shared" si="316"/>
        <v>Elite</v>
      </c>
      <c r="K832" t="str">
        <f t="shared" si="325"/>
        <v>Device</v>
      </c>
      <c r="L832" t="str">
        <f t="shared" si="336"/>
        <v>777237601</v>
      </c>
      <c r="M832" t="str">
        <f t="shared" si="337"/>
        <v>16670358</v>
      </c>
      <c r="N832" t="str">
        <f t="shared" si="338"/>
        <v>2593-20T</v>
      </c>
      <c r="O832" t="str">
        <f t="shared" si="317"/>
        <v>TEXAS</v>
      </c>
      <c r="P832" t="str">
        <f t="shared" si="318"/>
        <v>N A</v>
      </c>
      <c r="Q832" t="str">
        <f t="shared" si="319"/>
        <v>N/A</v>
      </c>
      <c r="R832" t="str">
        <f>"130 MGCRP 06 305"</f>
        <v>130 MGCRP 06 305</v>
      </c>
      <c r="S832" t="str">
        <f>"12/18/2019 8:57:46 AM"</f>
        <v>12/18/2019 8:57:46 AM</v>
      </c>
      <c r="T832" t="str">
        <f t="shared" si="339"/>
        <v>5</v>
      </c>
      <c r="U832" t="str">
        <f t="shared" si="320"/>
        <v>N/A</v>
      </c>
      <c r="V832" t="str">
        <f t="shared" ref="V832:V837" si="340">"5.5500"</f>
        <v>5.5500</v>
      </c>
    </row>
    <row r="833" spans="1:22" x14ac:dyDescent="0.25">
      <c r="A833" s="1" t="str">
        <f t="shared" si="315"/>
        <v>2593-</v>
      </c>
      <c r="B833" s="1" t="str">
        <f t="shared" si="321"/>
        <v>2593-</v>
      </c>
      <c r="C833" s="1" t="str">
        <f>VLOOKUP(B833,'Master truck list'!D:E,2,0)</f>
        <v>2593-20T</v>
      </c>
      <c r="D833" s="1" t="str">
        <f>VLOOKUP(C833,'Master truck list'!E:F,2,0)</f>
        <v>ACTIVE</v>
      </c>
      <c r="E833" s="1" t="str">
        <f>VLOOKUP(C833,'Master truck list'!E:M,9,0)</f>
        <v>CHARGER LOGISTICS USA INC</v>
      </c>
      <c r="F833" s="1" t="str">
        <f>VLOOKUP(C833,'Master truck list'!E:G,3,0)</f>
        <v>Company</v>
      </c>
      <c r="G833" s="1">
        <f>VLOOKUP(C833,'Master truck list'!E:R,14,0)</f>
        <v>2636</v>
      </c>
      <c r="H833" t="str">
        <f>"12/19/2019 7:00:35 AM"</f>
        <v>12/19/2019 7:00:35 AM</v>
      </c>
      <c r="I833" t="str">
        <f>""</f>
        <v/>
      </c>
      <c r="J833" t="str">
        <f t="shared" si="316"/>
        <v>Elite</v>
      </c>
      <c r="K833" t="str">
        <f t="shared" si="325"/>
        <v>Device</v>
      </c>
      <c r="L833" t="str">
        <f t="shared" si="336"/>
        <v>777237601</v>
      </c>
      <c r="M833" t="str">
        <f t="shared" si="337"/>
        <v>16670358</v>
      </c>
      <c r="N833" t="str">
        <f t="shared" si="338"/>
        <v>2593-20T</v>
      </c>
      <c r="O833" t="str">
        <f t="shared" si="317"/>
        <v>TEXAS</v>
      </c>
      <c r="P833" t="str">
        <f t="shared" si="318"/>
        <v>N A</v>
      </c>
      <c r="Q833" t="str">
        <f t="shared" si="319"/>
        <v>N/A</v>
      </c>
      <c r="R833" t="str">
        <f>"130 DKCRP 06 307"</f>
        <v>130 DKCRP 06 307</v>
      </c>
      <c r="S833" t="str">
        <f>"12/18/2019 9:19:21 AM"</f>
        <v>12/18/2019 9:19:21 AM</v>
      </c>
      <c r="T833" t="str">
        <f t="shared" si="339"/>
        <v>5</v>
      </c>
      <c r="U833" t="str">
        <f t="shared" si="320"/>
        <v>N/A</v>
      </c>
      <c r="V833" t="str">
        <f t="shared" si="340"/>
        <v>5.5500</v>
      </c>
    </row>
    <row r="834" spans="1:22" x14ac:dyDescent="0.25">
      <c r="A834" s="1" t="str">
        <f t="shared" ref="A834:A897" si="341">LEFT(N834,5)</f>
        <v>2324-</v>
      </c>
      <c r="B834" s="1" t="str">
        <f t="shared" si="321"/>
        <v>2324-</v>
      </c>
      <c r="C834" s="1" t="str">
        <f>VLOOKUP(B834,'Master truck list'!D:E,2,0)</f>
        <v>2324-18A</v>
      </c>
      <c r="D834" s="1" t="str">
        <f>VLOOKUP(C834,'Master truck list'!E:F,2,0)</f>
        <v>ACTIVE</v>
      </c>
      <c r="E834" s="1" t="str">
        <f>VLOOKUP(C834,'Master truck list'!E:M,9,0)</f>
        <v>CHARGER LOGISTICS USA INC</v>
      </c>
      <c r="F834" s="1" t="str">
        <f>VLOOKUP(C834,'Master truck list'!E:G,3,0)</f>
        <v>Company</v>
      </c>
      <c r="G834" s="1">
        <f>VLOOKUP(C834,'Master truck list'!E:R,14,0)</f>
        <v>1151</v>
      </c>
      <c r="H834" t="str">
        <f>"12/20/2019 7:00:30 AM"</f>
        <v>12/20/2019 7:00:30 AM</v>
      </c>
      <c r="I834" t="str">
        <f>""</f>
        <v/>
      </c>
      <c r="J834" t="str">
        <f t="shared" ref="J834:J897" si="342">"Elite"</f>
        <v>Elite</v>
      </c>
      <c r="K834" t="str">
        <f t="shared" si="325"/>
        <v>Device</v>
      </c>
      <c r="L834" t="str">
        <f t="shared" ref="L834:L843" si="343">"777231403"</f>
        <v>777231403</v>
      </c>
      <c r="M834" t="str">
        <f t="shared" ref="M834:M843" si="344">"16605360"</f>
        <v>16605360</v>
      </c>
      <c r="N834" t="str">
        <f t="shared" ref="N834:N843" si="345">"2324-18A"</f>
        <v>2324-18A</v>
      </c>
      <c r="O834" t="str">
        <f t="shared" ref="O834:O897" si="346">"TEXAS"</f>
        <v>TEXAS</v>
      </c>
      <c r="P834" t="str">
        <f t="shared" ref="P834:P897" si="347">"N A"</f>
        <v>N A</v>
      </c>
      <c r="Q834" t="str">
        <f t="shared" ref="Q834:Q897" si="348">"N/A"</f>
        <v>N/A</v>
      </c>
      <c r="R834" t="str">
        <f>"130 ARPTP 09 308"</f>
        <v>130 ARPTP 09 308</v>
      </c>
      <c r="S834" t="str">
        <f>"12/19/2019 11:23:30 AM"</f>
        <v>12/19/2019 11:23:30 AM</v>
      </c>
      <c r="T834" t="str">
        <f t="shared" si="339"/>
        <v>5</v>
      </c>
      <c r="U834" t="str">
        <f t="shared" ref="U834:U897" si="349">"N/A"</f>
        <v>N/A</v>
      </c>
      <c r="V834" t="str">
        <f t="shared" si="340"/>
        <v>5.5500</v>
      </c>
    </row>
    <row r="835" spans="1:22" x14ac:dyDescent="0.25">
      <c r="A835" s="1" t="str">
        <f t="shared" si="341"/>
        <v>2324-</v>
      </c>
      <c r="B835" s="1" t="str">
        <f t="shared" ref="B835:B898" si="350">SUBSTITUTE(A835," ","")</f>
        <v>2324-</v>
      </c>
      <c r="C835" s="1" t="str">
        <f>VLOOKUP(B835,'Master truck list'!D:E,2,0)</f>
        <v>2324-18A</v>
      </c>
      <c r="D835" s="1" t="str">
        <f>VLOOKUP(C835,'Master truck list'!E:F,2,0)</f>
        <v>ACTIVE</v>
      </c>
      <c r="E835" s="1" t="str">
        <f>VLOOKUP(C835,'Master truck list'!E:M,9,0)</f>
        <v>CHARGER LOGISTICS USA INC</v>
      </c>
      <c r="F835" s="1" t="str">
        <f>VLOOKUP(C835,'Master truck list'!E:G,3,0)</f>
        <v>Company</v>
      </c>
      <c r="G835" s="1">
        <f>VLOOKUP(C835,'Master truck list'!E:R,14,0)</f>
        <v>1151</v>
      </c>
      <c r="H835" t="str">
        <f>"12/20/2019 7:00:30 AM"</f>
        <v>12/20/2019 7:00:30 AM</v>
      </c>
      <c r="I835" t="str">
        <f>""</f>
        <v/>
      </c>
      <c r="J835" t="str">
        <f t="shared" si="342"/>
        <v>Elite</v>
      </c>
      <c r="K835" t="str">
        <f t="shared" si="325"/>
        <v>Device</v>
      </c>
      <c r="L835" t="str">
        <f t="shared" si="343"/>
        <v>777231403</v>
      </c>
      <c r="M835" t="str">
        <f t="shared" si="344"/>
        <v>16605360</v>
      </c>
      <c r="N835" t="str">
        <f t="shared" si="345"/>
        <v>2324-18A</v>
      </c>
      <c r="O835" t="str">
        <f t="shared" si="346"/>
        <v>TEXAS</v>
      </c>
      <c r="P835" t="str">
        <f t="shared" si="347"/>
        <v>N A</v>
      </c>
      <c r="Q835" t="str">
        <f t="shared" si="348"/>
        <v>N/A</v>
      </c>
      <c r="R835" t="str">
        <f>"130 CMRNP 13 306"</f>
        <v>130 CMRNP 13 306</v>
      </c>
      <c r="S835" t="str">
        <f>"12/19/2019 11:40:33 AM"</f>
        <v>12/19/2019 11:40:33 AM</v>
      </c>
      <c r="T835" t="str">
        <f t="shared" si="339"/>
        <v>5</v>
      </c>
      <c r="U835" t="str">
        <f t="shared" si="349"/>
        <v>N/A</v>
      </c>
      <c r="V835" t="str">
        <f t="shared" si="340"/>
        <v>5.5500</v>
      </c>
    </row>
    <row r="836" spans="1:22" x14ac:dyDescent="0.25">
      <c r="A836" s="1" t="str">
        <f t="shared" si="341"/>
        <v>2324-</v>
      </c>
      <c r="B836" s="1" t="str">
        <f t="shared" si="350"/>
        <v>2324-</v>
      </c>
      <c r="C836" s="1" t="str">
        <f>VLOOKUP(B836,'Master truck list'!D:E,2,0)</f>
        <v>2324-18A</v>
      </c>
      <c r="D836" s="1" t="str">
        <f>VLOOKUP(C836,'Master truck list'!E:F,2,0)</f>
        <v>ACTIVE</v>
      </c>
      <c r="E836" s="1" t="str">
        <f>VLOOKUP(C836,'Master truck list'!E:M,9,0)</f>
        <v>CHARGER LOGISTICS USA INC</v>
      </c>
      <c r="F836" s="1" t="str">
        <f>VLOOKUP(C836,'Master truck list'!E:G,3,0)</f>
        <v>Company</v>
      </c>
      <c r="G836" s="1">
        <f>VLOOKUP(C836,'Master truck list'!E:R,14,0)</f>
        <v>1151</v>
      </c>
      <c r="H836" t="str">
        <f>"12/20/2019 7:00:30 AM"</f>
        <v>12/20/2019 7:00:30 AM</v>
      </c>
      <c r="I836" t="str">
        <f>""</f>
        <v/>
      </c>
      <c r="J836" t="str">
        <f t="shared" si="342"/>
        <v>Elite</v>
      </c>
      <c r="K836" t="str">
        <f t="shared" si="325"/>
        <v>Device</v>
      </c>
      <c r="L836" t="str">
        <f t="shared" si="343"/>
        <v>777231403</v>
      </c>
      <c r="M836" t="str">
        <f t="shared" si="344"/>
        <v>16605360</v>
      </c>
      <c r="N836" t="str">
        <f t="shared" si="345"/>
        <v>2324-18A</v>
      </c>
      <c r="O836" t="str">
        <f t="shared" si="346"/>
        <v>TEXAS</v>
      </c>
      <c r="P836" t="str">
        <f t="shared" si="347"/>
        <v>N A</v>
      </c>
      <c r="Q836" t="str">
        <f t="shared" si="348"/>
        <v>N/A</v>
      </c>
      <c r="R836" t="str">
        <f>"130 DKCRP 10 307"</f>
        <v>130 DKCRP 10 307</v>
      </c>
      <c r="S836" t="str">
        <f>"12/19/2019 11:30:39 AM"</f>
        <v>12/19/2019 11:30:39 AM</v>
      </c>
      <c r="T836" t="str">
        <f t="shared" si="339"/>
        <v>5</v>
      </c>
      <c r="U836" t="str">
        <f t="shared" si="349"/>
        <v>N/A</v>
      </c>
      <c r="V836" t="str">
        <f t="shared" si="340"/>
        <v>5.5500</v>
      </c>
    </row>
    <row r="837" spans="1:22" x14ac:dyDescent="0.25">
      <c r="A837" s="1" t="str">
        <f t="shared" si="341"/>
        <v>2324-</v>
      </c>
      <c r="B837" s="1" t="str">
        <f t="shared" si="350"/>
        <v>2324-</v>
      </c>
      <c r="C837" s="1" t="str">
        <f>VLOOKUP(B837,'Master truck list'!D:E,2,0)</f>
        <v>2324-18A</v>
      </c>
      <c r="D837" s="1" t="str">
        <f>VLOOKUP(C837,'Master truck list'!E:F,2,0)</f>
        <v>ACTIVE</v>
      </c>
      <c r="E837" s="1" t="str">
        <f>VLOOKUP(C837,'Master truck list'!E:M,9,0)</f>
        <v>CHARGER LOGISTICS USA INC</v>
      </c>
      <c r="F837" s="1" t="str">
        <f>VLOOKUP(C837,'Master truck list'!E:G,3,0)</f>
        <v>Company</v>
      </c>
      <c r="G837" s="1">
        <f>VLOOKUP(C837,'Master truck list'!E:R,14,0)</f>
        <v>1151</v>
      </c>
      <c r="H837" t="str">
        <f>"12/21/2019 7:00:28 AM"</f>
        <v>12/21/2019 7:00:28 AM</v>
      </c>
      <c r="I837" t="str">
        <f>""</f>
        <v/>
      </c>
      <c r="J837" t="str">
        <f t="shared" si="342"/>
        <v>Elite</v>
      </c>
      <c r="K837" t="str">
        <f t="shared" si="325"/>
        <v>Device</v>
      </c>
      <c r="L837" t="str">
        <f t="shared" si="343"/>
        <v>777231403</v>
      </c>
      <c r="M837" t="str">
        <f t="shared" si="344"/>
        <v>16605360</v>
      </c>
      <c r="N837" t="str">
        <f t="shared" si="345"/>
        <v>2324-18A</v>
      </c>
      <c r="O837" t="str">
        <f t="shared" si="346"/>
        <v>TEXAS</v>
      </c>
      <c r="P837" t="str">
        <f t="shared" si="347"/>
        <v>N A</v>
      </c>
      <c r="Q837" t="str">
        <f t="shared" si="348"/>
        <v>N/A</v>
      </c>
      <c r="R837" t="str">
        <f>"130 ARPTP 04 308"</f>
        <v>130 ARPTP 04 308</v>
      </c>
      <c r="S837" t="str">
        <f>"12/20/2019 8:57:42 AM"</f>
        <v>12/20/2019 8:57:42 AM</v>
      </c>
      <c r="T837" t="str">
        <f t="shared" si="339"/>
        <v>5</v>
      </c>
      <c r="U837" t="str">
        <f t="shared" si="349"/>
        <v>N/A</v>
      </c>
      <c r="V837" t="str">
        <f t="shared" si="340"/>
        <v>5.5500</v>
      </c>
    </row>
    <row r="838" spans="1:22" x14ac:dyDescent="0.25">
      <c r="A838" s="1" t="str">
        <f t="shared" si="341"/>
        <v>2324-</v>
      </c>
      <c r="B838" s="1" t="str">
        <f t="shared" si="350"/>
        <v>2324-</v>
      </c>
      <c r="C838" s="1" t="s">
        <v>8891</v>
      </c>
      <c r="D838" s="1" t="s">
        <v>91</v>
      </c>
      <c r="E838" s="1" t="s">
        <v>1738</v>
      </c>
      <c r="F838" s="1" t="s">
        <v>22</v>
      </c>
      <c r="G838" s="1" t="e">
        <f>VLOOKUP(C838,'Master truck list'!E:R,14,0)</f>
        <v>#N/A</v>
      </c>
      <c r="H838" t="str">
        <f>"12/20/2019 7:00:30 AM"</f>
        <v>12/20/2019 7:00:30 AM</v>
      </c>
      <c r="I838" t="str">
        <f>""</f>
        <v/>
      </c>
      <c r="J838" t="str">
        <f t="shared" si="342"/>
        <v>Elite</v>
      </c>
      <c r="K838" t="str">
        <f t="shared" si="325"/>
        <v>Device</v>
      </c>
      <c r="L838" t="str">
        <f t="shared" si="343"/>
        <v>777231403</v>
      </c>
      <c r="M838" t="str">
        <f t="shared" si="344"/>
        <v>16605360</v>
      </c>
      <c r="N838" t="str">
        <f t="shared" si="345"/>
        <v>2324-18A</v>
      </c>
      <c r="O838" t="str">
        <f t="shared" si="346"/>
        <v>TEXAS</v>
      </c>
      <c r="P838" t="str">
        <f t="shared" si="347"/>
        <v>N A</v>
      </c>
      <c r="Q838" t="str">
        <f t="shared" si="348"/>
        <v>N/A</v>
      </c>
      <c r="R838" t="str">
        <f>"45SE MLPEB 02 611"</f>
        <v>45SE MLPEB 02 611</v>
      </c>
      <c r="S838" t="str">
        <f>"12/19/2019 11:11:27 AM"</f>
        <v>12/19/2019 11:11:27 AM</v>
      </c>
      <c r="T838" t="str">
        <f t="shared" si="339"/>
        <v>5</v>
      </c>
      <c r="U838" t="str">
        <f t="shared" si="349"/>
        <v>N/A</v>
      </c>
      <c r="V838" t="str">
        <f>"3.3000"</f>
        <v>3.3000</v>
      </c>
    </row>
    <row r="839" spans="1:22" x14ac:dyDescent="0.25">
      <c r="A839" s="1" t="str">
        <f t="shared" si="341"/>
        <v>2324-</v>
      </c>
      <c r="B839" s="1" t="str">
        <f t="shared" si="350"/>
        <v>2324-</v>
      </c>
      <c r="C839" s="1" t="str">
        <f>VLOOKUP(B839,'Master truck list'!D:E,2,0)</f>
        <v>2324-18A</v>
      </c>
      <c r="D839" s="1" t="str">
        <f>VLOOKUP(C839,'Master truck list'!E:F,2,0)</f>
        <v>ACTIVE</v>
      </c>
      <c r="E839" s="1" t="str">
        <f>VLOOKUP(C839,'Master truck list'!E:M,9,0)</f>
        <v>CHARGER LOGISTICS USA INC</v>
      </c>
      <c r="F839" s="1" t="str">
        <f>VLOOKUP(C839,'Master truck list'!E:G,3,0)</f>
        <v>Company</v>
      </c>
      <c r="G839" s="1">
        <f>VLOOKUP(C839,'Master truck list'!E:R,14,0)</f>
        <v>1151</v>
      </c>
      <c r="H839" t="str">
        <f>"12/20/2019 7:00:30 AM"</f>
        <v>12/20/2019 7:00:30 AM</v>
      </c>
      <c r="I839" t="str">
        <f>""</f>
        <v/>
      </c>
      <c r="J839" t="str">
        <f t="shared" si="342"/>
        <v>Elite</v>
      </c>
      <c r="K839" t="str">
        <f t="shared" si="325"/>
        <v>Device</v>
      </c>
      <c r="L839" t="str">
        <f t="shared" si="343"/>
        <v>777231403</v>
      </c>
      <c r="M839" t="str">
        <f t="shared" si="344"/>
        <v>16605360</v>
      </c>
      <c r="N839" t="str">
        <f t="shared" si="345"/>
        <v>2324-18A</v>
      </c>
      <c r="O839" t="str">
        <f t="shared" si="346"/>
        <v>TEXAS</v>
      </c>
      <c r="P839" t="str">
        <f t="shared" si="347"/>
        <v>N A</v>
      </c>
      <c r="Q839" t="str">
        <f t="shared" si="348"/>
        <v>N/A</v>
      </c>
      <c r="R839" t="str">
        <f>"130 MGCRP 11 305"</f>
        <v>130 MGCRP 11 305</v>
      </c>
      <c r="S839" t="str">
        <f>"12/19/2019 11:51:24 AM"</f>
        <v>12/19/2019 11:51:24 AM</v>
      </c>
      <c r="T839" t="str">
        <f t="shared" si="339"/>
        <v>5</v>
      </c>
      <c r="U839" t="str">
        <f t="shared" si="349"/>
        <v>N/A</v>
      </c>
      <c r="V839" t="str">
        <f>"5.5500"</f>
        <v>5.5500</v>
      </c>
    </row>
    <row r="840" spans="1:22" x14ac:dyDescent="0.25">
      <c r="A840" s="1" t="str">
        <f t="shared" si="341"/>
        <v>2324-</v>
      </c>
      <c r="B840" s="1" t="str">
        <f t="shared" si="350"/>
        <v>2324-</v>
      </c>
      <c r="C840" s="1" t="str">
        <f>VLOOKUP(B840,'Master truck list'!D:E,2,0)</f>
        <v>2324-18A</v>
      </c>
      <c r="D840" s="1" t="str">
        <f>VLOOKUP(C840,'Master truck list'!E:F,2,0)</f>
        <v>ACTIVE</v>
      </c>
      <c r="E840" s="1" t="str">
        <f>VLOOKUP(C840,'Master truck list'!E:M,9,0)</f>
        <v>CHARGER LOGISTICS USA INC</v>
      </c>
      <c r="F840" s="1" t="str">
        <f>VLOOKUP(C840,'Master truck list'!E:G,3,0)</f>
        <v>Company</v>
      </c>
      <c r="G840" s="1">
        <f>VLOOKUP(C840,'Master truck list'!E:R,14,0)</f>
        <v>1151</v>
      </c>
      <c r="H840" t="str">
        <f>"12/21/2019 7:00:28 AM"</f>
        <v>12/21/2019 7:00:28 AM</v>
      </c>
      <c r="I840" t="str">
        <f>""</f>
        <v/>
      </c>
      <c r="J840" t="str">
        <f t="shared" si="342"/>
        <v>Elite</v>
      </c>
      <c r="K840" t="str">
        <f t="shared" si="325"/>
        <v>Device</v>
      </c>
      <c r="L840" t="str">
        <f t="shared" si="343"/>
        <v>777231403</v>
      </c>
      <c r="M840" t="str">
        <f t="shared" si="344"/>
        <v>16605360</v>
      </c>
      <c r="N840" t="str">
        <f t="shared" si="345"/>
        <v>2324-18A</v>
      </c>
      <c r="O840" t="str">
        <f t="shared" si="346"/>
        <v>TEXAS</v>
      </c>
      <c r="P840" t="str">
        <f t="shared" si="347"/>
        <v>N A</v>
      </c>
      <c r="Q840" t="str">
        <f t="shared" si="348"/>
        <v>N/A</v>
      </c>
      <c r="R840" t="str">
        <f>"130 DKCRP 06 307"</f>
        <v>130 DKCRP 06 307</v>
      </c>
      <c r="S840" t="str">
        <f>"12/20/2019 8:50:51 AM"</f>
        <v>12/20/2019 8:50:51 AM</v>
      </c>
      <c r="T840" t="str">
        <f t="shared" si="339"/>
        <v>5</v>
      </c>
      <c r="U840" t="str">
        <f t="shared" si="349"/>
        <v>N/A</v>
      </c>
      <c r="V840" t="str">
        <f>"5.5500"</f>
        <v>5.5500</v>
      </c>
    </row>
    <row r="841" spans="1:22" x14ac:dyDescent="0.25">
      <c r="A841" s="1" t="str">
        <f t="shared" si="341"/>
        <v>2324-</v>
      </c>
      <c r="B841" s="1" t="str">
        <f t="shared" si="350"/>
        <v>2324-</v>
      </c>
      <c r="C841" s="1" t="str">
        <f>VLOOKUP(B841,'Master truck list'!D:E,2,0)</f>
        <v>2324-18A</v>
      </c>
      <c r="D841" s="1" t="str">
        <f>VLOOKUP(C841,'Master truck list'!E:F,2,0)</f>
        <v>ACTIVE</v>
      </c>
      <c r="E841" s="1" t="str">
        <f>VLOOKUP(C841,'Master truck list'!E:M,9,0)</f>
        <v>CHARGER LOGISTICS USA INC</v>
      </c>
      <c r="F841" s="1" t="str">
        <f>VLOOKUP(C841,'Master truck list'!E:G,3,0)</f>
        <v>Company</v>
      </c>
      <c r="G841" s="1">
        <f>VLOOKUP(C841,'Master truck list'!E:R,14,0)</f>
        <v>1151</v>
      </c>
      <c r="H841" t="str">
        <f>"12/21/2019 7:00:28 AM"</f>
        <v>12/21/2019 7:00:28 AM</v>
      </c>
      <c r="I841" t="str">
        <f>""</f>
        <v/>
      </c>
      <c r="J841" t="str">
        <f t="shared" si="342"/>
        <v>Elite</v>
      </c>
      <c r="K841" t="str">
        <f t="shared" si="325"/>
        <v>Device</v>
      </c>
      <c r="L841" t="str">
        <f t="shared" si="343"/>
        <v>777231403</v>
      </c>
      <c r="M841" t="str">
        <f t="shared" si="344"/>
        <v>16605360</v>
      </c>
      <c r="N841" t="str">
        <f t="shared" si="345"/>
        <v>2324-18A</v>
      </c>
      <c r="O841" t="str">
        <f t="shared" si="346"/>
        <v>TEXAS</v>
      </c>
      <c r="P841" t="str">
        <f t="shared" si="347"/>
        <v>N A</v>
      </c>
      <c r="Q841" t="str">
        <f t="shared" si="348"/>
        <v>N/A</v>
      </c>
      <c r="R841" t="str">
        <f>"130 MGCRP 06 305"</f>
        <v>130 MGCRP 06 305</v>
      </c>
      <c r="S841" t="str">
        <f>"12/20/2019 8:30:05 AM"</f>
        <v>12/20/2019 8:30:05 AM</v>
      </c>
      <c r="T841" t="str">
        <f t="shared" si="339"/>
        <v>5</v>
      </c>
      <c r="U841" t="str">
        <f t="shared" si="349"/>
        <v>N/A</v>
      </c>
      <c r="V841" t="str">
        <f>"5.5500"</f>
        <v>5.5500</v>
      </c>
    </row>
    <row r="842" spans="1:22" x14ac:dyDescent="0.25">
      <c r="A842" s="1" t="str">
        <f t="shared" si="341"/>
        <v>2324-</v>
      </c>
      <c r="B842" s="1" t="str">
        <f t="shared" si="350"/>
        <v>2324-</v>
      </c>
      <c r="C842" s="1" t="s">
        <v>8887</v>
      </c>
      <c r="D842" s="1" t="s">
        <v>91</v>
      </c>
      <c r="E842" s="1" t="s">
        <v>1738</v>
      </c>
      <c r="F842" s="1" t="s">
        <v>22</v>
      </c>
      <c r="G842" s="1" t="e">
        <f>VLOOKUP(C842,'Master truck list'!E:R,14,0)</f>
        <v>#N/A</v>
      </c>
      <c r="H842" t="str">
        <f>"12/21/2019 7:00:28 AM"</f>
        <v>12/21/2019 7:00:28 AM</v>
      </c>
      <c r="I842" t="str">
        <f>""</f>
        <v/>
      </c>
      <c r="J842" t="str">
        <f t="shared" si="342"/>
        <v>Elite</v>
      </c>
      <c r="K842" t="str">
        <f t="shared" si="325"/>
        <v>Device</v>
      </c>
      <c r="L842" t="str">
        <f t="shared" si="343"/>
        <v>777231403</v>
      </c>
      <c r="M842" t="str">
        <f t="shared" si="344"/>
        <v>16605360</v>
      </c>
      <c r="N842" t="str">
        <f t="shared" si="345"/>
        <v>2324-18A</v>
      </c>
      <c r="O842" t="str">
        <f t="shared" si="346"/>
        <v>TEXAS</v>
      </c>
      <c r="P842" t="str">
        <f t="shared" si="347"/>
        <v>N A</v>
      </c>
      <c r="Q842" t="str">
        <f t="shared" si="348"/>
        <v>N/A</v>
      </c>
      <c r="R842" t="str">
        <f>"130 CMRNP 08 306"</f>
        <v>130 CMRNP 08 306</v>
      </c>
      <c r="S842" t="str">
        <f>"12/20/2019 8:40:59 AM"</f>
        <v>12/20/2019 8:40:59 AM</v>
      </c>
      <c r="T842" t="str">
        <f t="shared" si="339"/>
        <v>5</v>
      </c>
      <c r="U842" t="str">
        <f t="shared" si="349"/>
        <v>N/A</v>
      </c>
      <c r="V842" t="str">
        <f>"5.5500"</f>
        <v>5.5500</v>
      </c>
    </row>
    <row r="843" spans="1:22" x14ac:dyDescent="0.25">
      <c r="A843" s="1" t="str">
        <f t="shared" si="341"/>
        <v>2324-</v>
      </c>
      <c r="B843" s="1" t="str">
        <f t="shared" si="350"/>
        <v>2324-</v>
      </c>
      <c r="C843" s="1" t="s">
        <v>8887</v>
      </c>
      <c r="D843" s="1" t="s">
        <v>91</v>
      </c>
      <c r="E843" s="1" t="s">
        <v>1738</v>
      </c>
      <c r="F843" s="1" t="s">
        <v>22</v>
      </c>
      <c r="G843" s="1" t="e">
        <f>VLOOKUP(C843,'Master truck list'!E:R,14,0)</f>
        <v>#N/A</v>
      </c>
      <c r="H843" t="str">
        <f>"12/21/2019 7:00:28 AM"</f>
        <v>12/21/2019 7:00:28 AM</v>
      </c>
      <c r="I843" t="str">
        <f>""</f>
        <v/>
      </c>
      <c r="J843" t="str">
        <f t="shared" si="342"/>
        <v>Elite</v>
      </c>
      <c r="K843" t="str">
        <f t="shared" si="325"/>
        <v>Device</v>
      </c>
      <c r="L843" t="str">
        <f t="shared" si="343"/>
        <v>777231403</v>
      </c>
      <c r="M843" t="str">
        <f t="shared" si="344"/>
        <v>16605360</v>
      </c>
      <c r="N843" t="str">
        <f t="shared" si="345"/>
        <v>2324-18A</v>
      </c>
      <c r="O843" t="str">
        <f t="shared" si="346"/>
        <v>TEXAS</v>
      </c>
      <c r="P843" t="str">
        <f t="shared" si="347"/>
        <v>N A</v>
      </c>
      <c r="Q843" t="str">
        <f t="shared" si="348"/>
        <v>N/A</v>
      </c>
      <c r="R843" t="str">
        <f>"45SE MLPWB 02 611"</f>
        <v>45SE MLPWB 02 611</v>
      </c>
      <c r="S843" t="str">
        <f>"12/20/2019 9:08:06 AM"</f>
        <v>12/20/2019 9:08:06 AM</v>
      </c>
      <c r="T843" t="str">
        <f t="shared" si="339"/>
        <v>5</v>
      </c>
      <c r="U843" t="str">
        <f t="shared" si="349"/>
        <v>N/A</v>
      </c>
      <c r="V843" t="str">
        <f>"3.3000"</f>
        <v>3.3000</v>
      </c>
    </row>
    <row r="844" spans="1:22" x14ac:dyDescent="0.25">
      <c r="A844" s="1" t="str">
        <f t="shared" si="341"/>
        <v>72242</v>
      </c>
      <c r="B844" s="1" t="str">
        <f t="shared" si="350"/>
        <v>72242</v>
      </c>
      <c r="C844" s="1" t="str">
        <f>VLOOKUP(B844,'Master truck list'!D:E,2,0)</f>
        <v>72242</v>
      </c>
      <c r="D844" s="1" t="str">
        <f>VLOOKUP(C844,'Master truck list'!E:F,2,0)</f>
        <v>ACTIVE</v>
      </c>
      <c r="E844" s="1" t="str">
        <f>VLOOKUP(C844,'Master truck list'!E:M,9,0)</f>
        <v>CHARGER LOGISTICS USA INC</v>
      </c>
      <c r="F844" s="1" t="str">
        <f>VLOOKUP(C844,'Master truck list'!E:G,3,0)</f>
        <v>Owner Operator</v>
      </c>
      <c r="G844" s="1">
        <f>VLOOKUP(C844,'Master truck list'!E:R,14,0)</f>
        <v>824</v>
      </c>
      <c r="H844" t="str">
        <f>"12/17/2019 7:00:33 AM"</f>
        <v>12/17/2019 7:00:33 AM</v>
      </c>
      <c r="I844" t="str">
        <f>""</f>
        <v/>
      </c>
      <c r="J844" t="str">
        <f t="shared" si="342"/>
        <v>Elite</v>
      </c>
      <c r="K844" t="str">
        <f t="shared" si="325"/>
        <v>Device</v>
      </c>
      <c r="L844" t="str">
        <f>"777231398"</f>
        <v>777231398</v>
      </c>
      <c r="M844" t="str">
        <f>"16605355"</f>
        <v>16605355</v>
      </c>
      <c r="N844" t="str">
        <f>"72242"</f>
        <v>72242</v>
      </c>
      <c r="O844" t="str">
        <f t="shared" si="346"/>
        <v>TEXAS</v>
      </c>
      <c r="P844" t="str">
        <f t="shared" si="347"/>
        <v>N A</v>
      </c>
      <c r="Q844" t="str">
        <f t="shared" si="348"/>
        <v>N/A</v>
      </c>
      <c r="R844" t="str">
        <f>"130 ARPTP 04 308"</f>
        <v>130 ARPTP 04 308</v>
      </c>
      <c r="S844" t="str">
        <f>"12/16/2019 8:29:03 AM"</f>
        <v>12/16/2019 8:29:03 AM</v>
      </c>
      <c r="T844" t="str">
        <f t="shared" si="339"/>
        <v>5</v>
      </c>
      <c r="U844" t="str">
        <f t="shared" si="349"/>
        <v>N/A</v>
      </c>
      <c r="V844" t="str">
        <f>"5.5500"</f>
        <v>5.5500</v>
      </c>
    </row>
    <row r="845" spans="1:22" x14ac:dyDescent="0.25">
      <c r="A845" s="1" t="str">
        <f t="shared" si="341"/>
        <v>72242</v>
      </c>
      <c r="B845" s="1" t="str">
        <f t="shared" si="350"/>
        <v>72242</v>
      </c>
      <c r="C845" s="1" t="str">
        <f>VLOOKUP(B845,'Master truck list'!D:E,2,0)</f>
        <v>72242</v>
      </c>
      <c r="D845" s="1" t="str">
        <f>VLOOKUP(C845,'Master truck list'!E:F,2,0)</f>
        <v>ACTIVE</v>
      </c>
      <c r="E845" s="1" t="str">
        <f>VLOOKUP(C845,'Master truck list'!E:M,9,0)</f>
        <v>CHARGER LOGISTICS USA INC</v>
      </c>
      <c r="F845" s="1" t="str">
        <f>VLOOKUP(C845,'Master truck list'!E:G,3,0)</f>
        <v>Owner Operator</v>
      </c>
      <c r="G845" s="1">
        <f>VLOOKUP(C845,'Master truck list'!E:R,14,0)</f>
        <v>824</v>
      </c>
      <c r="H845" t="str">
        <f>"12/17/2019 7:00:33 AM"</f>
        <v>12/17/2019 7:00:33 AM</v>
      </c>
      <c r="I845" t="str">
        <f>""</f>
        <v/>
      </c>
      <c r="J845" t="str">
        <f t="shared" si="342"/>
        <v>Elite</v>
      </c>
      <c r="K845" t="str">
        <f t="shared" si="325"/>
        <v>Device</v>
      </c>
      <c r="L845" t="str">
        <f>"777231398"</f>
        <v>777231398</v>
      </c>
      <c r="M845" t="str">
        <f>"16605355"</f>
        <v>16605355</v>
      </c>
      <c r="N845" t="str">
        <f>"72242"</f>
        <v>72242</v>
      </c>
      <c r="O845" t="str">
        <f t="shared" si="346"/>
        <v>TEXAS</v>
      </c>
      <c r="P845" t="str">
        <f t="shared" si="347"/>
        <v>N A</v>
      </c>
      <c r="Q845" t="str">
        <f t="shared" si="348"/>
        <v>N/A</v>
      </c>
      <c r="R845" t="str">
        <f>"130 CMRNP 08 306"</f>
        <v>130 CMRNP 08 306</v>
      </c>
      <c r="S845" t="str">
        <f>"12/16/2019 8:12:54 AM"</f>
        <v>12/16/2019 8:12:54 AM</v>
      </c>
      <c r="T845" t="str">
        <f t="shared" si="339"/>
        <v>5</v>
      </c>
      <c r="U845" t="str">
        <f t="shared" si="349"/>
        <v>N/A</v>
      </c>
      <c r="V845" t="str">
        <f>"5.5500"</f>
        <v>5.5500</v>
      </c>
    </row>
    <row r="846" spans="1:22" x14ac:dyDescent="0.25">
      <c r="A846" s="1" t="str">
        <f t="shared" si="341"/>
        <v>72242</v>
      </c>
      <c r="B846" s="1" t="str">
        <f t="shared" si="350"/>
        <v>72242</v>
      </c>
      <c r="C846" s="1" t="s">
        <v>8890</v>
      </c>
      <c r="D846" s="1" t="s">
        <v>91</v>
      </c>
      <c r="E846" s="1" t="s">
        <v>154</v>
      </c>
      <c r="F846" s="1" t="s">
        <v>22</v>
      </c>
      <c r="G846" s="1" t="e">
        <f>VLOOKUP(C846,'Master truck list'!E:R,14,0)</f>
        <v>#N/A</v>
      </c>
      <c r="H846" t="str">
        <f>"12/17/2019 7:00:33 AM"</f>
        <v>12/17/2019 7:00:33 AM</v>
      </c>
      <c r="I846" t="str">
        <f>""</f>
        <v/>
      </c>
      <c r="J846" t="str">
        <f t="shared" si="342"/>
        <v>Elite</v>
      </c>
      <c r="K846" t="str">
        <f t="shared" si="325"/>
        <v>Device</v>
      </c>
      <c r="L846" t="str">
        <f>"777231398"</f>
        <v>777231398</v>
      </c>
      <c r="M846" t="str">
        <f>"16605355"</f>
        <v>16605355</v>
      </c>
      <c r="N846" t="str">
        <f>"72242"</f>
        <v>72242</v>
      </c>
      <c r="O846" t="str">
        <f t="shared" si="346"/>
        <v>TEXAS</v>
      </c>
      <c r="P846" t="str">
        <f t="shared" si="347"/>
        <v>N A</v>
      </c>
      <c r="Q846" t="str">
        <f t="shared" si="348"/>
        <v>N/A</v>
      </c>
      <c r="R846" t="str">
        <f>"130 MGCRP 07 305"</f>
        <v>130 MGCRP 07 305</v>
      </c>
      <c r="S846" t="str">
        <f>"12/16/2019 8:02:10 AM"</f>
        <v>12/16/2019 8:02:10 AM</v>
      </c>
      <c r="T846" t="str">
        <f t="shared" si="339"/>
        <v>5</v>
      </c>
      <c r="U846" t="str">
        <f t="shared" si="349"/>
        <v>N/A</v>
      </c>
      <c r="V846" t="str">
        <f>"5.5500"</f>
        <v>5.5500</v>
      </c>
    </row>
    <row r="847" spans="1:22" x14ac:dyDescent="0.25">
      <c r="A847" s="1" t="str">
        <f t="shared" si="341"/>
        <v>72242</v>
      </c>
      <c r="B847" s="1" t="str">
        <f t="shared" si="350"/>
        <v>72242</v>
      </c>
      <c r="C847" s="1" t="str">
        <f>VLOOKUP(B847,'Master truck list'!D:E,2,0)</f>
        <v>72242</v>
      </c>
      <c r="D847" s="1" t="str">
        <f>VLOOKUP(C847,'Master truck list'!E:F,2,0)</f>
        <v>ACTIVE</v>
      </c>
      <c r="E847" s="1" t="str">
        <f>VLOOKUP(C847,'Master truck list'!E:M,9,0)</f>
        <v>CHARGER LOGISTICS USA INC</v>
      </c>
      <c r="F847" s="1" t="str">
        <f>VLOOKUP(C847,'Master truck list'!E:G,3,0)</f>
        <v>Owner Operator</v>
      </c>
      <c r="G847" s="1">
        <f>VLOOKUP(C847,'Master truck list'!E:R,14,0)</f>
        <v>824</v>
      </c>
      <c r="H847" t="str">
        <f>"12/17/2019 7:00:33 AM"</f>
        <v>12/17/2019 7:00:33 AM</v>
      </c>
      <c r="I847" t="str">
        <f>""</f>
        <v/>
      </c>
      <c r="J847" t="str">
        <f t="shared" si="342"/>
        <v>Elite</v>
      </c>
      <c r="K847" t="str">
        <f t="shared" ref="K847:K910" si="351">"Device"</f>
        <v>Device</v>
      </c>
      <c r="L847" t="str">
        <f>"777231398"</f>
        <v>777231398</v>
      </c>
      <c r="M847" t="str">
        <f>"16605355"</f>
        <v>16605355</v>
      </c>
      <c r="N847" t="str">
        <f>"72242"</f>
        <v>72242</v>
      </c>
      <c r="O847" t="str">
        <f t="shared" si="346"/>
        <v>TEXAS</v>
      </c>
      <c r="P847" t="str">
        <f t="shared" si="347"/>
        <v>N A</v>
      </c>
      <c r="Q847" t="str">
        <f t="shared" si="348"/>
        <v>N/A</v>
      </c>
      <c r="R847" t="str">
        <f>"45SE MLPWB 01 611"</f>
        <v>45SE MLPWB 01 611</v>
      </c>
      <c r="S847" t="str">
        <f>"12/16/2019 8:39:29 AM"</f>
        <v>12/16/2019 8:39:29 AM</v>
      </c>
      <c r="T847" t="str">
        <f t="shared" si="339"/>
        <v>5</v>
      </c>
      <c r="U847" t="str">
        <f t="shared" si="349"/>
        <v>N/A</v>
      </c>
      <c r="V847" t="str">
        <f>"3.3000"</f>
        <v>3.3000</v>
      </c>
    </row>
    <row r="848" spans="1:22" x14ac:dyDescent="0.25">
      <c r="A848" s="1" t="str">
        <f t="shared" si="341"/>
        <v>72242</v>
      </c>
      <c r="B848" s="1" t="str">
        <f t="shared" si="350"/>
        <v>72242</v>
      </c>
      <c r="C848" s="1" t="str">
        <f>VLOOKUP(B848,'Master truck list'!D:E,2,0)</f>
        <v>72242</v>
      </c>
      <c r="D848" s="1" t="str">
        <f>VLOOKUP(C848,'Master truck list'!E:F,2,0)</f>
        <v>ACTIVE</v>
      </c>
      <c r="E848" s="1" t="str">
        <f>VLOOKUP(C848,'Master truck list'!E:M,9,0)</f>
        <v>CHARGER LOGISTICS USA INC</v>
      </c>
      <c r="F848" s="1" t="str">
        <f>VLOOKUP(C848,'Master truck list'!E:G,3,0)</f>
        <v>Owner Operator</v>
      </c>
      <c r="G848" s="1">
        <f>VLOOKUP(C848,'Master truck list'!E:R,14,0)</f>
        <v>824</v>
      </c>
      <c r="H848" t="str">
        <f>"12/17/2019 7:00:33 AM"</f>
        <v>12/17/2019 7:00:33 AM</v>
      </c>
      <c r="I848" t="str">
        <f>""</f>
        <v/>
      </c>
      <c r="J848" t="str">
        <f t="shared" si="342"/>
        <v>Elite</v>
      </c>
      <c r="K848" t="str">
        <f t="shared" si="351"/>
        <v>Device</v>
      </c>
      <c r="L848" t="str">
        <f>"777231398"</f>
        <v>777231398</v>
      </c>
      <c r="M848" t="str">
        <f>"16605355"</f>
        <v>16605355</v>
      </c>
      <c r="N848" t="str">
        <f>"72242"</f>
        <v>72242</v>
      </c>
      <c r="O848" t="str">
        <f t="shared" si="346"/>
        <v>TEXAS</v>
      </c>
      <c r="P848" t="str">
        <f t="shared" si="347"/>
        <v>N A</v>
      </c>
      <c r="Q848" t="str">
        <f t="shared" si="348"/>
        <v>N/A</v>
      </c>
      <c r="R848" t="str">
        <f>"130 DKCRP 07 307"</f>
        <v>130 DKCRP 07 307</v>
      </c>
      <c r="S848" t="str">
        <f>"12/16/2019 8:22:28 AM"</f>
        <v>12/16/2019 8:22:28 AM</v>
      </c>
      <c r="T848" t="str">
        <f t="shared" si="339"/>
        <v>5</v>
      </c>
      <c r="U848" t="str">
        <f t="shared" si="349"/>
        <v>N/A</v>
      </c>
      <c r="V848" t="str">
        <f>"5.5500"</f>
        <v>5.5500</v>
      </c>
    </row>
    <row r="849" spans="1:22" x14ac:dyDescent="0.25">
      <c r="A849" s="1" t="str">
        <f t="shared" si="341"/>
        <v>528-1</v>
      </c>
      <c r="B849" s="1" t="str">
        <f t="shared" si="350"/>
        <v>528-1</v>
      </c>
      <c r="C849" s="1" t="str">
        <f>VLOOKUP(B849,'Master truck list'!D:E,2,0)</f>
        <v>528-17ATL</v>
      </c>
      <c r="D849" s="1" t="str">
        <f>VLOOKUP(C849,'Master truck list'!E:F,2,0)</f>
        <v>ACTIVE</v>
      </c>
      <c r="E849" s="1" t="str">
        <f>VLOOKUP(C849,'Master truck list'!E:M,9,0)</f>
        <v>BNK TRANSPORT INC</v>
      </c>
      <c r="F849" s="1" t="str">
        <f>VLOOKUP(C849,'Master truck list'!E:G,3,0)</f>
        <v>Owner Operator</v>
      </c>
      <c r="G849" s="1">
        <f>VLOOKUP(C849,'Master truck list'!E:R,14,0)</f>
        <v>680</v>
      </c>
      <c r="H849" t="str">
        <f>"12/19/2019 7:00:35 AM"</f>
        <v>12/19/2019 7:00:35 AM</v>
      </c>
      <c r="I849" t="str">
        <f>""</f>
        <v/>
      </c>
      <c r="J849" t="str">
        <f t="shared" si="342"/>
        <v>Elite</v>
      </c>
      <c r="K849" t="str">
        <f t="shared" si="351"/>
        <v>Device</v>
      </c>
      <c r="L849" t="str">
        <f>"777251582"</f>
        <v>777251582</v>
      </c>
      <c r="M849" t="str">
        <f>"16719464"</f>
        <v>16719464</v>
      </c>
      <c r="N849" t="str">
        <f>"528-17AT"</f>
        <v>528-17AT</v>
      </c>
      <c r="O849" t="str">
        <f t="shared" si="346"/>
        <v>TEXAS</v>
      </c>
      <c r="P849" t="str">
        <f t="shared" si="347"/>
        <v>N A</v>
      </c>
      <c r="Q849" t="str">
        <f t="shared" si="348"/>
        <v>N/A</v>
      </c>
      <c r="R849" t="str">
        <f>"130 ARPTP 09 308"</f>
        <v>130 ARPTP 09 308</v>
      </c>
      <c r="S849" t="str">
        <f>"12/18/2019 1:41:33 PM"</f>
        <v>12/18/2019 1:41:33 PM</v>
      </c>
      <c r="T849" t="str">
        <f t="shared" si="339"/>
        <v>5</v>
      </c>
      <c r="U849" t="str">
        <f t="shared" si="349"/>
        <v>N/A</v>
      </c>
      <c r="V849" t="str">
        <f>"5.5500"</f>
        <v>5.5500</v>
      </c>
    </row>
    <row r="850" spans="1:22" x14ac:dyDescent="0.25">
      <c r="A850" s="1" t="str">
        <f t="shared" si="341"/>
        <v>528-1</v>
      </c>
      <c r="B850" s="1" t="str">
        <f t="shared" si="350"/>
        <v>528-1</v>
      </c>
      <c r="C850" s="1" t="str">
        <f>VLOOKUP(B850,'Master truck list'!D:E,2,0)</f>
        <v>528-17ATL</v>
      </c>
      <c r="D850" s="1" t="str">
        <f>VLOOKUP(C850,'Master truck list'!E:F,2,0)</f>
        <v>ACTIVE</v>
      </c>
      <c r="E850" s="1" t="str">
        <f>VLOOKUP(C850,'Master truck list'!E:M,9,0)</f>
        <v>BNK TRANSPORT INC</v>
      </c>
      <c r="F850" s="1" t="str">
        <f>VLOOKUP(C850,'Master truck list'!E:G,3,0)</f>
        <v>Owner Operator</v>
      </c>
      <c r="G850" s="1">
        <f>VLOOKUP(C850,'Master truck list'!E:R,14,0)</f>
        <v>680</v>
      </c>
      <c r="H850" t="str">
        <f>"12/19/2019 7:00:35 AM"</f>
        <v>12/19/2019 7:00:35 AM</v>
      </c>
      <c r="I850" t="str">
        <f>""</f>
        <v/>
      </c>
      <c r="J850" t="str">
        <f t="shared" si="342"/>
        <v>Elite</v>
      </c>
      <c r="K850" t="str">
        <f t="shared" si="351"/>
        <v>Device</v>
      </c>
      <c r="L850" t="str">
        <f>"777251582"</f>
        <v>777251582</v>
      </c>
      <c r="M850" t="str">
        <f>"16719464"</f>
        <v>16719464</v>
      </c>
      <c r="N850" t="str">
        <f>"528-17AT"</f>
        <v>528-17AT</v>
      </c>
      <c r="O850" t="str">
        <f t="shared" si="346"/>
        <v>TEXAS</v>
      </c>
      <c r="P850" t="str">
        <f t="shared" si="347"/>
        <v>N A</v>
      </c>
      <c r="Q850" t="str">
        <f t="shared" si="348"/>
        <v>N/A</v>
      </c>
      <c r="R850" t="str">
        <f>"130 DKCRP 11 307"</f>
        <v>130 DKCRP 11 307</v>
      </c>
      <c r="S850" t="str">
        <f>"12/18/2019 1:48:22 PM"</f>
        <v>12/18/2019 1:48:22 PM</v>
      </c>
      <c r="T850" t="str">
        <f t="shared" si="339"/>
        <v>5</v>
      </c>
      <c r="U850" t="str">
        <f t="shared" si="349"/>
        <v>N/A</v>
      </c>
      <c r="V850" t="str">
        <f>"5.5500"</f>
        <v>5.5500</v>
      </c>
    </row>
    <row r="851" spans="1:22" x14ac:dyDescent="0.25">
      <c r="A851" s="1" t="str">
        <f t="shared" si="341"/>
        <v>528-1</v>
      </c>
      <c r="B851" s="1" t="str">
        <f t="shared" si="350"/>
        <v>528-1</v>
      </c>
      <c r="C851" s="1" t="str">
        <f>VLOOKUP(B851,'Master truck list'!D:E,2,0)</f>
        <v>528-17ATL</v>
      </c>
      <c r="D851" s="1" t="str">
        <f>VLOOKUP(C851,'Master truck list'!E:F,2,0)</f>
        <v>ACTIVE</v>
      </c>
      <c r="E851" s="1" t="str">
        <f>VLOOKUP(C851,'Master truck list'!E:M,9,0)</f>
        <v>BNK TRANSPORT INC</v>
      </c>
      <c r="F851" s="1" t="str">
        <f>VLOOKUP(C851,'Master truck list'!E:G,3,0)</f>
        <v>Owner Operator</v>
      </c>
      <c r="G851" s="1">
        <f>VLOOKUP(C851,'Master truck list'!E:R,14,0)</f>
        <v>680</v>
      </c>
      <c r="H851" t="str">
        <f>"12/19/2019 7:00:35 AM"</f>
        <v>12/19/2019 7:00:35 AM</v>
      </c>
      <c r="I851" t="str">
        <f>""</f>
        <v/>
      </c>
      <c r="J851" t="str">
        <f t="shared" si="342"/>
        <v>Elite</v>
      </c>
      <c r="K851" t="str">
        <f t="shared" si="351"/>
        <v>Device</v>
      </c>
      <c r="L851" t="str">
        <f>"777251582"</f>
        <v>777251582</v>
      </c>
      <c r="M851" t="str">
        <f>"16719464"</f>
        <v>16719464</v>
      </c>
      <c r="N851" t="str">
        <f>"528-17AT"</f>
        <v>528-17AT</v>
      </c>
      <c r="O851" t="str">
        <f t="shared" si="346"/>
        <v>TEXAS</v>
      </c>
      <c r="P851" t="str">
        <f t="shared" si="347"/>
        <v>N A</v>
      </c>
      <c r="Q851" t="str">
        <f t="shared" si="348"/>
        <v>N/A</v>
      </c>
      <c r="R851" t="str">
        <f>"45SE MLPEB 02 611"</f>
        <v>45SE MLPEB 02 611</v>
      </c>
      <c r="S851" t="str">
        <f>"12/18/2019 1:31:22 PM"</f>
        <v>12/18/2019 1:31:22 PM</v>
      </c>
      <c r="T851" t="str">
        <f t="shared" si="339"/>
        <v>5</v>
      </c>
      <c r="U851" t="str">
        <f t="shared" si="349"/>
        <v>N/A</v>
      </c>
      <c r="V851" t="str">
        <f>"3.3000"</f>
        <v>3.3000</v>
      </c>
    </row>
    <row r="852" spans="1:22" x14ac:dyDescent="0.25">
      <c r="A852" s="1" t="str">
        <f t="shared" si="341"/>
        <v>528-1</v>
      </c>
      <c r="B852" s="1" t="str">
        <f t="shared" si="350"/>
        <v>528-1</v>
      </c>
      <c r="C852" s="1" t="str">
        <f>VLOOKUP(B852,'Master truck list'!D:E,2,0)</f>
        <v>528-17ATL</v>
      </c>
      <c r="D852" s="1" t="str">
        <f>VLOOKUP(C852,'Master truck list'!E:F,2,0)</f>
        <v>ACTIVE</v>
      </c>
      <c r="E852" s="1" t="str">
        <f>VLOOKUP(C852,'Master truck list'!E:M,9,0)</f>
        <v>BNK TRANSPORT INC</v>
      </c>
      <c r="F852" s="1" t="str">
        <f>VLOOKUP(C852,'Master truck list'!E:G,3,0)</f>
        <v>Owner Operator</v>
      </c>
      <c r="G852" s="1">
        <f>VLOOKUP(C852,'Master truck list'!E:R,14,0)</f>
        <v>680</v>
      </c>
      <c r="H852" t="str">
        <f>"12/19/2019 7:00:35 AM"</f>
        <v>12/19/2019 7:00:35 AM</v>
      </c>
      <c r="I852" t="str">
        <f>""</f>
        <v/>
      </c>
      <c r="J852" t="str">
        <f t="shared" si="342"/>
        <v>Elite</v>
      </c>
      <c r="K852" t="str">
        <f t="shared" si="351"/>
        <v>Device</v>
      </c>
      <c r="L852" t="str">
        <f>"777251582"</f>
        <v>777251582</v>
      </c>
      <c r="M852" t="str">
        <f>"16719464"</f>
        <v>16719464</v>
      </c>
      <c r="N852" t="str">
        <f>"528-17AT"</f>
        <v>528-17AT</v>
      </c>
      <c r="O852" t="str">
        <f t="shared" si="346"/>
        <v>TEXAS</v>
      </c>
      <c r="P852" t="str">
        <f t="shared" si="347"/>
        <v>N A</v>
      </c>
      <c r="Q852" t="str">
        <f t="shared" si="348"/>
        <v>N/A</v>
      </c>
      <c r="R852" t="str">
        <f>"130 MGCRP 11 305"</f>
        <v>130 MGCRP 11 305</v>
      </c>
      <c r="S852" t="str">
        <f>"12/18/2019 2:09:04 PM"</f>
        <v>12/18/2019 2:09:04 PM</v>
      </c>
      <c r="T852" t="str">
        <f t="shared" si="339"/>
        <v>5</v>
      </c>
      <c r="U852" t="str">
        <f t="shared" si="349"/>
        <v>N/A</v>
      </c>
      <c r="V852" t="str">
        <f>"5.5500"</f>
        <v>5.5500</v>
      </c>
    </row>
    <row r="853" spans="1:22" x14ac:dyDescent="0.25">
      <c r="A853" s="1" t="str">
        <f t="shared" si="341"/>
        <v>528-1</v>
      </c>
      <c r="B853" s="1" t="str">
        <f t="shared" si="350"/>
        <v>528-1</v>
      </c>
      <c r="C853" s="1" t="str">
        <f>VLOOKUP(B853,'Master truck list'!D:E,2,0)</f>
        <v>528-17ATL</v>
      </c>
      <c r="D853" s="1" t="str">
        <f>VLOOKUP(C853,'Master truck list'!E:F,2,0)</f>
        <v>ACTIVE</v>
      </c>
      <c r="E853" s="1" t="str">
        <f>VLOOKUP(C853,'Master truck list'!E:M,9,0)</f>
        <v>BNK TRANSPORT INC</v>
      </c>
      <c r="F853" s="1" t="str">
        <f>VLOOKUP(C853,'Master truck list'!E:G,3,0)</f>
        <v>Owner Operator</v>
      </c>
      <c r="G853" s="1">
        <f>VLOOKUP(C853,'Master truck list'!E:R,14,0)</f>
        <v>680</v>
      </c>
      <c r="H853" t="str">
        <f>"12/19/2019 7:00:35 AM"</f>
        <v>12/19/2019 7:00:35 AM</v>
      </c>
      <c r="I853" t="str">
        <f>""</f>
        <v/>
      </c>
      <c r="J853" t="str">
        <f t="shared" si="342"/>
        <v>Elite</v>
      </c>
      <c r="K853" t="str">
        <f t="shared" si="351"/>
        <v>Device</v>
      </c>
      <c r="L853" t="str">
        <f>"777251582"</f>
        <v>777251582</v>
      </c>
      <c r="M853" t="str">
        <f>"16719464"</f>
        <v>16719464</v>
      </c>
      <c r="N853" t="str">
        <f>"528-17AT"</f>
        <v>528-17AT</v>
      </c>
      <c r="O853" t="str">
        <f t="shared" si="346"/>
        <v>TEXAS</v>
      </c>
      <c r="P853" t="str">
        <f t="shared" si="347"/>
        <v>N A</v>
      </c>
      <c r="Q853" t="str">
        <f t="shared" si="348"/>
        <v>N/A</v>
      </c>
      <c r="R853" t="str">
        <f>"130 CMRNP 12 306"</f>
        <v>130 CMRNP 12 306</v>
      </c>
      <c r="S853" t="str">
        <f>"12/18/2019 1:58:16 PM"</f>
        <v>12/18/2019 1:58:16 PM</v>
      </c>
      <c r="T853" t="str">
        <f t="shared" si="339"/>
        <v>5</v>
      </c>
      <c r="U853" t="str">
        <f t="shared" si="349"/>
        <v>N/A</v>
      </c>
      <c r="V853" t="str">
        <f>"5.5500"</f>
        <v>5.5500</v>
      </c>
    </row>
    <row r="854" spans="1:22" x14ac:dyDescent="0.25">
      <c r="A854" s="1" t="str">
        <f t="shared" si="341"/>
        <v>2343-</v>
      </c>
      <c r="B854" s="1" t="str">
        <f t="shared" si="350"/>
        <v>2343-</v>
      </c>
      <c r="C854" s="1" t="str">
        <f>VLOOKUP(B854,'Master truck list'!D:E,2,0)</f>
        <v>2343-18A</v>
      </c>
      <c r="D854" s="1" t="str">
        <f>VLOOKUP(C854,'Master truck list'!E:F,2,0)</f>
        <v>ACTIVE</v>
      </c>
      <c r="E854" s="1" t="str">
        <f>VLOOKUP(C854,'Master truck list'!E:M,9,0)</f>
        <v>CHARGER LOGISTICS USA INC</v>
      </c>
      <c r="F854" s="1" t="str">
        <f>VLOOKUP(C854,'Master truck list'!E:G,3,0)</f>
        <v>Company</v>
      </c>
      <c r="G854" s="1">
        <f>VLOOKUP(C854,'Master truck list'!E:R,14,0)</f>
        <v>1204</v>
      </c>
      <c r="H854" t="str">
        <f t="shared" ref="H854:H860" si="352">"12/17/2019 7:00:33 AM"</f>
        <v>12/17/2019 7:00:33 AM</v>
      </c>
      <c r="I854" t="str">
        <f>""</f>
        <v/>
      </c>
      <c r="J854" t="str">
        <f t="shared" si="342"/>
        <v>Elite</v>
      </c>
      <c r="K854" t="str">
        <f t="shared" si="351"/>
        <v>Device</v>
      </c>
      <c r="L854" t="str">
        <f>"777231397"</f>
        <v>777231397</v>
      </c>
      <c r="M854" t="str">
        <f>"16605354"</f>
        <v>16605354</v>
      </c>
      <c r="N854" t="str">
        <f>"2343-18A"</f>
        <v>2343-18A</v>
      </c>
      <c r="O854" t="str">
        <f t="shared" si="346"/>
        <v>TEXAS</v>
      </c>
      <c r="P854" t="str">
        <f t="shared" si="347"/>
        <v>N A</v>
      </c>
      <c r="Q854" t="str">
        <f t="shared" si="348"/>
        <v>N/A</v>
      </c>
      <c r="R854" t="str">
        <f>"PGBW MLG12 02 MLG1"</f>
        <v>PGBW MLG12 02 MLG1</v>
      </c>
      <c r="S854" t="str">
        <f>"12/16/2019 5:21:14 AM"</f>
        <v>12/16/2019 5:21:14 AM</v>
      </c>
      <c r="T854" t="str">
        <f t="shared" si="339"/>
        <v>5</v>
      </c>
      <c r="U854" t="str">
        <f t="shared" si="349"/>
        <v>N/A</v>
      </c>
      <c r="V854" t="str">
        <f>"4.6400"</f>
        <v>4.6400</v>
      </c>
    </row>
    <row r="855" spans="1:22" x14ac:dyDescent="0.25">
      <c r="A855" s="1" t="str">
        <f t="shared" si="341"/>
        <v>2398-</v>
      </c>
      <c r="B855" s="1" t="str">
        <f t="shared" si="350"/>
        <v>2398-</v>
      </c>
      <c r="C855" s="1" t="str">
        <f>VLOOKUP(B855,'Master truck list'!D:E,2,0)</f>
        <v>2398-19T</v>
      </c>
      <c r="D855" s="1" t="str">
        <f>VLOOKUP(C855,'Master truck list'!E:F,2,0)</f>
        <v>ACTIVE</v>
      </c>
      <c r="E855" s="1" t="str">
        <f>VLOOKUP(C855,'Master truck list'!E:M,9,0)</f>
        <v>CHARGER LOGISTICS USA INC</v>
      </c>
      <c r="F855" s="1" t="str">
        <f>VLOOKUP(C855,'Master truck list'!E:G,3,0)</f>
        <v>Company</v>
      </c>
      <c r="G855" s="1">
        <f>VLOOKUP(C855,'Master truck list'!E:R,14,0)</f>
        <v>1456</v>
      </c>
      <c r="H855" t="str">
        <f t="shared" si="352"/>
        <v>12/17/2019 7:00:33 AM</v>
      </c>
      <c r="I855" t="str">
        <f>""</f>
        <v/>
      </c>
      <c r="J855" t="str">
        <f t="shared" si="342"/>
        <v>Elite</v>
      </c>
      <c r="K855" t="str">
        <f t="shared" si="351"/>
        <v>Device</v>
      </c>
      <c r="L855" t="str">
        <f t="shared" ref="L855:L860" si="353">"777233818"</f>
        <v>777233818</v>
      </c>
      <c r="M855" t="str">
        <f t="shared" ref="M855:M860" si="354">"16607775"</f>
        <v>16607775</v>
      </c>
      <c r="N855" t="str">
        <f t="shared" ref="N855:N860" si="355">"2398-19T"</f>
        <v>2398-19T</v>
      </c>
      <c r="O855" t="str">
        <f t="shared" si="346"/>
        <v>TEXAS</v>
      </c>
      <c r="P855" t="str">
        <f t="shared" si="347"/>
        <v>N A</v>
      </c>
      <c r="Q855" t="str">
        <f t="shared" si="348"/>
        <v>N/A</v>
      </c>
      <c r="R855" t="str">
        <f>"PGBW MLG12 09 MLG1"</f>
        <v>PGBW MLG12 09 MLG1</v>
      </c>
      <c r="S855" t="str">
        <f>"12/16/2019 12:03:53 PM"</f>
        <v>12/16/2019 12:03:53 PM</v>
      </c>
      <c r="T855" t="str">
        <f t="shared" si="339"/>
        <v>5</v>
      </c>
      <c r="U855" t="str">
        <f t="shared" si="349"/>
        <v>N/A</v>
      </c>
      <c r="V855" t="str">
        <f>"4.6400"</f>
        <v>4.6400</v>
      </c>
    </row>
    <row r="856" spans="1:22" x14ac:dyDescent="0.25">
      <c r="A856" s="1" t="str">
        <f t="shared" si="341"/>
        <v>2398-</v>
      </c>
      <c r="B856" s="1" t="str">
        <f t="shared" si="350"/>
        <v>2398-</v>
      </c>
      <c r="C856" s="1" t="str">
        <f>VLOOKUP(B856,'Master truck list'!D:E,2,0)</f>
        <v>2398-19T</v>
      </c>
      <c r="D856" s="1" t="str">
        <f>VLOOKUP(C856,'Master truck list'!E:F,2,0)</f>
        <v>ACTIVE</v>
      </c>
      <c r="E856" s="1" t="str">
        <f>VLOOKUP(C856,'Master truck list'!E:M,9,0)</f>
        <v>CHARGER LOGISTICS USA INC</v>
      </c>
      <c r="F856" s="1" t="str">
        <f>VLOOKUP(C856,'Master truck list'!E:G,3,0)</f>
        <v>Company</v>
      </c>
      <c r="G856" s="1">
        <f>VLOOKUP(C856,'Master truck list'!E:R,14,0)</f>
        <v>1456</v>
      </c>
      <c r="H856" t="str">
        <f t="shared" si="352"/>
        <v>12/17/2019 7:00:33 AM</v>
      </c>
      <c r="I856" t="str">
        <f>""</f>
        <v/>
      </c>
      <c r="J856" t="str">
        <f t="shared" si="342"/>
        <v>Elite</v>
      </c>
      <c r="K856" t="str">
        <f t="shared" si="351"/>
        <v>Device</v>
      </c>
      <c r="L856" t="str">
        <f t="shared" si="353"/>
        <v>777233818</v>
      </c>
      <c r="M856" t="str">
        <f t="shared" si="354"/>
        <v>16607775</v>
      </c>
      <c r="N856" t="str">
        <f t="shared" si="355"/>
        <v>2398-19T</v>
      </c>
      <c r="O856" t="str">
        <f t="shared" si="346"/>
        <v>TEXAS</v>
      </c>
      <c r="P856" t="str">
        <f t="shared" si="347"/>
        <v>N A</v>
      </c>
      <c r="Q856" t="str">
        <f t="shared" si="348"/>
        <v>N/A</v>
      </c>
      <c r="R856" t="str">
        <f>"130 ARPTP 09 308"</f>
        <v>130 ARPTP 09 308</v>
      </c>
      <c r="S856" t="str">
        <f>"12/16/2019 8:27:46 AM"</f>
        <v>12/16/2019 8:27:46 AM</v>
      </c>
      <c r="T856" t="str">
        <f t="shared" si="339"/>
        <v>5</v>
      </c>
      <c r="U856" t="str">
        <f t="shared" si="349"/>
        <v>N/A</v>
      </c>
      <c r="V856" t="str">
        <f>"5.5500"</f>
        <v>5.5500</v>
      </c>
    </row>
    <row r="857" spans="1:22" x14ac:dyDescent="0.25">
      <c r="A857" s="1" t="str">
        <f t="shared" si="341"/>
        <v>2398-</v>
      </c>
      <c r="B857" s="1" t="str">
        <f t="shared" si="350"/>
        <v>2398-</v>
      </c>
      <c r="C857" s="1" t="str">
        <f>VLOOKUP(B857,'Master truck list'!D:E,2,0)</f>
        <v>2398-19T</v>
      </c>
      <c r="D857" s="1" t="str">
        <f>VLOOKUP(C857,'Master truck list'!E:F,2,0)</f>
        <v>ACTIVE</v>
      </c>
      <c r="E857" s="1" t="str">
        <f>VLOOKUP(C857,'Master truck list'!E:M,9,0)</f>
        <v>CHARGER LOGISTICS USA INC</v>
      </c>
      <c r="F857" s="1" t="str">
        <f>VLOOKUP(C857,'Master truck list'!E:G,3,0)</f>
        <v>Company</v>
      </c>
      <c r="G857" s="1">
        <f>VLOOKUP(C857,'Master truck list'!E:R,14,0)</f>
        <v>1456</v>
      </c>
      <c r="H857" t="str">
        <f t="shared" si="352"/>
        <v>12/17/2019 7:00:33 AM</v>
      </c>
      <c r="I857" t="str">
        <f>""</f>
        <v/>
      </c>
      <c r="J857" t="str">
        <f t="shared" si="342"/>
        <v>Elite</v>
      </c>
      <c r="K857" t="str">
        <f t="shared" si="351"/>
        <v>Device</v>
      </c>
      <c r="L857" t="str">
        <f t="shared" si="353"/>
        <v>777233818</v>
      </c>
      <c r="M857" t="str">
        <f t="shared" si="354"/>
        <v>16607775</v>
      </c>
      <c r="N857" t="str">
        <f t="shared" si="355"/>
        <v>2398-19T</v>
      </c>
      <c r="O857" t="str">
        <f t="shared" si="346"/>
        <v>TEXAS</v>
      </c>
      <c r="P857" t="str">
        <f t="shared" si="347"/>
        <v>N A</v>
      </c>
      <c r="Q857" t="str">
        <f t="shared" si="348"/>
        <v>N/A</v>
      </c>
      <c r="R857" t="str">
        <f>"130 CMRNP 13 306"</f>
        <v>130 CMRNP 13 306</v>
      </c>
      <c r="S857" t="str">
        <f>"12/16/2019 8:50:58 AM"</f>
        <v>12/16/2019 8:50:58 AM</v>
      </c>
      <c r="T857" t="str">
        <f t="shared" si="339"/>
        <v>5</v>
      </c>
      <c r="U857" t="str">
        <f t="shared" si="349"/>
        <v>N/A</v>
      </c>
      <c r="V857" t="str">
        <f>"5.5500"</f>
        <v>5.5500</v>
      </c>
    </row>
    <row r="858" spans="1:22" x14ac:dyDescent="0.25">
      <c r="A858" s="1" t="str">
        <f t="shared" si="341"/>
        <v>2398-</v>
      </c>
      <c r="B858" s="1" t="str">
        <f t="shared" si="350"/>
        <v>2398-</v>
      </c>
      <c r="C858" s="1" t="str">
        <f>VLOOKUP(B858,'Master truck list'!D:E,2,0)</f>
        <v>2398-19T</v>
      </c>
      <c r="D858" s="1" t="str">
        <f>VLOOKUP(C858,'Master truck list'!E:F,2,0)</f>
        <v>ACTIVE</v>
      </c>
      <c r="E858" s="1" t="str">
        <f>VLOOKUP(C858,'Master truck list'!E:M,9,0)</f>
        <v>CHARGER LOGISTICS USA INC</v>
      </c>
      <c r="F858" s="1" t="str">
        <f>VLOOKUP(C858,'Master truck list'!E:G,3,0)</f>
        <v>Company</v>
      </c>
      <c r="G858" s="1">
        <f>VLOOKUP(C858,'Master truck list'!E:R,14,0)</f>
        <v>1456</v>
      </c>
      <c r="H858" t="str">
        <f t="shared" si="352"/>
        <v>12/17/2019 7:00:33 AM</v>
      </c>
      <c r="I858" t="str">
        <f>""</f>
        <v/>
      </c>
      <c r="J858" t="str">
        <f t="shared" si="342"/>
        <v>Elite</v>
      </c>
      <c r="K858" t="str">
        <f t="shared" si="351"/>
        <v>Device</v>
      </c>
      <c r="L858" t="str">
        <f t="shared" si="353"/>
        <v>777233818</v>
      </c>
      <c r="M858" t="str">
        <f t="shared" si="354"/>
        <v>16607775</v>
      </c>
      <c r="N858" t="str">
        <f t="shared" si="355"/>
        <v>2398-19T</v>
      </c>
      <c r="O858" t="str">
        <f t="shared" si="346"/>
        <v>TEXAS</v>
      </c>
      <c r="P858" t="str">
        <f t="shared" si="347"/>
        <v>N A</v>
      </c>
      <c r="Q858" t="str">
        <f t="shared" si="348"/>
        <v>N/A</v>
      </c>
      <c r="R858" t="str">
        <f>"45SE MLPEB 02 611"</f>
        <v>45SE MLPEB 02 611</v>
      </c>
      <c r="S858" t="str">
        <f>"12/16/2019 8:17:13 AM"</f>
        <v>12/16/2019 8:17:13 AM</v>
      </c>
      <c r="T858" t="str">
        <f t="shared" si="339"/>
        <v>5</v>
      </c>
      <c r="U858" t="str">
        <f t="shared" si="349"/>
        <v>N/A</v>
      </c>
      <c r="V858" t="str">
        <f>"3.3000"</f>
        <v>3.3000</v>
      </c>
    </row>
    <row r="859" spans="1:22" x14ac:dyDescent="0.25">
      <c r="A859" s="1" t="str">
        <f t="shared" si="341"/>
        <v>2398-</v>
      </c>
      <c r="B859" s="1" t="str">
        <f t="shared" si="350"/>
        <v>2398-</v>
      </c>
      <c r="C859" s="1" t="str">
        <f>VLOOKUP(B859,'Master truck list'!D:E,2,0)</f>
        <v>2398-19T</v>
      </c>
      <c r="D859" s="1" t="str">
        <f>VLOOKUP(C859,'Master truck list'!E:F,2,0)</f>
        <v>ACTIVE</v>
      </c>
      <c r="E859" s="1" t="str">
        <f>VLOOKUP(C859,'Master truck list'!E:M,9,0)</f>
        <v>CHARGER LOGISTICS USA INC</v>
      </c>
      <c r="F859" s="1" t="str">
        <f>VLOOKUP(C859,'Master truck list'!E:G,3,0)</f>
        <v>Company</v>
      </c>
      <c r="G859" s="1">
        <f>VLOOKUP(C859,'Master truck list'!E:R,14,0)</f>
        <v>1456</v>
      </c>
      <c r="H859" t="str">
        <f t="shared" si="352"/>
        <v>12/17/2019 7:00:33 AM</v>
      </c>
      <c r="I859" t="str">
        <f>""</f>
        <v/>
      </c>
      <c r="J859" t="str">
        <f t="shared" si="342"/>
        <v>Elite</v>
      </c>
      <c r="K859" t="str">
        <f t="shared" si="351"/>
        <v>Device</v>
      </c>
      <c r="L859" t="str">
        <f t="shared" si="353"/>
        <v>777233818</v>
      </c>
      <c r="M859" t="str">
        <f t="shared" si="354"/>
        <v>16607775</v>
      </c>
      <c r="N859" t="str">
        <f t="shared" si="355"/>
        <v>2398-19T</v>
      </c>
      <c r="O859" t="str">
        <f t="shared" si="346"/>
        <v>TEXAS</v>
      </c>
      <c r="P859" t="str">
        <f t="shared" si="347"/>
        <v>N A</v>
      </c>
      <c r="Q859" t="str">
        <f t="shared" si="348"/>
        <v>N/A</v>
      </c>
      <c r="R859" t="str">
        <f>"130 MGCRP 11 305"</f>
        <v>130 MGCRP 11 305</v>
      </c>
      <c r="S859" t="str">
        <f>"12/16/2019 9:02:03 AM"</f>
        <v>12/16/2019 9:02:03 AM</v>
      </c>
      <c r="T859" t="str">
        <f t="shared" si="339"/>
        <v>5</v>
      </c>
      <c r="U859" t="str">
        <f t="shared" si="349"/>
        <v>N/A</v>
      </c>
      <c r="V859" t="str">
        <f>"5.5500"</f>
        <v>5.5500</v>
      </c>
    </row>
    <row r="860" spans="1:22" x14ac:dyDescent="0.25">
      <c r="A860" s="1" t="str">
        <f t="shared" si="341"/>
        <v>2398-</v>
      </c>
      <c r="B860" s="1" t="str">
        <f t="shared" si="350"/>
        <v>2398-</v>
      </c>
      <c r="C860" s="1" t="str">
        <f>VLOOKUP(B860,'Master truck list'!D:E,2,0)</f>
        <v>2398-19T</v>
      </c>
      <c r="D860" s="1" t="str">
        <f>VLOOKUP(C860,'Master truck list'!E:F,2,0)</f>
        <v>ACTIVE</v>
      </c>
      <c r="E860" s="1" t="str">
        <f>VLOOKUP(C860,'Master truck list'!E:M,9,0)</f>
        <v>CHARGER LOGISTICS USA INC</v>
      </c>
      <c r="F860" s="1" t="str">
        <f>VLOOKUP(C860,'Master truck list'!E:G,3,0)</f>
        <v>Company</v>
      </c>
      <c r="G860" s="1">
        <f>VLOOKUP(C860,'Master truck list'!E:R,14,0)</f>
        <v>1456</v>
      </c>
      <c r="H860" t="str">
        <f t="shared" si="352"/>
        <v>12/17/2019 7:00:33 AM</v>
      </c>
      <c r="I860" t="str">
        <f>""</f>
        <v/>
      </c>
      <c r="J860" t="str">
        <f t="shared" si="342"/>
        <v>Elite</v>
      </c>
      <c r="K860" t="str">
        <f t="shared" si="351"/>
        <v>Device</v>
      </c>
      <c r="L860" t="str">
        <f t="shared" si="353"/>
        <v>777233818</v>
      </c>
      <c r="M860" t="str">
        <f t="shared" si="354"/>
        <v>16607775</v>
      </c>
      <c r="N860" t="str">
        <f t="shared" si="355"/>
        <v>2398-19T</v>
      </c>
      <c r="O860" t="str">
        <f t="shared" si="346"/>
        <v>TEXAS</v>
      </c>
      <c r="P860" t="str">
        <f t="shared" si="347"/>
        <v>N A</v>
      </c>
      <c r="Q860" t="str">
        <f t="shared" si="348"/>
        <v>N/A</v>
      </c>
      <c r="R860" t="str">
        <f>"130 DKCRP 11 307"</f>
        <v>130 DKCRP 11 307</v>
      </c>
      <c r="S860" t="str">
        <f>"12/16/2019 8:34:42 AM"</f>
        <v>12/16/2019 8:34:42 AM</v>
      </c>
      <c r="T860" t="str">
        <f t="shared" si="339"/>
        <v>5</v>
      </c>
      <c r="U860" t="str">
        <f t="shared" si="349"/>
        <v>N/A</v>
      </c>
      <c r="V860" t="str">
        <f>"5.5500"</f>
        <v>5.5500</v>
      </c>
    </row>
    <row r="861" spans="1:22" x14ac:dyDescent="0.25">
      <c r="A861" s="1" t="str">
        <f t="shared" si="341"/>
        <v>5030-</v>
      </c>
      <c r="B861" s="1" t="str">
        <f t="shared" si="350"/>
        <v>5030-</v>
      </c>
      <c r="C861" s="1" t="str">
        <f>VLOOKUP(B861,'Master truck list'!D:E,2,0)</f>
        <v>5030-18L</v>
      </c>
      <c r="D861" s="1" t="str">
        <f>VLOOKUP(C861,'Master truck list'!E:F,2,0)</f>
        <v>OUT OF SERVICE</v>
      </c>
      <c r="E861" s="1" t="str">
        <f>VLOOKUP(C861,'Master truck list'!E:M,9,0)</f>
        <v>BNK TRANSPORT INC</v>
      </c>
      <c r="F861" s="1" t="str">
        <f>VLOOKUP(C861,'Master truck list'!E:G,3,0)</f>
        <v>Owner Operator</v>
      </c>
      <c r="G861" s="1">
        <f>VLOOKUP(C861,'Master truck list'!E:R,14,0)</f>
        <v>2100</v>
      </c>
      <c r="H861" t="str">
        <f>"12/19/2019 7:00:35 AM"</f>
        <v>12/19/2019 7:00:35 AM</v>
      </c>
      <c r="I861" t="str">
        <f>""</f>
        <v/>
      </c>
      <c r="J861" t="str">
        <f t="shared" si="342"/>
        <v>Elite</v>
      </c>
      <c r="K861" t="str">
        <f t="shared" si="351"/>
        <v>Device</v>
      </c>
      <c r="L861" t="str">
        <f t="shared" ref="L861:L871" si="356">"777251579"</f>
        <v>777251579</v>
      </c>
      <c r="M861" t="str">
        <f t="shared" ref="M861:M871" si="357">"16719461"</f>
        <v>16719461</v>
      </c>
      <c r="N861" t="str">
        <f t="shared" ref="N861:N871" si="358">"5030-18"</f>
        <v>5030-18</v>
      </c>
      <c r="O861" t="str">
        <f t="shared" si="346"/>
        <v>TEXAS</v>
      </c>
      <c r="P861" t="str">
        <f t="shared" si="347"/>
        <v>N A</v>
      </c>
      <c r="Q861" t="str">
        <f t="shared" si="348"/>
        <v>N/A</v>
      </c>
      <c r="R861" t="str">
        <f>"130 CMRNP 08 306"</f>
        <v>130 CMRNP 08 306</v>
      </c>
      <c r="S861" t="str">
        <f>"12/18/2019 3:33:51 PM"</f>
        <v>12/18/2019 3:33:51 PM</v>
      </c>
      <c r="T861" t="str">
        <f t="shared" si="339"/>
        <v>5</v>
      </c>
      <c r="U861" t="str">
        <f t="shared" si="349"/>
        <v>N/A</v>
      </c>
      <c r="V861" t="str">
        <f>"5.5500"</f>
        <v>5.5500</v>
      </c>
    </row>
    <row r="862" spans="1:22" x14ac:dyDescent="0.25">
      <c r="A862" s="1" t="str">
        <f t="shared" si="341"/>
        <v>5030-</v>
      </c>
      <c r="B862" s="1" t="str">
        <f t="shared" si="350"/>
        <v>5030-</v>
      </c>
      <c r="C862" s="1" t="str">
        <f>VLOOKUP(B862,'Master truck list'!D:E,2,0)</f>
        <v>5030-18L</v>
      </c>
      <c r="D862" s="1" t="str">
        <f>VLOOKUP(C862,'Master truck list'!E:F,2,0)</f>
        <v>OUT OF SERVICE</v>
      </c>
      <c r="E862" s="1" t="str">
        <f>VLOOKUP(C862,'Master truck list'!E:M,9,0)</f>
        <v>BNK TRANSPORT INC</v>
      </c>
      <c r="F862" s="1" t="str">
        <f>VLOOKUP(C862,'Master truck list'!E:G,3,0)</f>
        <v>Owner Operator</v>
      </c>
      <c r="G862" s="1">
        <f>VLOOKUP(C862,'Master truck list'!E:R,14,0)</f>
        <v>2100</v>
      </c>
      <c r="H862" t="str">
        <f>"12/19/2019 7:00:35 AM"</f>
        <v>12/19/2019 7:00:35 AM</v>
      </c>
      <c r="I862" t="str">
        <f>""</f>
        <v/>
      </c>
      <c r="J862" t="str">
        <f t="shared" si="342"/>
        <v>Elite</v>
      </c>
      <c r="K862" t="str">
        <f t="shared" si="351"/>
        <v>Device</v>
      </c>
      <c r="L862" t="str">
        <f t="shared" si="356"/>
        <v>777251579</v>
      </c>
      <c r="M862" t="str">
        <f t="shared" si="357"/>
        <v>16719461</v>
      </c>
      <c r="N862" t="str">
        <f t="shared" si="358"/>
        <v>5030-18</v>
      </c>
      <c r="O862" t="str">
        <f t="shared" si="346"/>
        <v>TEXAS</v>
      </c>
      <c r="P862" t="str">
        <f t="shared" si="347"/>
        <v>N A</v>
      </c>
      <c r="Q862" t="str">
        <f t="shared" si="348"/>
        <v>N/A</v>
      </c>
      <c r="R862" t="str">
        <f>"130 ARPTP 04 308"</f>
        <v>130 ARPTP 04 308</v>
      </c>
      <c r="S862" t="str">
        <f>"12/18/2019 3:51:29 PM"</f>
        <v>12/18/2019 3:51:29 PM</v>
      </c>
      <c r="T862" t="str">
        <f t="shared" si="339"/>
        <v>5</v>
      </c>
      <c r="U862" t="str">
        <f t="shared" si="349"/>
        <v>N/A</v>
      </c>
      <c r="V862" t="str">
        <f>"5.5500"</f>
        <v>5.5500</v>
      </c>
    </row>
    <row r="863" spans="1:22" x14ac:dyDescent="0.25">
      <c r="A863" s="1" t="str">
        <f t="shared" si="341"/>
        <v>5030-</v>
      </c>
      <c r="B863" s="1" t="str">
        <f t="shared" si="350"/>
        <v>5030-</v>
      </c>
      <c r="C863" s="1" t="s">
        <v>8887</v>
      </c>
      <c r="D863" s="1" t="s">
        <v>91</v>
      </c>
      <c r="E863" s="1" t="s">
        <v>1738</v>
      </c>
      <c r="F863" s="1" t="s">
        <v>22</v>
      </c>
      <c r="G863" s="1" t="e">
        <f>VLOOKUP(C863,'Master truck list'!E:R,14,0)</f>
        <v>#N/A</v>
      </c>
      <c r="H863" t="str">
        <f>"12/19/2019 7:00:35 AM"</f>
        <v>12/19/2019 7:00:35 AM</v>
      </c>
      <c r="I863" t="str">
        <f>""</f>
        <v/>
      </c>
      <c r="J863" t="str">
        <f t="shared" si="342"/>
        <v>Elite</v>
      </c>
      <c r="K863" t="str">
        <f t="shared" si="351"/>
        <v>Device</v>
      </c>
      <c r="L863" t="str">
        <f t="shared" si="356"/>
        <v>777251579</v>
      </c>
      <c r="M863" t="str">
        <f t="shared" si="357"/>
        <v>16719461</v>
      </c>
      <c r="N863" t="str">
        <f t="shared" si="358"/>
        <v>5030-18</v>
      </c>
      <c r="O863" t="str">
        <f t="shared" si="346"/>
        <v>TEXAS</v>
      </c>
      <c r="P863" t="str">
        <f t="shared" si="347"/>
        <v>N A</v>
      </c>
      <c r="Q863" t="str">
        <f t="shared" si="348"/>
        <v>N/A</v>
      </c>
      <c r="R863" t="str">
        <f>"45SE MLPWB 02 611"</f>
        <v>45SE MLPWB 02 611</v>
      </c>
      <c r="S863" t="str">
        <f>"12/18/2019 4:02:07 PM"</f>
        <v>12/18/2019 4:02:07 PM</v>
      </c>
      <c r="T863" t="str">
        <f t="shared" si="339"/>
        <v>5</v>
      </c>
      <c r="U863" t="str">
        <f t="shared" si="349"/>
        <v>N/A</v>
      </c>
      <c r="V863" t="str">
        <f>"3.3000"</f>
        <v>3.3000</v>
      </c>
    </row>
    <row r="864" spans="1:22" x14ac:dyDescent="0.25">
      <c r="A864" s="1" t="str">
        <f t="shared" si="341"/>
        <v>5030-</v>
      </c>
      <c r="B864" s="1" t="str">
        <f t="shared" si="350"/>
        <v>5030-</v>
      </c>
      <c r="C864" s="1" t="s">
        <v>8893</v>
      </c>
      <c r="D864" s="1" t="s">
        <v>91</v>
      </c>
      <c r="E864" s="1" t="s">
        <v>1738</v>
      </c>
      <c r="F864" s="1" t="s">
        <v>22</v>
      </c>
      <c r="G864" s="1" t="e">
        <f>VLOOKUP(C864,'Master truck list'!E:R,14,0)</f>
        <v>#N/A</v>
      </c>
      <c r="H864" t="str">
        <f>"12/19/2019 7:00:35 AM"</f>
        <v>12/19/2019 7:00:35 AM</v>
      </c>
      <c r="I864" t="str">
        <f>""</f>
        <v/>
      </c>
      <c r="J864" t="str">
        <f t="shared" si="342"/>
        <v>Elite</v>
      </c>
      <c r="K864" t="str">
        <f t="shared" si="351"/>
        <v>Device</v>
      </c>
      <c r="L864" t="str">
        <f t="shared" si="356"/>
        <v>777251579</v>
      </c>
      <c r="M864" t="str">
        <f t="shared" si="357"/>
        <v>16719461</v>
      </c>
      <c r="N864" t="str">
        <f t="shared" si="358"/>
        <v>5030-18</v>
      </c>
      <c r="O864" t="str">
        <f t="shared" si="346"/>
        <v>TEXAS</v>
      </c>
      <c r="P864" t="str">
        <f t="shared" si="347"/>
        <v>N A</v>
      </c>
      <c r="Q864" t="str">
        <f t="shared" si="348"/>
        <v>N/A</v>
      </c>
      <c r="R864" t="str">
        <f>"130 MGCRP 06 305"</f>
        <v>130 MGCRP 06 305</v>
      </c>
      <c r="S864" t="str">
        <f>"12/18/2019 3:22:54 PM"</f>
        <v>12/18/2019 3:22:54 PM</v>
      </c>
      <c r="T864" t="str">
        <f t="shared" si="339"/>
        <v>5</v>
      </c>
      <c r="U864" t="str">
        <f t="shared" si="349"/>
        <v>N/A</v>
      </c>
      <c r="V864" t="str">
        <f t="shared" ref="V864:V869" si="359">"5.5500"</f>
        <v>5.5500</v>
      </c>
    </row>
    <row r="865" spans="1:22" x14ac:dyDescent="0.25">
      <c r="A865" s="1" t="str">
        <f t="shared" si="341"/>
        <v>5030-</v>
      </c>
      <c r="B865" s="1" t="str">
        <f t="shared" si="350"/>
        <v>5030-</v>
      </c>
      <c r="C865" s="1" t="str">
        <f>VLOOKUP(B865,'Master truck list'!D:E,2,0)</f>
        <v>5030-18L</v>
      </c>
      <c r="D865" s="1" t="str">
        <f>VLOOKUP(C865,'Master truck list'!E:F,2,0)</f>
        <v>OUT OF SERVICE</v>
      </c>
      <c r="E865" s="1" t="str">
        <f>VLOOKUP(C865,'Master truck list'!E:M,9,0)</f>
        <v>BNK TRANSPORT INC</v>
      </c>
      <c r="F865" s="1" t="str">
        <f>VLOOKUP(C865,'Master truck list'!E:G,3,0)</f>
        <v>Owner Operator</v>
      </c>
      <c r="G865" s="1">
        <f>VLOOKUP(C865,'Master truck list'!E:R,14,0)</f>
        <v>2100</v>
      </c>
      <c r="H865" t="str">
        <f>"12/20/2019 7:00:30 AM"</f>
        <v>12/20/2019 7:00:30 AM</v>
      </c>
      <c r="I865" t="str">
        <f>""</f>
        <v/>
      </c>
      <c r="J865" t="str">
        <f t="shared" si="342"/>
        <v>Elite</v>
      </c>
      <c r="K865" t="str">
        <f t="shared" si="351"/>
        <v>Device</v>
      </c>
      <c r="L865" t="str">
        <f t="shared" si="356"/>
        <v>777251579</v>
      </c>
      <c r="M865" t="str">
        <f t="shared" si="357"/>
        <v>16719461</v>
      </c>
      <c r="N865" t="str">
        <f t="shared" si="358"/>
        <v>5030-18</v>
      </c>
      <c r="O865" t="str">
        <f t="shared" si="346"/>
        <v>TEXAS</v>
      </c>
      <c r="P865" t="str">
        <f t="shared" si="347"/>
        <v>N A</v>
      </c>
      <c r="Q865" t="str">
        <f t="shared" si="348"/>
        <v>N/A</v>
      </c>
      <c r="R865" t="str">
        <f>"130 ARPTP 09 308"</f>
        <v>130 ARPTP 09 308</v>
      </c>
      <c r="S865" t="str">
        <f>"12/19/2019 6:03:46 AM"</f>
        <v>12/19/2019 6:03:46 AM</v>
      </c>
      <c r="T865" t="str">
        <f t="shared" si="339"/>
        <v>5</v>
      </c>
      <c r="U865" t="str">
        <f t="shared" si="349"/>
        <v>N/A</v>
      </c>
      <c r="V865" t="str">
        <f t="shared" si="359"/>
        <v>5.5500</v>
      </c>
    </row>
    <row r="866" spans="1:22" x14ac:dyDescent="0.25">
      <c r="A866" s="1" t="str">
        <f t="shared" si="341"/>
        <v>5030-</v>
      </c>
      <c r="B866" s="1" t="str">
        <f t="shared" si="350"/>
        <v>5030-</v>
      </c>
      <c r="C866" s="1" t="str">
        <f>VLOOKUP(B866,'Master truck list'!D:E,2,0)</f>
        <v>5030-18L</v>
      </c>
      <c r="D866" s="1" t="str">
        <f>VLOOKUP(C866,'Master truck list'!E:F,2,0)</f>
        <v>OUT OF SERVICE</v>
      </c>
      <c r="E866" s="1" t="str">
        <f>VLOOKUP(C866,'Master truck list'!E:M,9,0)</f>
        <v>BNK TRANSPORT INC</v>
      </c>
      <c r="F866" s="1" t="str">
        <f>VLOOKUP(C866,'Master truck list'!E:G,3,0)</f>
        <v>Owner Operator</v>
      </c>
      <c r="G866" s="1">
        <f>VLOOKUP(C866,'Master truck list'!E:R,14,0)</f>
        <v>2100</v>
      </c>
      <c r="H866" t="str">
        <f>"12/19/2019 7:00:35 AM"</f>
        <v>12/19/2019 7:00:35 AM</v>
      </c>
      <c r="I866" t="str">
        <f>""</f>
        <v/>
      </c>
      <c r="J866" t="str">
        <f t="shared" si="342"/>
        <v>Elite</v>
      </c>
      <c r="K866" t="str">
        <f t="shared" si="351"/>
        <v>Device</v>
      </c>
      <c r="L866" t="str">
        <f t="shared" si="356"/>
        <v>777251579</v>
      </c>
      <c r="M866" t="str">
        <f t="shared" si="357"/>
        <v>16719461</v>
      </c>
      <c r="N866" t="str">
        <f t="shared" si="358"/>
        <v>5030-18</v>
      </c>
      <c r="O866" t="str">
        <f t="shared" si="346"/>
        <v>TEXAS</v>
      </c>
      <c r="P866" t="str">
        <f t="shared" si="347"/>
        <v>N A</v>
      </c>
      <c r="Q866" t="str">
        <f t="shared" si="348"/>
        <v>N/A</v>
      </c>
      <c r="R866" t="str">
        <f>"130 DKCRP 06 307"</f>
        <v>130 DKCRP 06 307</v>
      </c>
      <c r="S866" t="str">
        <f>"12/18/2019 3:44:20 PM"</f>
        <v>12/18/2019 3:44:20 PM</v>
      </c>
      <c r="T866" t="str">
        <f t="shared" si="339"/>
        <v>5</v>
      </c>
      <c r="U866" t="str">
        <f t="shared" si="349"/>
        <v>N/A</v>
      </c>
      <c r="V866" t="str">
        <f t="shared" si="359"/>
        <v>5.5500</v>
      </c>
    </row>
    <row r="867" spans="1:22" x14ac:dyDescent="0.25">
      <c r="A867" s="1" t="str">
        <f t="shared" si="341"/>
        <v>5030-</v>
      </c>
      <c r="B867" s="1" t="str">
        <f t="shared" si="350"/>
        <v>5030-</v>
      </c>
      <c r="C867" s="1" t="str">
        <f>VLOOKUP(B867,'Master truck list'!D:E,2,0)</f>
        <v>5030-18L</v>
      </c>
      <c r="D867" s="1" t="str">
        <f>VLOOKUP(C867,'Master truck list'!E:F,2,0)</f>
        <v>OUT OF SERVICE</v>
      </c>
      <c r="E867" s="1" t="str">
        <f>VLOOKUP(C867,'Master truck list'!E:M,9,0)</f>
        <v>BNK TRANSPORT INC</v>
      </c>
      <c r="F867" s="1" t="str">
        <f>VLOOKUP(C867,'Master truck list'!E:G,3,0)</f>
        <v>Owner Operator</v>
      </c>
      <c r="G867" s="1">
        <f>VLOOKUP(C867,'Master truck list'!E:R,14,0)</f>
        <v>2100</v>
      </c>
      <c r="H867" t="str">
        <f>"12/20/2019 7:00:30 AM"</f>
        <v>12/20/2019 7:00:30 AM</v>
      </c>
      <c r="I867" t="str">
        <f>""</f>
        <v/>
      </c>
      <c r="J867" t="str">
        <f t="shared" si="342"/>
        <v>Elite</v>
      </c>
      <c r="K867" t="str">
        <f t="shared" si="351"/>
        <v>Device</v>
      </c>
      <c r="L867" t="str">
        <f t="shared" si="356"/>
        <v>777251579</v>
      </c>
      <c r="M867" t="str">
        <f t="shared" si="357"/>
        <v>16719461</v>
      </c>
      <c r="N867" t="str">
        <f t="shared" si="358"/>
        <v>5030-18</v>
      </c>
      <c r="O867" t="str">
        <f t="shared" si="346"/>
        <v>TEXAS</v>
      </c>
      <c r="P867" t="str">
        <f t="shared" si="347"/>
        <v>N A</v>
      </c>
      <c r="Q867" t="str">
        <f t="shared" si="348"/>
        <v>N/A</v>
      </c>
      <c r="R867" t="str">
        <f>"130 MGCRP 11 305"</f>
        <v>130 MGCRP 11 305</v>
      </c>
      <c r="S867" t="str">
        <f>"12/19/2019 6:31:28 AM"</f>
        <v>12/19/2019 6:31:28 AM</v>
      </c>
      <c r="T867" t="str">
        <f t="shared" si="339"/>
        <v>5</v>
      </c>
      <c r="U867" t="str">
        <f t="shared" si="349"/>
        <v>N/A</v>
      </c>
      <c r="V867" t="str">
        <f t="shared" si="359"/>
        <v>5.5500</v>
      </c>
    </row>
    <row r="868" spans="1:22" x14ac:dyDescent="0.25">
      <c r="A868" s="1" t="str">
        <f t="shared" si="341"/>
        <v>5030-</v>
      </c>
      <c r="B868" s="1" t="str">
        <f t="shared" si="350"/>
        <v>5030-</v>
      </c>
      <c r="C868" s="1" t="s">
        <v>8894</v>
      </c>
      <c r="D868" s="1" t="s">
        <v>91</v>
      </c>
      <c r="E868" s="1" t="s">
        <v>1738</v>
      </c>
      <c r="F868" s="1" t="s">
        <v>22</v>
      </c>
      <c r="G868" s="1" t="e">
        <f>VLOOKUP(C868,'Master truck list'!E:R,14,0)</f>
        <v>#N/A</v>
      </c>
      <c r="H868" t="str">
        <f>"12/20/2019 7:00:30 AM"</f>
        <v>12/20/2019 7:00:30 AM</v>
      </c>
      <c r="I868" t="str">
        <f>""</f>
        <v/>
      </c>
      <c r="J868" t="str">
        <f t="shared" si="342"/>
        <v>Elite</v>
      </c>
      <c r="K868" t="str">
        <f t="shared" si="351"/>
        <v>Device</v>
      </c>
      <c r="L868" t="str">
        <f t="shared" si="356"/>
        <v>777251579</v>
      </c>
      <c r="M868" t="str">
        <f t="shared" si="357"/>
        <v>16719461</v>
      </c>
      <c r="N868" t="str">
        <f t="shared" si="358"/>
        <v>5030-18</v>
      </c>
      <c r="O868" t="str">
        <f t="shared" si="346"/>
        <v>TEXAS</v>
      </c>
      <c r="P868" t="str">
        <f t="shared" si="347"/>
        <v>N A</v>
      </c>
      <c r="Q868" t="str">
        <f t="shared" si="348"/>
        <v>N/A</v>
      </c>
      <c r="R868" t="str">
        <f>"130 CMRNP 12 306"</f>
        <v>130 CMRNP 12 306</v>
      </c>
      <c r="S868" t="str">
        <f>"12/19/2019 6:20:34 AM"</f>
        <v>12/19/2019 6:20:34 AM</v>
      </c>
      <c r="T868" t="str">
        <f t="shared" si="339"/>
        <v>5</v>
      </c>
      <c r="U868" t="str">
        <f t="shared" si="349"/>
        <v>N/A</v>
      </c>
      <c r="V868" t="str">
        <f t="shared" si="359"/>
        <v>5.5500</v>
      </c>
    </row>
    <row r="869" spans="1:22" x14ac:dyDescent="0.25">
      <c r="A869" s="1" t="str">
        <f t="shared" si="341"/>
        <v>5030-</v>
      </c>
      <c r="B869" s="1" t="str">
        <f t="shared" si="350"/>
        <v>5030-</v>
      </c>
      <c r="C869" s="1" t="s">
        <v>8890</v>
      </c>
      <c r="D869" s="1" t="s">
        <v>91</v>
      </c>
      <c r="E869" s="1" t="s">
        <v>154</v>
      </c>
      <c r="F869" s="1" t="s">
        <v>22</v>
      </c>
      <c r="G869" s="1" t="e">
        <f>VLOOKUP(C869,'Master truck list'!E:R,14,0)</f>
        <v>#N/A</v>
      </c>
      <c r="H869" t="str">
        <f>"12/20/2019 7:00:30 AM"</f>
        <v>12/20/2019 7:00:30 AM</v>
      </c>
      <c r="I869" t="str">
        <f>""</f>
        <v/>
      </c>
      <c r="J869" t="str">
        <f t="shared" si="342"/>
        <v>Elite</v>
      </c>
      <c r="K869" t="str">
        <f t="shared" si="351"/>
        <v>Device</v>
      </c>
      <c r="L869" t="str">
        <f t="shared" si="356"/>
        <v>777251579</v>
      </c>
      <c r="M869" t="str">
        <f t="shared" si="357"/>
        <v>16719461</v>
      </c>
      <c r="N869" t="str">
        <f t="shared" si="358"/>
        <v>5030-18</v>
      </c>
      <c r="O869" t="str">
        <f t="shared" si="346"/>
        <v>TEXAS</v>
      </c>
      <c r="P869" t="str">
        <f t="shared" si="347"/>
        <v>N A</v>
      </c>
      <c r="Q869" t="str">
        <f t="shared" si="348"/>
        <v>N/A</v>
      </c>
      <c r="R869" t="str">
        <f>"130 DKCRP 11 307"</f>
        <v>130 DKCRP 11 307</v>
      </c>
      <c r="S869" t="str">
        <f>"12/19/2019 6:10:40 AM"</f>
        <v>12/19/2019 6:10:40 AM</v>
      </c>
      <c r="T869" t="str">
        <f t="shared" si="339"/>
        <v>5</v>
      </c>
      <c r="U869" t="str">
        <f t="shared" si="349"/>
        <v>N/A</v>
      </c>
      <c r="V869" t="str">
        <f t="shared" si="359"/>
        <v>5.5500</v>
      </c>
    </row>
    <row r="870" spans="1:22" x14ac:dyDescent="0.25">
      <c r="A870" s="1" t="str">
        <f t="shared" si="341"/>
        <v>5030-</v>
      </c>
      <c r="B870" s="1" t="str">
        <f t="shared" si="350"/>
        <v>5030-</v>
      </c>
      <c r="C870" s="1" t="str">
        <f>VLOOKUP(B870,'Master truck list'!D:E,2,0)</f>
        <v>5030-18L</v>
      </c>
      <c r="D870" s="1" t="str">
        <f>VLOOKUP(C870,'Master truck list'!E:F,2,0)</f>
        <v>OUT OF SERVICE</v>
      </c>
      <c r="E870" s="1" t="str">
        <f>VLOOKUP(C870,'Master truck list'!E:M,9,0)</f>
        <v>BNK TRANSPORT INC</v>
      </c>
      <c r="F870" s="1" t="str">
        <f>VLOOKUP(C870,'Master truck list'!E:G,3,0)</f>
        <v>Owner Operator</v>
      </c>
      <c r="G870" s="1">
        <f>VLOOKUP(C870,'Master truck list'!E:R,14,0)</f>
        <v>2100</v>
      </c>
      <c r="H870" t="str">
        <f>"12/21/2019 7:00:28 AM"</f>
        <v>12/21/2019 7:00:28 AM</v>
      </c>
      <c r="I870" t="str">
        <f>""</f>
        <v/>
      </c>
      <c r="J870" t="str">
        <f t="shared" si="342"/>
        <v>Elite</v>
      </c>
      <c r="K870" t="str">
        <f t="shared" si="351"/>
        <v>Device</v>
      </c>
      <c r="L870" t="str">
        <f t="shared" si="356"/>
        <v>777251579</v>
      </c>
      <c r="M870" t="str">
        <f t="shared" si="357"/>
        <v>16719461</v>
      </c>
      <c r="N870" t="str">
        <f t="shared" si="358"/>
        <v>5030-18</v>
      </c>
      <c r="O870" t="str">
        <f t="shared" si="346"/>
        <v>TEXAS</v>
      </c>
      <c r="P870" t="str">
        <f t="shared" si="347"/>
        <v>N A</v>
      </c>
      <c r="Q870" t="str">
        <f t="shared" si="348"/>
        <v>N/A</v>
      </c>
      <c r="R870" t="str">
        <f>"130 SKYNP 02 4103"</f>
        <v>130 SKYNP 02 4103</v>
      </c>
      <c r="S870" t="str">
        <f>"12/19/2019 5:51:49 AM"</f>
        <v>12/19/2019 5:51:49 AM</v>
      </c>
      <c r="T870" t="str">
        <f>"15"</f>
        <v>15</v>
      </c>
      <c r="U870" t="str">
        <f t="shared" si="349"/>
        <v>N/A</v>
      </c>
      <c r="V870" t="str">
        <f>"9.3800"</f>
        <v>9.3800</v>
      </c>
    </row>
    <row r="871" spans="1:22" x14ac:dyDescent="0.25">
      <c r="A871" s="1" t="str">
        <f t="shared" si="341"/>
        <v>5030-</v>
      </c>
      <c r="B871" s="1" t="str">
        <f t="shared" si="350"/>
        <v>5030-</v>
      </c>
      <c r="C871" s="1" t="s">
        <v>8893</v>
      </c>
      <c r="D871" s="1" t="s">
        <v>91</v>
      </c>
      <c r="E871" s="1" t="s">
        <v>1738</v>
      </c>
      <c r="F871" s="1" t="s">
        <v>22</v>
      </c>
      <c r="G871" s="1" t="e">
        <f>VLOOKUP(C871,'Master truck list'!E:R,14,0)</f>
        <v>#N/A</v>
      </c>
      <c r="H871" t="str">
        <f>"12/21/2019 7:00:28 AM"</f>
        <v>12/21/2019 7:00:28 AM</v>
      </c>
      <c r="I871" t="str">
        <f>""</f>
        <v/>
      </c>
      <c r="J871" t="str">
        <f t="shared" si="342"/>
        <v>Elite</v>
      </c>
      <c r="K871" t="str">
        <f t="shared" si="351"/>
        <v>Device</v>
      </c>
      <c r="L871" t="str">
        <f t="shared" si="356"/>
        <v>777251579</v>
      </c>
      <c r="M871" t="str">
        <f t="shared" si="357"/>
        <v>16719461</v>
      </c>
      <c r="N871" t="str">
        <f t="shared" si="358"/>
        <v>5030-18</v>
      </c>
      <c r="O871" t="str">
        <f t="shared" si="346"/>
        <v>TEXAS</v>
      </c>
      <c r="P871" t="str">
        <f t="shared" si="347"/>
        <v>N A</v>
      </c>
      <c r="Q871" t="str">
        <f t="shared" si="348"/>
        <v>N/A</v>
      </c>
      <c r="R871" t="str">
        <f>"130 BLUENP 01 4109"</f>
        <v>130 BLUENP 01 4109</v>
      </c>
      <c r="S871" t="str">
        <f>"12/19/2019 5:38:40 AM"</f>
        <v>12/19/2019 5:38:40 AM</v>
      </c>
      <c r="T871" t="str">
        <f>"15"</f>
        <v>15</v>
      </c>
      <c r="U871" t="str">
        <f t="shared" si="349"/>
        <v>N/A</v>
      </c>
      <c r="V871" t="str">
        <f>"20.4900"</f>
        <v>20.4900</v>
      </c>
    </row>
    <row r="872" spans="1:22" x14ac:dyDescent="0.25">
      <c r="A872" s="1" t="str">
        <f t="shared" si="341"/>
        <v>2340-</v>
      </c>
      <c r="B872" s="1" t="str">
        <f t="shared" si="350"/>
        <v>2340-</v>
      </c>
      <c r="C872" s="1" t="str">
        <f>VLOOKUP(B872,'Master truck list'!D:E,2,0)</f>
        <v>2340-18A</v>
      </c>
      <c r="D872" s="1" t="str">
        <f>VLOOKUP(C872,'Master truck list'!E:F,2,0)</f>
        <v>ACTIVE</v>
      </c>
      <c r="E872" s="1" t="str">
        <f>VLOOKUP(C872,'Master truck list'!E:M,9,0)</f>
        <v>CHARGER LOGISTICS USA INC</v>
      </c>
      <c r="F872" s="1" t="str">
        <f>VLOOKUP(C872,'Master truck list'!E:G,3,0)</f>
        <v>Company</v>
      </c>
      <c r="G872" s="1">
        <f>VLOOKUP(C872,'Master truck list'!E:R,14,0)</f>
        <v>1200</v>
      </c>
      <c r="H872" t="str">
        <f>"12/17/2019 7:00:33 AM"</f>
        <v>12/17/2019 7:00:33 AM</v>
      </c>
      <c r="I872" t="str">
        <f>""</f>
        <v/>
      </c>
      <c r="J872" t="str">
        <f t="shared" si="342"/>
        <v>Elite</v>
      </c>
      <c r="K872" t="str">
        <f t="shared" si="351"/>
        <v>Device</v>
      </c>
      <c r="L872" t="str">
        <f>"777238120"</f>
        <v>777238120</v>
      </c>
      <c r="M872" t="str">
        <f>"16670877"</f>
        <v>16670877</v>
      </c>
      <c r="N872" t="str">
        <f>"2340-18A"</f>
        <v>2340-18A</v>
      </c>
      <c r="O872" t="str">
        <f t="shared" si="346"/>
        <v>TEXAS</v>
      </c>
      <c r="P872" t="str">
        <f t="shared" si="347"/>
        <v>N A</v>
      </c>
      <c r="Q872" t="str">
        <f t="shared" si="348"/>
        <v>N/A</v>
      </c>
      <c r="R872" t="str">
        <f>"130 DKCRP 11 307"</f>
        <v>130 DKCRP 11 307</v>
      </c>
      <c r="S872" t="str">
        <f>"12/16/2019 3:51:59 PM"</f>
        <v>12/16/2019 3:51:59 PM</v>
      </c>
      <c r="T872" t="str">
        <f t="shared" ref="T872:T895" si="360">"5"</f>
        <v>5</v>
      </c>
      <c r="U872" t="str">
        <f t="shared" si="349"/>
        <v>N/A</v>
      </c>
      <c r="V872" t="str">
        <f>"5.5500"</f>
        <v>5.5500</v>
      </c>
    </row>
    <row r="873" spans="1:22" x14ac:dyDescent="0.25">
      <c r="A873" s="1" t="str">
        <f t="shared" si="341"/>
        <v>2340-</v>
      </c>
      <c r="B873" s="1" t="str">
        <f t="shared" si="350"/>
        <v>2340-</v>
      </c>
      <c r="C873" s="1" t="str">
        <f>VLOOKUP(B873,'Master truck list'!D:E,2,0)</f>
        <v>2340-18A</v>
      </c>
      <c r="D873" s="1" t="str">
        <f>VLOOKUP(C873,'Master truck list'!E:F,2,0)</f>
        <v>ACTIVE</v>
      </c>
      <c r="E873" s="1" t="str">
        <f>VLOOKUP(C873,'Master truck list'!E:M,9,0)</f>
        <v>CHARGER LOGISTICS USA INC</v>
      </c>
      <c r="F873" s="1" t="str">
        <f>VLOOKUP(C873,'Master truck list'!E:G,3,0)</f>
        <v>Company</v>
      </c>
      <c r="G873" s="1">
        <f>VLOOKUP(C873,'Master truck list'!E:R,14,0)</f>
        <v>1200</v>
      </c>
      <c r="H873" t="str">
        <f>"12/17/2019 7:00:33 AM"</f>
        <v>12/17/2019 7:00:33 AM</v>
      </c>
      <c r="I873" t="str">
        <f>""</f>
        <v/>
      </c>
      <c r="J873" t="str">
        <f t="shared" si="342"/>
        <v>Elite</v>
      </c>
      <c r="K873" t="str">
        <f t="shared" si="351"/>
        <v>Device</v>
      </c>
      <c r="L873" t="str">
        <f>"777238120"</f>
        <v>777238120</v>
      </c>
      <c r="M873" t="str">
        <f>"16670877"</f>
        <v>16670877</v>
      </c>
      <c r="N873" t="str">
        <f>"2340-18A"</f>
        <v>2340-18A</v>
      </c>
      <c r="O873" t="str">
        <f t="shared" si="346"/>
        <v>TEXAS</v>
      </c>
      <c r="P873" t="str">
        <f t="shared" si="347"/>
        <v>N A</v>
      </c>
      <c r="Q873" t="str">
        <f t="shared" si="348"/>
        <v>N/A</v>
      </c>
      <c r="R873" t="str">
        <f>"45SE MLPEB 02 611"</f>
        <v>45SE MLPEB 02 611</v>
      </c>
      <c r="S873" t="str">
        <f>"12/16/2019 3:34:28 PM"</f>
        <v>12/16/2019 3:34:28 PM</v>
      </c>
      <c r="T873" t="str">
        <f t="shared" si="360"/>
        <v>5</v>
      </c>
      <c r="U873" t="str">
        <f t="shared" si="349"/>
        <v>N/A</v>
      </c>
      <c r="V873" t="str">
        <f>"3.3000"</f>
        <v>3.3000</v>
      </c>
    </row>
    <row r="874" spans="1:22" x14ac:dyDescent="0.25">
      <c r="A874" s="1" t="str">
        <f t="shared" si="341"/>
        <v>2340-</v>
      </c>
      <c r="B874" s="1" t="str">
        <f t="shared" si="350"/>
        <v>2340-</v>
      </c>
      <c r="C874" s="1" t="s">
        <v>8887</v>
      </c>
      <c r="D874" s="1" t="s">
        <v>91</v>
      </c>
      <c r="E874" s="1" t="s">
        <v>1738</v>
      </c>
      <c r="F874" s="1" t="s">
        <v>22</v>
      </c>
      <c r="G874" s="1" t="e">
        <f>VLOOKUP(C874,'Master truck list'!E:R,14,0)</f>
        <v>#N/A</v>
      </c>
      <c r="H874" t="str">
        <f>"12/17/2019 7:00:33 AM"</f>
        <v>12/17/2019 7:00:33 AM</v>
      </c>
      <c r="I874" t="str">
        <f>""</f>
        <v/>
      </c>
      <c r="J874" t="str">
        <f t="shared" si="342"/>
        <v>Elite</v>
      </c>
      <c r="K874" t="str">
        <f t="shared" si="351"/>
        <v>Device</v>
      </c>
      <c r="L874" t="str">
        <f>"777238120"</f>
        <v>777238120</v>
      </c>
      <c r="M874" t="str">
        <f>"16670877"</f>
        <v>16670877</v>
      </c>
      <c r="N874" t="str">
        <f>"2340-18A"</f>
        <v>2340-18A</v>
      </c>
      <c r="O874" t="str">
        <f t="shared" si="346"/>
        <v>TEXAS</v>
      </c>
      <c r="P874" t="str">
        <f t="shared" si="347"/>
        <v>N A</v>
      </c>
      <c r="Q874" t="str">
        <f t="shared" si="348"/>
        <v>N/A</v>
      </c>
      <c r="R874" t="str">
        <f>"130 ARPTP 09 308"</f>
        <v>130 ARPTP 09 308</v>
      </c>
      <c r="S874" t="str">
        <f>"12/16/2019 3:45:03 PM"</f>
        <v>12/16/2019 3:45:03 PM</v>
      </c>
      <c r="T874" t="str">
        <f t="shared" si="360"/>
        <v>5</v>
      </c>
      <c r="U874" t="str">
        <f t="shared" si="349"/>
        <v>N/A</v>
      </c>
      <c r="V874" t="str">
        <f t="shared" ref="V874:V882" si="361">"5.5500"</f>
        <v>5.5500</v>
      </c>
    </row>
    <row r="875" spans="1:22" x14ac:dyDescent="0.25">
      <c r="A875" s="1" t="str">
        <f t="shared" si="341"/>
        <v>2340-</v>
      </c>
      <c r="B875" s="1" t="str">
        <f t="shared" si="350"/>
        <v>2340-</v>
      </c>
      <c r="C875" s="1" t="str">
        <f>VLOOKUP(B875,'Master truck list'!D:E,2,0)</f>
        <v>2340-18A</v>
      </c>
      <c r="D875" s="1" t="str">
        <f>VLOOKUP(C875,'Master truck list'!E:F,2,0)</f>
        <v>ACTIVE</v>
      </c>
      <c r="E875" s="1" t="str">
        <f>VLOOKUP(C875,'Master truck list'!E:M,9,0)</f>
        <v>CHARGER LOGISTICS USA INC</v>
      </c>
      <c r="F875" s="1" t="str">
        <f>VLOOKUP(C875,'Master truck list'!E:G,3,0)</f>
        <v>Company</v>
      </c>
      <c r="G875" s="1">
        <f>VLOOKUP(C875,'Master truck list'!E:R,14,0)</f>
        <v>1200</v>
      </c>
      <c r="H875" t="str">
        <f>"12/17/2019 7:00:33 AM"</f>
        <v>12/17/2019 7:00:33 AM</v>
      </c>
      <c r="I875" t="str">
        <f>""</f>
        <v/>
      </c>
      <c r="J875" t="str">
        <f t="shared" si="342"/>
        <v>Elite</v>
      </c>
      <c r="K875" t="str">
        <f t="shared" si="351"/>
        <v>Device</v>
      </c>
      <c r="L875" t="str">
        <f>"777238120"</f>
        <v>777238120</v>
      </c>
      <c r="M875" t="str">
        <f>"16670877"</f>
        <v>16670877</v>
      </c>
      <c r="N875" t="str">
        <f>"2340-18A"</f>
        <v>2340-18A</v>
      </c>
      <c r="O875" t="str">
        <f t="shared" si="346"/>
        <v>TEXAS</v>
      </c>
      <c r="P875" t="str">
        <f t="shared" si="347"/>
        <v>N A</v>
      </c>
      <c r="Q875" t="str">
        <f t="shared" si="348"/>
        <v>N/A</v>
      </c>
      <c r="R875" t="str">
        <f>"130 CMRNP 13 306"</f>
        <v>130 CMRNP 13 306</v>
      </c>
      <c r="S875" t="str">
        <f>"12/16/2019 4:02:01 PM"</f>
        <v>12/16/2019 4:02:01 PM</v>
      </c>
      <c r="T875" t="str">
        <f t="shared" si="360"/>
        <v>5</v>
      </c>
      <c r="U875" t="str">
        <f t="shared" si="349"/>
        <v>N/A</v>
      </c>
      <c r="V875" t="str">
        <f t="shared" si="361"/>
        <v>5.5500</v>
      </c>
    </row>
    <row r="876" spans="1:22" x14ac:dyDescent="0.25">
      <c r="A876" s="1" t="str">
        <f t="shared" si="341"/>
        <v>5021-</v>
      </c>
      <c r="B876" s="1" t="str">
        <f t="shared" si="350"/>
        <v>5021-</v>
      </c>
      <c r="C876" s="1" t="s">
        <v>8895</v>
      </c>
      <c r="D876" s="1" t="s">
        <v>91</v>
      </c>
      <c r="E876" s="1" t="s">
        <v>154</v>
      </c>
      <c r="F876" s="1" t="s">
        <v>22</v>
      </c>
      <c r="G876" s="1" t="e">
        <f>VLOOKUP(C876,'Master truck list'!E:R,14,0)</f>
        <v>#N/A</v>
      </c>
      <c r="H876" t="str">
        <f t="shared" ref="H876:H889" si="362">"12/21/2019 7:00:28 AM"</f>
        <v>12/21/2019 7:00:28 AM</v>
      </c>
      <c r="I876" t="str">
        <f>""</f>
        <v/>
      </c>
      <c r="J876" t="str">
        <f t="shared" si="342"/>
        <v>Elite</v>
      </c>
      <c r="K876" t="str">
        <f t="shared" si="351"/>
        <v>Device</v>
      </c>
      <c r="L876" t="str">
        <f>"777246238"</f>
        <v>777246238</v>
      </c>
      <c r="M876" t="str">
        <f>"16714120"</f>
        <v>16714120</v>
      </c>
      <c r="N876" t="str">
        <f>"5021-18L"</f>
        <v>5021-18L</v>
      </c>
      <c r="O876" t="str">
        <f t="shared" si="346"/>
        <v>TEXAS</v>
      </c>
      <c r="P876" t="str">
        <f t="shared" si="347"/>
        <v>N A</v>
      </c>
      <c r="Q876" t="str">
        <f t="shared" si="348"/>
        <v>N/A</v>
      </c>
      <c r="R876" t="str">
        <f>"130 ARPTP 05 308"</f>
        <v>130 ARPTP 05 308</v>
      </c>
      <c r="S876" t="str">
        <f>"12/20/2019 2:53:58 PM"</f>
        <v>12/20/2019 2:53:58 PM</v>
      </c>
      <c r="T876" t="str">
        <f t="shared" si="360"/>
        <v>5</v>
      </c>
      <c r="U876" t="str">
        <f t="shared" si="349"/>
        <v>N/A</v>
      </c>
      <c r="V876" t="str">
        <f t="shared" si="361"/>
        <v>5.5500</v>
      </c>
    </row>
    <row r="877" spans="1:22" x14ac:dyDescent="0.25">
      <c r="A877" s="1" t="str">
        <f t="shared" si="341"/>
        <v>5021-</v>
      </c>
      <c r="B877" s="1" t="str">
        <f t="shared" si="350"/>
        <v>5021-</v>
      </c>
      <c r="C877" s="1" t="s">
        <v>8895</v>
      </c>
      <c r="D877" s="1" t="s">
        <v>91</v>
      </c>
      <c r="E877" s="1" t="s">
        <v>154</v>
      </c>
      <c r="F877" s="1" t="s">
        <v>22</v>
      </c>
      <c r="G877" s="1" t="e">
        <f>VLOOKUP(C877,'Master truck list'!E:R,14,0)</f>
        <v>#N/A</v>
      </c>
      <c r="H877" t="str">
        <f t="shared" si="362"/>
        <v>12/21/2019 7:00:28 AM</v>
      </c>
      <c r="I877" t="str">
        <f>""</f>
        <v/>
      </c>
      <c r="J877" t="str">
        <f t="shared" si="342"/>
        <v>Elite</v>
      </c>
      <c r="K877" t="str">
        <f t="shared" si="351"/>
        <v>Device</v>
      </c>
      <c r="L877" t="str">
        <f>"777246238"</f>
        <v>777246238</v>
      </c>
      <c r="M877" t="str">
        <f>"16714120"</f>
        <v>16714120</v>
      </c>
      <c r="N877" t="str">
        <f>"5021-18L"</f>
        <v>5021-18L</v>
      </c>
      <c r="O877" t="str">
        <f t="shared" si="346"/>
        <v>TEXAS</v>
      </c>
      <c r="P877" t="str">
        <f t="shared" si="347"/>
        <v>N A</v>
      </c>
      <c r="Q877" t="str">
        <f t="shared" si="348"/>
        <v>N/A</v>
      </c>
      <c r="R877" t="str">
        <f>"130 CMRNP 08 306"</f>
        <v>130 CMRNP 08 306</v>
      </c>
      <c r="S877" t="str">
        <f>"12/20/2019 2:36:57 PM"</f>
        <v>12/20/2019 2:36:57 PM</v>
      </c>
      <c r="T877" t="str">
        <f t="shared" si="360"/>
        <v>5</v>
      </c>
      <c r="U877" t="str">
        <f t="shared" si="349"/>
        <v>N/A</v>
      </c>
      <c r="V877" t="str">
        <f t="shared" si="361"/>
        <v>5.5500</v>
      </c>
    </row>
    <row r="878" spans="1:22" x14ac:dyDescent="0.25">
      <c r="A878" s="1" t="str">
        <f t="shared" si="341"/>
        <v>5021-</v>
      </c>
      <c r="B878" s="1" t="str">
        <f t="shared" si="350"/>
        <v>5021-</v>
      </c>
      <c r="C878" s="1" t="s">
        <v>8890</v>
      </c>
      <c r="D878" s="1" t="s">
        <v>91</v>
      </c>
      <c r="E878" s="1" t="s">
        <v>154</v>
      </c>
      <c r="F878" s="1" t="s">
        <v>22</v>
      </c>
      <c r="G878" s="1" t="e">
        <f>VLOOKUP(C878,'Master truck list'!E:R,14,0)</f>
        <v>#N/A</v>
      </c>
      <c r="H878" t="str">
        <f t="shared" si="362"/>
        <v>12/21/2019 7:00:28 AM</v>
      </c>
      <c r="I878" t="str">
        <f>""</f>
        <v/>
      </c>
      <c r="J878" t="str">
        <f t="shared" si="342"/>
        <v>Elite</v>
      </c>
      <c r="K878" t="str">
        <f t="shared" si="351"/>
        <v>Device</v>
      </c>
      <c r="L878" t="str">
        <f>"777246238"</f>
        <v>777246238</v>
      </c>
      <c r="M878" t="str">
        <f>"16714120"</f>
        <v>16714120</v>
      </c>
      <c r="N878" t="str">
        <f>"5021-18L"</f>
        <v>5021-18L</v>
      </c>
      <c r="O878" t="str">
        <f t="shared" si="346"/>
        <v>TEXAS</v>
      </c>
      <c r="P878" t="str">
        <f t="shared" si="347"/>
        <v>N A</v>
      </c>
      <c r="Q878" t="str">
        <f t="shared" si="348"/>
        <v>N/A</v>
      </c>
      <c r="R878" t="str">
        <f>"130 MGCRP 06 305"</f>
        <v>130 MGCRP 06 305</v>
      </c>
      <c r="S878" t="str">
        <f>"12/20/2019 2:25:54 PM"</f>
        <v>12/20/2019 2:25:54 PM</v>
      </c>
      <c r="T878" t="str">
        <f t="shared" si="360"/>
        <v>5</v>
      </c>
      <c r="U878" t="str">
        <f t="shared" si="349"/>
        <v>N/A</v>
      </c>
      <c r="V878" t="str">
        <f t="shared" si="361"/>
        <v>5.5500</v>
      </c>
    </row>
    <row r="879" spans="1:22" x14ac:dyDescent="0.25">
      <c r="A879" s="1" t="str">
        <f t="shared" si="341"/>
        <v>5021-</v>
      </c>
      <c r="B879" s="1" t="str">
        <f t="shared" si="350"/>
        <v>5021-</v>
      </c>
      <c r="C879" s="1" t="s">
        <v>8890</v>
      </c>
      <c r="D879" s="1" t="s">
        <v>91</v>
      </c>
      <c r="E879" s="1" t="s">
        <v>154</v>
      </c>
      <c r="F879" s="1" t="s">
        <v>22</v>
      </c>
      <c r="G879" s="1" t="e">
        <f>VLOOKUP(C879,'Master truck list'!E:R,14,0)</f>
        <v>#N/A</v>
      </c>
      <c r="H879" t="str">
        <f t="shared" si="362"/>
        <v>12/21/2019 7:00:28 AM</v>
      </c>
      <c r="I879" t="str">
        <f>""</f>
        <v/>
      </c>
      <c r="J879" t="str">
        <f t="shared" si="342"/>
        <v>Elite</v>
      </c>
      <c r="K879" t="str">
        <f t="shared" si="351"/>
        <v>Device</v>
      </c>
      <c r="L879" t="str">
        <f>"777246238"</f>
        <v>777246238</v>
      </c>
      <c r="M879" t="str">
        <f>"16714120"</f>
        <v>16714120</v>
      </c>
      <c r="N879" t="str">
        <f>"5021-18L"</f>
        <v>5021-18L</v>
      </c>
      <c r="O879" t="str">
        <f t="shared" si="346"/>
        <v>TEXAS</v>
      </c>
      <c r="P879" t="str">
        <f t="shared" si="347"/>
        <v>N A</v>
      </c>
      <c r="Q879" t="str">
        <f t="shared" si="348"/>
        <v>N/A</v>
      </c>
      <c r="R879" t="str">
        <f>"130 DKCRP 07 307"</f>
        <v>130 DKCRP 07 307</v>
      </c>
      <c r="S879" t="str">
        <f>"12/20/2019 2:47:01 PM"</f>
        <v>12/20/2019 2:47:01 PM</v>
      </c>
      <c r="T879" t="str">
        <f t="shared" si="360"/>
        <v>5</v>
      </c>
      <c r="U879" t="str">
        <f t="shared" si="349"/>
        <v>N/A</v>
      </c>
      <c r="V879" t="str">
        <f t="shared" si="361"/>
        <v>5.5500</v>
      </c>
    </row>
    <row r="880" spans="1:22" x14ac:dyDescent="0.25">
      <c r="A880" s="1" t="str">
        <f t="shared" si="341"/>
        <v>2326-</v>
      </c>
      <c r="B880" s="1" t="str">
        <f t="shared" si="350"/>
        <v>2326-</v>
      </c>
      <c r="C880" s="1" t="str">
        <f>VLOOKUP(B880,'Master truck list'!D:E,2,0)</f>
        <v>2326-18A</v>
      </c>
      <c r="D880" s="1" t="str">
        <f>VLOOKUP(C880,'Master truck list'!E:F,2,0)</f>
        <v>ACTIVE</v>
      </c>
      <c r="E880" s="1" t="str">
        <f>VLOOKUP(C880,'Master truck list'!E:M,9,0)</f>
        <v>CHARGER LOGISTICS USA INC</v>
      </c>
      <c r="F880" s="1" t="str">
        <f>VLOOKUP(C880,'Master truck list'!E:G,3,0)</f>
        <v>Company</v>
      </c>
      <c r="G880" s="1">
        <f>VLOOKUP(C880,'Master truck list'!E:R,14,0)</f>
        <v>1158</v>
      </c>
      <c r="H880" t="str">
        <f t="shared" si="362"/>
        <v>12/21/2019 7:00:28 AM</v>
      </c>
      <c r="I880" t="str">
        <f>""</f>
        <v/>
      </c>
      <c r="J880" t="str">
        <f t="shared" si="342"/>
        <v>Elite</v>
      </c>
      <c r="K880" t="str">
        <f t="shared" si="351"/>
        <v>Device</v>
      </c>
      <c r="L880" t="str">
        <f t="shared" ref="L880:L894" si="363">"777233827"</f>
        <v>777233827</v>
      </c>
      <c r="M880" t="str">
        <f t="shared" ref="M880:M894" si="364">"16607784"</f>
        <v>16607784</v>
      </c>
      <c r="N880" t="str">
        <f t="shared" ref="N880:N894" si="365">"2326-18A"</f>
        <v>2326-18A</v>
      </c>
      <c r="O880" t="str">
        <f t="shared" si="346"/>
        <v>TEXAS</v>
      </c>
      <c r="P880" t="str">
        <f t="shared" si="347"/>
        <v>N A</v>
      </c>
      <c r="Q880" t="str">
        <f t="shared" si="348"/>
        <v>N/A</v>
      </c>
      <c r="R880" t="str">
        <f>"130 DKCRP 06 307"</f>
        <v>130 DKCRP 06 307</v>
      </c>
      <c r="S880" t="str">
        <f>"12/20/2019 6:46:04 AM"</f>
        <v>12/20/2019 6:46:04 AM</v>
      </c>
      <c r="T880" t="str">
        <f t="shared" si="360"/>
        <v>5</v>
      </c>
      <c r="U880" t="str">
        <f t="shared" si="349"/>
        <v>N/A</v>
      </c>
      <c r="V880" t="str">
        <f t="shared" si="361"/>
        <v>5.5500</v>
      </c>
    </row>
    <row r="881" spans="1:22" x14ac:dyDescent="0.25">
      <c r="A881" s="1" t="str">
        <f t="shared" si="341"/>
        <v>2326-</v>
      </c>
      <c r="B881" s="1" t="str">
        <f t="shared" si="350"/>
        <v>2326-</v>
      </c>
      <c r="C881" s="1" t="s">
        <v>8893</v>
      </c>
      <c r="D881" s="1" t="s">
        <v>91</v>
      </c>
      <c r="E881" s="1" t="s">
        <v>1738</v>
      </c>
      <c r="F881" s="1" t="s">
        <v>22</v>
      </c>
      <c r="G881" s="1" t="e">
        <f>VLOOKUP(C881,'Master truck list'!E:R,14,0)</f>
        <v>#N/A</v>
      </c>
      <c r="H881" t="str">
        <f t="shared" si="362"/>
        <v>12/21/2019 7:00:28 AM</v>
      </c>
      <c r="I881" t="str">
        <f>""</f>
        <v/>
      </c>
      <c r="J881" t="str">
        <f t="shared" si="342"/>
        <v>Elite</v>
      </c>
      <c r="K881" t="str">
        <f t="shared" si="351"/>
        <v>Device</v>
      </c>
      <c r="L881" t="str">
        <f t="shared" si="363"/>
        <v>777233827</v>
      </c>
      <c r="M881" t="str">
        <f t="shared" si="364"/>
        <v>16607784</v>
      </c>
      <c r="N881" t="str">
        <f t="shared" si="365"/>
        <v>2326-18A</v>
      </c>
      <c r="O881" t="str">
        <f t="shared" si="346"/>
        <v>TEXAS</v>
      </c>
      <c r="P881" t="str">
        <f t="shared" si="347"/>
        <v>N A</v>
      </c>
      <c r="Q881" t="str">
        <f t="shared" si="348"/>
        <v>N/A</v>
      </c>
      <c r="R881" t="str">
        <f>"130 MGCRP 06 305"</f>
        <v>130 MGCRP 06 305</v>
      </c>
      <c r="S881" t="str">
        <f>"12/20/2019 6:25:13 AM"</f>
        <v>12/20/2019 6:25:13 AM</v>
      </c>
      <c r="T881" t="str">
        <f t="shared" si="360"/>
        <v>5</v>
      </c>
      <c r="U881" t="str">
        <f t="shared" si="349"/>
        <v>N/A</v>
      </c>
      <c r="V881" t="str">
        <f t="shared" si="361"/>
        <v>5.5500</v>
      </c>
    </row>
    <row r="882" spans="1:22" x14ac:dyDescent="0.25">
      <c r="A882" s="1" t="str">
        <f t="shared" si="341"/>
        <v>2326-</v>
      </c>
      <c r="B882" s="1" t="str">
        <f t="shared" si="350"/>
        <v>2326-</v>
      </c>
      <c r="C882" s="1" t="str">
        <f>VLOOKUP(B882,'Master truck list'!D:E,2,0)</f>
        <v>2326-18A</v>
      </c>
      <c r="D882" s="1" t="str">
        <f>VLOOKUP(C882,'Master truck list'!E:F,2,0)</f>
        <v>ACTIVE</v>
      </c>
      <c r="E882" s="1" t="str">
        <f>VLOOKUP(C882,'Master truck list'!E:M,9,0)</f>
        <v>CHARGER LOGISTICS USA INC</v>
      </c>
      <c r="F882" s="1" t="str">
        <f>VLOOKUP(C882,'Master truck list'!E:G,3,0)</f>
        <v>Company</v>
      </c>
      <c r="G882" s="1">
        <f>VLOOKUP(C882,'Master truck list'!E:R,14,0)</f>
        <v>1158</v>
      </c>
      <c r="H882" t="str">
        <f t="shared" si="362"/>
        <v>12/21/2019 7:00:28 AM</v>
      </c>
      <c r="I882" t="str">
        <f>""</f>
        <v/>
      </c>
      <c r="J882" t="str">
        <f t="shared" si="342"/>
        <v>Elite</v>
      </c>
      <c r="K882" t="str">
        <f t="shared" si="351"/>
        <v>Device</v>
      </c>
      <c r="L882" t="str">
        <f t="shared" si="363"/>
        <v>777233827</v>
      </c>
      <c r="M882" t="str">
        <f t="shared" si="364"/>
        <v>16607784</v>
      </c>
      <c r="N882" t="str">
        <f t="shared" si="365"/>
        <v>2326-18A</v>
      </c>
      <c r="O882" t="str">
        <f t="shared" si="346"/>
        <v>TEXAS</v>
      </c>
      <c r="P882" t="str">
        <f t="shared" si="347"/>
        <v>N A</v>
      </c>
      <c r="Q882" t="str">
        <f t="shared" si="348"/>
        <v>N/A</v>
      </c>
      <c r="R882" t="str">
        <f>"130 MGCRP 11 305"</f>
        <v>130 MGCRP 11 305</v>
      </c>
      <c r="S882" t="str">
        <f>"12/20/2019 5:49:06 PM"</f>
        <v>12/20/2019 5:49:06 PM</v>
      </c>
      <c r="T882" t="str">
        <f t="shared" si="360"/>
        <v>5</v>
      </c>
      <c r="U882" t="str">
        <f t="shared" si="349"/>
        <v>N/A</v>
      </c>
      <c r="V882" t="str">
        <f t="shared" si="361"/>
        <v>5.5500</v>
      </c>
    </row>
    <row r="883" spans="1:22" x14ac:dyDescent="0.25">
      <c r="A883" s="1" t="str">
        <f t="shared" si="341"/>
        <v>2326-</v>
      </c>
      <c r="B883" s="1" t="str">
        <f t="shared" si="350"/>
        <v>2326-</v>
      </c>
      <c r="C883" s="1" t="str">
        <f>VLOOKUP(B883,'Master truck list'!D:E,2,0)</f>
        <v>2326-18A</v>
      </c>
      <c r="D883" s="1" t="str">
        <f>VLOOKUP(C883,'Master truck list'!E:F,2,0)</f>
        <v>ACTIVE</v>
      </c>
      <c r="E883" s="1" t="str">
        <f>VLOOKUP(C883,'Master truck list'!E:M,9,0)</f>
        <v>CHARGER LOGISTICS USA INC</v>
      </c>
      <c r="F883" s="1" t="str">
        <f>VLOOKUP(C883,'Master truck list'!E:G,3,0)</f>
        <v>Company</v>
      </c>
      <c r="G883" s="1">
        <f>VLOOKUP(C883,'Master truck list'!E:R,14,0)</f>
        <v>1158</v>
      </c>
      <c r="H883" t="str">
        <f t="shared" si="362"/>
        <v>12/21/2019 7:00:28 AM</v>
      </c>
      <c r="I883" t="str">
        <f>""</f>
        <v/>
      </c>
      <c r="J883" t="str">
        <f t="shared" si="342"/>
        <v>Elite</v>
      </c>
      <c r="K883" t="str">
        <f t="shared" si="351"/>
        <v>Device</v>
      </c>
      <c r="L883" t="str">
        <f t="shared" si="363"/>
        <v>777233827</v>
      </c>
      <c r="M883" t="str">
        <f t="shared" si="364"/>
        <v>16607784</v>
      </c>
      <c r="N883" t="str">
        <f t="shared" si="365"/>
        <v>2326-18A</v>
      </c>
      <c r="O883" t="str">
        <f t="shared" si="346"/>
        <v>TEXAS</v>
      </c>
      <c r="P883" t="str">
        <f t="shared" si="347"/>
        <v>N A</v>
      </c>
      <c r="Q883" t="str">
        <f t="shared" si="348"/>
        <v>N/A</v>
      </c>
      <c r="R883" t="str">
        <f>"45SE MLPEB 02 611"</f>
        <v>45SE MLPEB 02 611</v>
      </c>
      <c r="S883" t="str">
        <f>"12/20/2019 5:00:17 PM"</f>
        <v>12/20/2019 5:00:17 PM</v>
      </c>
      <c r="T883" t="str">
        <f t="shared" si="360"/>
        <v>5</v>
      </c>
      <c r="U883" t="str">
        <f t="shared" si="349"/>
        <v>N/A</v>
      </c>
      <c r="V883" t="str">
        <f>"3.3000"</f>
        <v>3.3000</v>
      </c>
    </row>
    <row r="884" spans="1:22" x14ac:dyDescent="0.25">
      <c r="A884" s="1" t="str">
        <f t="shared" si="341"/>
        <v>2326-</v>
      </c>
      <c r="B884" s="1" t="str">
        <f t="shared" si="350"/>
        <v>2326-</v>
      </c>
      <c r="C884" s="1" t="s">
        <v>8894</v>
      </c>
      <c r="D884" s="1" t="s">
        <v>91</v>
      </c>
      <c r="E884" s="1" t="s">
        <v>1738</v>
      </c>
      <c r="F884" s="1" t="s">
        <v>22</v>
      </c>
      <c r="G884" s="1" t="e">
        <f>VLOOKUP(C884,'Master truck list'!E:R,14,0)</f>
        <v>#N/A</v>
      </c>
      <c r="H884" t="str">
        <f t="shared" si="362"/>
        <v>12/21/2019 7:00:28 AM</v>
      </c>
      <c r="I884" t="str">
        <f>""</f>
        <v/>
      </c>
      <c r="J884" t="str">
        <f t="shared" si="342"/>
        <v>Elite</v>
      </c>
      <c r="K884" t="str">
        <f t="shared" si="351"/>
        <v>Device</v>
      </c>
      <c r="L884" t="str">
        <f t="shared" si="363"/>
        <v>777233827</v>
      </c>
      <c r="M884" t="str">
        <f t="shared" si="364"/>
        <v>16607784</v>
      </c>
      <c r="N884" t="str">
        <f t="shared" si="365"/>
        <v>2326-18A</v>
      </c>
      <c r="O884" t="str">
        <f t="shared" si="346"/>
        <v>TEXAS</v>
      </c>
      <c r="P884" t="str">
        <f t="shared" si="347"/>
        <v>N A</v>
      </c>
      <c r="Q884" t="str">
        <f t="shared" si="348"/>
        <v>N/A</v>
      </c>
      <c r="R884" t="str">
        <f>"130 CMRNP 08 306"</f>
        <v>130 CMRNP 08 306</v>
      </c>
      <c r="S884" t="str">
        <f>"12/20/2019 6:36:09 AM"</f>
        <v>12/20/2019 6:36:09 AM</v>
      </c>
      <c r="T884" t="str">
        <f t="shared" si="360"/>
        <v>5</v>
      </c>
      <c r="U884" t="str">
        <f t="shared" si="349"/>
        <v>N/A</v>
      </c>
      <c r="V884" t="str">
        <f>"5.5500"</f>
        <v>5.5500</v>
      </c>
    </row>
    <row r="885" spans="1:22" x14ac:dyDescent="0.25">
      <c r="A885" s="1" t="str">
        <f t="shared" si="341"/>
        <v>2326-</v>
      </c>
      <c r="B885" s="1" t="str">
        <f t="shared" si="350"/>
        <v>2326-</v>
      </c>
      <c r="C885" s="1" t="s">
        <v>8894</v>
      </c>
      <c r="D885" s="1" t="s">
        <v>91</v>
      </c>
      <c r="E885" s="1" t="s">
        <v>1738</v>
      </c>
      <c r="F885" s="1" t="s">
        <v>22</v>
      </c>
      <c r="G885" s="1" t="e">
        <f>VLOOKUP(C885,'Master truck list'!E:R,14,0)</f>
        <v>#N/A</v>
      </c>
      <c r="H885" t="str">
        <f t="shared" si="362"/>
        <v>12/21/2019 7:00:28 AM</v>
      </c>
      <c r="I885" t="str">
        <f>""</f>
        <v/>
      </c>
      <c r="J885" t="str">
        <f t="shared" si="342"/>
        <v>Elite</v>
      </c>
      <c r="K885" t="str">
        <f t="shared" si="351"/>
        <v>Device</v>
      </c>
      <c r="L885" t="str">
        <f t="shared" si="363"/>
        <v>777233827</v>
      </c>
      <c r="M885" t="str">
        <f t="shared" si="364"/>
        <v>16607784</v>
      </c>
      <c r="N885" t="str">
        <f t="shared" si="365"/>
        <v>2326-18A</v>
      </c>
      <c r="O885" t="str">
        <f t="shared" si="346"/>
        <v>TEXAS</v>
      </c>
      <c r="P885" t="str">
        <f t="shared" si="347"/>
        <v>N A</v>
      </c>
      <c r="Q885" t="str">
        <f t="shared" si="348"/>
        <v>N/A</v>
      </c>
      <c r="R885" t="str">
        <f>"45SE MLPWB 01 611"</f>
        <v>45SE MLPWB 01 611</v>
      </c>
      <c r="S885" t="str">
        <f>"12/20/2019 7:06:49 AM"</f>
        <v>12/20/2019 7:06:49 AM</v>
      </c>
      <c r="T885" t="str">
        <f t="shared" si="360"/>
        <v>5</v>
      </c>
      <c r="U885" t="str">
        <f t="shared" si="349"/>
        <v>N/A</v>
      </c>
      <c r="V885" t="str">
        <f>"3.3000"</f>
        <v>3.3000</v>
      </c>
    </row>
    <row r="886" spans="1:22" x14ac:dyDescent="0.25">
      <c r="A886" s="1" t="str">
        <f t="shared" si="341"/>
        <v>2326-</v>
      </c>
      <c r="B886" s="1" t="str">
        <f t="shared" si="350"/>
        <v>2326-</v>
      </c>
      <c r="C886" s="1" t="str">
        <f>VLOOKUP(B886,'Master truck list'!D:E,2,0)</f>
        <v>2326-18A</v>
      </c>
      <c r="D886" s="1" t="str">
        <f>VLOOKUP(C886,'Master truck list'!E:F,2,0)</f>
        <v>ACTIVE</v>
      </c>
      <c r="E886" s="1" t="str">
        <f>VLOOKUP(C886,'Master truck list'!E:M,9,0)</f>
        <v>CHARGER LOGISTICS USA INC</v>
      </c>
      <c r="F886" s="1" t="str">
        <f>VLOOKUP(C886,'Master truck list'!E:G,3,0)</f>
        <v>Company</v>
      </c>
      <c r="G886" s="1">
        <f>VLOOKUP(C886,'Master truck list'!E:R,14,0)</f>
        <v>1158</v>
      </c>
      <c r="H886" t="str">
        <f t="shared" si="362"/>
        <v>12/21/2019 7:00:28 AM</v>
      </c>
      <c r="I886" t="str">
        <f>""</f>
        <v/>
      </c>
      <c r="J886" t="str">
        <f t="shared" si="342"/>
        <v>Elite</v>
      </c>
      <c r="K886" t="str">
        <f t="shared" si="351"/>
        <v>Device</v>
      </c>
      <c r="L886" t="str">
        <f t="shared" si="363"/>
        <v>777233827</v>
      </c>
      <c r="M886" t="str">
        <f t="shared" si="364"/>
        <v>16607784</v>
      </c>
      <c r="N886" t="str">
        <f t="shared" si="365"/>
        <v>2326-18A</v>
      </c>
      <c r="O886" t="str">
        <f t="shared" si="346"/>
        <v>TEXAS</v>
      </c>
      <c r="P886" t="str">
        <f t="shared" si="347"/>
        <v>N A</v>
      </c>
      <c r="Q886" t="str">
        <f t="shared" si="348"/>
        <v>N/A</v>
      </c>
      <c r="R886" t="str">
        <f>"130 ARPTP 04 308"</f>
        <v>130 ARPTP 04 308</v>
      </c>
      <c r="S886" t="str">
        <f>"12/20/2019 6:52:59 AM"</f>
        <v>12/20/2019 6:52:59 AM</v>
      </c>
      <c r="T886" t="str">
        <f t="shared" si="360"/>
        <v>5</v>
      </c>
      <c r="U886" t="str">
        <f t="shared" si="349"/>
        <v>N/A</v>
      </c>
      <c r="V886" t="str">
        <f t="shared" ref="V886:V892" si="366">"5.5500"</f>
        <v>5.5500</v>
      </c>
    </row>
    <row r="887" spans="1:22" x14ac:dyDescent="0.25">
      <c r="A887" s="1" t="str">
        <f t="shared" si="341"/>
        <v>2326-</v>
      </c>
      <c r="B887" s="1" t="str">
        <f t="shared" si="350"/>
        <v>2326-</v>
      </c>
      <c r="C887" s="1" t="s">
        <v>8887</v>
      </c>
      <c r="D887" s="1" t="s">
        <v>91</v>
      </c>
      <c r="E887" s="1" t="s">
        <v>1738</v>
      </c>
      <c r="F887" s="1" t="s">
        <v>22</v>
      </c>
      <c r="G887" s="1" t="e">
        <f>VLOOKUP(C887,'Master truck list'!E:R,14,0)</f>
        <v>#N/A</v>
      </c>
      <c r="H887" t="str">
        <f t="shared" si="362"/>
        <v>12/21/2019 7:00:28 AM</v>
      </c>
      <c r="I887" t="str">
        <f>""</f>
        <v/>
      </c>
      <c r="J887" t="str">
        <f t="shared" si="342"/>
        <v>Elite</v>
      </c>
      <c r="K887" t="str">
        <f t="shared" si="351"/>
        <v>Device</v>
      </c>
      <c r="L887" t="str">
        <f t="shared" si="363"/>
        <v>777233827</v>
      </c>
      <c r="M887" t="str">
        <f t="shared" si="364"/>
        <v>16607784</v>
      </c>
      <c r="N887" t="str">
        <f t="shared" si="365"/>
        <v>2326-18A</v>
      </c>
      <c r="O887" t="str">
        <f t="shared" si="346"/>
        <v>TEXAS</v>
      </c>
      <c r="P887" t="str">
        <f t="shared" si="347"/>
        <v>N A</v>
      </c>
      <c r="Q887" t="str">
        <f t="shared" si="348"/>
        <v>N/A</v>
      </c>
      <c r="R887" t="str">
        <f>"130 DKCRP 10 307"</f>
        <v>130 DKCRP 10 307</v>
      </c>
      <c r="S887" t="str">
        <f>"12/20/2019 5:19:39 PM"</f>
        <v>12/20/2019 5:19:39 PM</v>
      </c>
      <c r="T887" t="str">
        <f t="shared" si="360"/>
        <v>5</v>
      </c>
      <c r="U887" t="str">
        <f t="shared" si="349"/>
        <v>N/A</v>
      </c>
      <c r="V887" t="str">
        <f t="shared" si="366"/>
        <v>5.5500</v>
      </c>
    </row>
    <row r="888" spans="1:22" x14ac:dyDescent="0.25">
      <c r="A888" s="1" t="str">
        <f t="shared" si="341"/>
        <v>2326-</v>
      </c>
      <c r="B888" s="1" t="str">
        <f t="shared" si="350"/>
        <v>2326-</v>
      </c>
      <c r="C888" s="1" t="str">
        <f>VLOOKUP(B888,'Master truck list'!D:E,2,0)</f>
        <v>2326-18A</v>
      </c>
      <c r="D888" s="1" t="str">
        <f>VLOOKUP(C888,'Master truck list'!E:F,2,0)</f>
        <v>ACTIVE</v>
      </c>
      <c r="E888" s="1" t="str">
        <f>VLOOKUP(C888,'Master truck list'!E:M,9,0)</f>
        <v>CHARGER LOGISTICS USA INC</v>
      </c>
      <c r="F888" s="1" t="str">
        <f>VLOOKUP(C888,'Master truck list'!E:G,3,0)</f>
        <v>Company</v>
      </c>
      <c r="G888" s="1">
        <f>VLOOKUP(C888,'Master truck list'!E:R,14,0)</f>
        <v>1158</v>
      </c>
      <c r="H888" t="str">
        <f t="shared" si="362"/>
        <v>12/21/2019 7:00:28 AM</v>
      </c>
      <c r="I888" t="str">
        <f>""</f>
        <v/>
      </c>
      <c r="J888" t="str">
        <f t="shared" si="342"/>
        <v>Elite</v>
      </c>
      <c r="K888" t="str">
        <f t="shared" si="351"/>
        <v>Device</v>
      </c>
      <c r="L888" t="str">
        <f t="shared" si="363"/>
        <v>777233827</v>
      </c>
      <c r="M888" t="str">
        <f t="shared" si="364"/>
        <v>16607784</v>
      </c>
      <c r="N888" t="str">
        <f t="shared" si="365"/>
        <v>2326-18A</v>
      </c>
      <c r="O888" t="str">
        <f t="shared" si="346"/>
        <v>TEXAS</v>
      </c>
      <c r="P888" t="str">
        <f t="shared" si="347"/>
        <v>N A</v>
      </c>
      <c r="Q888" t="str">
        <f t="shared" si="348"/>
        <v>N/A</v>
      </c>
      <c r="R888" t="str">
        <f>"130 ARPTP 09 308"</f>
        <v>130 ARPTP 09 308</v>
      </c>
      <c r="S888" t="str">
        <f>"12/20/2019 5:10:50 PM"</f>
        <v>12/20/2019 5:10:50 PM</v>
      </c>
      <c r="T888" t="str">
        <f t="shared" si="360"/>
        <v>5</v>
      </c>
      <c r="U888" t="str">
        <f t="shared" si="349"/>
        <v>N/A</v>
      </c>
      <c r="V888" t="str">
        <f t="shared" si="366"/>
        <v>5.5500</v>
      </c>
    </row>
    <row r="889" spans="1:22" x14ac:dyDescent="0.25">
      <c r="A889" s="1" t="str">
        <f t="shared" si="341"/>
        <v>2326-</v>
      </c>
      <c r="B889" s="1" t="str">
        <f t="shared" si="350"/>
        <v>2326-</v>
      </c>
      <c r="C889" s="1" t="str">
        <f>VLOOKUP(B889,'Master truck list'!D:E,2,0)</f>
        <v>2326-18A</v>
      </c>
      <c r="D889" s="1" t="str">
        <f>VLOOKUP(C889,'Master truck list'!E:F,2,0)</f>
        <v>ACTIVE</v>
      </c>
      <c r="E889" s="1" t="str">
        <f>VLOOKUP(C889,'Master truck list'!E:M,9,0)</f>
        <v>CHARGER LOGISTICS USA INC</v>
      </c>
      <c r="F889" s="1" t="str">
        <f>VLOOKUP(C889,'Master truck list'!E:G,3,0)</f>
        <v>Company</v>
      </c>
      <c r="G889" s="1">
        <f>VLOOKUP(C889,'Master truck list'!E:R,14,0)</f>
        <v>1158</v>
      </c>
      <c r="H889" t="str">
        <f t="shared" si="362"/>
        <v>12/21/2019 7:00:28 AM</v>
      </c>
      <c r="I889" t="str">
        <f>""</f>
        <v/>
      </c>
      <c r="J889" t="str">
        <f t="shared" si="342"/>
        <v>Elite</v>
      </c>
      <c r="K889" t="str">
        <f t="shared" si="351"/>
        <v>Device</v>
      </c>
      <c r="L889" t="str">
        <f t="shared" si="363"/>
        <v>777233827</v>
      </c>
      <c r="M889" t="str">
        <f t="shared" si="364"/>
        <v>16607784</v>
      </c>
      <c r="N889" t="str">
        <f t="shared" si="365"/>
        <v>2326-18A</v>
      </c>
      <c r="O889" t="str">
        <f t="shared" si="346"/>
        <v>TEXAS</v>
      </c>
      <c r="P889" t="str">
        <f t="shared" si="347"/>
        <v>N A</v>
      </c>
      <c r="Q889" t="str">
        <f t="shared" si="348"/>
        <v>N/A</v>
      </c>
      <c r="R889" t="str">
        <f>"130 CMRNP 13 306"</f>
        <v>130 CMRNP 13 306</v>
      </c>
      <c r="S889" t="str">
        <f>"12/20/2019 5:37:09 PM"</f>
        <v>12/20/2019 5:37:09 PM</v>
      </c>
      <c r="T889" t="str">
        <f t="shared" si="360"/>
        <v>5</v>
      </c>
      <c r="U889" t="str">
        <f t="shared" si="349"/>
        <v>N/A</v>
      </c>
      <c r="V889" t="str">
        <f t="shared" si="366"/>
        <v>5.5500</v>
      </c>
    </row>
    <row r="890" spans="1:22" x14ac:dyDescent="0.25">
      <c r="A890" s="1" t="str">
        <f t="shared" si="341"/>
        <v>2326-</v>
      </c>
      <c r="B890" s="1" t="str">
        <f t="shared" si="350"/>
        <v>2326-</v>
      </c>
      <c r="C890" s="1" t="str">
        <f>VLOOKUP(B890,'Master truck list'!D:E,2,0)</f>
        <v>2326-18A</v>
      </c>
      <c r="D890" s="1" t="str">
        <f>VLOOKUP(C890,'Master truck list'!E:F,2,0)</f>
        <v>ACTIVE</v>
      </c>
      <c r="E890" s="1" t="str">
        <f>VLOOKUP(C890,'Master truck list'!E:M,9,0)</f>
        <v>CHARGER LOGISTICS USA INC</v>
      </c>
      <c r="F890" s="1" t="str">
        <f>VLOOKUP(C890,'Master truck list'!E:G,3,0)</f>
        <v>Company</v>
      </c>
      <c r="G890" s="1">
        <f>VLOOKUP(C890,'Master truck list'!E:R,14,0)</f>
        <v>1158</v>
      </c>
      <c r="H890" t="str">
        <f>"12/17/2019 7:00:33 AM"</f>
        <v>12/17/2019 7:00:33 AM</v>
      </c>
      <c r="I890" t="str">
        <f>""</f>
        <v/>
      </c>
      <c r="J890" t="str">
        <f t="shared" si="342"/>
        <v>Elite</v>
      </c>
      <c r="K890" t="str">
        <f t="shared" si="351"/>
        <v>Device</v>
      </c>
      <c r="L890" t="str">
        <f t="shared" si="363"/>
        <v>777233827</v>
      </c>
      <c r="M890" t="str">
        <f t="shared" si="364"/>
        <v>16607784</v>
      </c>
      <c r="N890" t="str">
        <f t="shared" si="365"/>
        <v>2326-18A</v>
      </c>
      <c r="O890" t="str">
        <f t="shared" si="346"/>
        <v>TEXAS</v>
      </c>
      <c r="P890" t="str">
        <f t="shared" si="347"/>
        <v>N A</v>
      </c>
      <c r="Q890" t="str">
        <f t="shared" si="348"/>
        <v>N/A</v>
      </c>
      <c r="R890" t="str">
        <f>"130 ARPTP 04 308"</f>
        <v>130 ARPTP 04 308</v>
      </c>
      <c r="S890" t="str">
        <f>"12/16/2019 12:34:36 PM"</f>
        <v>12/16/2019 12:34:36 PM</v>
      </c>
      <c r="T890" t="str">
        <f t="shared" si="360"/>
        <v>5</v>
      </c>
      <c r="U890" t="str">
        <f t="shared" si="349"/>
        <v>N/A</v>
      </c>
      <c r="V890" t="str">
        <f t="shared" si="366"/>
        <v>5.5500</v>
      </c>
    </row>
    <row r="891" spans="1:22" x14ac:dyDescent="0.25">
      <c r="A891" s="1" t="str">
        <f t="shared" si="341"/>
        <v>2326-</v>
      </c>
      <c r="B891" s="1" t="str">
        <f t="shared" si="350"/>
        <v>2326-</v>
      </c>
      <c r="C891" s="1" t="str">
        <f>VLOOKUP(B891,'Master truck list'!D:E,2,0)</f>
        <v>2326-18A</v>
      </c>
      <c r="D891" s="1" t="str">
        <f>VLOOKUP(C891,'Master truck list'!E:F,2,0)</f>
        <v>ACTIVE</v>
      </c>
      <c r="E891" s="1" t="str">
        <f>VLOOKUP(C891,'Master truck list'!E:M,9,0)</f>
        <v>CHARGER LOGISTICS USA INC</v>
      </c>
      <c r="F891" s="1" t="str">
        <f>VLOOKUP(C891,'Master truck list'!E:G,3,0)</f>
        <v>Company</v>
      </c>
      <c r="G891" s="1">
        <f>VLOOKUP(C891,'Master truck list'!E:R,14,0)</f>
        <v>1158</v>
      </c>
      <c r="H891" t="str">
        <f>"12/17/2019 7:00:33 AM"</f>
        <v>12/17/2019 7:00:33 AM</v>
      </c>
      <c r="I891" t="str">
        <f>""</f>
        <v/>
      </c>
      <c r="J891" t="str">
        <f t="shared" si="342"/>
        <v>Elite</v>
      </c>
      <c r="K891" t="str">
        <f t="shared" si="351"/>
        <v>Device</v>
      </c>
      <c r="L891" t="str">
        <f t="shared" si="363"/>
        <v>777233827</v>
      </c>
      <c r="M891" t="str">
        <f t="shared" si="364"/>
        <v>16607784</v>
      </c>
      <c r="N891" t="str">
        <f t="shared" si="365"/>
        <v>2326-18A</v>
      </c>
      <c r="O891" t="str">
        <f t="shared" si="346"/>
        <v>TEXAS</v>
      </c>
      <c r="P891" t="str">
        <f t="shared" si="347"/>
        <v>N A</v>
      </c>
      <c r="Q891" t="str">
        <f t="shared" si="348"/>
        <v>N/A</v>
      </c>
      <c r="R891" t="str">
        <f>"130 CMRNP 08 306"</f>
        <v>130 CMRNP 08 306</v>
      </c>
      <c r="S891" t="str">
        <f>"12/16/2019 12:18:22 PM"</f>
        <v>12/16/2019 12:18:22 PM</v>
      </c>
      <c r="T891" t="str">
        <f t="shared" si="360"/>
        <v>5</v>
      </c>
      <c r="U891" t="str">
        <f t="shared" si="349"/>
        <v>N/A</v>
      </c>
      <c r="V891" t="str">
        <f t="shared" si="366"/>
        <v>5.5500</v>
      </c>
    </row>
    <row r="892" spans="1:22" x14ac:dyDescent="0.25">
      <c r="A892" s="1" t="str">
        <f t="shared" si="341"/>
        <v>2326-</v>
      </c>
      <c r="B892" s="1" t="str">
        <f t="shared" si="350"/>
        <v>2326-</v>
      </c>
      <c r="C892" s="1" t="str">
        <f>VLOOKUP(B892,'Master truck list'!D:E,2,0)</f>
        <v>2326-18A</v>
      </c>
      <c r="D892" s="1" t="str">
        <f>VLOOKUP(C892,'Master truck list'!E:F,2,0)</f>
        <v>ACTIVE</v>
      </c>
      <c r="E892" s="1" t="str">
        <f>VLOOKUP(C892,'Master truck list'!E:M,9,0)</f>
        <v>CHARGER LOGISTICS USA INC</v>
      </c>
      <c r="F892" s="1" t="str">
        <f>VLOOKUP(C892,'Master truck list'!E:G,3,0)</f>
        <v>Company</v>
      </c>
      <c r="G892" s="1">
        <f>VLOOKUP(C892,'Master truck list'!E:R,14,0)</f>
        <v>1158</v>
      </c>
      <c r="H892" t="str">
        <f>"12/17/2019 7:00:33 AM"</f>
        <v>12/17/2019 7:00:33 AM</v>
      </c>
      <c r="I892" t="str">
        <f>""</f>
        <v/>
      </c>
      <c r="J892" t="str">
        <f t="shared" si="342"/>
        <v>Elite</v>
      </c>
      <c r="K892" t="str">
        <f t="shared" si="351"/>
        <v>Device</v>
      </c>
      <c r="L892" t="str">
        <f t="shared" si="363"/>
        <v>777233827</v>
      </c>
      <c r="M892" t="str">
        <f t="shared" si="364"/>
        <v>16607784</v>
      </c>
      <c r="N892" t="str">
        <f t="shared" si="365"/>
        <v>2326-18A</v>
      </c>
      <c r="O892" t="str">
        <f t="shared" si="346"/>
        <v>TEXAS</v>
      </c>
      <c r="P892" t="str">
        <f t="shared" si="347"/>
        <v>N A</v>
      </c>
      <c r="Q892" t="str">
        <f t="shared" si="348"/>
        <v>N/A</v>
      </c>
      <c r="R892" t="str">
        <f>"130 MGCRP 06 305"</f>
        <v>130 MGCRP 06 305</v>
      </c>
      <c r="S892" t="str">
        <f>"12/16/2019 12:08:11 PM"</f>
        <v>12/16/2019 12:08:11 PM</v>
      </c>
      <c r="T892" t="str">
        <f t="shared" si="360"/>
        <v>5</v>
      </c>
      <c r="U892" t="str">
        <f t="shared" si="349"/>
        <v>N/A</v>
      </c>
      <c r="V892" t="str">
        <f t="shared" si="366"/>
        <v>5.5500</v>
      </c>
    </row>
    <row r="893" spans="1:22" x14ac:dyDescent="0.25">
      <c r="A893" s="1" t="str">
        <f t="shared" si="341"/>
        <v>2326-</v>
      </c>
      <c r="B893" s="1" t="str">
        <f t="shared" si="350"/>
        <v>2326-</v>
      </c>
      <c r="C893" s="1" t="str">
        <f>VLOOKUP(B893,'Master truck list'!D:E,2,0)</f>
        <v>2326-18A</v>
      </c>
      <c r="D893" s="1" t="str">
        <f>VLOOKUP(C893,'Master truck list'!E:F,2,0)</f>
        <v>ACTIVE</v>
      </c>
      <c r="E893" s="1" t="str">
        <f>VLOOKUP(C893,'Master truck list'!E:M,9,0)</f>
        <v>CHARGER LOGISTICS USA INC</v>
      </c>
      <c r="F893" s="1" t="str">
        <f>VLOOKUP(C893,'Master truck list'!E:G,3,0)</f>
        <v>Company</v>
      </c>
      <c r="G893" s="1">
        <f>VLOOKUP(C893,'Master truck list'!E:R,14,0)</f>
        <v>1158</v>
      </c>
      <c r="H893" t="str">
        <f>"12/17/2019 7:00:33 AM"</f>
        <v>12/17/2019 7:00:33 AM</v>
      </c>
      <c r="I893" t="str">
        <f>""</f>
        <v/>
      </c>
      <c r="J893" t="str">
        <f t="shared" si="342"/>
        <v>Elite</v>
      </c>
      <c r="K893" t="str">
        <f t="shared" si="351"/>
        <v>Device</v>
      </c>
      <c r="L893" t="str">
        <f t="shared" si="363"/>
        <v>777233827</v>
      </c>
      <c r="M893" t="str">
        <f t="shared" si="364"/>
        <v>16607784</v>
      </c>
      <c r="N893" t="str">
        <f t="shared" si="365"/>
        <v>2326-18A</v>
      </c>
      <c r="O893" t="str">
        <f t="shared" si="346"/>
        <v>TEXAS</v>
      </c>
      <c r="P893" t="str">
        <f t="shared" si="347"/>
        <v>N A</v>
      </c>
      <c r="Q893" t="str">
        <f t="shared" si="348"/>
        <v>N/A</v>
      </c>
      <c r="R893" t="str">
        <f>"45SE MLPWB 01 611"</f>
        <v>45SE MLPWB 01 611</v>
      </c>
      <c r="S893" t="str">
        <f>"12/16/2019 12:45:06 PM"</f>
        <v>12/16/2019 12:45:06 PM</v>
      </c>
      <c r="T893" t="str">
        <f t="shared" si="360"/>
        <v>5</v>
      </c>
      <c r="U893" t="str">
        <f t="shared" si="349"/>
        <v>N/A</v>
      </c>
      <c r="V893" t="str">
        <f>"3.3000"</f>
        <v>3.3000</v>
      </c>
    </row>
    <row r="894" spans="1:22" x14ac:dyDescent="0.25">
      <c r="A894" s="1" t="str">
        <f t="shared" si="341"/>
        <v>2326-</v>
      </c>
      <c r="B894" s="1" t="str">
        <f t="shared" si="350"/>
        <v>2326-</v>
      </c>
      <c r="C894" s="1" t="str">
        <f>VLOOKUP(B894,'Master truck list'!D:E,2,0)</f>
        <v>2326-18A</v>
      </c>
      <c r="D894" s="1" t="str">
        <f>VLOOKUP(C894,'Master truck list'!E:F,2,0)</f>
        <v>ACTIVE</v>
      </c>
      <c r="E894" s="1" t="str">
        <f>VLOOKUP(C894,'Master truck list'!E:M,9,0)</f>
        <v>CHARGER LOGISTICS USA INC</v>
      </c>
      <c r="F894" s="1" t="str">
        <f>VLOOKUP(C894,'Master truck list'!E:G,3,0)</f>
        <v>Company</v>
      </c>
      <c r="G894" s="1">
        <f>VLOOKUP(C894,'Master truck list'!E:R,14,0)</f>
        <v>1158</v>
      </c>
      <c r="H894" t="str">
        <f>"12/17/2019 7:00:33 AM"</f>
        <v>12/17/2019 7:00:33 AM</v>
      </c>
      <c r="I894" t="str">
        <f>""</f>
        <v/>
      </c>
      <c r="J894" t="str">
        <f t="shared" si="342"/>
        <v>Elite</v>
      </c>
      <c r="K894" t="str">
        <f t="shared" si="351"/>
        <v>Device</v>
      </c>
      <c r="L894" t="str">
        <f t="shared" si="363"/>
        <v>777233827</v>
      </c>
      <c r="M894" t="str">
        <f t="shared" si="364"/>
        <v>16607784</v>
      </c>
      <c r="N894" t="str">
        <f t="shared" si="365"/>
        <v>2326-18A</v>
      </c>
      <c r="O894" t="str">
        <f t="shared" si="346"/>
        <v>TEXAS</v>
      </c>
      <c r="P894" t="str">
        <f t="shared" si="347"/>
        <v>N A</v>
      </c>
      <c r="Q894" t="str">
        <f t="shared" si="348"/>
        <v>N/A</v>
      </c>
      <c r="R894" t="str">
        <f>"130 DKCRP 06 307"</f>
        <v>130 DKCRP 06 307</v>
      </c>
      <c r="S894" t="str">
        <f>"12/16/2019 12:27:45 PM"</f>
        <v>12/16/2019 12:27:45 PM</v>
      </c>
      <c r="T894" t="str">
        <f t="shared" si="360"/>
        <v>5</v>
      </c>
      <c r="U894" t="str">
        <f t="shared" si="349"/>
        <v>N/A</v>
      </c>
      <c r="V894" t="str">
        <f>"5.5500"</f>
        <v>5.5500</v>
      </c>
    </row>
    <row r="895" spans="1:22" x14ac:dyDescent="0.25">
      <c r="A895" s="1" t="str">
        <f t="shared" si="341"/>
        <v>9974</v>
      </c>
      <c r="B895" s="1" t="str">
        <f t="shared" si="350"/>
        <v>9974</v>
      </c>
      <c r="C895" s="1" t="s">
        <v>793</v>
      </c>
      <c r="D895" s="1" t="str">
        <f>VLOOKUP(C895,'Master truck list'!E:F,2,0)</f>
        <v>ACTIVE</v>
      </c>
      <c r="E895" s="1" t="str">
        <f>VLOOKUP(C895,'Master truck list'!E:M,9,0)</f>
        <v>CHARGER LOGISTICS USA INC</v>
      </c>
      <c r="F895" s="1" t="str">
        <f>VLOOKUP(C895,'Master truck list'!E:G,3,0)</f>
        <v>Owner Operator</v>
      </c>
      <c r="G895" s="1">
        <f>VLOOKUP(C895,'Master truck list'!E:R,14,0)</f>
        <v>240</v>
      </c>
      <c r="H895" t="str">
        <f>"12/19/2019 7:00:35 AM"</f>
        <v>12/19/2019 7:00:35 AM</v>
      </c>
      <c r="I895" t="str">
        <f>""</f>
        <v/>
      </c>
      <c r="J895" t="str">
        <f t="shared" si="342"/>
        <v>Elite</v>
      </c>
      <c r="K895" t="str">
        <f t="shared" si="351"/>
        <v>Device</v>
      </c>
      <c r="L895" t="str">
        <f>"777237776"</f>
        <v>777237776</v>
      </c>
      <c r="M895" t="str">
        <f>"16670533"</f>
        <v>16670533</v>
      </c>
      <c r="N895" t="str">
        <f>"9974"</f>
        <v>9974</v>
      </c>
      <c r="O895" t="str">
        <f t="shared" si="346"/>
        <v>TEXAS</v>
      </c>
      <c r="P895" t="str">
        <f t="shared" si="347"/>
        <v>N A</v>
      </c>
      <c r="Q895" t="str">
        <f t="shared" si="348"/>
        <v>N/A</v>
      </c>
      <c r="R895" t="str">
        <f>"130 ARPTP 09 308"</f>
        <v>130 ARPTP 09 308</v>
      </c>
      <c r="S895" t="str">
        <f>"12/18/2019 4:34:53 PM"</f>
        <v>12/18/2019 4:34:53 PM</v>
      </c>
      <c r="T895" t="str">
        <f t="shared" si="360"/>
        <v>5</v>
      </c>
      <c r="U895" t="str">
        <f t="shared" si="349"/>
        <v>N/A</v>
      </c>
      <c r="V895" t="str">
        <f>"5.5500"</f>
        <v>5.5500</v>
      </c>
    </row>
    <row r="896" spans="1:22" x14ac:dyDescent="0.25">
      <c r="A896" s="1" t="str">
        <f t="shared" si="341"/>
        <v>9974</v>
      </c>
      <c r="B896" s="1" t="str">
        <f t="shared" si="350"/>
        <v>9974</v>
      </c>
      <c r="C896" s="1" t="s">
        <v>793</v>
      </c>
      <c r="D896" s="1" t="str">
        <f>VLOOKUP(C896,'Master truck list'!E:F,2,0)</f>
        <v>ACTIVE</v>
      </c>
      <c r="E896" s="1" t="str">
        <f>VLOOKUP(C896,'Master truck list'!E:M,9,0)</f>
        <v>CHARGER LOGISTICS USA INC</v>
      </c>
      <c r="F896" s="1" t="str">
        <f>VLOOKUP(C896,'Master truck list'!E:G,3,0)</f>
        <v>Owner Operator</v>
      </c>
      <c r="G896" s="1">
        <f>VLOOKUP(C896,'Master truck list'!E:R,14,0)</f>
        <v>240</v>
      </c>
      <c r="H896" t="str">
        <f>"12/19/2019 7:00:35 AM"</f>
        <v>12/19/2019 7:00:35 AM</v>
      </c>
      <c r="I896" t="str">
        <f>""</f>
        <v/>
      </c>
      <c r="J896" t="str">
        <f t="shared" si="342"/>
        <v>Elite</v>
      </c>
      <c r="K896" t="str">
        <f t="shared" si="351"/>
        <v>Device</v>
      </c>
      <c r="L896" t="str">
        <f>"777237776"</f>
        <v>777237776</v>
      </c>
      <c r="M896" t="str">
        <f>"16670533"</f>
        <v>16670533</v>
      </c>
      <c r="N896" t="str">
        <f>"9974"</f>
        <v>9974</v>
      </c>
      <c r="O896" t="str">
        <f t="shared" si="346"/>
        <v>TEXAS</v>
      </c>
      <c r="P896" t="str">
        <f t="shared" si="347"/>
        <v>N A</v>
      </c>
      <c r="Q896" t="str">
        <f t="shared" si="348"/>
        <v>N/A</v>
      </c>
      <c r="R896" t="str">
        <f>"130 MGCRP 10 305"</f>
        <v>130 MGCRP 10 305</v>
      </c>
      <c r="S896" t="str">
        <f>"12/18/2019 5:10:44 PM"</f>
        <v>12/18/2019 5:10:44 PM</v>
      </c>
      <c r="T896" t="str">
        <f>"2"</f>
        <v>2</v>
      </c>
      <c r="U896" t="str">
        <f t="shared" si="349"/>
        <v>N/A</v>
      </c>
      <c r="V896" t="str">
        <f>"1.8500"</f>
        <v>1.8500</v>
      </c>
    </row>
    <row r="897" spans="1:22" x14ac:dyDescent="0.25">
      <c r="A897" s="1" t="str">
        <f t="shared" si="341"/>
        <v>9974</v>
      </c>
      <c r="B897" s="1" t="str">
        <f t="shared" si="350"/>
        <v>9974</v>
      </c>
      <c r="C897" s="1" t="s">
        <v>793</v>
      </c>
      <c r="D897" s="1" t="str">
        <f>VLOOKUP(C897,'Master truck list'!E:F,2,0)</f>
        <v>ACTIVE</v>
      </c>
      <c r="E897" s="1" t="str">
        <f>VLOOKUP(C897,'Master truck list'!E:M,9,0)</f>
        <v>CHARGER LOGISTICS USA INC</v>
      </c>
      <c r="F897" s="1" t="str">
        <f>VLOOKUP(C897,'Master truck list'!E:G,3,0)</f>
        <v>Owner Operator</v>
      </c>
      <c r="G897" s="1">
        <f>VLOOKUP(C897,'Master truck list'!E:R,14,0)</f>
        <v>240</v>
      </c>
      <c r="H897" t="str">
        <f>"12/19/2019 7:00:35 AM"</f>
        <v>12/19/2019 7:00:35 AM</v>
      </c>
      <c r="I897" t="str">
        <f>""</f>
        <v/>
      </c>
      <c r="J897" t="str">
        <f t="shared" si="342"/>
        <v>Elite</v>
      </c>
      <c r="K897" t="str">
        <f t="shared" si="351"/>
        <v>Device</v>
      </c>
      <c r="L897" t="str">
        <f>"777237776"</f>
        <v>777237776</v>
      </c>
      <c r="M897" t="str">
        <f>"16670533"</f>
        <v>16670533</v>
      </c>
      <c r="N897" t="str">
        <f>"9974"</f>
        <v>9974</v>
      </c>
      <c r="O897" t="str">
        <f t="shared" si="346"/>
        <v>TEXAS</v>
      </c>
      <c r="P897" t="str">
        <f t="shared" si="347"/>
        <v>N A</v>
      </c>
      <c r="Q897" t="str">
        <f t="shared" si="348"/>
        <v>N/A</v>
      </c>
      <c r="R897" t="str">
        <f>"130 CMRNP 13 306"</f>
        <v>130 CMRNP 13 306</v>
      </c>
      <c r="S897" t="str">
        <f>"12/18/2019 4:59:56 PM"</f>
        <v>12/18/2019 4:59:56 PM</v>
      </c>
      <c r="T897" t="str">
        <f t="shared" ref="T897:T904" si="367">"5"</f>
        <v>5</v>
      </c>
      <c r="U897" t="str">
        <f t="shared" si="349"/>
        <v>N/A</v>
      </c>
      <c r="V897" t="str">
        <f>"5.5500"</f>
        <v>5.5500</v>
      </c>
    </row>
    <row r="898" spans="1:22" x14ac:dyDescent="0.25">
      <c r="A898" s="1" t="str">
        <f t="shared" ref="A898:A941" si="368">LEFT(N898,5)</f>
        <v>9974</v>
      </c>
      <c r="B898" s="1" t="str">
        <f t="shared" si="350"/>
        <v>9974</v>
      </c>
      <c r="C898" s="1" t="s">
        <v>793</v>
      </c>
      <c r="D898" s="1" t="s">
        <v>91</v>
      </c>
      <c r="E898" s="1" t="s">
        <v>154</v>
      </c>
      <c r="F898" s="1" t="s">
        <v>22</v>
      </c>
      <c r="G898" s="1">
        <f>VLOOKUP(C898,'Master truck list'!E:R,14,0)</f>
        <v>240</v>
      </c>
      <c r="H898" t="str">
        <f>"12/19/2019 7:00:35 AM"</f>
        <v>12/19/2019 7:00:35 AM</v>
      </c>
      <c r="I898" t="str">
        <f>""</f>
        <v/>
      </c>
      <c r="J898" t="str">
        <f t="shared" ref="J898:J961" si="369">"Elite"</f>
        <v>Elite</v>
      </c>
      <c r="K898" t="str">
        <f t="shared" si="351"/>
        <v>Device</v>
      </c>
      <c r="L898" t="str">
        <f>"777237776"</f>
        <v>777237776</v>
      </c>
      <c r="M898" t="str">
        <f>"16670533"</f>
        <v>16670533</v>
      </c>
      <c r="N898" t="str">
        <f>"9974"</f>
        <v>9974</v>
      </c>
      <c r="O898" t="str">
        <f t="shared" ref="O898:O961" si="370">"TEXAS"</f>
        <v>TEXAS</v>
      </c>
      <c r="P898" t="str">
        <f t="shared" ref="P898:P961" si="371">"N A"</f>
        <v>N A</v>
      </c>
      <c r="Q898" t="str">
        <f t="shared" ref="Q898:Q961" si="372">"N/A"</f>
        <v>N/A</v>
      </c>
      <c r="R898" t="str">
        <f>"130 DKCRP 11 307"</f>
        <v>130 DKCRP 11 307</v>
      </c>
      <c r="S898" t="str">
        <f>"12/18/2019 4:43:16 PM"</f>
        <v>12/18/2019 4:43:16 PM</v>
      </c>
      <c r="T898" t="str">
        <f t="shared" si="367"/>
        <v>5</v>
      </c>
      <c r="U898" t="str">
        <f t="shared" ref="U898:U961" si="373">"N/A"</f>
        <v>N/A</v>
      </c>
      <c r="V898" t="str">
        <f>"5.5500"</f>
        <v>5.5500</v>
      </c>
    </row>
    <row r="899" spans="1:22" x14ac:dyDescent="0.25">
      <c r="A899" s="1" t="str">
        <f t="shared" si="368"/>
        <v>9974</v>
      </c>
      <c r="B899" s="1" t="str">
        <f t="shared" ref="B899:B962" si="374">SUBSTITUTE(A899," ","")</f>
        <v>9974</v>
      </c>
      <c r="C899" s="1" t="s">
        <v>793</v>
      </c>
      <c r="D899" s="1" t="str">
        <f>VLOOKUP(C899,'Master truck list'!E:F,2,0)</f>
        <v>ACTIVE</v>
      </c>
      <c r="E899" s="1" t="str">
        <f>VLOOKUP(C899,'Master truck list'!E:M,9,0)</f>
        <v>CHARGER LOGISTICS USA INC</v>
      </c>
      <c r="F899" s="1" t="str">
        <f>VLOOKUP(C899,'Master truck list'!E:G,3,0)</f>
        <v>Owner Operator</v>
      </c>
      <c r="G899" s="1">
        <f>VLOOKUP(C899,'Master truck list'!E:R,14,0)</f>
        <v>240</v>
      </c>
      <c r="H899" t="str">
        <f>"12/19/2019 7:00:35 AM"</f>
        <v>12/19/2019 7:00:35 AM</v>
      </c>
      <c r="I899" t="str">
        <f>""</f>
        <v/>
      </c>
      <c r="J899" t="str">
        <f t="shared" si="369"/>
        <v>Elite</v>
      </c>
      <c r="K899" t="str">
        <f t="shared" si="351"/>
        <v>Device</v>
      </c>
      <c r="L899" t="str">
        <f>"777237776"</f>
        <v>777237776</v>
      </c>
      <c r="M899" t="str">
        <f>"16670533"</f>
        <v>16670533</v>
      </c>
      <c r="N899" t="str">
        <f>"9974"</f>
        <v>9974</v>
      </c>
      <c r="O899" t="str">
        <f t="shared" si="370"/>
        <v>TEXAS</v>
      </c>
      <c r="P899" t="str">
        <f t="shared" si="371"/>
        <v>N A</v>
      </c>
      <c r="Q899" t="str">
        <f t="shared" si="372"/>
        <v>N/A</v>
      </c>
      <c r="R899" t="str">
        <f>"45SE MLPEB 02 611"</f>
        <v>45SE MLPEB 02 611</v>
      </c>
      <c r="S899" t="str">
        <f>"12/18/2019 4:24:07 PM"</f>
        <v>12/18/2019 4:24:07 PM</v>
      </c>
      <c r="T899" t="str">
        <f t="shared" si="367"/>
        <v>5</v>
      </c>
      <c r="U899" t="str">
        <f t="shared" si="373"/>
        <v>N/A</v>
      </c>
      <c r="V899" t="str">
        <f>"3.3000"</f>
        <v>3.3000</v>
      </c>
    </row>
    <row r="900" spans="1:22" x14ac:dyDescent="0.25">
      <c r="A900" s="1" t="str">
        <f t="shared" si="368"/>
        <v>530-1</v>
      </c>
      <c r="B900" s="1" t="str">
        <f t="shared" si="374"/>
        <v>530-1</v>
      </c>
      <c r="C900" s="1" t="s">
        <v>8893</v>
      </c>
      <c r="D900" s="1" t="s">
        <v>91</v>
      </c>
      <c r="E900" s="1" t="s">
        <v>1738</v>
      </c>
      <c r="F900" s="1" t="s">
        <v>22</v>
      </c>
      <c r="G900" s="1" t="e">
        <f>VLOOKUP(C900,'Master truck list'!E:R,14,0)</f>
        <v>#N/A</v>
      </c>
      <c r="H900" t="str">
        <f>"12/21/2019 7:00:28 AM"</f>
        <v>12/21/2019 7:00:28 AM</v>
      </c>
      <c r="I900" t="str">
        <f>""</f>
        <v/>
      </c>
      <c r="J900" t="str">
        <f t="shared" si="369"/>
        <v>Elite</v>
      </c>
      <c r="K900" t="str">
        <f t="shared" si="351"/>
        <v>Device</v>
      </c>
      <c r="L900" t="str">
        <f>"777246245"</f>
        <v>777246245</v>
      </c>
      <c r="M900" t="str">
        <f>"16714127"</f>
        <v>16714127</v>
      </c>
      <c r="N900" t="str">
        <f>"530-17AT"</f>
        <v>530-17AT</v>
      </c>
      <c r="O900" t="str">
        <f t="shared" si="370"/>
        <v>TEXAS</v>
      </c>
      <c r="P900" t="str">
        <f t="shared" si="371"/>
        <v>N A</v>
      </c>
      <c r="Q900" t="str">
        <f t="shared" si="372"/>
        <v>N/A</v>
      </c>
      <c r="R900" t="str">
        <f>"130 ARPTP 04 308"</f>
        <v>130 ARPTP 04 308</v>
      </c>
      <c r="S900" t="str">
        <f>"12/20/2019 6:39:16 PM"</f>
        <v>12/20/2019 6:39:16 PM</v>
      </c>
      <c r="T900" t="str">
        <f t="shared" si="367"/>
        <v>5</v>
      </c>
      <c r="U900" t="str">
        <f t="shared" si="373"/>
        <v>N/A</v>
      </c>
      <c r="V900" t="str">
        <f>"5.5500"</f>
        <v>5.5500</v>
      </c>
    </row>
    <row r="901" spans="1:22" x14ac:dyDescent="0.25">
      <c r="A901" s="1" t="str">
        <f t="shared" si="368"/>
        <v>530-1</v>
      </c>
      <c r="B901" s="1" t="str">
        <f t="shared" si="374"/>
        <v>530-1</v>
      </c>
      <c r="C901" s="1" t="str">
        <f>VLOOKUP(B901,'Master truck list'!D:E,2,0)</f>
        <v>530-17ATL</v>
      </c>
      <c r="D901" s="1" t="str">
        <f>VLOOKUP(C901,'Master truck list'!E:F,2,0)</f>
        <v>ACTIVE</v>
      </c>
      <c r="E901" s="1" t="str">
        <f>VLOOKUP(C901,'Master truck list'!E:M,9,0)</f>
        <v>BNK TRANSPORT INC</v>
      </c>
      <c r="F901" s="1" t="str">
        <f>VLOOKUP(C901,'Master truck list'!E:G,3,0)</f>
        <v>Owner Operator</v>
      </c>
      <c r="G901" s="1">
        <f>VLOOKUP(C901,'Master truck list'!E:R,14,0)</f>
        <v>682</v>
      </c>
      <c r="H901" t="str">
        <f>"12/21/2019 7:00:28 AM"</f>
        <v>12/21/2019 7:00:28 AM</v>
      </c>
      <c r="I901" t="str">
        <f>""</f>
        <v/>
      </c>
      <c r="J901" t="str">
        <f t="shared" si="369"/>
        <v>Elite</v>
      </c>
      <c r="K901" t="str">
        <f t="shared" si="351"/>
        <v>Device</v>
      </c>
      <c r="L901" t="str">
        <f>"777246245"</f>
        <v>777246245</v>
      </c>
      <c r="M901" t="str">
        <f>"16714127"</f>
        <v>16714127</v>
      </c>
      <c r="N901" t="str">
        <f>"530-17AT"</f>
        <v>530-17AT</v>
      </c>
      <c r="O901" t="str">
        <f t="shared" si="370"/>
        <v>TEXAS</v>
      </c>
      <c r="P901" t="str">
        <f t="shared" si="371"/>
        <v>N A</v>
      </c>
      <c r="Q901" t="str">
        <f t="shared" si="372"/>
        <v>N/A</v>
      </c>
      <c r="R901" t="str">
        <f>"45SE MLPWB 01 611"</f>
        <v>45SE MLPWB 01 611</v>
      </c>
      <c r="S901" t="str">
        <f>"12/20/2019 6:49:51 PM"</f>
        <v>12/20/2019 6:49:51 PM</v>
      </c>
      <c r="T901" t="str">
        <f t="shared" si="367"/>
        <v>5</v>
      </c>
      <c r="U901" t="str">
        <f t="shared" si="373"/>
        <v>N/A</v>
      </c>
      <c r="V901" t="str">
        <f>"3.3000"</f>
        <v>3.3000</v>
      </c>
    </row>
    <row r="902" spans="1:22" x14ac:dyDescent="0.25">
      <c r="A902" s="1" t="str">
        <f t="shared" si="368"/>
        <v>530-1</v>
      </c>
      <c r="B902" s="1" t="str">
        <f t="shared" si="374"/>
        <v>530-1</v>
      </c>
      <c r="C902" s="1" t="str">
        <f>VLOOKUP(B902,'Master truck list'!D:E,2,0)</f>
        <v>530-17ATL</v>
      </c>
      <c r="D902" s="1" t="str">
        <f>VLOOKUP(C902,'Master truck list'!E:F,2,0)</f>
        <v>ACTIVE</v>
      </c>
      <c r="E902" s="1" t="str">
        <f>VLOOKUP(C902,'Master truck list'!E:M,9,0)</f>
        <v>BNK TRANSPORT INC</v>
      </c>
      <c r="F902" s="1" t="str">
        <f>VLOOKUP(C902,'Master truck list'!E:G,3,0)</f>
        <v>Owner Operator</v>
      </c>
      <c r="G902" s="1">
        <f>VLOOKUP(C902,'Master truck list'!E:R,14,0)</f>
        <v>682</v>
      </c>
      <c r="H902" t="str">
        <f>"12/21/2019 7:00:28 AM"</f>
        <v>12/21/2019 7:00:28 AM</v>
      </c>
      <c r="I902" t="str">
        <f>""</f>
        <v/>
      </c>
      <c r="J902" t="str">
        <f t="shared" si="369"/>
        <v>Elite</v>
      </c>
      <c r="K902" t="str">
        <f t="shared" si="351"/>
        <v>Device</v>
      </c>
      <c r="L902" t="str">
        <f>"777246245"</f>
        <v>777246245</v>
      </c>
      <c r="M902" t="str">
        <f>"16714127"</f>
        <v>16714127</v>
      </c>
      <c r="N902" t="str">
        <f>"530-17AT"</f>
        <v>530-17AT</v>
      </c>
      <c r="O902" t="str">
        <f t="shared" si="370"/>
        <v>TEXAS</v>
      </c>
      <c r="P902" t="str">
        <f t="shared" si="371"/>
        <v>N A</v>
      </c>
      <c r="Q902" t="str">
        <f t="shared" si="372"/>
        <v>N/A</v>
      </c>
      <c r="R902" t="str">
        <f>"130 MGCRP 06 305"</f>
        <v>130 MGCRP 06 305</v>
      </c>
      <c r="S902" t="str">
        <f>"12/20/2019 6:10:58 PM"</f>
        <v>12/20/2019 6:10:58 PM</v>
      </c>
      <c r="T902" t="str">
        <f t="shared" si="367"/>
        <v>5</v>
      </c>
      <c r="U902" t="str">
        <f t="shared" si="373"/>
        <v>N/A</v>
      </c>
      <c r="V902" t="str">
        <f>"5.5500"</f>
        <v>5.5500</v>
      </c>
    </row>
    <row r="903" spans="1:22" x14ac:dyDescent="0.25">
      <c r="A903" s="1" t="str">
        <f t="shared" si="368"/>
        <v>530-1</v>
      </c>
      <c r="B903" s="1" t="str">
        <f t="shared" si="374"/>
        <v>530-1</v>
      </c>
      <c r="C903" s="1" t="s">
        <v>8894</v>
      </c>
      <c r="D903" s="1" t="s">
        <v>91</v>
      </c>
      <c r="E903" s="1" t="s">
        <v>1738</v>
      </c>
      <c r="F903" s="1" t="s">
        <v>22</v>
      </c>
      <c r="G903" s="1" t="e">
        <f>VLOOKUP(C903,'Master truck list'!E:R,14,0)</f>
        <v>#N/A</v>
      </c>
      <c r="H903" t="str">
        <f>"12/21/2019 7:00:28 AM"</f>
        <v>12/21/2019 7:00:28 AM</v>
      </c>
      <c r="I903" t="str">
        <f>""</f>
        <v/>
      </c>
      <c r="J903" t="str">
        <f t="shared" si="369"/>
        <v>Elite</v>
      </c>
      <c r="K903" t="str">
        <f t="shared" si="351"/>
        <v>Device</v>
      </c>
      <c r="L903" t="str">
        <f>"777246245"</f>
        <v>777246245</v>
      </c>
      <c r="M903" t="str">
        <f>"16714127"</f>
        <v>16714127</v>
      </c>
      <c r="N903" t="str">
        <f>"530-17AT"</f>
        <v>530-17AT</v>
      </c>
      <c r="O903" t="str">
        <f t="shared" si="370"/>
        <v>TEXAS</v>
      </c>
      <c r="P903" t="str">
        <f t="shared" si="371"/>
        <v>N A</v>
      </c>
      <c r="Q903" t="str">
        <f t="shared" si="372"/>
        <v>N/A</v>
      </c>
      <c r="R903" t="str">
        <f>"130 CMRNP 09 306"</f>
        <v>130 CMRNP 09 306</v>
      </c>
      <c r="S903" t="str">
        <f>"12/20/2019 6:21:57 PM"</f>
        <v>12/20/2019 6:21:57 PM</v>
      </c>
      <c r="T903" t="str">
        <f t="shared" si="367"/>
        <v>5</v>
      </c>
      <c r="U903" t="str">
        <f t="shared" si="373"/>
        <v>N/A</v>
      </c>
      <c r="V903" t="str">
        <f>"5.5500"</f>
        <v>5.5500</v>
      </c>
    </row>
    <row r="904" spans="1:22" x14ac:dyDescent="0.25">
      <c r="A904" s="1" t="str">
        <f t="shared" si="368"/>
        <v>530-1</v>
      </c>
      <c r="B904" s="1" t="str">
        <f t="shared" si="374"/>
        <v>530-1</v>
      </c>
      <c r="C904" s="1" t="s">
        <v>8887</v>
      </c>
      <c r="D904" s="1" t="s">
        <v>91</v>
      </c>
      <c r="E904" s="1" t="s">
        <v>1738</v>
      </c>
      <c r="F904" s="1" t="s">
        <v>22</v>
      </c>
      <c r="G904" s="1" t="e">
        <f>VLOOKUP(C904,'Master truck list'!E:R,14,0)</f>
        <v>#N/A</v>
      </c>
      <c r="H904" t="str">
        <f>"12/21/2019 7:00:28 AM"</f>
        <v>12/21/2019 7:00:28 AM</v>
      </c>
      <c r="I904" t="str">
        <f>""</f>
        <v/>
      </c>
      <c r="J904" t="str">
        <f t="shared" si="369"/>
        <v>Elite</v>
      </c>
      <c r="K904" t="str">
        <f t="shared" si="351"/>
        <v>Device</v>
      </c>
      <c r="L904" t="str">
        <f>"777246245"</f>
        <v>777246245</v>
      </c>
      <c r="M904" t="str">
        <f>"16714127"</f>
        <v>16714127</v>
      </c>
      <c r="N904" t="str">
        <f>"530-17AT"</f>
        <v>530-17AT</v>
      </c>
      <c r="O904" t="str">
        <f t="shared" si="370"/>
        <v>TEXAS</v>
      </c>
      <c r="P904" t="str">
        <f t="shared" si="371"/>
        <v>N A</v>
      </c>
      <c r="Q904" t="str">
        <f t="shared" si="372"/>
        <v>N/A</v>
      </c>
      <c r="R904" t="str">
        <f>"130 DKCRP 06 307"</f>
        <v>130 DKCRP 06 307</v>
      </c>
      <c r="S904" t="str">
        <f>"12/20/2019 6:32:11 PM"</f>
        <v>12/20/2019 6:32:11 PM</v>
      </c>
      <c r="T904" t="str">
        <f t="shared" si="367"/>
        <v>5</v>
      </c>
      <c r="U904" t="str">
        <f t="shared" si="373"/>
        <v>N/A</v>
      </c>
      <c r="V904" t="str">
        <f>"5.5500"</f>
        <v>5.5500</v>
      </c>
    </row>
    <row r="905" spans="1:22" x14ac:dyDescent="0.25">
      <c r="A905" s="1" t="str">
        <f t="shared" si="368"/>
        <v>72463</v>
      </c>
      <c r="B905" s="1" t="str">
        <f t="shared" si="374"/>
        <v>72463</v>
      </c>
      <c r="C905" s="1" t="s">
        <v>8890</v>
      </c>
      <c r="D905" s="1" t="s">
        <v>91</v>
      </c>
      <c r="E905" s="1" t="s">
        <v>154</v>
      </c>
      <c r="F905" s="1" t="s">
        <v>22</v>
      </c>
      <c r="G905" s="1" t="e">
        <f>VLOOKUP(C905,'Master truck list'!E:R,14,0)</f>
        <v>#N/A</v>
      </c>
      <c r="H905" t="str">
        <f>"12/18/2019 7:00:28 AM"</f>
        <v>12/18/2019 7:00:28 AM</v>
      </c>
      <c r="I905" t="str">
        <f>""</f>
        <v/>
      </c>
      <c r="J905" t="str">
        <f t="shared" si="369"/>
        <v>Elite</v>
      </c>
      <c r="K905" t="str">
        <f t="shared" si="351"/>
        <v>Device</v>
      </c>
      <c r="L905" t="str">
        <f t="shared" ref="L905:L910" si="375">"777238011"</f>
        <v>777238011</v>
      </c>
      <c r="M905" t="str">
        <f t="shared" ref="M905:M910" si="376">"16670768"</f>
        <v>16670768</v>
      </c>
      <c r="N905" t="str">
        <f t="shared" ref="N905:N910" si="377">"72463"</f>
        <v>72463</v>
      </c>
      <c r="O905" t="str">
        <f t="shared" si="370"/>
        <v>TEXAS</v>
      </c>
      <c r="P905" t="str">
        <f t="shared" si="371"/>
        <v>N A</v>
      </c>
      <c r="Q905" t="str">
        <f t="shared" si="372"/>
        <v>N/A</v>
      </c>
      <c r="R905" t="str">
        <f>"130 SKYNP 01 4103"</f>
        <v>130 SKYNP 01 4103</v>
      </c>
      <c r="S905" t="str">
        <f>"12/16/2019 4:24:49 PM"</f>
        <v>12/16/2019 4:24:49 PM</v>
      </c>
      <c r="T905" t="str">
        <f>"15"</f>
        <v>15</v>
      </c>
      <c r="U905" t="str">
        <f t="shared" si="373"/>
        <v>N/A</v>
      </c>
      <c r="V905" t="str">
        <f>"9.3800"</f>
        <v>9.3800</v>
      </c>
    </row>
    <row r="906" spans="1:22" x14ac:dyDescent="0.25">
      <c r="A906" s="1" t="str">
        <f t="shared" si="368"/>
        <v>72463</v>
      </c>
      <c r="B906" s="1" t="str">
        <f t="shared" si="374"/>
        <v>72463</v>
      </c>
      <c r="C906" s="1" t="str">
        <f>VLOOKUP(B906,'Master truck list'!D:E,2,0)</f>
        <v>72463L</v>
      </c>
      <c r="D906" s="1" t="str">
        <f>VLOOKUP(C906,'Master truck list'!E:F,2,0)</f>
        <v>ACTIVE</v>
      </c>
      <c r="E906" s="1" t="str">
        <f>VLOOKUP(C906,'Master truck list'!E:M,9,0)</f>
        <v>CHARGER LOGISTICS USA INC</v>
      </c>
      <c r="F906" s="1" t="str">
        <f>VLOOKUP(C906,'Master truck list'!E:G,3,0)</f>
        <v>Owner Operator</v>
      </c>
      <c r="G906" s="1">
        <f>VLOOKUP(C906,'Master truck list'!E:R,14,0)</f>
        <v>1930</v>
      </c>
      <c r="H906" t="str">
        <f>"12/18/2019 7:00:28 AM"</f>
        <v>12/18/2019 7:00:28 AM</v>
      </c>
      <c r="I906" t="str">
        <f>""</f>
        <v/>
      </c>
      <c r="J906" t="str">
        <f t="shared" si="369"/>
        <v>Elite</v>
      </c>
      <c r="K906" t="str">
        <f t="shared" si="351"/>
        <v>Device</v>
      </c>
      <c r="L906" t="str">
        <f t="shared" si="375"/>
        <v>777238011</v>
      </c>
      <c r="M906" t="str">
        <f t="shared" si="376"/>
        <v>16670768</v>
      </c>
      <c r="N906" t="str">
        <f t="shared" si="377"/>
        <v>72463</v>
      </c>
      <c r="O906" t="str">
        <f t="shared" si="370"/>
        <v>TEXAS</v>
      </c>
      <c r="P906" t="str">
        <f t="shared" si="371"/>
        <v>N A</v>
      </c>
      <c r="Q906" t="str">
        <f t="shared" si="372"/>
        <v>N/A</v>
      </c>
      <c r="R906" t="str">
        <f>"130 BLUENP 01 4109"</f>
        <v>130 BLUENP 01 4109</v>
      </c>
      <c r="S906" t="str">
        <f>"12/16/2019 4:12:06 PM"</f>
        <v>12/16/2019 4:12:06 PM</v>
      </c>
      <c r="T906" t="str">
        <f>"15"</f>
        <v>15</v>
      </c>
      <c r="U906" t="str">
        <f t="shared" si="373"/>
        <v>N/A</v>
      </c>
      <c r="V906" t="str">
        <f>"20.4900"</f>
        <v>20.4900</v>
      </c>
    </row>
    <row r="907" spans="1:22" x14ac:dyDescent="0.25">
      <c r="A907" s="1" t="str">
        <f t="shared" si="368"/>
        <v>72463</v>
      </c>
      <c r="B907" s="1" t="str">
        <f t="shared" si="374"/>
        <v>72463</v>
      </c>
      <c r="C907" s="1" t="s">
        <v>8896</v>
      </c>
      <c r="D907" s="1" t="s">
        <v>91</v>
      </c>
      <c r="E907" s="1" t="s">
        <v>1738</v>
      </c>
      <c r="F907" s="1" t="s">
        <v>22</v>
      </c>
      <c r="G907" s="1" t="e">
        <f>VLOOKUP(C907,'Master truck list'!E:R,14,0)</f>
        <v>#N/A</v>
      </c>
      <c r="H907" t="str">
        <f>"12/17/2019 7:00:33 AM"</f>
        <v>12/17/2019 7:00:33 AM</v>
      </c>
      <c r="I907" t="str">
        <f>""</f>
        <v/>
      </c>
      <c r="J907" t="str">
        <f t="shared" si="369"/>
        <v>Elite</v>
      </c>
      <c r="K907" t="str">
        <f t="shared" si="351"/>
        <v>Device</v>
      </c>
      <c r="L907" t="str">
        <f t="shared" si="375"/>
        <v>777238011</v>
      </c>
      <c r="M907" t="str">
        <f t="shared" si="376"/>
        <v>16670768</v>
      </c>
      <c r="N907" t="str">
        <f t="shared" si="377"/>
        <v>72463</v>
      </c>
      <c r="O907" t="str">
        <f t="shared" si="370"/>
        <v>TEXAS</v>
      </c>
      <c r="P907" t="str">
        <f t="shared" si="371"/>
        <v>N A</v>
      </c>
      <c r="Q907" t="str">
        <f t="shared" si="372"/>
        <v>N/A</v>
      </c>
      <c r="R907" t="str">
        <f>"130 DKCRP 11 307"</f>
        <v>130 DKCRP 11 307</v>
      </c>
      <c r="S907" t="str">
        <f>"12/16/2019 4:43:27 PM"</f>
        <v>12/16/2019 4:43:27 PM</v>
      </c>
      <c r="T907" t="str">
        <f t="shared" ref="T907:T970" si="378">"5"</f>
        <v>5</v>
      </c>
      <c r="U907" t="str">
        <f t="shared" si="373"/>
        <v>N/A</v>
      </c>
      <c r="V907" t="str">
        <f t="shared" ref="V907:V914" si="379">"5.5500"</f>
        <v>5.5500</v>
      </c>
    </row>
    <row r="908" spans="1:22" x14ac:dyDescent="0.25">
      <c r="A908" s="1" t="str">
        <f t="shared" si="368"/>
        <v>72463</v>
      </c>
      <c r="B908" s="1" t="str">
        <f t="shared" si="374"/>
        <v>72463</v>
      </c>
      <c r="C908" s="1" t="s">
        <v>8895</v>
      </c>
      <c r="D908" s="1" t="s">
        <v>91</v>
      </c>
      <c r="E908" s="1" t="s">
        <v>154</v>
      </c>
      <c r="F908" s="1" t="s">
        <v>22</v>
      </c>
      <c r="G908" s="1" t="e">
        <f>VLOOKUP(C908,'Master truck list'!E:R,14,0)</f>
        <v>#N/A</v>
      </c>
      <c r="H908" t="str">
        <f>"12/17/2019 7:00:33 AM"</f>
        <v>12/17/2019 7:00:33 AM</v>
      </c>
      <c r="I908" t="str">
        <f>""</f>
        <v/>
      </c>
      <c r="J908" t="str">
        <f t="shared" si="369"/>
        <v>Elite</v>
      </c>
      <c r="K908" t="str">
        <f t="shared" si="351"/>
        <v>Device</v>
      </c>
      <c r="L908" t="str">
        <f t="shared" si="375"/>
        <v>777238011</v>
      </c>
      <c r="M908" t="str">
        <f t="shared" si="376"/>
        <v>16670768</v>
      </c>
      <c r="N908" t="str">
        <f t="shared" si="377"/>
        <v>72463</v>
      </c>
      <c r="O908" t="str">
        <f t="shared" si="370"/>
        <v>TEXAS</v>
      </c>
      <c r="P908" t="str">
        <f t="shared" si="371"/>
        <v>N A</v>
      </c>
      <c r="Q908" t="str">
        <f t="shared" si="372"/>
        <v>N/A</v>
      </c>
      <c r="R908" t="str">
        <f>"130 CMRNP 12 306"</f>
        <v>130 CMRNP 12 306</v>
      </c>
      <c r="S908" t="str">
        <f>"12/16/2019 4:58:10 PM"</f>
        <v>12/16/2019 4:58:10 PM</v>
      </c>
      <c r="T908" t="str">
        <f t="shared" si="378"/>
        <v>5</v>
      </c>
      <c r="U908" t="str">
        <f t="shared" si="373"/>
        <v>N/A</v>
      </c>
      <c r="V908" t="str">
        <f t="shared" si="379"/>
        <v>5.5500</v>
      </c>
    </row>
    <row r="909" spans="1:22" x14ac:dyDescent="0.25">
      <c r="A909" s="1" t="str">
        <f t="shared" si="368"/>
        <v>72463</v>
      </c>
      <c r="B909" s="1" t="str">
        <f t="shared" si="374"/>
        <v>72463</v>
      </c>
      <c r="C909" s="1" t="str">
        <f>VLOOKUP(B909,'Master truck list'!D:E,2,0)</f>
        <v>72463L</v>
      </c>
      <c r="D909" s="1" t="str">
        <f>VLOOKUP(C909,'Master truck list'!E:F,2,0)</f>
        <v>ACTIVE</v>
      </c>
      <c r="E909" s="1" t="str">
        <f>VLOOKUP(C909,'Master truck list'!E:M,9,0)</f>
        <v>CHARGER LOGISTICS USA INC</v>
      </c>
      <c r="F909" s="1" t="str">
        <f>VLOOKUP(C909,'Master truck list'!E:G,3,0)</f>
        <v>Owner Operator</v>
      </c>
      <c r="G909" s="1">
        <f>VLOOKUP(C909,'Master truck list'!E:R,14,0)</f>
        <v>1930</v>
      </c>
      <c r="H909" t="str">
        <f>"12/17/2019 7:00:33 AM"</f>
        <v>12/17/2019 7:00:33 AM</v>
      </c>
      <c r="I909" t="str">
        <f>""</f>
        <v/>
      </c>
      <c r="J909" t="str">
        <f t="shared" si="369"/>
        <v>Elite</v>
      </c>
      <c r="K909" t="str">
        <f t="shared" si="351"/>
        <v>Device</v>
      </c>
      <c r="L909" t="str">
        <f t="shared" si="375"/>
        <v>777238011</v>
      </c>
      <c r="M909" t="str">
        <f t="shared" si="376"/>
        <v>16670768</v>
      </c>
      <c r="N909" t="str">
        <f t="shared" si="377"/>
        <v>72463</v>
      </c>
      <c r="O909" t="str">
        <f t="shared" si="370"/>
        <v>TEXAS</v>
      </c>
      <c r="P909" t="str">
        <f t="shared" si="371"/>
        <v>N A</v>
      </c>
      <c r="Q909" t="str">
        <f t="shared" si="372"/>
        <v>N/A</v>
      </c>
      <c r="R909" t="str">
        <f>"130 MGCRP 11 305"</f>
        <v>130 MGCRP 11 305</v>
      </c>
      <c r="S909" t="str">
        <f>"12/16/2019 5:08:58 PM"</f>
        <v>12/16/2019 5:08:58 PM</v>
      </c>
      <c r="T909" t="str">
        <f t="shared" si="378"/>
        <v>5</v>
      </c>
      <c r="U909" t="str">
        <f t="shared" si="373"/>
        <v>N/A</v>
      </c>
      <c r="V909" t="str">
        <f t="shared" si="379"/>
        <v>5.5500</v>
      </c>
    </row>
    <row r="910" spans="1:22" x14ac:dyDescent="0.25">
      <c r="A910" s="1" t="str">
        <f t="shared" si="368"/>
        <v>72463</v>
      </c>
      <c r="B910" s="1" t="str">
        <f t="shared" si="374"/>
        <v>72463</v>
      </c>
      <c r="C910" s="1" t="s">
        <v>8893</v>
      </c>
      <c r="D910" s="1" t="s">
        <v>91</v>
      </c>
      <c r="E910" s="1" t="s">
        <v>1738</v>
      </c>
      <c r="F910" s="1" t="s">
        <v>22</v>
      </c>
      <c r="G910" s="1" t="e">
        <f>VLOOKUP(C910,'Master truck list'!E:R,14,0)</f>
        <v>#N/A</v>
      </c>
      <c r="H910" t="str">
        <f>"12/17/2019 7:00:33 AM"</f>
        <v>12/17/2019 7:00:33 AM</v>
      </c>
      <c r="I910" t="str">
        <f>""</f>
        <v/>
      </c>
      <c r="J910" t="str">
        <f t="shared" si="369"/>
        <v>Elite</v>
      </c>
      <c r="K910" t="str">
        <f t="shared" si="351"/>
        <v>Device</v>
      </c>
      <c r="L910" t="str">
        <f t="shared" si="375"/>
        <v>777238011</v>
      </c>
      <c r="M910" t="str">
        <f t="shared" si="376"/>
        <v>16670768</v>
      </c>
      <c r="N910" t="str">
        <f t="shared" si="377"/>
        <v>72463</v>
      </c>
      <c r="O910" t="str">
        <f t="shared" si="370"/>
        <v>TEXAS</v>
      </c>
      <c r="P910" t="str">
        <f t="shared" si="371"/>
        <v>N A</v>
      </c>
      <c r="Q910" t="str">
        <f t="shared" si="372"/>
        <v>N/A</v>
      </c>
      <c r="R910" t="str">
        <f>"130 ARPTP 09 308"</f>
        <v>130 ARPTP 09 308</v>
      </c>
      <c r="S910" t="str">
        <f>"12/16/2019 4:36:22 PM"</f>
        <v>12/16/2019 4:36:22 PM</v>
      </c>
      <c r="T910" t="str">
        <f t="shared" si="378"/>
        <v>5</v>
      </c>
      <c r="U910" t="str">
        <f t="shared" si="373"/>
        <v>N/A</v>
      </c>
      <c r="V910" t="str">
        <f t="shared" si="379"/>
        <v>5.5500</v>
      </c>
    </row>
    <row r="911" spans="1:22" x14ac:dyDescent="0.25">
      <c r="A911" s="1" t="str">
        <f t="shared" si="368"/>
        <v>5079-</v>
      </c>
      <c r="B911" s="1" t="str">
        <f t="shared" si="374"/>
        <v>5079-</v>
      </c>
      <c r="C911" s="1" t="str">
        <f>VLOOKUP(B911,'Master truck list'!D:E,2,0)</f>
        <v>5079-20</v>
      </c>
      <c r="D911" s="1" t="str">
        <f>VLOOKUP(C911,'Master truck list'!E:F,2,0)</f>
        <v>ACTIVE</v>
      </c>
      <c r="E911" s="1" t="str">
        <f>VLOOKUP(C911,'Master truck list'!E:M,9,0)</f>
        <v>BNK TRANSPORT INC</v>
      </c>
      <c r="F911" s="1" t="str">
        <f>VLOOKUP(C911,'Master truck list'!E:G,3,0)</f>
        <v>Company</v>
      </c>
      <c r="G911" s="1">
        <f>VLOOKUP(C911,'Master truck list'!E:R,14,0)</f>
        <v>2470</v>
      </c>
      <c r="H911" t="str">
        <f t="shared" ref="H911:H920" si="380">"12/18/2019 7:00:28 AM"</f>
        <v>12/18/2019 7:00:28 AM</v>
      </c>
      <c r="I911" t="str">
        <f>""</f>
        <v/>
      </c>
      <c r="J911" t="str">
        <f t="shared" si="369"/>
        <v>Elite</v>
      </c>
      <c r="K911" t="str">
        <f t="shared" ref="K911:K974" si="381">"Device"</f>
        <v>Device</v>
      </c>
      <c r="L911" t="str">
        <f t="shared" ref="L911:L929" si="382">"777226277"</f>
        <v>777226277</v>
      </c>
      <c r="M911" t="str">
        <f t="shared" ref="M911:M929" si="383">"16600234"</f>
        <v>16600234</v>
      </c>
      <c r="N911" t="str">
        <f t="shared" ref="N911:N929" si="384">"5079-20"</f>
        <v>5079-20</v>
      </c>
      <c r="O911" t="str">
        <f t="shared" si="370"/>
        <v>TEXAS</v>
      </c>
      <c r="P911" t="str">
        <f t="shared" si="371"/>
        <v>N A</v>
      </c>
      <c r="Q911" t="str">
        <f t="shared" si="372"/>
        <v>N/A</v>
      </c>
      <c r="R911" t="str">
        <f>"130 ARPTP 09 308"</f>
        <v>130 ARPTP 09 308</v>
      </c>
      <c r="S911" t="str">
        <f>"12/17/2019 9:51:36 AM"</f>
        <v>12/17/2019 9:51:36 AM</v>
      </c>
      <c r="T911" t="str">
        <f t="shared" si="378"/>
        <v>5</v>
      </c>
      <c r="U911" t="str">
        <f t="shared" si="373"/>
        <v>N/A</v>
      </c>
      <c r="V911" t="str">
        <f t="shared" si="379"/>
        <v>5.5500</v>
      </c>
    </row>
    <row r="912" spans="1:22" x14ac:dyDescent="0.25">
      <c r="A912" s="1" t="str">
        <f t="shared" si="368"/>
        <v>5079-</v>
      </c>
      <c r="B912" s="1" t="str">
        <f t="shared" si="374"/>
        <v>5079-</v>
      </c>
      <c r="C912" s="1" t="str">
        <f>VLOOKUP(B912,'Master truck list'!D:E,2,0)</f>
        <v>5079-20</v>
      </c>
      <c r="D912" s="1" t="str">
        <f>VLOOKUP(C912,'Master truck list'!E:F,2,0)</f>
        <v>ACTIVE</v>
      </c>
      <c r="E912" s="1" t="str">
        <f>VLOOKUP(C912,'Master truck list'!E:M,9,0)</f>
        <v>BNK TRANSPORT INC</v>
      </c>
      <c r="F912" s="1" t="str">
        <f>VLOOKUP(C912,'Master truck list'!E:G,3,0)</f>
        <v>Company</v>
      </c>
      <c r="G912" s="1">
        <f>VLOOKUP(C912,'Master truck list'!E:R,14,0)</f>
        <v>2470</v>
      </c>
      <c r="H912" t="str">
        <f t="shared" si="380"/>
        <v>12/18/2019 7:00:28 AM</v>
      </c>
      <c r="I912" t="str">
        <f>""</f>
        <v/>
      </c>
      <c r="J912" t="str">
        <f t="shared" si="369"/>
        <v>Elite</v>
      </c>
      <c r="K912" t="str">
        <f t="shared" si="381"/>
        <v>Device</v>
      </c>
      <c r="L912" t="str">
        <f t="shared" si="382"/>
        <v>777226277</v>
      </c>
      <c r="M912" t="str">
        <f t="shared" si="383"/>
        <v>16600234</v>
      </c>
      <c r="N912" t="str">
        <f t="shared" si="384"/>
        <v>5079-20</v>
      </c>
      <c r="O912" t="str">
        <f t="shared" si="370"/>
        <v>TEXAS</v>
      </c>
      <c r="P912" t="str">
        <f t="shared" si="371"/>
        <v>N A</v>
      </c>
      <c r="Q912" t="str">
        <f t="shared" si="372"/>
        <v>N/A</v>
      </c>
      <c r="R912" t="str">
        <f>"130 ARPTP 04 308"</f>
        <v>130 ARPTP 04 308</v>
      </c>
      <c r="S912" t="str">
        <f>"12/17/2019 5:55:31 PM"</f>
        <v>12/17/2019 5:55:31 PM</v>
      </c>
      <c r="T912" t="str">
        <f t="shared" si="378"/>
        <v>5</v>
      </c>
      <c r="U912" t="str">
        <f t="shared" si="373"/>
        <v>N/A</v>
      </c>
      <c r="V912" t="str">
        <f t="shared" si="379"/>
        <v>5.5500</v>
      </c>
    </row>
    <row r="913" spans="1:22" x14ac:dyDescent="0.25">
      <c r="A913" s="1" t="str">
        <f t="shared" si="368"/>
        <v>5079-</v>
      </c>
      <c r="B913" s="1" t="str">
        <f t="shared" si="374"/>
        <v>5079-</v>
      </c>
      <c r="C913" s="1" t="str">
        <f>VLOOKUP(B913,'Master truck list'!D:E,2,0)</f>
        <v>5079-20</v>
      </c>
      <c r="D913" s="1" t="str">
        <f>VLOOKUP(C913,'Master truck list'!E:F,2,0)</f>
        <v>ACTIVE</v>
      </c>
      <c r="E913" s="1" t="str">
        <f>VLOOKUP(C913,'Master truck list'!E:M,9,0)</f>
        <v>BNK TRANSPORT INC</v>
      </c>
      <c r="F913" s="1" t="str">
        <f>VLOOKUP(C913,'Master truck list'!E:G,3,0)</f>
        <v>Company</v>
      </c>
      <c r="G913" s="1">
        <f>VLOOKUP(C913,'Master truck list'!E:R,14,0)</f>
        <v>2470</v>
      </c>
      <c r="H913" t="str">
        <f t="shared" si="380"/>
        <v>12/18/2019 7:00:28 AM</v>
      </c>
      <c r="I913" t="str">
        <f>""</f>
        <v/>
      </c>
      <c r="J913" t="str">
        <f t="shared" si="369"/>
        <v>Elite</v>
      </c>
      <c r="K913" t="str">
        <f t="shared" si="381"/>
        <v>Device</v>
      </c>
      <c r="L913" t="str">
        <f t="shared" si="382"/>
        <v>777226277</v>
      </c>
      <c r="M913" t="str">
        <f t="shared" si="383"/>
        <v>16600234</v>
      </c>
      <c r="N913" t="str">
        <f t="shared" si="384"/>
        <v>5079-20</v>
      </c>
      <c r="O913" t="str">
        <f t="shared" si="370"/>
        <v>TEXAS</v>
      </c>
      <c r="P913" t="str">
        <f t="shared" si="371"/>
        <v>N A</v>
      </c>
      <c r="Q913" t="str">
        <f t="shared" si="372"/>
        <v>N/A</v>
      </c>
      <c r="R913" t="str">
        <f>"130 DKCRP 06 307"</f>
        <v>130 DKCRP 06 307</v>
      </c>
      <c r="S913" t="str">
        <f>"12/17/2019 5:45:32 PM"</f>
        <v>12/17/2019 5:45:32 PM</v>
      </c>
      <c r="T913" t="str">
        <f t="shared" si="378"/>
        <v>5</v>
      </c>
      <c r="U913" t="str">
        <f t="shared" si="373"/>
        <v>N/A</v>
      </c>
      <c r="V913" t="str">
        <f t="shared" si="379"/>
        <v>5.5500</v>
      </c>
    </row>
    <row r="914" spans="1:22" x14ac:dyDescent="0.25">
      <c r="A914" s="1" t="str">
        <f t="shared" si="368"/>
        <v>5079-</v>
      </c>
      <c r="B914" s="1" t="str">
        <f t="shared" si="374"/>
        <v>5079-</v>
      </c>
      <c r="C914" s="1" t="s">
        <v>8895</v>
      </c>
      <c r="D914" s="1" t="s">
        <v>91</v>
      </c>
      <c r="E914" s="1" t="s">
        <v>154</v>
      </c>
      <c r="F914" s="1" t="s">
        <v>22</v>
      </c>
      <c r="G914" s="1" t="e">
        <f>VLOOKUP(C914,'Master truck list'!E:R,14,0)</f>
        <v>#N/A</v>
      </c>
      <c r="H914" t="str">
        <f t="shared" si="380"/>
        <v>12/18/2019 7:00:28 AM</v>
      </c>
      <c r="I914" t="str">
        <f>""</f>
        <v/>
      </c>
      <c r="J914" t="str">
        <f t="shared" si="369"/>
        <v>Elite</v>
      </c>
      <c r="K914" t="str">
        <f t="shared" si="381"/>
        <v>Device</v>
      </c>
      <c r="L914" t="str">
        <f t="shared" si="382"/>
        <v>777226277</v>
      </c>
      <c r="M914" t="str">
        <f t="shared" si="383"/>
        <v>16600234</v>
      </c>
      <c r="N914" t="str">
        <f t="shared" si="384"/>
        <v>5079-20</v>
      </c>
      <c r="O914" t="str">
        <f t="shared" si="370"/>
        <v>TEXAS</v>
      </c>
      <c r="P914" t="str">
        <f t="shared" si="371"/>
        <v>N A</v>
      </c>
      <c r="Q914" t="str">
        <f t="shared" si="372"/>
        <v>N/A</v>
      </c>
      <c r="R914" t="str">
        <f>"130 DKCRP 11 307"</f>
        <v>130 DKCRP 11 307</v>
      </c>
      <c r="S914" t="str">
        <f>"12/17/2019 9:58:34 AM"</f>
        <v>12/17/2019 9:58:34 AM</v>
      </c>
      <c r="T914" t="str">
        <f t="shared" si="378"/>
        <v>5</v>
      </c>
      <c r="U914" t="str">
        <f t="shared" si="373"/>
        <v>N/A</v>
      </c>
      <c r="V914" t="str">
        <f t="shared" si="379"/>
        <v>5.5500</v>
      </c>
    </row>
    <row r="915" spans="1:22" x14ac:dyDescent="0.25">
      <c r="A915" s="1" t="str">
        <f t="shared" si="368"/>
        <v>5079-</v>
      </c>
      <c r="B915" s="1" t="str">
        <f t="shared" si="374"/>
        <v>5079-</v>
      </c>
      <c r="C915" s="1" t="s">
        <v>8894</v>
      </c>
      <c r="D915" s="1" t="s">
        <v>91</v>
      </c>
      <c r="E915" s="1" t="s">
        <v>1738</v>
      </c>
      <c r="F915" s="1" t="s">
        <v>22</v>
      </c>
      <c r="G915" s="1" t="e">
        <f>VLOOKUP(C915,'Master truck list'!E:R,14,0)</f>
        <v>#N/A</v>
      </c>
      <c r="H915" t="str">
        <f t="shared" si="380"/>
        <v>12/18/2019 7:00:28 AM</v>
      </c>
      <c r="I915" t="str">
        <f>""</f>
        <v/>
      </c>
      <c r="J915" t="str">
        <f t="shared" si="369"/>
        <v>Elite</v>
      </c>
      <c r="K915" t="str">
        <f t="shared" si="381"/>
        <v>Device</v>
      </c>
      <c r="L915" t="str">
        <f t="shared" si="382"/>
        <v>777226277</v>
      </c>
      <c r="M915" t="str">
        <f t="shared" si="383"/>
        <v>16600234</v>
      </c>
      <c r="N915" t="str">
        <f t="shared" si="384"/>
        <v>5079-20</v>
      </c>
      <c r="O915" t="str">
        <f t="shared" si="370"/>
        <v>TEXAS</v>
      </c>
      <c r="P915" t="str">
        <f t="shared" si="371"/>
        <v>N A</v>
      </c>
      <c r="Q915" t="str">
        <f t="shared" si="372"/>
        <v>N/A</v>
      </c>
      <c r="R915" t="str">
        <f>"45SE MLPEB 02 611"</f>
        <v>45SE MLPEB 02 611</v>
      </c>
      <c r="S915" t="str">
        <f>"12/17/2019 9:40:58 AM"</f>
        <v>12/17/2019 9:40:58 AM</v>
      </c>
      <c r="T915" t="str">
        <f t="shared" si="378"/>
        <v>5</v>
      </c>
      <c r="U915" t="str">
        <f t="shared" si="373"/>
        <v>N/A</v>
      </c>
      <c r="V915" t="str">
        <f>"3.3000"</f>
        <v>3.3000</v>
      </c>
    </row>
    <row r="916" spans="1:22" x14ac:dyDescent="0.25">
      <c r="A916" s="1" t="str">
        <f t="shared" si="368"/>
        <v>5079-</v>
      </c>
      <c r="B916" s="1" t="str">
        <f t="shared" si="374"/>
        <v>5079-</v>
      </c>
      <c r="C916" s="1" t="s">
        <v>8887</v>
      </c>
      <c r="D916" s="1" t="s">
        <v>91</v>
      </c>
      <c r="E916" s="1" t="s">
        <v>1738</v>
      </c>
      <c r="F916" s="1" t="s">
        <v>22</v>
      </c>
      <c r="G916" s="1" t="e">
        <f>VLOOKUP(C916,'Master truck list'!E:R,14,0)</f>
        <v>#N/A</v>
      </c>
      <c r="H916" t="str">
        <f t="shared" si="380"/>
        <v>12/18/2019 7:00:28 AM</v>
      </c>
      <c r="I916" t="str">
        <f>""</f>
        <v/>
      </c>
      <c r="J916" t="str">
        <f t="shared" si="369"/>
        <v>Elite</v>
      </c>
      <c r="K916" t="str">
        <f t="shared" si="381"/>
        <v>Device</v>
      </c>
      <c r="L916" t="str">
        <f t="shared" si="382"/>
        <v>777226277</v>
      </c>
      <c r="M916" t="str">
        <f t="shared" si="383"/>
        <v>16600234</v>
      </c>
      <c r="N916" t="str">
        <f t="shared" si="384"/>
        <v>5079-20</v>
      </c>
      <c r="O916" t="str">
        <f t="shared" si="370"/>
        <v>TEXAS</v>
      </c>
      <c r="P916" t="str">
        <f t="shared" si="371"/>
        <v>N A</v>
      </c>
      <c r="Q916" t="str">
        <f t="shared" si="372"/>
        <v>N/A</v>
      </c>
      <c r="R916" t="str">
        <f>"130 MGCRP 06 305"</f>
        <v>130 MGCRP 06 305</v>
      </c>
      <c r="S916" t="str">
        <f>"12/17/2019 5:24:26 PM"</f>
        <v>12/17/2019 5:24:26 PM</v>
      </c>
      <c r="T916" t="str">
        <f t="shared" si="378"/>
        <v>5</v>
      </c>
      <c r="U916" t="str">
        <f t="shared" si="373"/>
        <v>N/A</v>
      </c>
      <c r="V916" t="str">
        <f>"5.5500"</f>
        <v>5.5500</v>
      </c>
    </row>
    <row r="917" spans="1:22" x14ac:dyDescent="0.25">
      <c r="A917" s="1" t="str">
        <f t="shared" si="368"/>
        <v>5079-</v>
      </c>
      <c r="B917" s="1" t="str">
        <f t="shared" si="374"/>
        <v>5079-</v>
      </c>
      <c r="C917" s="1" t="str">
        <f>VLOOKUP(B917,'Master truck list'!D:E,2,0)</f>
        <v>5079-20</v>
      </c>
      <c r="D917" s="1" t="str">
        <f>VLOOKUP(C917,'Master truck list'!E:F,2,0)</f>
        <v>ACTIVE</v>
      </c>
      <c r="E917" s="1" t="str">
        <f>VLOOKUP(C917,'Master truck list'!E:M,9,0)</f>
        <v>BNK TRANSPORT INC</v>
      </c>
      <c r="F917" s="1" t="str">
        <f>VLOOKUP(C917,'Master truck list'!E:G,3,0)</f>
        <v>Company</v>
      </c>
      <c r="G917" s="1">
        <f>VLOOKUP(C917,'Master truck list'!E:R,14,0)</f>
        <v>2470</v>
      </c>
      <c r="H917" t="str">
        <f t="shared" si="380"/>
        <v>12/18/2019 7:00:28 AM</v>
      </c>
      <c r="I917" t="str">
        <f>""</f>
        <v/>
      </c>
      <c r="J917" t="str">
        <f t="shared" si="369"/>
        <v>Elite</v>
      </c>
      <c r="K917" t="str">
        <f t="shared" si="381"/>
        <v>Device</v>
      </c>
      <c r="L917" t="str">
        <f t="shared" si="382"/>
        <v>777226277</v>
      </c>
      <c r="M917" t="str">
        <f t="shared" si="383"/>
        <v>16600234</v>
      </c>
      <c r="N917" t="str">
        <f t="shared" si="384"/>
        <v>5079-20</v>
      </c>
      <c r="O917" t="str">
        <f t="shared" si="370"/>
        <v>TEXAS</v>
      </c>
      <c r="P917" t="str">
        <f t="shared" si="371"/>
        <v>N A</v>
      </c>
      <c r="Q917" t="str">
        <f t="shared" si="372"/>
        <v>N/A</v>
      </c>
      <c r="R917" t="str">
        <f>"45SE MLPWB 01 611"</f>
        <v>45SE MLPWB 01 611</v>
      </c>
      <c r="S917" t="str">
        <f>"12/17/2019 6:06:11 PM"</f>
        <v>12/17/2019 6:06:11 PM</v>
      </c>
      <c r="T917" t="str">
        <f t="shared" si="378"/>
        <v>5</v>
      </c>
      <c r="U917" t="str">
        <f t="shared" si="373"/>
        <v>N/A</v>
      </c>
      <c r="V917" t="str">
        <f>"3.3000"</f>
        <v>3.3000</v>
      </c>
    </row>
    <row r="918" spans="1:22" x14ac:dyDescent="0.25">
      <c r="A918" s="1" t="str">
        <f t="shared" si="368"/>
        <v>5079-</v>
      </c>
      <c r="B918" s="1" t="str">
        <f t="shared" si="374"/>
        <v>5079-</v>
      </c>
      <c r="C918" s="1" t="s">
        <v>8890</v>
      </c>
      <c r="D918" s="1" t="s">
        <v>91</v>
      </c>
      <c r="E918" s="1" t="s">
        <v>154</v>
      </c>
      <c r="F918" s="1" t="s">
        <v>22</v>
      </c>
      <c r="G918" s="1" t="e">
        <f>VLOOKUP(C918,'Master truck list'!E:R,14,0)</f>
        <v>#N/A</v>
      </c>
      <c r="H918" t="str">
        <f t="shared" si="380"/>
        <v>12/18/2019 7:00:28 AM</v>
      </c>
      <c r="I918" t="str">
        <f>""</f>
        <v/>
      </c>
      <c r="J918" t="str">
        <f t="shared" si="369"/>
        <v>Elite</v>
      </c>
      <c r="K918" t="str">
        <f t="shared" si="381"/>
        <v>Device</v>
      </c>
      <c r="L918" t="str">
        <f t="shared" si="382"/>
        <v>777226277</v>
      </c>
      <c r="M918" t="str">
        <f t="shared" si="383"/>
        <v>16600234</v>
      </c>
      <c r="N918" t="str">
        <f t="shared" si="384"/>
        <v>5079-20</v>
      </c>
      <c r="O918" t="str">
        <f t="shared" si="370"/>
        <v>TEXAS</v>
      </c>
      <c r="P918" t="str">
        <f t="shared" si="371"/>
        <v>N A</v>
      </c>
      <c r="Q918" t="str">
        <f t="shared" si="372"/>
        <v>N/A</v>
      </c>
      <c r="R918" t="str">
        <f>"130 MGCRP 11 305"</f>
        <v>130 MGCRP 11 305</v>
      </c>
      <c r="S918" t="str">
        <f>"12/17/2019 10:19:57 AM"</f>
        <v>12/17/2019 10:19:57 AM</v>
      </c>
      <c r="T918" t="str">
        <f t="shared" si="378"/>
        <v>5</v>
      </c>
      <c r="U918" t="str">
        <f t="shared" si="373"/>
        <v>N/A</v>
      </c>
      <c r="V918" t="str">
        <f>"5.5500"</f>
        <v>5.5500</v>
      </c>
    </row>
    <row r="919" spans="1:22" x14ac:dyDescent="0.25">
      <c r="A919" s="1" t="str">
        <f t="shared" si="368"/>
        <v>5079-</v>
      </c>
      <c r="B919" s="1" t="str">
        <f t="shared" si="374"/>
        <v>5079-</v>
      </c>
      <c r="C919" s="1" t="str">
        <f>VLOOKUP(B919,'Master truck list'!D:E,2,0)</f>
        <v>5079-20</v>
      </c>
      <c r="D919" s="1" t="str">
        <f>VLOOKUP(C919,'Master truck list'!E:F,2,0)</f>
        <v>ACTIVE</v>
      </c>
      <c r="E919" s="1" t="str">
        <f>VLOOKUP(C919,'Master truck list'!E:M,9,0)</f>
        <v>BNK TRANSPORT INC</v>
      </c>
      <c r="F919" s="1" t="str">
        <f>VLOOKUP(C919,'Master truck list'!E:G,3,0)</f>
        <v>Company</v>
      </c>
      <c r="G919" s="1">
        <f>VLOOKUP(C919,'Master truck list'!E:R,14,0)</f>
        <v>2470</v>
      </c>
      <c r="H919" t="str">
        <f t="shared" si="380"/>
        <v>12/18/2019 7:00:28 AM</v>
      </c>
      <c r="I919" t="str">
        <f>""</f>
        <v/>
      </c>
      <c r="J919" t="str">
        <f t="shared" si="369"/>
        <v>Elite</v>
      </c>
      <c r="K919" t="str">
        <f t="shared" si="381"/>
        <v>Device</v>
      </c>
      <c r="L919" t="str">
        <f t="shared" si="382"/>
        <v>777226277</v>
      </c>
      <c r="M919" t="str">
        <f t="shared" si="383"/>
        <v>16600234</v>
      </c>
      <c r="N919" t="str">
        <f t="shared" si="384"/>
        <v>5079-20</v>
      </c>
      <c r="O919" t="str">
        <f t="shared" si="370"/>
        <v>TEXAS</v>
      </c>
      <c r="P919" t="str">
        <f t="shared" si="371"/>
        <v>N A</v>
      </c>
      <c r="Q919" t="str">
        <f t="shared" si="372"/>
        <v>N/A</v>
      </c>
      <c r="R919" t="str">
        <f>"130 CMRNP 12 306"</f>
        <v>130 CMRNP 12 306</v>
      </c>
      <c r="S919" t="str">
        <f>"12/17/2019 10:08:49 AM"</f>
        <v>12/17/2019 10:08:49 AM</v>
      </c>
      <c r="T919" t="str">
        <f t="shared" si="378"/>
        <v>5</v>
      </c>
      <c r="U919" t="str">
        <f t="shared" si="373"/>
        <v>N/A</v>
      </c>
      <c r="V919" t="str">
        <f>"5.5500"</f>
        <v>5.5500</v>
      </c>
    </row>
    <row r="920" spans="1:22" x14ac:dyDescent="0.25">
      <c r="A920" s="1" t="str">
        <f t="shared" si="368"/>
        <v>5079-</v>
      </c>
      <c r="B920" s="1" t="str">
        <f t="shared" si="374"/>
        <v>5079-</v>
      </c>
      <c r="C920" s="1" t="str">
        <f>VLOOKUP(B920,'Master truck list'!D:E,2,0)</f>
        <v>5079-20</v>
      </c>
      <c r="D920" s="1" t="str">
        <f>VLOOKUP(C920,'Master truck list'!E:F,2,0)</f>
        <v>ACTIVE</v>
      </c>
      <c r="E920" s="1" t="str">
        <f>VLOOKUP(C920,'Master truck list'!E:M,9,0)</f>
        <v>BNK TRANSPORT INC</v>
      </c>
      <c r="F920" s="1" t="str">
        <f>VLOOKUP(C920,'Master truck list'!E:G,3,0)</f>
        <v>Company</v>
      </c>
      <c r="G920" s="1">
        <f>VLOOKUP(C920,'Master truck list'!E:R,14,0)</f>
        <v>2470</v>
      </c>
      <c r="H920" t="str">
        <f t="shared" si="380"/>
        <v>12/18/2019 7:00:28 AM</v>
      </c>
      <c r="I920" t="str">
        <f>""</f>
        <v/>
      </c>
      <c r="J920" t="str">
        <f t="shared" si="369"/>
        <v>Elite</v>
      </c>
      <c r="K920" t="str">
        <f t="shared" si="381"/>
        <v>Device</v>
      </c>
      <c r="L920" t="str">
        <f t="shared" si="382"/>
        <v>777226277</v>
      </c>
      <c r="M920" t="str">
        <f t="shared" si="383"/>
        <v>16600234</v>
      </c>
      <c r="N920" t="str">
        <f t="shared" si="384"/>
        <v>5079-20</v>
      </c>
      <c r="O920" t="str">
        <f t="shared" si="370"/>
        <v>TEXAS</v>
      </c>
      <c r="P920" t="str">
        <f t="shared" si="371"/>
        <v>N A</v>
      </c>
      <c r="Q920" t="str">
        <f t="shared" si="372"/>
        <v>N/A</v>
      </c>
      <c r="R920" t="str">
        <f>"130 CMRNP 08 306"</f>
        <v>130 CMRNP 08 306</v>
      </c>
      <c r="S920" t="str">
        <f>"12/17/2019 5:35:23 PM"</f>
        <v>12/17/2019 5:35:23 PM</v>
      </c>
      <c r="T920" t="str">
        <f t="shared" si="378"/>
        <v>5</v>
      </c>
      <c r="U920" t="str">
        <f t="shared" si="373"/>
        <v>N/A</v>
      </c>
      <c r="V920" t="str">
        <f>"5.5500"</f>
        <v>5.5500</v>
      </c>
    </row>
    <row r="921" spans="1:22" x14ac:dyDescent="0.25">
      <c r="A921" s="1" t="str">
        <f t="shared" si="368"/>
        <v>5079-</v>
      </c>
      <c r="B921" s="1" t="str">
        <f t="shared" si="374"/>
        <v>5079-</v>
      </c>
      <c r="C921" s="1" t="s">
        <v>8886</v>
      </c>
      <c r="D921" s="1" t="s">
        <v>91</v>
      </c>
      <c r="E921" s="1" t="s">
        <v>1738</v>
      </c>
      <c r="F921" s="1" t="s">
        <v>22</v>
      </c>
      <c r="G921" s="1" t="e">
        <f>VLOOKUP(C921,'Master truck list'!E:R,14,0)</f>
        <v>#N/A</v>
      </c>
      <c r="H921" t="str">
        <f t="shared" ref="H921:H929" si="385">"12/20/2019 7:00:30 AM"</f>
        <v>12/20/2019 7:00:30 AM</v>
      </c>
      <c r="I921" t="str">
        <f>""</f>
        <v/>
      </c>
      <c r="J921" t="str">
        <f t="shared" si="369"/>
        <v>Elite</v>
      </c>
      <c r="K921" t="str">
        <f t="shared" si="381"/>
        <v>Device</v>
      </c>
      <c r="L921" t="str">
        <f t="shared" si="382"/>
        <v>777226277</v>
      </c>
      <c r="M921" t="str">
        <f t="shared" si="383"/>
        <v>16600234</v>
      </c>
      <c r="N921" t="str">
        <f t="shared" si="384"/>
        <v>5079-20</v>
      </c>
      <c r="O921" t="str">
        <f t="shared" si="370"/>
        <v>TEXAS</v>
      </c>
      <c r="P921" t="str">
        <f t="shared" si="371"/>
        <v>N A</v>
      </c>
      <c r="Q921" t="str">
        <f t="shared" si="372"/>
        <v>N/A</v>
      </c>
      <c r="R921" t="str">
        <f>"45SE MLPWB 01 611"</f>
        <v>45SE MLPWB 01 611</v>
      </c>
      <c r="S921" t="str">
        <f>"12/19/2019 7:14:54 PM"</f>
        <v>12/19/2019 7:14:54 PM</v>
      </c>
      <c r="T921" t="str">
        <f t="shared" si="378"/>
        <v>5</v>
      </c>
      <c r="U921" t="str">
        <f t="shared" si="373"/>
        <v>N/A</v>
      </c>
      <c r="V921" t="str">
        <f>"3.3000"</f>
        <v>3.3000</v>
      </c>
    </row>
    <row r="922" spans="1:22" x14ac:dyDescent="0.25">
      <c r="A922" s="1" t="str">
        <f t="shared" si="368"/>
        <v>5079-</v>
      </c>
      <c r="B922" s="1" t="str">
        <f t="shared" si="374"/>
        <v>5079-</v>
      </c>
      <c r="C922" s="1" t="s">
        <v>8897</v>
      </c>
      <c r="D922" s="1" t="s">
        <v>91</v>
      </c>
      <c r="E922" s="1" t="s">
        <v>37</v>
      </c>
      <c r="F922" s="1" t="s">
        <v>22</v>
      </c>
      <c r="G922" s="1" t="e">
        <f>VLOOKUP(C922,'Master truck list'!E:R,14,0)</f>
        <v>#N/A</v>
      </c>
      <c r="H922" t="str">
        <f t="shared" si="385"/>
        <v>12/20/2019 7:00:30 AM</v>
      </c>
      <c r="I922" t="str">
        <f>""</f>
        <v/>
      </c>
      <c r="J922" t="str">
        <f t="shared" si="369"/>
        <v>Elite</v>
      </c>
      <c r="K922" t="str">
        <f t="shared" si="381"/>
        <v>Device</v>
      </c>
      <c r="L922" t="str">
        <f t="shared" si="382"/>
        <v>777226277</v>
      </c>
      <c r="M922" t="str">
        <f t="shared" si="383"/>
        <v>16600234</v>
      </c>
      <c r="N922" t="str">
        <f t="shared" si="384"/>
        <v>5079-20</v>
      </c>
      <c r="O922" t="str">
        <f t="shared" si="370"/>
        <v>TEXAS</v>
      </c>
      <c r="P922" t="str">
        <f t="shared" si="371"/>
        <v>N A</v>
      </c>
      <c r="Q922" t="str">
        <f t="shared" si="372"/>
        <v>N/A</v>
      </c>
      <c r="R922" t="str">
        <f>"45SE MLPEB 02 611"</f>
        <v>45SE MLPEB 02 611</v>
      </c>
      <c r="S922" t="str">
        <f>"12/19/2019 11:00:27 AM"</f>
        <v>12/19/2019 11:00:27 AM</v>
      </c>
      <c r="T922" t="str">
        <f t="shared" si="378"/>
        <v>5</v>
      </c>
      <c r="U922" t="str">
        <f t="shared" si="373"/>
        <v>N/A</v>
      </c>
      <c r="V922" t="str">
        <f>"3.3000"</f>
        <v>3.3000</v>
      </c>
    </row>
    <row r="923" spans="1:22" x14ac:dyDescent="0.25">
      <c r="A923" s="1" t="str">
        <f t="shared" si="368"/>
        <v>5079-</v>
      </c>
      <c r="B923" s="1" t="str">
        <f t="shared" si="374"/>
        <v>5079-</v>
      </c>
      <c r="C923" s="1" t="s">
        <v>8901</v>
      </c>
      <c r="D923" s="1" t="s">
        <v>91</v>
      </c>
      <c r="E923" s="1" t="s">
        <v>1738</v>
      </c>
      <c r="F923" s="1" t="s">
        <v>22</v>
      </c>
      <c r="G923" s="1" t="e">
        <f>VLOOKUP(C923,'Master truck list'!E:R,14,0)</f>
        <v>#N/A</v>
      </c>
      <c r="H923" t="str">
        <f t="shared" si="385"/>
        <v>12/20/2019 7:00:30 AM</v>
      </c>
      <c r="I923" t="str">
        <f>""</f>
        <v/>
      </c>
      <c r="J923" t="str">
        <f t="shared" si="369"/>
        <v>Elite</v>
      </c>
      <c r="K923" t="str">
        <f t="shared" si="381"/>
        <v>Device</v>
      </c>
      <c r="L923" t="str">
        <f t="shared" si="382"/>
        <v>777226277</v>
      </c>
      <c r="M923" t="str">
        <f t="shared" si="383"/>
        <v>16600234</v>
      </c>
      <c r="N923" t="str">
        <f t="shared" si="384"/>
        <v>5079-20</v>
      </c>
      <c r="O923" t="str">
        <f t="shared" si="370"/>
        <v>TEXAS</v>
      </c>
      <c r="P923" t="str">
        <f t="shared" si="371"/>
        <v>N A</v>
      </c>
      <c r="Q923" t="str">
        <f t="shared" si="372"/>
        <v>N/A</v>
      </c>
      <c r="R923" t="str">
        <f>"130 DKCRP 07 307"</f>
        <v>130 DKCRP 07 307</v>
      </c>
      <c r="S923" t="str">
        <f>"12/19/2019 6:54:44 PM"</f>
        <v>12/19/2019 6:54:44 PM</v>
      </c>
      <c r="T923" t="str">
        <f t="shared" si="378"/>
        <v>5</v>
      </c>
      <c r="U923" t="str">
        <f t="shared" si="373"/>
        <v>N/A</v>
      </c>
      <c r="V923" t="str">
        <f t="shared" ref="V923:V929" si="386">"5.5500"</f>
        <v>5.5500</v>
      </c>
    </row>
    <row r="924" spans="1:22" x14ac:dyDescent="0.25">
      <c r="A924" s="1" t="str">
        <f t="shared" si="368"/>
        <v>5079-</v>
      </c>
      <c r="B924" s="1" t="str">
        <f t="shared" si="374"/>
        <v>5079-</v>
      </c>
      <c r="C924" s="1" t="s">
        <v>8902</v>
      </c>
      <c r="D924" s="1" t="s">
        <v>91</v>
      </c>
      <c r="E924" s="1" t="s">
        <v>1738</v>
      </c>
      <c r="F924" s="1" t="s">
        <v>22</v>
      </c>
      <c r="G924" s="1" t="e">
        <f>VLOOKUP(C924,'Master truck list'!E:R,14,0)</f>
        <v>#N/A</v>
      </c>
      <c r="H924" t="str">
        <f t="shared" si="385"/>
        <v>12/20/2019 7:00:30 AM</v>
      </c>
      <c r="I924" t="str">
        <f>""</f>
        <v/>
      </c>
      <c r="J924" t="str">
        <f t="shared" si="369"/>
        <v>Elite</v>
      </c>
      <c r="K924" t="str">
        <f t="shared" si="381"/>
        <v>Device</v>
      </c>
      <c r="L924" t="str">
        <f t="shared" si="382"/>
        <v>777226277</v>
      </c>
      <c r="M924" t="str">
        <f t="shared" si="383"/>
        <v>16600234</v>
      </c>
      <c r="N924" t="str">
        <f t="shared" si="384"/>
        <v>5079-20</v>
      </c>
      <c r="O924" t="str">
        <f t="shared" si="370"/>
        <v>TEXAS</v>
      </c>
      <c r="P924" t="str">
        <f t="shared" si="371"/>
        <v>N A</v>
      </c>
      <c r="Q924" t="str">
        <f t="shared" si="372"/>
        <v>N/A</v>
      </c>
      <c r="R924" t="str">
        <f>"130 DKCRP 11 307"</f>
        <v>130 DKCRP 11 307</v>
      </c>
      <c r="S924" t="str">
        <f>"12/19/2019 11:17:59 AM"</f>
        <v>12/19/2019 11:17:59 AM</v>
      </c>
      <c r="T924" t="str">
        <f t="shared" si="378"/>
        <v>5</v>
      </c>
      <c r="U924" t="str">
        <f t="shared" si="373"/>
        <v>N/A</v>
      </c>
      <c r="V924" t="str">
        <f t="shared" si="386"/>
        <v>5.5500</v>
      </c>
    </row>
    <row r="925" spans="1:22" x14ac:dyDescent="0.25">
      <c r="A925" s="1" t="str">
        <f t="shared" si="368"/>
        <v>5079-</v>
      </c>
      <c r="B925" s="1" t="str">
        <f t="shared" si="374"/>
        <v>5079-</v>
      </c>
      <c r="C925" s="1" t="str">
        <f>VLOOKUP(B925,'Master truck list'!D:E,2,0)</f>
        <v>5079-20</v>
      </c>
      <c r="D925" s="1" t="str">
        <f>VLOOKUP(C925,'Master truck list'!E:F,2,0)</f>
        <v>ACTIVE</v>
      </c>
      <c r="E925" s="1" t="str">
        <f>VLOOKUP(C925,'Master truck list'!E:M,9,0)</f>
        <v>BNK TRANSPORT INC</v>
      </c>
      <c r="F925" s="1" t="str">
        <f>VLOOKUP(C925,'Master truck list'!E:G,3,0)</f>
        <v>Company</v>
      </c>
      <c r="G925" s="1">
        <f>VLOOKUP(C925,'Master truck list'!E:R,14,0)</f>
        <v>2470</v>
      </c>
      <c r="H925" t="str">
        <f t="shared" si="385"/>
        <v>12/20/2019 7:00:30 AM</v>
      </c>
      <c r="I925" t="str">
        <f>""</f>
        <v/>
      </c>
      <c r="J925" t="str">
        <f t="shared" si="369"/>
        <v>Elite</v>
      </c>
      <c r="K925" t="str">
        <f t="shared" si="381"/>
        <v>Device</v>
      </c>
      <c r="L925" t="str">
        <f t="shared" si="382"/>
        <v>777226277</v>
      </c>
      <c r="M925" t="str">
        <f t="shared" si="383"/>
        <v>16600234</v>
      </c>
      <c r="N925" t="str">
        <f t="shared" si="384"/>
        <v>5079-20</v>
      </c>
      <c r="O925" t="str">
        <f t="shared" si="370"/>
        <v>TEXAS</v>
      </c>
      <c r="P925" t="str">
        <f t="shared" si="371"/>
        <v>N A</v>
      </c>
      <c r="Q925" t="str">
        <f t="shared" si="372"/>
        <v>N/A</v>
      </c>
      <c r="R925" t="str">
        <f>"130 MGCRP 06 305"</f>
        <v>130 MGCRP 06 305</v>
      </c>
      <c r="S925" t="str">
        <f>"12/19/2019 6:33:49 PM"</f>
        <v>12/19/2019 6:33:49 PM</v>
      </c>
      <c r="T925" t="str">
        <f t="shared" si="378"/>
        <v>5</v>
      </c>
      <c r="U925" t="str">
        <f t="shared" si="373"/>
        <v>N/A</v>
      </c>
      <c r="V925" t="str">
        <f t="shared" si="386"/>
        <v>5.5500</v>
      </c>
    </row>
    <row r="926" spans="1:22" x14ac:dyDescent="0.25">
      <c r="A926" s="1" t="str">
        <f t="shared" si="368"/>
        <v>5079-</v>
      </c>
      <c r="B926" s="1" t="str">
        <f t="shared" si="374"/>
        <v>5079-</v>
      </c>
      <c r="C926" s="1" t="s">
        <v>8894</v>
      </c>
      <c r="D926" s="1" t="s">
        <v>91</v>
      </c>
      <c r="E926" s="1" t="s">
        <v>1738</v>
      </c>
      <c r="F926" s="1" t="s">
        <v>22</v>
      </c>
      <c r="G926" s="1" t="e">
        <f>VLOOKUP(C926,'Master truck list'!E:R,14,0)</f>
        <v>#N/A</v>
      </c>
      <c r="H926" t="str">
        <f t="shared" si="385"/>
        <v>12/20/2019 7:00:30 AM</v>
      </c>
      <c r="I926" t="str">
        <f>""</f>
        <v/>
      </c>
      <c r="J926" t="str">
        <f t="shared" si="369"/>
        <v>Elite</v>
      </c>
      <c r="K926" t="str">
        <f t="shared" si="381"/>
        <v>Device</v>
      </c>
      <c r="L926" t="str">
        <f t="shared" si="382"/>
        <v>777226277</v>
      </c>
      <c r="M926" t="str">
        <f t="shared" si="383"/>
        <v>16600234</v>
      </c>
      <c r="N926" t="str">
        <f t="shared" si="384"/>
        <v>5079-20</v>
      </c>
      <c r="O926" t="str">
        <f t="shared" si="370"/>
        <v>TEXAS</v>
      </c>
      <c r="P926" t="str">
        <f t="shared" si="371"/>
        <v>N A</v>
      </c>
      <c r="Q926" t="str">
        <f t="shared" si="372"/>
        <v>N/A</v>
      </c>
      <c r="R926" t="str">
        <f>"130 ARPTP 04 308"</f>
        <v>130 ARPTP 04 308</v>
      </c>
      <c r="S926" t="str">
        <f>"12/19/2019 7:01:39 PM"</f>
        <v>12/19/2019 7:01:39 PM</v>
      </c>
      <c r="T926" t="str">
        <f t="shared" si="378"/>
        <v>5</v>
      </c>
      <c r="U926" t="str">
        <f t="shared" si="373"/>
        <v>N/A</v>
      </c>
      <c r="V926" t="str">
        <f t="shared" si="386"/>
        <v>5.5500</v>
      </c>
    </row>
    <row r="927" spans="1:22" x14ac:dyDescent="0.25">
      <c r="A927" s="1" t="str">
        <f t="shared" si="368"/>
        <v>5079-</v>
      </c>
      <c r="B927" s="1" t="str">
        <f t="shared" si="374"/>
        <v>5079-</v>
      </c>
      <c r="C927" s="1" t="s">
        <v>8889</v>
      </c>
      <c r="D927" s="1" t="s">
        <v>91</v>
      </c>
      <c r="E927" s="1" t="s">
        <v>1738</v>
      </c>
      <c r="F927" s="1" t="s">
        <v>22</v>
      </c>
      <c r="G927" s="1" t="e">
        <f>VLOOKUP(C927,'Master truck list'!E:R,14,0)</f>
        <v>#N/A</v>
      </c>
      <c r="H927" t="str">
        <f t="shared" si="385"/>
        <v>12/20/2019 7:00:30 AM</v>
      </c>
      <c r="I927" t="str">
        <f>""</f>
        <v/>
      </c>
      <c r="J927" t="str">
        <f t="shared" si="369"/>
        <v>Elite</v>
      </c>
      <c r="K927" t="str">
        <f t="shared" si="381"/>
        <v>Device</v>
      </c>
      <c r="L927" t="str">
        <f t="shared" si="382"/>
        <v>777226277</v>
      </c>
      <c r="M927" t="str">
        <f t="shared" si="383"/>
        <v>16600234</v>
      </c>
      <c r="N927" t="str">
        <f t="shared" si="384"/>
        <v>5079-20</v>
      </c>
      <c r="O927" t="str">
        <f t="shared" si="370"/>
        <v>TEXAS</v>
      </c>
      <c r="P927" t="str">
        <f t="shared" si="371"/>
        <v>N A</v>
      </c>
      <c r="Q927" t="str">
        <f t="shared" si="372"/>
        <v>N/A</v>
      </c>
      <c r="R927" t="str">
        <f>"130 CMRNP 13 306"</f>
        <v>130 CMRNP 13 306</v>
      </c>
      <c r="S927" t="str">
        <f>"12/19/2019 11:27:59 AM"</f>
        <v>12/19/2019 11:27:59 AM</v>
      </c>
      <c r="T927" t="str">
        <f t="shared" si="378"/>
        <v>5</v>
      </c>
      <c r="U927" t="str">
        <f t="shared" si="373"/>
        <v>N/A</v>
      </c>
      <c r="V927" t="str">
        <f t="shared" si="386"/>
        <v>5.5500</v>
      </c>
    </row>
    <row r="928" spans="1:22" x14ac:dyDescent="0.25">
      <c r="A928" s="1" t="str">
        <f t="shared" si="368"/>
        <v>5079-</v>
      </c>
      <c r="B928" s="1" t="str">
        <f t="shared" si="374"/>
        <v>5079-</v>
      </c>
      <c r="C928" s="1" t="s">
        <v>8903</v>
      </c>
      <c r="D928" s="1" t="s">
        <v>91</v>
      </c>
      <c r="E928" s="1" t="s">
        <v>154</v>
      </c>
      <c r="F928" s="1" t="s">
        <v>8892</v>
      </c>
      <c r="G928" s="1" t="e">
        <f>VLOOKUP(C928,'Master truck list'!E:R,14,0)</f>
        <v>#N/A</v>
      </c>
      <c r="H928" t="str">
        <f t="shared" si="385"/>
        <v>12/20/2019 7:00:30 AM</v>
      </c>
      <c r="I928" t="str">
        <f>""</f>
        <v/>
      </c>
      <c r="J928" t="str">
        <f t="shared" si="369"/>
        <v>Elite</v>
      </c>
      <c r="K928" t="str">
        <f t="shared" si="381"/>
        <v>Device</v>
      </c>
      <c r="L928" t="str">
        <f t="shared" si="382"/>
        <v>777226277</v>
      </c>
      <c r="M928" t="str">
        <f t="shared" si="383"/>
        <v>16600234</v>
      </c>
      <c r="N928" t="str">
        <f t="shared" si="384"/>
        <v>5079-20</v>
      </c>
      <c r="O928" t="str">
        <f t="shared" si="370"/>
        <v>TEXAS</v>
      </c>
      <c r="P928" t="str">
        <f t="shared" si="371"/>
        <v>N A</v>
      </c>
      <c r="Q928" t="str">
        <f t="shared" si="372"/>
        <v>N/A</v>
      </c>
      <c r="R928" t="str">
        <f>"130 ARPTP 09 308"</f>
        <v>130 ARPTP 09 308</v>
      </c>
      <c r="S928" t="str">
        <f>"12/19/2019 11:11:01 AM"</f>
        <v>12/19/2019 11:11:01 AM</v>
      </c>
      <c r="T928" t="str">
        <f t="shared" si="378"/>
        <v>5</v>
      </c>
      <c r="U928" t="str">
        <f t="shared" si="373"/>
        <v>N/A</v>
      </c>
      <c r="V928" t="str">
        <f t="shared" si="386"/>
        <v>5.5500</v>
      </c>
    </row>
    <row r="929" spans="1:22" x14ac:dyDescent="0.25">
      <c r="A929" s="1" t="str">
        <f t="shared" si="368"/>
        <v>5079-</v>
      </c>
      <c r="B929" s="1" t="str">
        <f t="shared" si="374"/>
        <v>5079-</v>
      </c>
      <c r="C929" s="1" t="str">
        <f>VLOOKUP(B929,'Master truck list'!D:E,2,0)</f>
        <v>5079-20</v>
      </c>
      <c r="D929" s="1" t="str">
        <f>VLOOKUP(C929,'Master truck list'!E:F,2,0)</f>
        <v>ACTIVE</v>
      </c>
      <c r="E929" s="1" t="str">
        <f>VLOOKUP(C929,'Master truck list'!E:M,9,0)</f>
        <v>BNK TRANSPORT INC</v>
      </c>
      <c r="F929" s="1" t="str">
        <f>VLOOKUP(C929,'Master truck list'!E:G,3,0)</f>
        <v>Company</v>
      </c>
      <c r="G929" s="1">
        <f>VLOOKUP(C929,'Master truck list'!E:R,14,0)</f>
        <v>2470</v>
      </c>
      <c r="H929" t="str">
        <f t="shared" si="385"/>
        <v>12/20/2019 7:00:30 AM</v>
      </c>
      <c r="I929" t="str">
        <f>""</f>
        <v/>
      </c>
      <c r="J929" t="str">
        <f t="shared" si="369"/>
        <v>Elite</v>
      </c>
      <c r="K929" t="str">
        <f t="shared" si="381"/>
        <v>Device</v>
      </c>
      <c r="L929" t="str">
        <f t="shared" si="382"/>
        <v>777226277</v>
      </c>
      <c r="M929" t="str">
        <f t="shared" si="383"/>
        <v>16600234</v>
      </c>
      <c r="N929" t="str">
        <f t="shared" si="384"/>
        <v>5079-20</v>
      </c>
      <c r="O929" t="str">
        <f t="shared" si="370"/>
        <v>TEXAS</v>
      </c>
      <c r="P929" t="str">
        <f t="shared" si="371"/>
        <v>N A</v>
      </c>
      <c r="Q929" t="str">
        <f t="shared" si="372"/>
        <v>N/A</v>
      </c>
      <c r="R929" t="str">
        <f>"130 CMRNP 08 306"</f>
        <v>130 CMRNP 08 306</v>
      </c>
      <c r="S929" t="str">
        <f>"12/19/2019 6:44:46 PM"</f>
        <v>12/19/2019 6:44:46 PM</v>
      </c>
      <c r="T929" t="str">
        <f t="shared" si="378"/>
        <v>5</v>
      </c>
      <c r="U929" t="str">
        <f t="shared" si="373"/>
        <v>N/A</v>
      </c>
      <c r="V929" t="str">
        <f t="shared" si="386"/>
        <v>5.5500</v>
      </c>
    </row>
    <row r="930" spans="1:22" x14ac:dyDescent="0.25">
      <c r="A930" s="1" t="str">
        <f t="shared" si="368"/>
        <v>2284-</v>
      </c>
      <c r="B930" s="1" t="str">
        <f t="shared" si="374"/>
        <v>2284-</v>
      </c>
      <c r="C930" s="1" t="str">
        <f>VLOOKUP(B930,'Master truck list'!D:E,2,0)</f>
        <v>2284-18AT</v>
      </c>
      <c r="D930" s="1" t="str">
        <f>VLOOKUP(C930,'Master truck list'!E:F,2,0)</f>
        <v>ACTIVE</v>
      </c>
      <c r="E930" s="1" t="str">
        <f>VLOOKUP(C930,'Master truck list'!E:M,9,0)</f>
        <v>CHARGER LOGISTICS USA INC</v>
      </c>
      <c r="F930" s="1" t="str">
        <f>VLOOKUP(C930,'Master truck list'!E:G,3,0)</f>
        <v>Company</v>
      </c>
      <c r="G930" s="1">
        <f>VLOOKUP(C930,'Master truck list'!E:R,14,0)</f>
        <v>1038</v>
      </c>
      <c r="H930" t="str">
        <f t="shared" ref="H930:H935" si="387">"12/19/2019 7:00:35 AM"</f>
        <v>12/19/2019 7:00:35 AM</v>
      </c>
      <c r="I930" t="str">
        <f>""</f>
        <v/>
      </c>
      <c r="J930" t="str">
        <f t="shared" si="369"/>
        <v>Elite</v>
      </c>
      <c r="K930" t="str">
        <f t="shared" si="381"/>
        <v>Device</v>
      </c>
      <c r="L930" t="str">
        <f t="shared" ref="L930:L954" si="388">"777233817"</f>
        <v>777233817</v>
      </c>
      <c r="M930" t="str">
        <f t="shared" ref="M930:M954" si="389">"16607774"</f>
        <v>16607774</v>
      </c>
      <c r="N930" t="str">
        <f t="shared" ref="N930:N954" si="390">"2284-18A"</f>
        <v>2284-18A</v>
      </c>
      <c r="O930" t="str">
        <f t="shared" si="370"/>
        <v>TEXAS</v>
      </c>
      <c r="P930" t="str">
        <f t="shared" si="371"/>
        <v>N A</v>
      </c>
      <c r="Q930" t="str">
        <f t="shared" si="372"/>
        <v>N/A</v>
      </c>
      <c r="R930" t="str">
        <f>"45SE MLPEB 02 611"</f>
        <v>45SE MLPEB 02 611</v>
      </c>
      <c r="S930" t="str">
        <f>"12/18/2019 9:08:15 AM"</f>
        <v>12/18/2019 9:08:15 AM</v>
      </c>
      <c r="T930" t="str">
        <f t="shared" si="378"/>
        <v>5</v>
      </c>
      <c r="U930" t="str">
        <f t="shared" si="373"/>
        <v>N/A</v>
      </c>
      <c r="V930" t="str">
        <f>"3.3000"</f>
        <v>3.3000</v>
      </c>
    </row>
    <row r="931" spans="1:22" x14ac:dyDescent="0.25">
      <c r="A931" s="1" t="str">
        <f t="shared" si="368"/>
        <v>2284-</v>
      </c>
      <c r="B931" s="1" t="str">
        <f t="shared" si="374"/>
        <v>2284-</v>
      </c>
      <c r="C931" s="1" t="str">
        <f>VLOOKUP(B931,'Master truck list'!D:E,2,0)</f>
        <v>2284-18AT</v>
      </c>
      <c r="D931" s="1" t="str">
        <f>VLOOKUP(C931,'Master truck list'!E:F,2,0)</f>
        <v>ACTIVE</v>
      </c>
      <c r="E931" s="1" t="str">
        <f>VLOOKUP(C931,'Master truck list'!E:M,9,0)</f>
        <v>CHARGER LOGISTICS USA INC</v>
      </c>
      <c r="F931" s="1" t="str">
        <f>VLOOKUP(C931,'Master truck list'!E:G,3,0)</f>
        <v>Company</v>
      </c>
      <c r="G931" s="1">
        <f>VLOOKUP(C931,'Master truck list'!E:R,14,0)</f>
        <v>1038</v>
      </c>
      <c r="H931" t="str">
        <f t="shared" si="387"/>
        <v>12/19/2019 7:00:35 AM</v>
      </c>
      <c r="I931" t="str">
        <f>""</f>
        <v/>
      </c>
      <c r="J931" t="str">
        <f t="shared" si="369"/>
        <v>Elite</v>
      </c>
      <c r="K931" t="str">
        <f t="shared" si="381"/>
        <v>Device</v>
      </c>
      <c r="L931" t="str">
        <f t="shared" si="388"/>
        <v>777233817</v>
      </c>
      <c r="M931" t="str">
        <f t="shared" si="389"/>
        <v>16607774</v>
      </c>
      <c r="N931" t="str">
        <f t="shared" si="390"/>
        <v>2284-18A</v>
      </c>
      <c r="O931" t="str">
        <f t="shared" si="370"/>
        <v>TEXAS</v>
      </c>
      <c r="P931" t="str">
        <f t="shared" si="371"/>
        <v>N A</v>
      </c>
      <c r="Q931" t="str">
        <f t="shared" si="372"/>
        <v>N/A</v>
      </c>
      <c r="R931" t="str">
        <f>"45SE MLPWB 01 611"</f>
        <v>45SE MLPWB 01 611</v>
      </c>
      <c r="S931" t="str">
        <f>"12/18/2019 6:42:11 PM"</f>
        <v>12/18/2019 6:42:11 PM</v>
      </c>
      <c r="T931" t="str">
        <f t="shared" si="378"/>
        <v>5</v>
      </c>
      <c r="U931" t="str">
        <f t="shared" si="373"/>
        <v>N/A</v>
      </c>
      <c r="V931" t="str">
        <f>"3.3000"</f>
        <v>3.3000</v>
      </c>
    </row>
    <row r="932" spans="1:22" x14ac:dyDescent="0.25">
      <c r="A932" s="1" t="str">
        <f t="shared" si="368"/>
        <v>2284-</v>
      </c>
      <c r="B932" s="1" t="str">
        <f t="shared" si="374"/>
        <v>2284-</v>
      </c>
      <c r="C932" s="1" t="s">
        <v>8904</v>
      </c>
      <c r="D932" s="1" t="s">
        <v>91</v>
      </c>
      <c r="E932" s="1" t="s">
        <v>37</v>
      </c>
      <c r="F932" s="1" t="s">
        <v>22</v>
      </c>
      <c r="G932" s="1" t="e">
        <f>VLOOKUP(C932,'Master truck list'!E:R,14,0)</f>
        <v>#N/A</v>
      </c>
      <c r="H932" t="str">
        <f t="shared" si="387"/>
        <v>12/19/2019 7:00:35 AM</v>
      </c>
      <c r="I932" t="str">
        <f>""</f>
        <v/>
      </c>
      <c r="J932" t="str">
        <f t="shared" si="369"/>
        <v>Elite</v>
      </c>
      <c r="K932" t="str">
        <f t="shared" si="381"/>
        <v>Device</v>
      </c>
      <c r="L932" t="str">
        <f t="shared" si="388"/>
        <v>777233817</v>
      </c>
      <c r="M932" t="str">
        <f t="shared" si="389"/>
        <v>16607774</v>
      </c>
      <c r="N932" t="str">
        <f t="shared" si="390"/>
        <v>2284-18A</v>
      </c>
      <c r="O932" t="str">
        <f t="shared" si="370"/>
        <v>TEXAS</v>
      </c>
      <c r="P932" t="str">
        <f t="shared" si="371"/>
        <v>N A</v>
      </c>
      <c r="Q932" t="str">
        <f t="shared" si="372"/>
        <v>N/A</v>
      </c>
      <c r="R932" t="str">
        <f>"130 MGCRP 11 305"</f>
        <v>130 MGCRP 11 305</v>
      </c>
      <c r="S932" t="str">
        <f>"12/18/2019 9:47:02 AM"</f>
        <v>12/18/2019 9:47:02 AM</v>
      </c>
      <c r="T932" t="str">
        <f t="shared" si="378"/>
        <v>5</v>
      </c>
      <c r="U932" t="str">
        <f t="shared" si="373"/>
        <v>N/A</v>
      </c>
      <c r="V932" t="str">
        <f t="shared" ref="V932:V938" si="391">"5.5500"</f>
        <v>5.5500</v>
      </c>
    </row>
    <row r="933" spans="1:22" x14ac:dyDescent="0.25">
      <c r="A933" s="1" t="str">
        <f t="shared" si="368"/>
        <v>2284-</v>
      </c>
      <c r="B933" s="1" t="str">
        <f t="shared" si="374"/>
        <v>2284-</v>
      </c>
      <c r="C933" s="1" t="str">
        <f>VLOOKUP(B933,'Master truck list'!D:E,2,0)</f>
        <v>2284-18AT</v>
      </c>
      <c r="D933" s="1" t="str">
        <f>VLOOKUP(C933,'Master truck list'!E:F,2,0)</f>
        <v>ACTIVE</v>
      </c>
      <c r="E933" s="1" t="str">
        <f>VLOOKUP(C933,'Master truck list'!E:M,9,0)</f>
        <v>CHARGER LOGISTICS USA INC</v>
      </c>
      <c r="F933" s="1" t="str">
        <f>VLOOKUP(C933,'Master truck list'!E:G,3,0)</f>
        <v>Company</v>
      </c>
      <c r="G933" s="1">
        <f>VLOOKUP(C933,'Master truck list'!E:R,14,0)</f>
        <v>1038</v>
      </c>
      <c r="H933" t="str">
        <f t="shared" si="387"/>
        <v>12/19/2019 7:00:35 AM</v>
      </c>
      <c r="I933" t="str">
        <f>""</f>
        <v/>
      </c>
      <c r="J933" t="str">
        <f t="shared" si="369"/>
        <v>Elite</v>
      </c>
      <c r="K933" t="str">
        <f t="shared" si="381"/>
        <v>Device</v>
      </c>
      <c r="L933" t="str">
        <f t="shared" si="388"/>
        <v>777233817</v>
      </c>
      <c r="M933" t="str">
        <f t="shared" si="389"/>
        <v>16607774</v>
      </c>
      <c r="N933" t="str">
        <f t="shared" si="390"/>
        <v>2284-18A</v>
      </c>
      <c r="O933" t="str">
        <f t="shared" si="370"/>
        <v>TEXAS</v>
      </c>
      <c r="P933" t="str">
        <f t="shared" si="371"/>
        <v>N A</v>
      </c>
      <c r="Q933" t="str">
        <f t="shared" si="372"/>
        <v>N/A</v>
      </c>
      <c r="R933" t="str">
        <f>"130 MGCRP 06 305"</f>
        <v>130 MGCRP 06 305</v>
      </c>
      <c r="S933" t="str">
        <f>"12/18/2019 6:02:30 PM"</f>
        <v>12/18/2019 6:02:30 PM</v>
      </c>
      <c r="T933" t="str">
        <f t="shared" si="378"/>
        <v>5</v>
      </c>
      <c r="U933" t="str">
        <f t="shared" si="373"/>
        <v>N/A</v>
      </c>
      <c r="V933" t="str">
        <f t="shared" si="391"/>
        <v>5.5500</v>
      </c>
    </row>
    <row r="934" spans="1:22" x14ac:dyDescent="0.25">
      <c r="A934" s="1" t="str">
        <f t="shared" si="368"/>
        <v>2284-</v>
      </c>
      <c r="B934" s="1" t="str">
        <f t="shared" si="374"/>
        <v>2284-</v>
      </c>
      <c r="C934" s="1" t="s">
        <v>8897</v>
      </c>
      <c r="D934" s="1" t="s">
        <v>91</v>
      </c>
      <c r="E934" s="1" t="s">
        <v>37</v>
      </c>
      <c r="F934" s="1" t="s">
        <v>22</v>
      </c>
      <c r="G934" s="1" t="e">
        <f>VLOOKUP(C934,'Master truck list'!E:R,14,0)</f>
        <v>#N/A</v>
      </c>
      <c r="H934" t="str">
        <f t="shared" si="387"/>
        <v>12/19/2019 7:00:35 AM</v>
      </c>
      <c r="I934" t="str">
        <f>""</f>
        <v/>
      </c>
      <c r="J934" t="str">
        <f t="shared" si="369"/>
        <v>Elite</v>
      </c>
      <c r="K934" t="str">
        <f t="shared" si="381"/>
        <v>Device</v>
      </c>
      <c r="L934" t="str">
        <f t="shared" si="388"/>
        <v>777233817</v>
      </c>
      <c r="M934" t="str">
        <f t="shared" si="389"/>
        <v>16607774</v>
      </c>
      <c r="N934" t="str">
        <f t="shared" si="390"/>
        <v>2284-18A</v>
      </c>
      <c r="O934" t="str">
        <f t="shared" si="370"/>
        <v>TEXAS</v>
      </c>
      <c r="P934" t="str">
        <f t="shared" si="371"/>
        <v>N A</v>
      </c>
      <c r="Q934" t="str">
        <f t="shared" si="372"/>
        <v>N/A</v>
      </c>
      <c r="R934" t="str">
        <f>"130 DKCRP 11 307"</f>
        <v>130 DKCRP 11 307</v>
      </c>
      <c r="S934" t="str">
        <f>"12/18/2019 9:25:50 AM"</f>
        <v>12/18/2019 9:25:50 AM</v>
      </c>
      <c r="T934" t="str">
        <f t="shared" si="378"/>
        <v>5</v>
      </c>
      <c r="U934" t="str">
        <f t="shared" si="373"/>
        <v>N/A</v>
      </c>
      <c r="V934" t="str">
        <f t="shared" si="391"/>
        <v>5.5500</v>
      </c>
    </row>
    <row r="935" spans="1:22" x14ac:dyDescent="0.25">
      <c r="A935" s="1" t="str">
        <f t="shared" si="368"/>
        <v>2284-</v>
      </c>
      <c r="B935" s="1" t="str">
        <f t="shared" si="374"/>
        <v>2284-</v>
      </c>
      <c r="C935" s="1" t="str">
        <f>VLOOKUP(B935,'Master truck list'!D:E,2,0)</f>
        <v>2284-18AT</v>
      </c>
      <c r="D935" s="1" t="str">
        <f>VLOOKUP(C935,'Master truck list'!E:F,2,0)</f>
        <v>ACTIVE</v>
      </c>
      <c r="E935" s="1" t="str">
        <f>VLOOKUP(C935,'Master truck list'!E:M,9,0)</f>
        <v>CHARGER LOGISTICS USA INC</v>
      </c>
      <c r="F935" s="1" t="str">
        <f>VLOOKUP(C935,'Master truck list'!E:G,3,0)</f>
        <v>Company</v>
      </c>
      <c r="G935" s="1">
        <f>VLOOKUP(C935,'Master truck list'!E:R,14,0)</f>
        <v>1038</v>
      </c>
      <c r="H935" t="str">
        <f t="shared" si="387"/>
        <v>12/19/2019 7:00:35 AM</v>
      </c>
      <c r="I935" t="str">
        <f>""</f>
        <v/>
      </c>
      <c r="J935" t="str">
        <f t="shared" si="369"/>
        <v>Elite</v>
      </c>
      <c r="K935" t="str">
        <f t="shared" si="381"/>
        <v>Device</v>
      </c>
      <c r="L935" t="str">
        <f t="shared" si="388"/>
        <v>777233817</v>
      </c>
      <c r="M935" t="str">
        <f t="shared" si="389"/>
        <v>16607774</v>
      </c>
      <c r="N935" t="str">
        <f t="shared" si="390"/>
        <v>2284-18A</v>
      </c>
      <c r="O935" t="str">
        <f t="shared" si="370"/>
        <v>TEXAS</v>
      </c>
      <c r="P935" t="str">
        <f t="shared" si="371"/>
        <v>N A</v>
      </c>
      <c r="Q935" t="str">
        <f t="shared" si="372"/>
        <v>N/A</v>
      </c>
      <c r="R935" t="str">
        <f>"130 DKCRP 06 307"</f>
        <v>130 DKCRP 06 307</v>
      </c>
      <c r="S935" t="str">
        <f>"12/18/2019 6:23:49 PM"</f>
        <v>12/18/2019 6:23:49 PM</v>
      </c>
      <c r="T935" t="str">
        <f t="shared" si="378"/>
        <v>5</v>
      </c>
      <c r="U935" t="str">
        <f t="shared" si="373"/>
        <v>N/A</v>
      </c>
      <c r="V935" t="str">
        <f t="shared" si="391"/>
        <v>5.5500</v>
      </c>
    </row>
    <row r="936" spans="1:22" x14ac:dyDescent="0.25">
      <c r="A936" s="1" t="str">
        <f t="shared" si="368"/>
        <v>2284-</v>
      </c>
      <c r="B936" s="1" t="str">
        <f t="shared" si="374"/>
        <v>2284-</v>
      </c>
      <c r="C936" s="1" t="str">
        <f>VLOOKUP(B936,'Master truck list'!D:E,2,0)</f>
        <v>2284-18AT</v>
      </c>
      <c r="D936" s="1" t="str">
        <f>VLOOKUP(C936,'Master truck list'!E:F,2,0)</f>
        <v>ACTIVE</v>
      </c>
      <c r="E936" s="1" t="str">
        <f>VLOOKUP(C936,'Master truck list'!E:M,9,0)</f>
        <v>CHARGER LOGISTICS USA INC</v>
      </c>
      <c r="F936" s="1" t="str">
        <f>VLOOKUP(C936,'Master truck list'!E:G,3,0)</f>
        <v>Company</v>
      </c>
      <c r="G936" s="1">
        <f>VLOOKUP(C936,'Master truck list'!E:R,14,0)</f>
        <v>1038</v>
      </c>
      <c r="H936" t="str">
        <f>"12/21/2019 7:00:28 AM"</f>
        <v>12/21/2019 7:00:28 AM</v>
      </c>
      <c r="I936" t="str">
        <f>""</f>
        <v/>
      </c>
      <c r="J936" t="str">
        <f t="shared" si="369"/>
        <v>Elite</v>
      </c>
      <c r="K936" t="str">
        <f t="shared" si="381"/>
        <v>Device</v>
      </c>
      <c r="L936" t="str">
        <f t="shared" si="388"/>
        <v>777233817</v>
      </c>
      <c r="M936" t="str">
        <f t="shared" si="389"/>
        <v>16607774</v>
      </c>
      <c r="N936" t="str">
        <f t="shared" si="390"/>
        <v>2284-18A</v>
      </c>
      <c r="O936" t="str">
        <f t="shared" si="370"/>
        <v>TEXAS</v>
      </c>
      <c r="P936" t="str">
        <f t="shared" si="371"/>
        <v>N A</v>
      </c>
      <c r="Q936" t="str">
        <f t="shared" si="372"/>
        <v>N/A</v>
      </c>
      <c r="R936" t="str">
        <f>"130 CMRNP 13 306"</f>
        <v>130 CMRNP 13 306</v>
      </c>
      <c r="S936" t="str">
        <f>"12/20/2019 7:25:00 PM"</f>
        <v>12/20/2019 7:25:00 PM</v>
      </c>
      <c r="T936" t="str">
        <f t="shared" si="378"/>
        <v>5</v>
      </c>
      <c r="U936" t="str">
        <f t="shared" si="373"/>
        <v>N/A</v>
      </c>
      <c r="V936" t="str">
        <f t="shared" si="391"/>
        <v>5.5500</v>
      </c>
    </row>
    <row r="937" spans="1:22" x14ac:dyDescent="0.25">
      <c r="A937" s="1" t="str">
        <f t="shared" si="368"/>
        <v>2284-</v>
      </c>
      <c r="B937" s="1" t="str">
        <f t="shared" si="374"/>
        <v>2284-</v>
      </c>
      <c r="C937" s="1" t="s">
        <v>8886</v>
      </c>
      <c r="D937" s="1" t="s">
        <v>91</v>
      </c>
      <c r="E937" s="1" t="s">
        <v>1738</v>
      </c>
      <c r="F937" s="1" t="s">
        <v>22</v>
      </c>
      <c r="G937" s="1" t="e">
        <f>VLOOKUP(C937,'Master truck list'!E:R,14,0)</f>
        <v>#N/A</v>
      </c>
      <c r="H937" t="str">
        <f>"12/21/2019 7:00:28 AM"</f>
        <v>12/21/2019 7:00:28 AM</v>
      </c>
      <c r="I937" t="str">
        <f>""</f>
        <v/>
      </c>
      <c r="J937" t="str">
        <f t="shared" si="369"/>
        <v>Elite</v>
      </c>
      <c r="K937" t="str">
        <f t="shared" si="381"/>
        <v>Device</v>
      </c>
      <c r="L937" t="str">
        <f t="shared" si="388"/>
        <v>777233817</v>
      </c>
      <c r="M937" t="str">
        <f t="shared" si="389"/>
        <v>16607774</v>
      </c>
      <c r="N937" t="str">
        <f t="shared" si="390"/>
        <v>2284-18A</v>
      </c>
      <c r="O937" t="str">
        <f t="shared" si="370"/>
        <v>TEXAS</v>
      </c>
      <c r="P937" t="str">
        <f t="shared" si="371"/>
        <v>N A</v>
      </c>
      <c r="Q937" t="str">
        <f t="shared" si="372"/>
        <v>N/A</v>
      </c>
      <c r="R937" t="str">
        <f>"130 ARPTP 09 308"</f>
        <v>130 ARPTP 09 308</v>
      </c>
      <c r="S937" t="str">
        <f>"12/20/2019 7:06:26 PM"</f>
        <v>12/20/2019 7:06:26 PM</v>
      </c>
      <c r="T937" t="str">
        <f t="shared" si="378"/>
        <v>5</v>
      </c>
      <c r="U937" t="str">
        <f t="shared" si="373"/>
        <v>N/A</v>
      </c>
      <c r="V937" t="str">
        <f t="shared" si="391"/>
        <v>5.5500</v>
      </c>
    </row>
    <row r="938" spans="1:22" x14ac:dyDescent="0.25">
      <c r="A938" s="1" t="str">
        <f t="shared" si="368"/>
        <v>2284-</v>
      </c>
      <c r="B938" s="1" t="str">
        <f t="shared" si="374"/>
        <v>2284-</v>
      </c>
      <c r="C938" s="1" t="s">
        <v>8901</v>
      </c>
      <c r="D938" s="1" t="s">
        <v>91</v>
      </c>
      <c r="E938" s="1" t="s">
        <v>1738</v>
      </c>
      <c r="F938" s="1" t="s">
        <v>22</v>
      </c>
      <c r="G938" s="1" t="e">
        <f>VLOOKUP(C938,'Master truck list'!E:R,14,0)</f>
        <v>#N/A</v>
      </c>
      <c r="H938" t="str">
        <f>"12/18/2019 7:00:28 AM"</f>
        <v>12/18/2019 7:00:28 AM</v>
      </c>
      <c r="I938" t="str">
        <f>""</f>
        <v/>
      </c>
      <c r="J938" t="str">
        <f t="shared" si="369"/>
        <v>Elite</v>
      </c>
      <c r="K938" t="str">
        <f t="shared" si="381"/>
        <v>Device</v>
      </c>
      <c r="L938" t="str">
        <f t="shared" si="388"/>
        <v>777233817</v>
      </c>
      <c r="M938" t="str">
        <f t="shared" si="389"/>
        <v>16607774</v>
      </c>
      <c r="N938" t="str">
        <f t="shared" si="390"/>
        <v>2284-18A</v>
      </c>
      <c r="O938" t="str">
        <f t="shared" si="370"/>
        <v>TEXAS</v>
      </c>
      <c r="P938" t="str">
        <f t="shared" si="371"/>
        <v>N A</v>
      </c>
      <c r="Q938" t="str">
        <f t="shared" si="372"/>
        <v>N/A</v>
      </c>
      <c r="R938" t="str">
        <f>"130 CMRNP 08 306"</f>
        <v>130 CMRNP 08 306</v>
      </c>
      <c r="S938" t="str">
        <f>"12/17/2019 1:37:26 PM"</f>
        <v>12/17/2019 1:37:26 PM</v>
      </c>
      <c r="T938" t="str">
        <f t="shared" si="378"/>
        <v>5</v>
      </c>
      <c r="U938" t="str">
        <f t="shared" si="373"/>
        <v>N/A</v>
      </c>
      <c r="V938" t="str">
        <f t="shared" si="391"/>
        <v>5.5500</v>
      </c>
    </row>
    <row r="939" spans="1:22" x14ac:dyDescent="0.25">
      <c r="A939" s="1" t="str">
        <f t="shared" si="368"/>
        <v>2284-</v>
      </c>
      <c r="B939" s="1" t="str">
        <f t="shared" si="374"/>
        <v>2284-</v>
      </c>
      <c r="C939" s="1" t="str">
        <f>VLOOKUP(B939,'Master truck list'!D:E,2,0)</f>
        <v>2284-18AT</v>
      </c>
      <c r="D939" s="1" t="str">
        <f>VLOOKUP(C939,'Master truck list'!E:F,2,0)</f>
        <v>ACTIVE</v>
      </c>
      <c r="E939" s="1" t="str">
        <f>VLOOKUP(C939,'Master truck list'!E:M,9,0)</f>
        <v>CHARGER LOGISTICS USA INC</v>
      </c>
      <c r="F939" s="1" t="str">
        <f>VLOOKUP(C939,'Master truck list'!E:G,3,0)</f>
        <v>Company</v>
      </c>
      <c r="G939" s="1">
        <f>VLOOKUP(C939,'Master truck list'!E:R,14,0)</f>
        <v>1038</v>
      </c>
      <c r="H939" t="str">
        <f>"12/18/2019 7:00:28 AM"</f>
        <v>12/18/2019 7:00:28 AM</v>
      </c>
      <c r="I939" t="str">
        <f>""</f>
        <v/>
      </c>
      <c r="J939" t="str">
        <f t="shared" si="369"/>
        <v>Elite</v>
      </c>
      <c r="K939" t="str">
        <f t="shared" si="381"/>
        <v>Device</v>
      </c>
      <c r="L939" t="str">
        <f t="shared" si="388"/>
        <v>777233817</v>
      </c>
      <c r="M939" t="str">
        <f t="shared" si="389"/>
        <v>16607774</v>
      </c>
      <c r="N939" t="str">
        <f t="shared" si="390"/>
        <v>2284-18A</v>
      </c>
      <c r="O939" t="str">
        <f t="shared" si="370"/>
        <v>TEXAS</v>
      </c>
      <c r="P939" t="str">
        <f t="shared" si="371"/>
        <v>N A</v>
      </c>
      <c r="Q939" t="str">
        <f t="shared" si="372"/>
        <v>N/A</v>
      </c>
      <c r="R939" t="str">
        <f>"45SE MLPWB 01 611"</f>
        <v>45SE MLPWB 01 611</v>
      </c>
      <c r="S939" t="str">
        <f>"12/17/2019 2:05:33 PM"</f>
        <v>12/17/2019 2:05:33 PM</v>
      </c>
      <c r="T939" t="str">
        <f t="shared" si="378"/>
        <v>5</v>
      </c>
      <c r="U939" t="str">
        <f t="shared" si="373"/>
        <v>N/A</v>
      </c>
      <c r="V939" t="str">
        <f>"3.3000"</f>
        <v>3.3000</v>
      </c>
    </row>
    <row r="940" spans="1:22" x14ac:dyDescent="0.25">
      <c r="A940" s="1" t="str">
        <f t="shared" si="368"/>
        <v>2284-</v>
      </c>
      <c r="B940" s="1" t="str">
        <f t="shared" si="374"/>
        <v>2284-</v>
      </c>
      <c r="C940" s="1" t="s">
        <v>8893</v>
      </c>
      <c r="D940" s="1" t="s">
        <v>91</v>
      </c>
      <c r="E940" s="1" t="s">
        <v>1738</v>
      </c>
      <c r="F940" s="1" t="s">
        <v>22</v>
      </c>
      <c r="G940" s="1" t="e">
        <f>VLOOKUP(C940,'Master truck list'!E:R,14,0)</f>
        <v>#N/A</v>
      </c>
      <c r="H940" t="str">
        <f>"12/18/2019 7:00:28 AM"</f>
        <v>12/18/2019 7:00:28 AM</v>
      </c>
      <c r="I940" t="str">
        <f>""</f>
        <v/>
      </c>
      <c r="J940" t="str">
        <f t="shared" si="369"/>
        <v>Elite</v>
      </c>
      <c r="K940" t="str">
        <f t="shared" si="381"/>
        <v>Device</v>
      </c>
      <c r="L940" t="str">
        <f t="shared" si="388"/>
        <v>777233817</v>
      </c>
      <c r="M940" t="str">
        <f t="shared" si="389"/>
        <v>16607774</v>
      </c>
      <c r="N940" t="str">
        <f t="shared" si="390"/>
        <v>2284-18A</v>
      </c>
      <c r="O940" t="str">
        <f t="shared" si="370"/>
        <v>TEXAS</v>
      </c>
      <c r="P940" t="str">
        <f t="shared" si="371"/>
        <v>N A</v>
      </c>
      <c r="Q940" t="str">
        <f t="shared" si="372"/>
        <v>N/A</v>
      </c>
      <c r="R940" t="str">
        <f>"130 MGCRP 06 305"</f>
        <v>130 MGCRP 06 305</v>
      </c>
      <c r="S940" t="str">
        <f>"12/17/2019 1:26:12 PM"</f>
        <v>12/17/2019 1:26:12 PM</v>
      </c>
      <c r="T940" t="str">
        <f t="shared" si="378"/>
        <v>5</v>
      </c>
      <c r="U940" t="str">
        <f t="shared" si="373"/>
        <v>N/A</v>
      </c>
      <c r="V940" t="str">
        <f t="shared" ref="V940:V949" si="392">"5.5500"</f>
        <v>5.5500</v>
      </c>
    </row>
    <row r="941" spans="1:22" x14ac:dyDescent="0.25">
      <c r="A941" s="1" t="str">
        <f t="shared" si="368"/>
        <v>2284-</v>
      </c>
      <c r="B941" s="1" t="str">
        <f t="shared" si="374"/>
        <v>2284-</v>
      </c>
      <c r="C941" s="1" t="s">
        <v>8904</v>
      </c>
      <c r="D941" s="1" t="s">
        <v>91</v>
      </c>
      <c r="E941" s="1" t="s">
        <v>37</v>
      </c>
      <c r="F941" s="1" t="s">
        <v>22</v>
      </c>
      <c r="G941" s="1" t="e">
        <f>VLOOKUP(C941,'Master truck list'!E:R,14,0)</f>
        <v>#N/A</v>
      </c>
      <c r="H941" t="str">
        <f>"12/18/2019 7:00:28 AM"</f>
        <v>12/18/2019 7:00:28 AM</v>
      </c>
      <c r="I941" t="str">
        <f>""</f>
        <v/>
      </c>
      <c r="J941" t="str">
        <f t="shared" si="369"/>
        <v>Elite</v>
      </c>
      <c r="K941" t="str">
        <f t="shared" si="381"/>
        <v>Device</v>
      </c>
      <c r="L941" t="str">
        <f t="shared" si="388"/>
        <v>777233817</v>
      </c>
      <c r="M941" t="str">
        <f t="shared" si="389"/>
        <v>16607774</v>
      </c>
      <c r="N941" t="str">
        <f t="shared" si="390"/>
        <v>2284-18A</v>
      </c>
      <c r="O941" t="str">
        <f t="shared" si="370"/>
        <v>TEXAS</v>
      </c>
      <c r="P941" t="str">
        <f t="shared" si="371"/>
        <v>N A</v>
      </c>
      <c r="Q941" t="str">
        <f t="shared" si="372"/>
        <v>N/A</v>
      </c>
      <c r="R941" t="str">
        <f>"130 DKCRP 06 307"</f>
        <v>130 DKCRP 06 307</v>
      </c>
      <c r="S941" t="str">
        <f>"12/17/2019 1:47:38 PM"</f>
        <v>12/17/2019 1:47:38 PM</v>
      </c>
      <c r="T941" t="str">
        <f t="shared" si="378"/>
        <v>5</v>
      </c>
      <c r="U941" t="str">
        <f t="shared" si="373"/>
        <v>N/A</v>
      </c>
      <c r="V941" t="str">
        <f t="shared" si="392"/>
        <v>5.5500</v>
      </c>
    </row>
    <row r="942" spans="1:22" x14ac:dyDescent="0.25">
      <c r="A942" s="1" t="str">
        <f t="shared" ref="A942:A1005" si="393">LEFT(N942,5)</f>
        <v>2284-</v>
      </c>
      <c r="B942" s="1" t="str">
        <f t="shared" si="374"/>
        <v>2284-</v>
      </c>
      <c r="C942" s="1" t="s">
        <v>8901</v>
      </c>
      <c r="D942" s="1" t="s">
        <v>91</v>
      </c>
      <c r="E942" s="1" t="s">
        <v>1738</v>
      </c>
      <c r="F942" s="1" t="s">
        <v>22</v>
      </c>
      <c r="G942" s="1" t="e">
        <f>VLOOKUP(C942,'Master truck list'!E:R,14,0)</f>
        <v>#N/A</v>
      </c>
      <c r="H942" t="str">
        <f>"12/19/2019 7:00:35 AM"</f>
        <v>12/19/2019 7:00:35 AM</v>
      </c>
      <c r="I942" t="str">
        <f>""</f>
        <v/>
      </c>
      <c r="J942" t="str">
        <f t="shared" si="369"/>
        <v>Elite</v>
      </c>
      <c r="K942" t="str">
        <f t="shared" si="381"/>
        <v>Device</v>
      </c>
      <c r="L942" t="str">
        <f t="shared" si="388"/>
        <v>777233817</v>
      </c>
      <c r="M942" t="str">
        <f t="shared" si="389"/>
        <v>16607774</v>
      </c>
      <c r="N942" t="str">
        <f t="shared" si="390"/>
        <v>2284-18A</v>
      </c>
      <c r="O942" t="str">
        <f t="shared" si="370"/>
        <v>TEXAS</v>
      </c>
      <c r="P942" t="str">
        <f t="shared" si="371"/>
        <v>N A</v>
      </c>
      <c r="Q942" t="str">
        <f t="shared" si="372"/>
        <v>N/A</v>
      </c>
      <c r="R942" t="str">
        <f>"130 ARPTP 04 308"</f>
        <v>130 ARPTP 04 308</v>
      </c>
      <c r="S942" t="str">
        <f>"12/18/2019 6:31:13 PM"</f>
        <v>12/18/2019 6:31:13 PM</v>
      </c>
      <c r="T942" t="str">
        <f t="shared" si="378"/>
        <v>5</v>
      </c>
      <c r="U942" t="str">
        <f t="shared" si="373"/>
        <v>N/A</v>
      </c>
      <c r="V942" t="str">
        <f t="shared" si="392"/>
        <v>5.5500</v>
      </c>
    </row>
    <row r="943" spans="1:22" x14ac:dyDescent="0.25">
      <c r="A943" s="1" t="str">
        <f t="shared" si="393"/>
        <v>2284-</v>
      </c>
      <c r="B943" s="1" t="str">
        <f t="shared" si="374"/>
        <v>2284-</v>
      </c>
      <c r="C943" s="1" t="s">
        <v>8902</v>
      </c>
      <c r="D943" s="1" t="s">
        <v>91</v>
      </c>
      <c r="E943" s="1" t="s">
        <v>1738</v>
      </c>
      <c r="F943" s="1" t="s">
        <v>22</v>
      </c>
      <c r="G943" s="1" t="e">
        <f>VLOOKUP(C943,'Master truck list'!E:R,14,0)</f>
        <v>#N/A</v>
      </c>
      <c r="H943" t="str">
        <f>"12/19/2019 7:00:35 AM"</f>
        <v>12/19/2019 7:00:35 AM</v>
      </c>
      <c r="I943" t="str">
        <f>""</f>
        <v/>
      </c>
      <c r="J943" t="str">
        <f t="shared" si="369"/>
        <v>Elite</v>
      </c>
      <c r="K943" t="str">
        <f t="shared" si="381"/>
        <v>Device</v>
      </c>
      <c r="L943" t="str">
        <f t="shared" si="388"/>
        <v>777233817</v>
      </c>
      <c r="M943" t="str">
        <f t="shared" si="389"/>
        <v>16607774</v>
      </c>
      <c r="N943" t="str">
        <f t="shared" si="390"/>
        <v>2284-18A</v>
      </c>
      <c r="O943" t="str">
        <f t="shared" si="370"/>
        <v>TEXAS</v>
      </c>
      <c r="P943" t="str">
        <f t="shared" si="371"/>
        <v>N A</v>
      </c>
      <c r="Q943" t="str">
        <f t="shared" si="372"/>
        <v>N/A</v>
      </c>
      <c r="R943" t="str">
        <f>"130 CMRNP 13 306"</f>
        <v>130 CMRNP 13 306</v>
      </c>
      <c r="S943" t="str">
        <f>"12/18/2019 9:35:54 AM"</f>
        <v>12/18/2019 9:35:54 AM</v>
      </c>
      <c r="T943" t="str">
        <f t="shared" si="378"/>
        <v>5</v>
      </c>
      <c r="U943" t="str">
        <f t="shared" si="373"/>
        <v>N/A</v>
      </c>
      <c r="V943" t="str">
        <f t="shared" si="392"/>
        <v>5.5500</v>
      </c>
    </row>
    <row r="944" spans="1:22" x14ac:dyDescent="0.25">
      <c r="A944" s="1" t="str">
        <f t="shared" si="393"/>
        <v>2284-</v>
      </c>
      <c r="B944" s="1" t="str">
        <f t="shared" si="374"/>
        <v>2284-</v>
      </c>
      <c r="C944" s="1" t="s">
        <v>8903</v>
      </c>
      <c r="D944" s="1" t="s">
        <v>91</v>
      </c>
      <c r="E944" s="1" t="s">
        <v>154</v>
      </c>
      <c r="F944" s="1" t="s">
        <v>8892</v>
      </c>
      <c r="G944" s="1" t="e">
        <f>VLOOKUP(C944,'Master truck list'!E:R,14,0)</f>
        <v>#N/A</v>
      </c>
      <c r="H944" t="str">
        <f>"12/19/2019 7:00:35 AM"</f>
        <v>12/19/2019 7:00:35 AM</v>
      </c>
      <c r="I944" t="str">
        <f>""</f>
        <v/>
      </c>
      <c r="J944" t="str">
        <f t="shared" si="369"/>
        <v>Elite</v>
      </c>
      <c r="K944" t="str">
        <f t="shared" si="381"/>
        <v>Device</v>
      </c>
      <c r="L944" t="str">
        <f t="shared" si="388"/>
        <v>777233817</v>
      </c>
      <c r="M944" t="str">
        <f t="shared" si="389"/>
        <v>16607774</v>
      </c>
      <c r="N944" t="str">
        <f t="shared" si="390"/>
        <v>2284-18A</v>
      </c>
      <c r="O944" t="str">
        <f t="shared" si="370"/>
        <v>TEXAS</v>
      </c>
      <c r="P944" t="str">
        <f t="shared" si="371"/>
        <v>N A</v>
      </c>
      <c r="Q944" t="str">
        <f t="shared" si="372"/>
        <v>N/A</v>
      </c>
      <c r="R944" t="str">
        <f>"130 ARPTP 09 308"</f>
        <v>130 ARPTP 09 308</v>
      </c>
      <c r="S944" t="str">
        <f>"12/18/2019 9:18:49 AM"</f>
        <v>12/18/2019 9:18:49 AM</v>
      </c>
      <c r="T944" t="str">
        <f t="shared" si="378"/>
        <v>5</v>
      </c>
      <c r="U944" t="str">
        <f t="shared" si="373"/>
        <v>N/A</v>
      </c>
      <c r="V944" t="str">
        <f t="shared" si="392"/>
        <v>5.5500</v>
      </c>
    </row>
    <row r="945" spans="1:22" x14ac:dyDescent="0.25">
      <c r="A945" s="1" t="str">
        <f t="shared" si="393"/>
        <v>2284-</v>
      </c>
      <c r="B945" s="1" t="str">
        <f t="shared" si="374"/>
        <v>2284-</v>
      </c>
      <c r="C945" s="1" t="str">
        <f>VLOOKUP(B945,'Master truck list'!D:E,2,0)</f>
        <v>2284-18AT</v>
      </c>
      <c r="D945" s="1" t="str">
        <f>VLOOKUP(C945,'Master truck list'!E:F,2,0)</f>
        <v>ACTIVE</v>
      </c>
      <c r="E945" s="1" t="str">
        <f>VLOOKUP(C945,'Master truck list'!E:M,9,0)</f>
        <v>CHARGER LOGISTICS USA INC</v>
      </c>
      <c r="F945" s="1" t="str">
        <f>VLOOKUP(C945,'Master truck list'!E:G,3,0)</f>
        <v>Company</v>
      </c>
      <c r="G945" s="1">
        <f>VLOOKUP(C945,'Master truck list'!E:R,14,0)</f>
        <v>1038</v>
      </c>
      <c r="H945" t="str">
        <f>"12/19/2019 7:00:35 AM"</f>
        <v>12/19/2019 7:00:35 AM</v>
      </c>
      <c r="I945" t="str">
        <f>""</f>
        <v/>
      </c>
      <c r="J945" t="str">
        <f t="shared" si="369"/>
        <v>Elite</v>
      </c>
      <c r="K945" t="str">
        <f t="shared" si="381"/>
        <v>Device</v>
      </c>
      <c r="L945" t="str">
        <f t="shared" si="388"/>
        <v>777233817</v>
      </c>
      <c r="M945" t="str">
        <f t="shared" si="389"/>
        <v>16607774</v>
      </c>
      <c r="N945" t="str">
        <f t="shared" si="390"/>
        <v>2284-18A</v>
      </c>
      <c r="O945" t="str">
        <f t="shared" si="370"/>
        <v>TEXAS</v>
      </c>
      <c r="P945" t="str">
        <f t="shared" si="371"/>
        <v>N A</v>
      </c>
      <c r="Q945" t="str">
        <f t="shared" si="372"/>
        <v>N/A</v>
      </c>
      <c r="R945" t="str">
        <f>"130 CMRNP 08 306"</f>
        <v>130 CMRNP 08 306</v>
      </c>
      <c r="S945" t="str">
        <f>"12/18/2019 6:13:39 PM"</f>
        <v>12/18/2019 6:13:39 PM</v>
      </c>
      <c r="T945" t="str">
        <f t="shared" si="378"/>
        <v>5</v>
      </c>
      <c r="U945" t="str">
        <f t="shared" si="373"/>
        <v>N/A</v>
      </c>
      <c r="V945" t="str">
        <f t="shared" si="392"/>
        <v>5.5500</v>
      </c>
    </row>
    <row r="946" spans="1:22" x14ac:dyDescent="0.25">
      <c r="A946" s="1" t="str">
        <f t="shared" si="393"/>
        <v>2284-</v>
      </c>
      <c r="B946" s="1" t="str">
        <f t="shared" si="374"/>
        <v>2284-</v>
      </c>
      <c r="C946" s="1" t="str">
        <f>VLOOKUP(B946,'Master truck list'!D:E,2,0)</f>
        <v>2284-18AT</v>
      </c>
      <c r="D946" s="1" t="str">
        <f>VLOOKUP(C946,'Master truck list'!E:F,2,0)</f>
        <v>ACTIVE</v>
      </c>
      <c r="E946" s="1" t="str">
        <f>VLOOKUP(C946,'Master truck list'!E:M,9,0)</f>
        <v>CHARGER LOGISTICS USA INC</v>
      </c>
      <c r="F946" s="1" t="str">
        <f>VLOOKUP(C946,'Master truck list'!E:G,3,0)</f>
        <v>Company</v>
      </c>
      <c r="G946" s="1">
        <f>VLOOKUP(C946,'Master truck list'!E:R,14,0)</f>
        <v>1038</v>
      </c>
      <c r="H946" t="str">
        <f>"12/18/2019 7:00:28 AM"</f>
        <v>12/18/2019 7:00:28 AM</v>
      </c>
      <c r="I946" t="str">
        <f>""</f>
        <v/>
      </c>
      <c r="J946" t="str">
        <f t="shared" si="369"/>
        <v>Elite</v>
      </c>
      <c r="K946" t="str">
        <f t="shared" si="381"/>
        <v>Device</v>
      </c>
      <c r="L946" t="str">
        <f t="shared" si="388"/>
        <v>777233817</v>
      </c>
      <c r="M946" t="str">
        <f t="shared" si="389"/>
        <v>16607774</v>
      </c>
      <c r="N946" t="str">
        <f t="shared" si="390"/>
        <v>2284-18A</v>
      </c>
      <c r="O946" t="str">
        <f t="shared" si="370"/>
        <v>TEXAS</v>
      </c>
      <c r="P946" t="str">
        <f t="shared" si="371"/>
        <v>N A</v>
      </c>
      <c r="Q946" t="str">
        <f t="shared" si="372"/>
        <v>N/A</v>
      </c>
      <c r="R946" t="str">
        <f>"130 ARPTP 04 308"</f>
        <v>130 ARPTP 04 308</v>
      </c>
      <c r="S946" t="str">
        <f>"12/17/2019 1:54:45 PM"</f>
        <v>12/17/2019 1:54:45 PM</v>
      </c>
      <c r="T946" t="str">
        <f t="shared" si="378"/>
        <v>5</v>
      </c>
      <c r="U946" t="str">
        <f t="shared" si="373"/>
        <v>N/A</v>
      </c>
      <c r="V946" t="str">
        <f t="shared" si="392"/>
        <v>5.5500</v>
      </c>
    </row>
    <row r="947" spans="1:22" x14ac:dyDescent="0.25">
      <c r="A947" s="1" t="str">
        <f t="shared" si="393"/>
        <v>2284-</v>
      </c>
      <c r="B947" s="1" t="str">
        <f t="shared" si="374"/>
        <v>2284-</v>
      </c>
      <c r="C947" s="1" t="str">
        <f>VLOOKUP(B947,'Master truck list'!D:E,2,0)</f>
        <v>2284-18AT</v>
      </c>
      <c r="D947" s="1" t="str">
        <f>VLOOKUP(C947,'Master truck list'!E:F,2,0)</f>
        <v>ACTIVE</v>
      </c>
      <c r="E947" s="1" t="str">
        <f>VLOOKUP(C947,'Master truck list'!E:M,9,0)</f>
        <v>CHARGER LOGISTICS USA INC</v>
      </c>
      <c r="F947" s="1" t="str">
        <f>VLOOKUP(C947,'Master truck list'!E:G,3,0)</f>
        <v>Company</v>
      </c>
      <c r="G947" s="1">
        <f>VLOOKUP(C947,'Master truck list'!E:R,14,0)</f>
        <v>1038</v>
      </c>
      <c r="H947" t="str">
        <f>"12/17/2019 7:00:33 AM"</f>
        <v>12/17/2019 7:00:33 AM</v>
      </c>
      <c r="I947" t="str">
        <f>""</f>
        <v/>
      </c>
      <c r="J947" t="str">
        <f t="shared" si="369"/>
        <v>Elite</v>
      </c>
      <c r="K947" t="str">
        <f t="shared" si="381"/>
        <v>Device</v>
      </c>
      <c r="L947" t="str">
        <f t="shared" si="388"/>
        <v>777233817</v>
      </c>
      <c r="M947" t="str">
        <f t="shared" si="389"/>
        <v>16607774</v>
      </c>
      <c r="N947" t="str">
        <f t="shared" si="390"/>
        <v>2284-18A</v>
      </c>
      <c r="O947" t="str">
        <f t="shared" si="370"/>
        <v>TEXAS</v>
      </c>
      <c r="P947" t="str">
        <f t="shared" si="371"/>
        <v>N A</v>
      </c>
      <c r="Q947" t="str">
        <f t="shared" si="372"/>
        <v>N/A</v>
      </c>
      <c r="R947" t="str">
        <f>"130 DKCRP 11 307"</f>
        <v>130 DKCRP 11 307</v>
      </c>
      <c r="S947" t="str">
        <f>"12/16/2019 7:43:37 PM"</f>
        <v>12/16/2019 7:43:37 PM</v>
      </c>
      <c r="T947" t="str">
        <f t="shared" si="378"/>
        <v>5</v>
      </c>
      <c r="U947" t="str">
        <f t="shared" si="373"/>
        <v>N/A</v>
      </c>
      <c r="V947" t="str">
        <f t="shared" si="392"/>
        <v>5.5500</v>
      </c>
    </row>
    <row r="948" spans="1:22" x14ac:dyDescent="0.25">
      <c r="A948" s="1" t="str">
        <f t="shared" si="393"/>
        <v>2284-</v>
      </c>
      <c r="B948" s="1" t="str">
        <f t="shared" si="374"/>
        <v>2284-</v>
      </c>
      <c r="C948" s="1" t="s">
        <v>8894</v>
      </c>
      <c r="D948" s="1" t="s">
        <v>91</v>
      </c>
      <c r="E948" s="1" t="s">
        <v>1738</v>
      </c>
      <c r="F948" s="1" t="s">
        <v>22</v>
      </c>
      <c r="G948" s="1" t="e">
        <f>VLOOKUP(C948,'Master truck list'!E:R,14,0)</f>
        <v>#N/A</v>
      </c>
      <c r="H948" t="str">
        <f>"12/17/2019 7:00:33 AM"</f>
        <v>12/17/2019 7:00:33 AM</v>
      </c>
      <c r="I948" t="str">
        <f>""</f>
        <v/>
      </c>
      <c r="J948" t="str">
        <f t="shared" si="369"/>
        <v>Elite</v>
      </c>
      <c r="K948" t="str">
        <f t="shared" si="381"/>
        <v>Device</v>
      </c>
      <c r="L948" t="str">
        <f t="shared" si="388"/>
        <v>777233817</v>
      </c>
      <c r="M948" t="str">
        <f t="shared" si="389"/>
        <v>16607774</v>
      </c>
      <c r="N948" t="str">
        <f t="shared" si="390"/>
        <v>2284-18A</v>
      </c>
      <c r="O948" t="str">
        <f t="shared" si="370"/>
        <v>TEXAS</v>
      </c>
      <c r="P948" t="str">
        <f t="shared" si="371"/>
        <v>N A</v>
      </c>
      <c r="Q948" t="str">
        <f t="shared" si="372"/>
        <v>N/A</v>
      </c>
      <c r="R948" t="str">
        <f>"130 ARPTP 09 308"</f>
        <v>130 ARPTP 09 308</v>
      </c>
      <c r="S948" t="str">
        <f>"12/16/2019 7:36:27 PM"</f>
        <v>12/16/2019 7:36:27 PM</v>
      </c>
      <c r="T948" t="str">
        <f t="shared" si="378"/>
        <v>5</v>
      </c>
      <c r="U948" t="str">
        <f t="shared" si="373"/>
        <v>N/A</v>
      </c>
      <c r="V948" t="str">
        <f t="shared" si="392"/>
        <v>5.5500</v>
      </c>
    </row>
    <row r="949" spans="1:22" x14ac:dyDescent="0.25">
      <c r="A949" s="1" t="str">
        <f t="shared" si="393"/>
        <v>2284-</v>
      </c>
      <c r="B949" s="1" t="str">
        <f t="shared" si="374"/>
        <v>2284-</v>
      </c>
      <c r="C949" s="1" t="s">
        <v>8894</v>
      </c>
      <c r="D949" s="1" t="s">
        <v>91</v>
      </c>
      <c r="E949" s="1" t="s">
        <v>1738</v>
      </c>
      <c r="F949" s="1" t="s">
        <v>22</v>
      </c>
      <c r="G949" s="1" t="e">
        <f>VLOOKUP(C949,'Master truck list'!E:R,14,0)</f>
        <v>#N/A</v>
      </c>
      <c r="H949" t="str">
        <f>"12/17/2019 7:00:33 AM"</f>
        <v>12/17/2019 7:00:33 AM</v>
      </c>
      <c r="I949" t="str">
        <f>""</f>
        <v/>
      </c>
      <c r="J949" t="str">
        <f t="shared" si="369"/>
        <v>Elite</v>
      </c>
      <c r="K949" t="str">
        <f t="shared" si="381"/>
        <v>Device</v>
      </c>
      <c r="L949" t="str">
        <f t="shared" si="388"/>
        <v>777233817</v>
      </c>
      <c r="M949" t="str">
        <f t="shared" si="389"/>
        <v>16607774</v>
      </c>
      <c r="N949" t="str">
        <f t="shared" si="390"/>
        <v>2284-18A</v>
      </c>
      <c r="O949" t="str">
        <f t="shared" si="370"/>
        <v>TEXAS</v>
      </c>
      <c r="P949" t="str">
        <f t="shared" si="371"/>
        <v>N A</v>
      </c>
      <c r="Q949" t="str">
        <f t="shared" si="372"/>
        <v>N/A</v>
      </c>
      <c r="R949" t="str">
        <f>"130 CMRNP 13 306"</f>
        <v>130 CMRNP 13 306</v>
      </c>
      <c r="S949" t="str">
        <f>"12/16/2019 7:53:59 PM"</f>
        <v>12/16/2019 7:53:59 PM</v>
      </c>
      <c r="T949" t="str">
        <f t="shared" si="378"/>
        <v>5</v>
      </c>
      <c r="U949" t="str">
        <f t="shared" si="373"/>
        <v>N/A</v>
      </c>
      <c r="V949" t="str">
        <f t="shared" si="392"/>
        <v>5.5500</v>
      </c>
    </row>
    <row r="950" spans="1:22" x14ac:dyDescent="0.25">
      <c r="A950" s="1" t="str">
        <f t="shared" si="393"/>
        <v>2284-</v>
      </c>
      <c r="B950" s="1" t="str">
        <f t="shared" si="374"/>
        <v>2284-</v>
      </c>
      <c r="C950" s="1" t="s">
        <v>8902</v>
      </c>
      <c r="D950" s="1" t="s">
        <v>91</v>
      </c>
      <c r="E950" s="1" t="s">
        <v>1738</v>
      </c>
      <c r="F950" s="1" t="s">
        <v>22</v>
      </c>
      <c r="G950" s="1" t="e">
        <f>VLOOKUP(C950,'Master truck list'!E:R,14,0)</f>
        <v>#N/A</v>
      </c>
      <c r="H950" t="str">
        <f>"12/17/2019 7:00:33 AM"</f>
        <v>12/17/2019 7:00:33 AM</v>
      </c>
      <c r="I950" t="str">
        <f>""</f>
        <v/>
      </c>
      <c r="J950" t="str">
        <f t="shared" si="369"/>
        <v>Elite</v>
      </c>
      <c r="K950" t="str">
        <f t="shared" si="381"/>
        <v>Device</v>
      </c>
      <c r="L950" t="str">
        <f t="shared" si="388"/>
        <v>777233817</v>
      </c>
      <c r="M950" t="str">
        <f t="shared" si="389"/>
        <v>16607774</v>
      </c>
      <c r="N950" t="str">
        <f t="shared" si="390"/>
        <v>2284-18A</v>
      </c>
      <c r="O950" t="str">
        <f t="shared" si="370"/>
        <v>TEXAS</v>
      </c>
      <c r="P950" t="str">
        <f t="shared" si="371"/>
        <v>N A</v>
      </c>
      <c r="Q950" t="str">
        <f t="shared" si="372"/>
        <v>N/A</v>
      </c>
      <c r="R950" t="str">
        <f>"45SE MLPEB 02 611"</f>
        <v>45SE MLPEB 02 611</v>
      </c>
      <c r="S950" t="str">
        <f>"12/16/2019 7:25:31 PM"</f>
        <v>12/16/2019 7:25:31 PM</v>
      </c>
      <c r="T950" t="str">
        <f t="shared" si="378"/>
        <v>5</v>
      </c>
      <c r="U950" t="str">
        <f t="shared" si="373"/>
        <v>N/A</v>
      </c>
      <c r="V950" t="str">
        <f>"3.3000"</f>
        <v>3.3000</v>
      </c>
    </row>
    <row r="951" spans="1:22" x14ac:dyDescent="0.25">
      <c r="A951" s="1" t="str">
        <f t="shared" si="393"/>
        <v>2284-</v>
      </c>
      <c r="B951" s="1" t="str">
        <f t="shared" si="374"/>
        <v>2284-</v>
      </c>
      <c r="C951" s="1" t="str">
        <f>VLOOKUP(B951,'Master truck list'!D:E,2,0)</f>
        <v>2284-18AT</v>
      </c>
      <c r="D951" s="1" t="str">
        <f>VLOOKUP(C951,'Master truck list'!E:F,2,0)</f>
        <v>ACTIVE</v>
      </c>
      <c r="E951" s="1" t="str">
        <f>VLOOKUP(C951,'Master truck list'!E:M,9,0)</f>
        <v>CHARGER LOGISTICS USA INC</v>
      </c>
      <c r="F951" s="1" t="str">
        <f>VLOOKUP(C951,'Master truck list'!E:G,3,0)</f>
        <v>Company</v>
      </c>
      <c r="G951" s="1">
        <f>VLOOKUP(C951,'Master truck list'!E:R,14,0)</f>
        <v>1038</v>
      </c>
      <c r="H951" t="str">
        <f>"12/17/2019 7:00:33 AM"</f>
        <v>12/17/2019 7:00:33 AM</v>
      </c>
      <c r="I951" t="str">
        <f>""</f>
        <v/>
      </c>
      <c r="J951" t="str">
        <f t="shared" si="369"/>
        <v>Elite</v>
      </c>
      <c r="K951" t="str">
        <f t="shared" si="381"/>
        <v>Device</v>
      </c>
      <c r="L951" t="str">
        <f t="shared" si="388"/>
        <v>777233817</v>
      </c>
      <c r="M951" t="str">
        <f t="shared" si="389"/>
        <v>16607774</v>
      </c>
      <c r="N951" t="str">
        <f t="shared" si="390"/>
        <v>2284-18A</v>
      </c>
      <c r="O951" t="str">
        <f t="shared" si="370"/>
        <v>TEXAS</v>
      </c>
      <c r="P951" t="str">
        <f t="shared" si="371"/>
        <v>N A</v>
      </c>
      <c r="Q951" t="str">
        <f t="shared" si="372"/>
        <v>N/A</v>
      </c>
      <c r="R951" t="str">
        <f>"130 MGCRP 11 305"</f>
        <v>130 MGCRP 11 305</v>
      </c>
      <c r="S951" t="str">
        <f>"12/16/2019 8:05:22 PM"</f>
        <v>12/16/2019 8:05:22 PM</v>
      </c>
      <c r="T951" t="str">
        <f t="shared" si="378"/>
        <v>5</v>
      </c>
      <c r="U951" t="str">
        <f t="shared" si="373"/>
        <v>N/A</v>
      </c>
      <c r="V951" t="str">
        <f>"5.5500"</f>
        <v>5.5500</v>
      </c>
    </row>
    <row r="952" spans="1:22" x14ac:dyDescent="0.25">
      <c r="A952" s="1" t="str">
        <f t="shared" si="393"/>
        <v>2284-</v>
      </c>
      <c r="B952" s="1" t="str">
        <f t="shared" si="374"/>
        <v>2284-</v>
      </c>
      <c r="C952" s="1" t="s">
        <v>8889</v>
      </c>
      <c r="D952" s="1" t="s">
        <v>91</v>
      </c>
      <c r="E952" s="1" t="s">
        <v>1738</v>
      </c>
      <c r="F952" s="1" t="s">
        <v>22</v>
      </c>
      <c r="G952" s="1" t="e">
        <f>VLOOKUP(C952,'Master truck list'!E:R,14,0)</f>
        <v>#N/A</v>
      </c>
      <c r="H952" t="str">
        <f t="shared" ref="H952:H958" si="394">"12/21/2019 7:00:28 AM"</f>
        <v>12/21/2019 7:00:28 AM</v>
      </c>
      <c r="I952" t="str">
        <f>""</f>
        <v/>
      </c>
      <c r="J952" t="str">
        <f t="shared" si="369"/>
        <v>Elite</v>
      </c>
      <c r="K952" t="str">
        <f t="shared" si="381"/>
        <v>Device</v>
      </c>
      <c r="L952" t="str">
        <f t="shared" si="388"/>
        <v>777233817</v>
      </c>
      <c r="M952" t="str">
        <f t="shared" si="389"/>
        <v>16607774</v>
      </c>
      <c r="N952" t="str">
        <f t="shared" si="390"/>
        <v>2284-18A</v>
      </c>
      <c r="O952" t="str">
        <f t="shared" si="370"/>
        <v>TEXAS</v>
      </c>
      <c r="P952" t="str">
        <f t="shared" si="371"/>
        <v>N A</v>
      </c>
      <c r="Q952" t="str">
        <f t="shared" si="372"/>
        <v>N/A</v>
      </c>
      <c r="R952" t="str">
        <f>"130 DKCRP 11 307"</f>
        <v>130 DKCRP 11 307</v>
      </c>
      <c r="S952" t="str">
        <f>"12/20/2019 7:13:51 PM"</f>
        <v>12/20/2019 7:13:51 PM</v>
      </c>
      <c r="T952" t="str">
        <f t="shared" si="378"/>
        <v>5</v>
      </c>
      <c r="U952" t="str">
        <f t="shared" si="373"/>
        <v>N/A</v>
      </c>
      <c r="V952" t="str">
        <f>"5.5500"</f>
        <v>5.5500</v>
      </c>
    </row>
    <row r="953" spans="1:22" x14ac:dyDescent="0.25">
      <c r="A953" s="1" t="str">
        <f t="shared" si="393"/>
        <v>2284-</v>
      </c>
      <c r="B953" s="1" t="str">
        <f t="shared" si="374"/>
        <v>2284-</v>
      </c>
      <c r="C953" s="1" t="s">
        <v>8903</v>
      </c>
      <c r="D953" s="1" t="s">
        <v>91</v>
      </c>
      <c r="E953" s="1" t="s">
        <v>154</v>
      </c>
      <c r="F953" s="1" t="s">
        <v>8892</v>
      </c>
      <c r="G953" s="1" t="e">
        <f>VLOOKUP(C953,'Master truck list'!E:R,14,0)</f>
        <v>#N/A</v>
      </c>
      <c r="H953" t="str">
        <f t="shared" si="394"/>
        <v>12/21/2019 7:00:28 AM</v>
      </c>
      <c r="I953" t="str">
        <f>""</f>
        <v/>
      </c>
      <c r="J953" t="str">
        <f t="shared" si="369"/>
        <v>Elite</v>
      </c>
      <c r="K953" t="str">
        <f t="shared" si="381"/>
        <v>Device</v>
      </c>
      <c r="L953" t="str">
        <f t="shared" si="388"/>
        <v>777233817</v>
      </c>
      <c r="M953" t="str">
        <f t="shared" si="389"/>
        <v>16607774</v>
      </c>
      <c r="N953" t="str">
        <f t="shared" si="390"/>
        <v>2284-18A</v>
      </c>
      <c r="O953" t="str">
        <f t="shared" si="370"/>
        <v>TEXAS</v>
      </c>
      <c r="P953" t="str">
        <f t="shared" si="371"/>
        <v>N A</v>
      </c>
      <c r="Q953" t="str">
        <f t="shared" si="372"/>
        <v>N/A</v>
      </c>
      <c r="R953" t="str">
        <f>"45SE MLPEB 02 611"</f>
        <v>45SE MLPEB 02 611</v>
      </c>
      <c r="S953" t="str">
        <f>"12/20/2019 6:55:45 PM"</f>
        <v>12/20/2019 6:55:45 PM</v>
      </c>
      <c r="T953" t="str">
        <f t="shared" si="378"/>
        <v>5</v>
      </c>
      <c r="U953" t="str">
        <f t="shared" si="373"/>
        <v>N/A</v>
      </c>
      <c r="V953" t="str">
        <f>"3.3000"</f>
        <v>3.3000</v>
      </c>
    </row>
    <row r="954" spans="1:22" x14ac:dyDescent="0.25">
      <c r="A954" s="1" t="str">
        <f t="shared" si="393"/>
        <v>2284-</v>
      </c>
      <c r="B954" s="1" t="str">
        <f t="shared" si="374"/>
        <v>2284-</v>
      </c>
      <c r="C954" s="1" t="str">
        <f>VLOOKUP(B954,'Master truck list'!D:E,2,0)</f>
        <v>2284-18AT</v>
      </c>
      <c r="D954" s="1" t="str">
        <f>VLOOKUP(C954,'Master truck list'!E:F,2,0)</f>
        <v>ACTIVE</v>
      </c>
      <c r="E954" s="1" t="str">
        <f>VLOOKUP(C954,'Master truck list'!E:M,9,0)</f>
        <v>CHARGER LOGISTICS USA INC</v>
      </c>
      <c r="F954" s="1" t="str">
        <f>VLOOKUP(C954,'Master truck list'!E:G,3,0)</f>
        <v>Company</v>
      </c>
      <c r="G954" s="1">
        <f>VLOOKUP(C954,'Master truck list'!E:R,14,0)</f>
        <v>1038</v>
      </c>
      <c r="H954" t="str">
        <f t="shared" si="394"/>
        <v>12/21/2019 7:00:28 AM</v>
      </c>
      <c r="I954" t="str">
        <f>""</f>
        <v/>
      </c>
      <c r="J954" t="str">
        <f t="shared" si="369"/>
        <v>Elite</v>
      </c>
      <c r="K954" t="str">
        <f t="shared" si="381"/>
        <v>Device</v>
      </c>
      <c r="L954" t="str">
        <f t="shared" si="388"/>
        <v>777233817</v>
      </c>
      <c r="M954" t="str">
        <f t="shared" si="389"/>
        <v>16607774</v>
      </c>
      <c r="N954" t="str">
        <f t="shared" si="390"/>
        <v>2284-18A</v>
      </c>
      <c r="O954" t="str">
        <f t="shared" si="370"/>
        <v>TEXAS</v>
      </c>
      <c r="P954" t="str">
        <f t="shared" si="371"/>
        <v>N A</v>
      </c>
      <c r="Q954" t="str">
        <f t="shared" si="372"/>
        <v>N/A</v>
      </c>
      <c r="R954" t="str">
        <f>"130 MGCRP 11 305"</f>
        <v>130 MGCRP 11 305</v>
      </c>
      <c r="S954" t="str">
        <f>"12/20/2019 7:36:38 PM"</f>
        <v>12/20/2019 7:36:38 PM</v>
      </c>
      <c r="T954" t="str">
        <f t="shared" si="378"/>
        <v>5</v>
      </c>
      <c r="U954" t="str">
        <f t="shared" si="373"/>
        <v>N/A</v>
      </c>
      <c r="V954" t="str">
        <f t="shared" ref="V954:V965" si="395">"5.5500"</f>
        <v>5.5500</v>
      </c>
    </row>
    <row r="955" spans="1:22" x14ac:dyDescent="0.25">
      <c r="A955" s="1" t="str">
        <f t="shared" si="393"/>
        <v>5019-</v>
      </c>
      <c r="B955" s="1" t="str">
        <f t="shared" si="374"/>
        <v>5019-</v>
      </c>
      <c r="C955" s="1" t="str">
        <f>VLOOKUP(B955,'Master truck list'!D:E,2,0)</f>
        <v>5019-16LDL</v>
      </c>
      <c r="D955" s="1" t="str">
        <f>VLOOKUP(C955,'Master truck list'!E:F,2,0)</f>
        <v>ACTIVE</v>
      </c>
      <c r="E955" s="1" t="str">
        <f>VLOOKUP(C955,'Master truck list'!E:M,9,0)</f>
        <v>BNK TRANSPORT INC</v>
      </c>
      <c r="F955" s="1" t="str">
        <f>VLOOKUP(C955,'Master truck list'!E:G,3,0)</f>
        <v>Owner Operator</v>
      </c>
      <c r="G955" s="1">
        <f>VLOOKUP(C955,'Master truck list'!E:R,14,0)</f>
        <v>1855</v>
      </c>
      <c r="H955" t="str">
        <f t="shared" si="394"/>
        <v>12/21/2019 7:00:28 AM</v>
      </c>
      <c r="I955" t="str">
        <f>""</f>
        <v/>
      </c>
      <c r="J955" t="str">
        <f t="shared" si="369"/>
        <v>Elite</v>
      </c>
      <c r="K955" t="str">
        <f t="shared" si="381"/>
        <v>Device</v>
      </c>
      <c r="L955" t="str">
        <f>"777246240"</f>
        <v>777246240</v>
      </c>
      <c r="M955" t="str">
        <f>"16714122"</f>
        <v>16714122</v>
      </c>
      <c r="N955" t="str">
        <f>"5019-16L"</f>
        <v>5019-16L</v>
      </c>
      <c r="O955" t="str">
        <f t="shared" si="370"/>
        <v>TEXAS</v>
      </c>
      <c r="P955" t="str">
        <f t="shared" si="371"/>
        <v>N A</v>
      </c>
      <c r="Q955" t="str">
        <f t="shared" si="372"/>
        <v>N/A</v>
      </c>
      <c r="R955" t="str">
        <f>"130 MGCRP 06 305"</f>
        <v>130 MGCRP 06 305</v>
      </c>
      <c r="S955" t="str">
        <f>"12/20/2019 2:47:12 PM"</f>
        <v>12/20/2019 2:47:12 PM</v>
      </c>
      <c r="T955" t="str">
        <f t="shared" si="378"/>
        <v>5</v>
      </c>
      <c r="U955" t="str">
        <f t="shared" si="373"/>
        <v>N/A</v>
      </c>
      <c r="V955" t="str">
        <f t="shared" si="395"/>
        <v>5.5500</v>
      </c>
    </row>
    <row r="956" spans="1:22" x14ac:dyDescent="0.25">
      <c r="A956" s="1" t="str">
        <f t="shared" si="393"/>
        <v>5019-</v>
      </c>
      <c r="B956" s="1" t="str">
        <f t="shared" si="374"/>
        <v>5019-</v>
      </c>
      <c r="C956" s="1" t="s">
        <v>8893</v>
      </c>
      <c r="D956" s="1" t="s">
        <v>91</v>
      </c>
      <c r="E956" s="1" t="s">
        <v>1738</v>
      </c>
      <c r="F956" s="1" t="s">
        <v>22</v>
      </c>
      <c r="G956" s="1" t="e">
        <f>VLOOKUP(C956,'Master truck list'!E:R,14,0)</f>
        <v>#N/A</v>
      </c>
      <c r="H956" t="str">
        <f t="shared" si="394"/>
        <v>12/21/2019 7:00:28 AM</v>
      </c>
      <c r="I956" t="str">
        <f>""</f>
        <v/>
      </c>
      <c r="J956" t="str">
        <f t="shared" si="369"/>
        <v>Elite</v>
      </c>
      <c r="K956" t="str">
        <f t="shared" si="381"/>
        <v>Device</v>
      </c>
      <c r="L956" t="str">
        <f>"777246240"</f>
        <v>777246240</v>
      </c>
      <c r="M956" t="str">
        <f>"16714122"</f>
        <v>16714122</v>
      </c>
      <c r="N956" t="str">
        <f>"5019-16L"</f>
        <v>5019-16L</v>
      </c>
      <c r="O956" t="str">
        <f t="shared" si="370"/>
        <v>TEXAS</v>
      </c>
      <c r="P956" t="str">
        <f t="shared" si="371"/>
        <v>N A</v>
      </c>
      <c r="Q956" t="str">
        <f t="shared" si="372"/>
        <v>N/A</v>
      </c>
      <c r="R956" t="str">
        <f>"130 CMRNP 08 306"</f>
        <v>130 CMRNP 08 306</v>
      </c>
      <c r="S956" t="str">
        <f>"12/20/2019 2:58:28 PM"</f>
        <v>12/20/2019 2:58:28 PM</v>
      </c>
      <c r="T956" t="str">
        <f t="shared" si="378"/>
        <v>5</v>
      </c>
      <c r="U956" t="str">
        <f t="shared" si="373"/>
        <v>N/A</v>
      </c>
      <c r="V956" t="str">
        <f t="shared" si="395"/>
        <v>5.5500</v>
      </c>
    </row>
    <row r="957" spans="1:22" x14ac:dyDescent="0.25">
      <c r="A957" s="1" t="str">
        <f t="shared" si="393"/>
        <v>5019-</v>
      </c>
      <c r="B957" s="1" t="str">
        <f t="shared" si="374"/>
        <v>5019-</v>
      </c>
      <c r="C957" s="1" t="str">
        <f>VLOOKUP(B957,'Master truck list'!D:E,2,0)</f>
        <v>5019-16LDL</v>
      </c>
      <c r="D957" s="1" t="str">
        <f>VLOOKUP(C957,'Master truck list'!E:F,2,0)</f>
        <v>ACTIVE</v>
      </c>
      <c r="E957" s="1" t="str">
        <f>VLOOKUP(C957,'Master truck list'!E:M,9,0)</f>
        <v>BNK TRANSPORT INC</v>
      </c>
      <c r="F957" s="1" t="str">
        <f>VLOOKUP(C957,'Master truck list'!E:G,3,0)</f>
        <v>Owner Operator</v>
      </c>
      <c r="G957" s="1">
        <f>VLOOKUP(C957,'Master truck list'!E:R,14,0)</f>
        <v>1855</v>
      </c>
      <c r="H957" t="str">
        <f t="shared" si="394"/>
        <v>12/21/2019 7:00:28 AM</v>
      </c>
      <c r="I957" t="str">
        <f>""</f>
        <v/>
      </c>
      <c r="J957" t="str">
        <f t="shared" si="369"/>
        <v>Elite</v>
      </c>
      <c r="K957" t="str">
        <f t="shared" si="381"/>
        <v>Device</v>
      </c>
      <c r="L957" t="str">
        <f>"777246240"</f>
        <v>777246240</v>
      </c>
      <c r="M957" t="str">
        <f>"16714122"</f>
        <v>16714122</v>
      </c>
      <c r="N957" t="str">
        <f>"5019-16L"</f>
        <v>5019-16L</v>
      </c>
      <c r="O957" t="str">
        <f t="shared" si="370"/>
        <v>TEXAS</v>
      </c>
      <c r="P957" t="str">
        <f t="shared" si="371"/>
        <v>N A</v>
      </c>
      <c r="Q957" t="str">
        <f t="shared" si="372"/>
        <v>N/A</v>
      </c>
      <c r="R957" t="str">
        <f>"130 DKCRP 06 307"</f>
        <v>130 DKCRP 06 307</v>
      </c>
      <c r="S957" t="str">
        <f>"12/20/2019 3:10:48 PM"</f>
        <v>12/20/2019 3:10:48 PM</v>
      </c>
      <c r="T957" t="str">
        <f t="shared" si="378"/>
        <v>5</v>
      </c>
      <c r="U957" t="str">
        <f t="shared" si="373"/>
        <v>N/A</v>
      </c>
      <c r="V957" t="str">
        <f t="shared" si="395"/>
        <v>5.5500</v>
      </c>
    </row>
    <row r="958" spans="1:22" x14ac:dyDescent="0.25">
      <c r="A958" s="1" t="str">
        <f t="shared" si="393"/>
        <v>5019-</v>
      </c>
      <c r="B958" s="1" t="str">
        <f t="shared" si="374"/>
        <v>5019-</v>
      </c>
      <c r="C958" s="1" t="str">
        <f>VLOOKUP(B958,'Master truck list'!D:E,2,0)</f>
        <v>5019-16LDL</v>
      </c>
      <c r="D958" s="1" t="str">
        <f>VLOOKUP(C958,'Master truck list'!E:F,2,0)</f>
        <v>ACTIVE</v>
      </c>
      <c r="E958" s="1" t="str">
        <f>VLOOKUP(C958,'Master truck list'!E:M,9,0)</f>
        <v>BNK TRANSPORT INC</v>
      </c>
      <c r="F958" s="1" t="str">
        <f>VLOOKUP(C958,'Master truck list'!E:G,3,0)</f>
        <v>Owner Operator</v>
      </c>
      <c r="G958" s="1">
        <f>VLOOKUP(C958,'Master truck list'!E:R,14,0)</f>
        <v>1855</v>
      </c>
      <c r="H958" t="str">
        <f t="shared" si="394"/>
        <v>12/21/2019 7:00:28 AM</v>
      </c>
      <c r="I958" t="str">
        <f>""</f>
        <v/>
      </c>
      <c r="J958" t="str">
        <f t="shared" si="369"/>
        <v>Elite</v>
      </c>
      <c r="K958" t="str">
        <f t="shared" si="381"/>
        <v>Device</v>
      </c>
      <c r="L958" t="str">
        <f>"777246240"</f>
        <v>777246240</v>
      </c>
      <c r="M958" t="str">
        <f>"16714122"</f>
        <v>16714122</v>
      </c>
      <c r="N958" t="str">
        <f>"5019-16L"</f>
        <v>5019-16L</v>
      </c>
      <c r="O958" t="str">
        <f t="shared" si="370"/>
        <v>TEXAS</v>
      </c>
      <c r="P958" t="str">
        <f t="shared" si="371"/>
        <v>N A</v>
      </c>
      <c r="Q958" t="str">
        <f t="shared" si="372"/>
        <v>N/A</v>
      </c>
      <c r="R958" t="str">
        <f>"130 ARPTP 05 308"</f>
        <v>130 ARPTP 05 308</v>
      </c>
      <c r="S958" t="str">
        <f>"12/20/2019 3:19:06 PM"</f>
        <v>12/20/2019 3:19:06 PM</v>
      </c>
      <c r="T958" t="str">
        <f t="shared" si="378"/>
        <v>5</v>
      </c>
      <c r="U958" t="str">
        <f t="shared" si="373"/>
        <v>N/A</v>
      </c>
      <c r="V958" t="str">
        <f t="shared" si="395"/>
        <v>5.5500</v>
      </c>
    </row>
    <row r="959" spans="1:22" x14ac:dyDescent="0.25">
      <c r="A959" s="1" t="str">
        <f t="shared" si="393"/>
        <v>548-1</v>
      </c>
      <c r="B959" s="1" t="str">
        <f t="shared" si="374"/>
        <v>548-1</v>
      </c>
      <c r="C959" s="1" t="s">
        <v>8886</v>
      </c>
      <c r="D959" s="1" t="s">
        <v>91</v>
      </c>
      <c r="E959" s="1" t="s">
        <v>1738</v>
      </c>
      <c r="F959" s="1" t="s">
        <v>22</v>
      </c>
      <c r="G959" s="1" t="e">
        <f>VLOOKUP(C959,'Master truck list'!E:R,14,0)</f>
        <v>#N/A</v>
      </c>
      <c r="H959" t="str">
        <f>"12/20/2019 7:00:30 AM"</f>
        <v>12/20/2019 7:00:30 AM</v>
      </c>
      <c r="I959" t="str">
        <f>""</f>
        <v/>
      </c>
      <c r="J959" t="str">
        <f t="shared" si="369"/>
        <v>Elite</v>
      </c>
      <c r="K959" t="str">
        <f t="shared" si="381"/>
        <v>Device</v>
      </c>
      <c r="L959" t="str">
        <f t="shared" ref="L959:L967" si="396">"777251570"</f>
        <v>777251570</v>
      </c>
      <c r="M959" t="str">
        <f t="shared" ref="M959:M967" si="397">"16719452"</f>
        <v>16719452</v>
      </c>
      <c r="N959" t="str">
        <f t="shared" ref="N959:N967" si="398">"548-18A"</f>
        <v>548-18A</v>
      </c>
      <c r="O959" t="str">
        <f t="shared" si="370"/>
        <v>TEXAS</v>
      </c>
      <c r="P959" t="str">
        <f t="shared" si="371"/>
        <v>N A</v>
      </c>
      <c r="Q959" t="str">
        <f t="shared" si="372"/>
        <v>N/A</v>
      </c>
      <c r="R959" t="str">
        <f>"130 DKCRP 06 307"</f>
        <v>130 DKCRP 06 307</v>
      </c>
      <c r="S959" t="str">
        <f>"12/19/2019 6:17:26 PM"</f>
        <v>12/19/2019 6:17:26 PM</v>
      </c>
      <c r="T959" t="str">
        <f t="shared" si="378"/>
        <v>5</v>
      </c>
      <c r="U959" t="str">
        <f t="shared" si="373"/>
        <v>N/A</v>
      </c>
      <c r="V959" t="str">
        <f t="shared" si="395"/>
        <v>5.5500</v>
      </c>
    </row>
    <row r="960" spans="1:22" x14ac:dyDescent="0.25">
      <c r="A960" s="1" t="str">
        <f t="shared" si="393"/>
        <v>548-1</v>
      </c>
      <c r="B960" s="1" t="str">
        <f t="shared" si="374"/>
        <v>548-1</v>
      </c>
      <c r="C960" s="1" t="s">
        <v>8904</v>
      </c>
      <c r="D960" s="1" t="s">
        <v>91</v>
      </c>
      <c r="E960" s="1" t="s">
        <v>37</v>
      </c>
      <c r="F960" s="1" t="s">
        <v>22</v>
      </c>
      <c r="G960" s="1" t="e">
        <f>VLOOKUP(C960,'Master truck list'!E:R,14,0)</f>
        <v>#N/A</v>
      </c>
      <c r="H960" t="str">
        <f>"12/20/2019 7:00:30 AM"</f>
        <v>12/20/2019 7:00:30 AM</v>
      </c>
      <c r="I960" t="str">
        <f>""</f>
        <v/>
      </c>
      <c r="J960" t="str">
        <f t="shared" si="369"/>
        <v>Elite</v>
      </c>
      <c r="K960" t="str">
        <f t="shared" si="381"/>
        <v>Device</v>
      </c>
      <c r="L960" t="str">
        <f t="shared" si="396"/>
        <v>777251570</v>
      </c>
      <c r="M960" t="str">
        <f t="shared" si="397"/>
        <v>16719452</v>
      </c>
      <c r="N960" t="str">
        <f t="shared" si="398"/>
        <v>548-18A</v>
      </c>
      <c r="O960" t="str">
        <f t="shared" si="370"/>
        <v>TEXAS</v>
      </c>
      <c r="P960" t="str">
        <f t="shared" si="371"/>
        <v>N A</v>
      </c>
      <c r="Q960" t="str">
        <f t="shared" si="372"/>
        <v>N/A</v>
      </c>
      <c r="R960" t="str">
        <f>"130 MGCRP 06 305"</f>
        <v>130 MGCRP 06 305</v>
      </c>
      <c r="S960" t="str">
        <f>"12/19/2019 5:56:14 PM"</f>
        <v>12/19/2019 5:56:14 PM</v>
      </c>
      <c r="T960" t="str">
        <f t="shared" si="378"/>
        <v>5</v>
      </c>
      <c r="U960" t="str">
        <f t="shared" si="373"/>
        <v>N/A</v>
      </c>
      <c r="V960" t="str">
        <f t="shared" si="395"/>
        <v>5.5500</v>
      </c>
    </row>
    <row r="961" spans="1:22" x14ac:dyDescent="0.25">
      <c r="A961" s="1" t="str">
        <f t="shared" si="393"/>
        <v>548-1</v>
      </c>
      <c r="B961" s="1" t="str">
        <f t="shared" si="374"/>
        <v>548-1</v>
      </c>
      <c r="C961" s="1" t="s">
        <v>8889</v>
      </c>
      <c r="D961" s="1" t="s">
        <v>91</v>
      </c>
      <c r="E961" s="1" t="s">
        <v>1738</v>
      </c>
      <c r="F961" s="1" t="s">
        <v>22</v>
      </c>
      <c r="G961" s="1" t="e">
        <f>VLOOKUP(C961,'Master truck list'!E:R,14,0)</f>
        <v>#N/A</v>
      </c>
      <c r="H961" t="str">
        <f>"12/20/2019 7:00:30 AM"</f>
        <v>12/20/2019 7:00:30 AM</v>
      </c>
      <c r="I961" t="str">
        <f>""</f>
        <v/>
      </c>
      <c r="J961" t="str">
        <f t="shared" si="369"/>
        <v>Elite</v>
      </c>
      <c r="K961" t="str">
        <f t="shared" si="381"/>
        <v>Device</v>
      </c>
      <c r="L961" t="str">
        <f t="shared" si="396"/>
        <v>777251570</v>
      </c>
      <c r="M961" t="str">
        <f t="shared" si="397"/>
        <v>16719452</v>
      </c>
      <c r="N961" t="str">
        <f t="shared" si="398"/>
        <v>548-18A</v>
      </c>
      <c r="O961" t="str">
        <f t="shared" si="370"/>
        <v>TEXAS</v>
      </c>
      <c r="P961" t="str">
        <f t="shared" si="371"/>
        <v>N A</v>
      </c>
      <c r="Q961" t="str">
        <f t="shared" si="372"/>
        <v>N/A</v>
      </c>
      <c r="R961" t="str">
        <f>"130 CMRNP 08 306"</f>
        <v>130 CMRNP 08 306</v>
      </c>
      <c r="S961" t="str">
        <f>"12/19/2019 6:07:23 PM"</f>
        <v>12/19/2019 6:07:23 PM</v>
      </c>
      <c r="T961" t="str">
        <f t="shared" si="378"/>
        <v>5</v>
      </c>
      <c r="U961" t="str">
        <f t="shared" si="373"/>
        <v>N/A</v>
      </c>
      <c r="V961" t="str">
        <f t="shared" si="395"/>
        <v>5.5500</v>
      </c>
    </row>
    <row r="962" spans="1:22" x14ac:dyDescent="0.25">
      <c r="A962" s="1" t="str">
        <f t="shared" si="393"/>
        <v>548-1</v>
      </c>
      <c r="B962" s="1" t="str">
        <f t="shared" si="374"/>
        <v>548-1</v>
      </c>
      <c r="C962" s="1" t="str">
        <f>VLOOKUP(B962,'Master truck list'!D:E,2,0)</f>
        <v>548-18AL</v>
      </c>
      <c r="D962" s="1" t="str">
        <f>VLOOKUP(C962,'Master truck list'!E:F,2,0)</f>
        <v>OUT OF SERVICE</v>
      </c>
      <c r="E962" s="1" t="str">
        <f>VLOOKUP(C962,'Master truck list'!E:M,9,0)</f>
        <v>BNK TRANSPORT INC</v>
      </c>
      <c r="F962" s="1" t="str">
        <f>VLOOKUP(C962,'Master truck list'!E:G,3,0)</f>
        <v>Owner Operator</v>
      </c>
      <c r="G962" s="1">
        <f>VLOOKUP(C962,'Master truck list'!E:R,14,0)</f>
        <v>1136</v>
      </c>
      <c r="H962" t="str">
        <f>"12/20/2019 7:00:30 AM"</f>
        <v>12/20/2019 7:00:30 AM</v>
      </c>
      <c r="I962" t="str">
        <f>""</f>
        <v/>
      </c>
      <c r="J962" t="str">
        <f t="shared" ref="J962:J1025" si="399">"Elite"</f>
        <v>Elite</v>
      </c>
      <c r="K962" t="str">
        <f t="shared" si="381"/>
        <v>Device</v>
      </c>
      <c r="L962" t="str">
        <f t="shared" si="396"/>
        <v>777251570</v>
      </c>
      <c r="M962" t="str">
        <f t="shared" si="397"/>
        <v>16719452</v>
      </c>
      <c r="N962" t="str">
        <f t="shared" si="398"/>
        <v>548-18A</v>
      </c>
      <c r="O962" t="str">
        <f t="shared" ref="O962:O1025" si="400">"TEXAS"</f>
        <v>TEXAS</v>
      </c>
      <c r="P962" t="str">
        <f t="shared" ref="P962:P1025" si="401">"N A"</f>
        <v>N A</v>
      </c>
      <c r="Q962" t="str">
        <f t="shared" ref="Q962:Q1025" si="402">"N/A"</f>
        <v>N/A</v>
      </c>
      <c r="R962" t="str">
        <f>"130 ARPTP 04 308"</f>
        <v>130 ARPTP 04 308</v>
      </c>
      <c r="S962" t="str">
        <f>"12/19/2019 6:24:21 PM"</f>
        <v>12/19/2019 6:24:21 PM</v>
      </c>
      <c r="T962" t="str">
        <f t="shared" si="378"/>
        <v>5</v>
      </c>
      <c r="U962" t="str">
        <f t="shared" ref="U962:U1025" si="403">"N/A"</f>
        <v>N/A</v>
      </c>
      <c r="V962" t="str">
        <f t="shared" si="395"/>
        <v>5.5500</v>
      </c>
    </row>
    <row r="963" spans="1:22" x14ac:dyDescent="0.25">
      <c r="A963" s="1" t="str">
        <f t="shared" si="393"/>
        <v>548-1</v>
      </c>
      <c r="B963" s="1" t="str">
        <f t="shared" ref="B963:B1026" si="404">SUBSTITUTE(A963," ","")</f>
        <v>548-1</v>
      </c>
      <c r="C963" s="1" t="str">
        <f>VLOOKUP(B963,'Master truck list'!D:E,2,0)</f>
        <v>548-18AL</v>
      </c>
      <c r="D963" s="1" t="str">
        <f>VLOOKUP(C963,'Master truck list'!E:F,2,0)</f>
        <v>OUT OF SERVICE</v>
      </c>
      <c r="E963" s="1" t="str">
        <f>VLOOKUP(C963,'Master truck list'!E:M,9,0)</f>
        <v>BNK TRANSPORT INC</v>
      </c>
      <c r="F963" s="1" t="str">
        <f>VLOOKUP(C963,'Master truck list'!E:G,3,0)</f>
        <v>Owner Operator</v>
      </c>
      <c r="G963" s="1">
        <f>VLOOKUP(C963,'Master truck list'!E:R,14,0)</f>
        <v>1136</v>
      </c>
      <c r="H963" t="str">
        <f>"12/18/2019 7:00:28 AM"</f>
        <v>12/18/2019 7:00:28 AM</v>
      </c>
      <c r="I963" t="str">
        <f>""</f>
        <v/>
      </c>
      <c r="J963" t="str">
        <f t="shared" si="399"/>
        <v>Elite</v>
      </c>
      <c r="K963" t="str">
        <f t="shared" si="381"/>
        <v>Device</v>
      </c>
      <c r="L963" t="str">
        <f t="shared" si="396"/>
        <v>777251570</v>
      </c>
      <c r="M963" t="str">
        <f t="shared" si="397"/>
        <v>16719452</v>
      </c>
      <c r="N963" t="str">
        <f t="shared" si="398"/>
        <v>548-18A</v>
      </c>
      <c r="O963" t="str">
        <f t="shared" si="400"/>
        <v>TEXAS</v>
      </c>
      <c r="P963" t="str">
        <f t="shared" si="401"/>
        <v>N A</v>
      </c>
      <c r="Q963" t="str">
        <f t="shared" si="402"/>
        <v>N/A</v>
      </c>
      <c r="R963" t="str">
        <f>"130 ARPTP 09 308"</f>
        <v>130 ARPTP 09 308</v>
      </c>
      <c r="S963" t="str">
        <f>"12/17/2019 12:26:45 AM"</f>
        <v>12/17/2019 12:26:45 AM</v>
      </c>
      <c r="T963" t="str">
        <f t="shared" si="378"/>
        <v>5</v>
      </c>
      <c r="U963" t="str">
        <f t="shared" si="403"/>
        <v>N/A</v>
      </c>
      <c r="V963" t="str">
        <f t="shared" si="395"/>
        <v>5.5500</v>
      </c>
    </row>
    <row r="964" spans="1:22" x14ac:dyDescent="0.25">
      <c r="A964" s="1" t="str">
        <f t="shared" si="393"/>
        <v>548-1</v>
      </c>
      <c r="B964" s="1" t="str">
        <f t="shared" si="404"/>
        <v>548-1</v>
      </c>
      <c r="C964" s="1" t="str">
        <f>VLOOKUP(B964,'Master truck list'!D:E,2,0)</f>
        <v>548-18AL</v>
      </c>
      <c r="D964" s="1" t="str">
        <f>VLOOKUP(C964,'Master truck list'!E:F,2,0)</f>
        <v>OUT OF SERVICE</v>
      </c>
      <c r="E964" s="1" t="str">
        <f>VLOOKUP(C964,'Master truck list'!E:M,9,0)</f>
        <v>BNK TRANSPORT INC</v>
      </c>
      <c r="F964" s="1" t="str">
        <f>VLOOKUP(C964,'Master truck list'!E:G,3,0)</f>
        <v>Owner Operator</v>
      </c>
      <c r="G964" s="1">
        <f>VLOOKUP(C964,'Master truck list'!E:R,14,0)</f>
        <v>1136</v>
      </c>
      <c r="H964" t="str">
        <f>"12/18/2019 7:00:28 AM"</f>
        <v>12/18/2019 7:00:28 AM</v>
      </c>
      <c r="I964" t="str">
        <f>""</f>
        <v/>
      </c>
      <c r="J964" t="str">
        <f t="shared" si="399"/>
        <v>Elite</v>
      </c>
      <c r="K964" t="str">
        <f t="shared" si="381"/>
        <v>Device</v>
      </c>
      <c r="L964" t="str">
        <f t="shared" si="396"/>
        <v>777251570</v>
      </c>
      <c r="M964" t="str">
        <f t="shared" si="397"/>
        <v>16719452</v>
      </c>
      <c r="N964" t="str">
        <f t="shared" si="398"/>
        <v>548-18A</v>
      </c>
      <c r="O964" t="str">
        <f t="shared" si="400"/>
        <v>TEXAS</v>
      </c>
      <c r="P964" t="str">
        <f t="shared" si="401"/>
        <v>N A</v>
      </c>
      <c r="Q964" t="str">
        <f t="shared" si="402"/>
        <v>N/A</v>
      </c>
      <c r="R964" t="str">
        <f>"130 CMRNP 13 306"</f>
        <v>130 CMRNP 13 306</v>
      </c>
      <c r="S964" t="str">
        <f>"12/17/2019 12:43:48 AM"</f>
        <v>12/17/2019 12:43:48 AM</v>
      </c>
      <c r="T964" t="str">
        <f t="shared" si="378"/>
        <v>5</v>
      </c>
      <c r="U964" t="str">
        <f t="shared" si="403"/>
        <v>N/A</v>
      </c>
      <c r="V964" t="str">
        <f t="shared" si="395"/>
        <v>5.5500</v>
      </c>
    </row>
    <row r="965" spans="1:22" x14ac:dyDescent="0.25">
      <c r="A965" s="1" t="str">
        <f t="shared" si="393"/>
        <v>548-1</v>
      </c>
      <c r="B965" s="1" t="str">
        <f t="shared" si="404"/>
        <v>548-1</v>
      </c>
      <c r="C965" s="1" t="s">
        <v>8897</v>
      </c>
      <c r="D965" s="1" t="s">
        <v>91</v>
      </c>
      <c r="E965" s="1" t="s">
        <v>37</v>
      </c>
      <c r="F965" s="1" t="s">
        <v>22</v>
      </c>
      <c r="G965" s="1" t="e">
        <f>VLOOKUP(C965,'Master truck list'!E:R,14,0)</f>
        <v>#N/A</v>
      </c>
      <c r="H965" t="str">
        <f>"12/18/2019 7:00:28 AM"</f>
        <v>12/18/2019 7:00:28 AM</v>
      </c>
      <c r="I965" t="str">
        <f>""</f>
        <v/>
      </c>
      <c r="J965" t="str">
        <f t="shared" si="399"/>
        <v>Elite</v>
      </c>
      <c r="K965" t="str">
        <f t="shared" si="381"/>
        <v>Device</v>
      </c>
      <c r="L965" t="str">
        <f t="shared" si="396"/>
        <v>777251570</v>
      </c>
      <c r="M965" t="str">
        <f t="shared" si="397"/>
        <v>16719452</v>
      </c>
      <c r="N965" t="str">
        <f t="shared" si="398"/>
        <v>548-18A</v>
      </c>
      <c r="O965" t="str">
        <f t="shared" si="400"/>
        <v>TEXAS</v>
      </c>
      <c r="P965" t="str">
        <f t="shared" si="401"/>
        <v>N A</v>
      </c>
      <c r="Q965" t="str">
        <f t="shared" si="402"/>
        <v>N/A</v>
      </c>
      <c r="R965" t="str">
        <f>"130 DKCRP 11 307"</f>
        <v>130 DKCRP 11 307</v>
      </c>
      <c r="S965" t="str">
        <f>"12/17/2019 12:33:45 AM"</f>
        <v>12/17/2019 12:33:45 AM</v>
      </c>
      <c r="T965" t="str">
        <f t="shared" si="378"/>
        <v>5</v>
      </c>
      <c r="U965" t="str">
        <f t="shared" si="403"/>
        <v>N/A</v>
      </c>
      <c r="V965" t="str">
        <f t="shared" si="395"/>
        <v>5.5500</v>
      </c>
    </row>
    <row r="966" spans="1:22" x14ac:dyDescent="0.25">
      <c r="A966" s="1" t="str">
        <f t="shared" si="393"/>
        <v>548-1</v>
      </c>
      <c r="B966" s="1" t="str">
        <f t="shared" si="404"/>
        <v>548-1</v>
      </c>
      <c r="C966" s="1" t="s">
        <v>8898</v>
      </c>
      <c r="D966" s="1" t="s">
        <v>8899</v>
      </c>
      <c r="E966" s="1" t="s">
        <v>154</v>
      </c>
      <c r="F966" s="1" t="s">
        <v>22</v>
      </c>
      <c r="G966" s="1" t="e">
        <f>VLOOKUP(C966,'Master truck list'!E:R,14,0)</f>
        <v>#N/A</v>
      </c>
      <c r="H966" t="str">
        <f>"12/18/2019 7:00:28 AM"</f>
        <v>12/18/2019 7:00:28 AM</v>
      </c>
      <c r="I966" t="str">
        <f>""</f>
        <v/>
      </c>
      <c r="J966" t="str">
        <f t="shared" si="399"/>
        <v>Elite</v>
      </c>
      <c r="K966" t="str">
        <f t="shared" si="381"/>
        <v>Device</v>
      </c>
      <c r="L966" t="str">
        <f t="shared" si="396"/>
        <v>777251570</v>
      </c>
      <c r="M966" t="str">
        <f t="shared" si="397"/>
        <v>16719452</v>
      </c>
      <c r="N966" t="str">
        <f t="shared" si="398"/>
        <v>548-18A</v>
      </c>
      <c r="O966" t="str">
        <f t="shared" si="400"/>
        <v>TEXAS</v>
      </c>
      <c r="P966" t="str">
        <f t="shared" si="401"/>
        <v>N A</v>
      </c>
      <c r="Q966" t="str">
        <f t="shared" si="402"/>
        <v>N/A</v>
      </c>
      <c r="R966" t="str">
        <f>"45SE MLPEB 02 611"</f>
        <v>45SE MLPEB 02 611</v>
      </c>
      <c r="S966" t="str">
        <f>"12/17/2019 12:16:06 AM"</f>
        <v>12/17/2019 12:16:06 AM</v>
      </c>
      <c r="T966" t="str">
        <f t="shared" si="378"/>
        <v>5</v>
      </c>
      <c r="U966" t="str">
        <f t="shared" si="403"/>
        <v>N/A</v>
      </c>
      <c r="V966" t="str">
        <f>"3.3000"</f>
        <v>3.3000</v>
      </c>
    </row>
    <row r="967" spans="1:22" x14ac:dyDescent="0.25">
      <c r="A967" s="1" t="str">
        <f t="shared" si="393"/>
        <v>548-1</v>
      </c>
      <c r="B967" s="1" t="str">
        <f t="shared" si="404"/>
        <v>548-1</v>
      </c>
      <c r="C967" s="1" t="s">
        <v>8898</v>
      </c>
      <c r="D967" s="1" t="s">
        <v>8899</v>
      </c>
      <c r="E967" s="1" t="s">
        <v>154</v>
      </c>
      <c r="F967" s="1" t="s">
        <v>22</v>
      </c>
      <c r="G967" s="1" t="e">
        <f>VLOOKUP(C967,'Master truck list'!E:R,14,0)</f>
        <v>#N/A</v>
      </c>
      <c r="H967" t="str">
        <f>"12/18/2019 7:00:28 AM"</f>
        <v>12/18/2019 7:00:28 AM</v>
      </c>
      <c r="I967" t="str">
        <f>""</f>
        <v/>
      </c>
      <c r="J967" t="str">
        <f t="shared" si="399"/>
        <v>Elite</v>
      </c>
      <c r="K967" t="str">
        <f t="shared" si="381"/>
        <v>Device</v>
      </c>
      <c r="L967" t="str">
        <f t="shared" si="396"/>
        <v>777251570</v>
      </c>
      <c r="M967" t="str">
        <f t="shared" si="397"/>
        <v>16719452</v>
      </c>
      <c r="N967" t="str">
        <f t="shared" si="398"/>
        <v>548-18A</v>
      </c>
      <c r="O967" t="str">
        <f t="shared" si="400"/>
        <v>TEXAS</v>
      </c>
      <c r="P967" t="str">
        <f t="shared" si="401"/>
        <v>N A</v>
      </c>
      <c r="Q967" t="str">
        <f t="shared" si="402"/>
        <v>N/A</v>
      </c>
      <c r="R967" t="str">
        <f>"130 MGCRP 11 305"</f>
        <v>130 MGCRP 11 305</v>
      </c>
      <c r="S967" t="str">
        <f>"12/17/2019 12:54:53 AM"</f>
        <v>12/17/2019 12:54:53 AM</v>
      </c>
      <c r="T967" t="str">
        <f t="shared" si="378"/>
        <v>5</v>
      </c>
      <c r="U967" t="str">
        <f t="shared" si="403"/>
        <v>N/A</v>
      </c>
      <c r="V967" t="str">
        <f t="shared" ref="V967:V973" si="405">"5.5500"</f>
        <v>5.5500</v>
      </c>
    </row>
    <row r="968" spans="1:22" x14ac:dyDescent="0.25">
      <c r="A968" s="1" t="str">
        <f t="shared" si="393"/>
        <v>2269-</v>
      </c>
      <c r="B968" s="1" t="str">
        <f t="shared" si="404"/>
        <v>2269-</v>
      </c>
      <c r="C968" s="1" t="str">
        <f>VLOOKUP(B968,'Master truck list'!D:E,2,0)</f>
        <v>2269-18AL</v>
      </c>
      <c r="D968" s="1" t="str">
        <f>VLOOKUP(C968,'Master truck list'!E:F,2,0)</f>
        <v>ACTIVE</v>
      </c>
      <c r="E968" s="1" t="str">
        <f>VLOOKUP(C968,'Master truck list'!E:M,9,0)</f>
        <v>CHARGER LOGISTICS USA INC</v>
      </c>
      <c r="F968" s="1" t="str">
        <f>VLOOKUP(C968,'Master truck list'!E:G,3,0)</f>
        <v>Owner Operator</v>
      </c>
      <c r="G968" s="1">
        <f>VLOOKUP(C968,'Master truck list'!E:R,14,0)</f>
        <v>957</v>
      </c>
      <c r="H968" t="str">
        <f>"12/20/2019 7:00:30 AM"</f>
        <v>12/20/2019 7:00:30 AM</v>
      </c>
      <c r="I968" t="str">
        <f>""</f>
        <v/>
      </c>
      <c r="J968" t="str">
        <f t="shared" si="399"/>
        <v>Elite</v>
      </c>
      <c r="K968" t="str">
        <f t="shared" si="381"/>
        <v>Device</v>
      </c>
      <c r="L968" t="str">
        <f>"777238066"</f>
        <v>777238066</v>
      </c>
      <c r="M968" t="str">
        <f>"16670823"</f>
        <v>16670823</v>
      </c>
      <c r="N968" t="str">
        <f>"2269-18A"</f>
        <v>2269-18A</v>
      </c>
      <c r="O968" t="str">
        <f t="shared" si="400"/>
        <v>TEXAS</v>
      </c>
      <c r="P968" t="str">
        <f t="shared" si="401"/>
        <v>N A</v>
      </c>
      <c r="Q968" t="str">
        <f t="shared" si="402"/>
        <v>N/A</v>
      </c>
      <c r="R968" t="str">
        <f>"130 ARPTP 04 308"</f>
        <v>130 ARPTP 04 308</v>
      </c>
      <c r="S968" t="str">
        <f>"12/19/2019 4:44:50 PM"</f>
        <v>12/19/2019 4:44:50 PM</v>
      </c>
      <c r="T968" t="str">
        <f t="shared" si="378"/>
        <v>5</v>
      </c>
      <c r="U968" t="str">
        <f t="shared" si="403"/>
        <v>N/A</v>
      </c>
      <c r="V968" t="str">
        <f t="shared" si="405"/>
        <v>5.5500</v>
      </c>
    </row>
    <row r="969" spans="1:22" x14ac:dyDescent="0.25">
      <c r="A969" s="1" t="str">
        <f t="shared" si="393"/>
        <v>2269-</v>
      </c>
      <c r="B969" s="1" t="str">
        <f t="shared" si="404"/>
        <v>2269-</v>
      </c>
      <c r="C969" s="1" t="s">
        <v>8904</v>
      </c>
      <c r="D969" s="1" t="s">
        <v>91</v>
      </c>
      <c r="E969" s="1" t="s">
        <v>37</v>
      </c>
      <c r="F969" s="1" t="s">
        <v>22</v>
      </c>
      <c r="G969" s="1" t="e">
        <f>VLOOKUP(C969,'Master truck list'!E:R,14,0)</f>
        <v>#N/A</v>
      </c>
      <c r="H969" t="str">
        <f>"12/20/2019 7:00:30 AM"</f>
        <v>12/20/2019 7:00:30 AM</v>
      </c>
      <c r="I969" t="str">
        <f>""</f>
        <v/>
      </c>
      <c r="J969" t="str">
        <f t="shared" si="399"/>
        <v>Elite</v>
      </c>
      <c r="K969" t="str">
        <f t="shared" si="381"/>
        <v>Device</v>
      </c>
      <c r="L969" t="str">
        <f>"777238066"</f>
        <v>777238066</v>
      </c>
      <c r="M969" t="str">
        <f>"16670823"</f>
        <v>16670823</v>
      </c>
      <c r="N969" t="str">
        <f>"2269-18A"</f>
        <v>2269-18A</v>
      </c>
      <c r="O969" t="str">
        <f t="shared" si="400"/>
        <v>TEXAS</v>
      </c>
      <c r="P969" t="str">
        <f t="shared" si="401"/>
        <v>N A</v>
      </c>
      <c r="Q969" t="str">
        <f t="shared" si="402"/>
        <v>N/A</v>
      </c>
      <c r="R969" t="str">
        <f>"130 CMRNP 08 306"</f>
        <v>130 CMRNP 08 306</v>
      </c>
      <c r="S969" t="str">
        <f>"12/19/2019 4:26:13 PM"</f>
        <v>12/19/2019 4:26:13 PM</v>
      </c>
      <c r="T969" t="str">
        <f t="shared" si="378"/>
        <v>5</v>
      </c>
      <c r="U969" t="str">
        <f t="shared" si="403"/>
        <v>N/A</v>
      </c>
      <c r="V969" t="str">
        <f t="shared" si="405"/>
        <v>5.5500</v>
      </c>
    </row>
    <row r="970" spans="1:22" x14ac:dyDescent="0.25">
      <c r="A970" s="1" t="str">
        <f t="shared" si="393"/>
        <v>2269-</v>
      </c>
      <c r="B970" s="1" t="str">
        <f t="shared" si="404"/>
        <v>2269-</v>
      </c>
      <c r="C970" s="1" t="s">
        <v>8902</v>
      </c>
      <c r="D970" s="1" t="s">
        <v>91</v>
      </c>
      <c r="E970" s="1" t="s">
        <v>1738</v>
      </c>
      <c r="F970" s="1" t="s">
        <v>22</v>
      </c>
      <c r="G970" s="1" t="e">
        <f>VLOOKUP(C970,'Master truck list'!E:R,14,0)</f>
        <v>#N/A</v>
      </c>
      <c r="H970" t="str">
        <f>"12/20/2019 7:00:30 AM"</f>
        <v>12/20/2019 7:00:30 AM</v>
      </c>
      <c r="I970" t="str">
        <f>""</f>
        <v/>
      </c>
      <c r="J970" t="str">
        <f t="shared" si="399"/>
        <v>Elite</v>
      </c>
      <c r="K970" t="str">
        <f t="shared" si="381"/>
        <v>Device</v>
      </c>
      <c r="L970" t="str">
        <f>"777238066"</f>
        <v>777238066</v>
      </c>
      <c r="M970" t="str">
        <f>"16670823"</f>
        <v>16670823</v>
      </c>
      <c r="N970" t="str">
        <f>"2269-18A"</f>
        <v>2269-18A</v>
      </c>
      <c r="O970" t="str">
        <f t="shared" si="400"/>
        <v>TEXAS</v>
      </c>
      <c r="P970" t="str">
        <f t="shared" si="401"/>
        <v>N A</v>
      </c>
      <c r="Q970" t="str">
        <f t="shared" si="402"/>
        <v>N/A</v>
      </c>
      <c r="R970" t="str">
        <f>"130 MGCRP 06 305"</f>
        <v>130 MGCRP 06 305</v>
      </c>
      <c r="S970" t="str">
        <f>"12/19/2019 4:15:21 PM"</f>
        <v>12/19/2019 4:15:21 PM</v>
      </c>
      <c r="T970" t="str">
        <f t="shared" si="378"/>
        <v>5</v>
      </c>
      <c r="U970" t="str">
        <f t="shared" si="403"/>
        <v>N/A</v>
      </c>
      <c r="V970" t="str">
        <f t="shared" si="405"/>
        <v>5.5500</v>
      </c>
    </row>
    <row r="971" spans="1:22" x14ac:dyDescent="0.25">
      <c r="A971" s="1" t="str">
        <f t="shared" si="393"/>
        <v>2269-</v>
      </c>
      <c r="B971" s="1" t="str">
        <f t="shared" si="404"/>
        <v>2269-</v>
      </c>
      <c r="C971" s="1" t="s">
        <v>8889</v>
      </c>
      <c r="D971" s="1" t="s">
        <v>91</v>
      </c>
      <c r="E971" s="1" t="s">
        <v>1738</v>
      </c>
      <c r="F971" s="1" t="s">
        <v>22</v>
      </c>
      <c r="G971" s="1" t="e">
        <f>VLOOKUP(C971,'Master truck list'!E:R,14,0)</f>
        <v>#N/A</v>
      </c>
      <c r="H971" t="str">
        <f>"12/20/2019 7:00:30 AM"</f>
        <v>12/20/2019 7:00:30 AM</v>
      </c>
      <c r="I971" t="str">
        <f>""</f>
        <v/>
      </c>
      <c r="J971" t="str">
        <f t="shared" si="399"/>
        <v>Elite</v>
      </c>
      <c r="K971" t="str">
        <f t="shared" si="381"/>
        <v>Device</v>
      </c>
      <c r="L971" t="str">
        <f>"777238066"</f>
        <v>777238066</v>
      </c>
      <c r="M971" t="str">
        <f>"16670823"</f>
        <v>16670823</v>
      </c>
      <c r="N971" t="str">
        <f>"2269-18A"</f>
        <v>2269-18A</v>
      </c>
      <c r="O971" t="str">
        <f t="shared" si="400"/>
        <v>TEXAS</v>
      </c>
      <c r="P971" t="str">
        <f t="shared" si="401"/>
        <v>N A</v>
      </c>
      <c r="Q971" t="str">
        <f t="shared" si="402"/>
        <v>N/A</v>
      </c>
      <c r="R971" t="str">
        <f>"130 DKCRP 06 307"</f>
        <v>130 DKCRP 06 307</v>
      </c>
      <c r="S971" t="str">
        <f>"12/19/2019 4:37:24 PM"</f>
        <v>12/19/2019 4:37:24 PM</v>
      </c>
      <c r="T971" t="str">
        <f t="shared" ref="T971:T976" si="406">"5"</f>
        <v>5</v>
      </c>
      <c r="U971" t="str">
        <f t="shared" si="403"/>
        <v>N/A</v>
      </c>
      <c r="V971" t="str">
        <f t="shared" si="405"/>
        <v>5.5500</v>
      </c>
    </row>
    <row r="972" spans="1:22" x14ac:dyDescent="0.25">
      <c r="A972" s="1" t="str">
        <f t="shared" si="393"/>
        <v>2256-</v>
      </c>
      <c r="B972" s="1" t="str">
        <f t="shared" si="404"/>
        <v>2256-</v>
      </c>
      <c r="C972" s="1" t="str">
        <f>VLOOKUP(B972,'Master truck list'!D:E,2,0)</f>
        <v>2256-18AL</v>
      </c>
      <c r="D972" s="1" t="str">
        <f>VLOOKUP(C972,'Master truck list'!E:F,2,0)</f>
        <v>ACTIVE</v>
      </c>
      <c r="E972" s="1" t="str">
        <f>VLOOKUP(C972,'Master truck list'!E:M,9,0)</f>
        <v>CHARGER LOGISTICS USA INC</v>
      </c>
      <c r="F972" s="1" t="str">
        <f>VLOOKUP(C972,'Master truck list'!E:G,3,0)</f>
        <v>Owner Operator</v>
      </c>
      <c r="G972" s="1">
        <f>VLOOKUP(C972,'Master truck list'!E:R,14,0)</f>
        <v>886</v>
      </c>
      <c r="H972" t="str">
        <f>"12/19/2019 7:00:35 AM"</f>
        <v>12/19/2019 7:00:35 AM</v>
      </c>
      <c r="I972" t="str">
        <f>""</f>
        <v/>
      </c>
      <c r="J972" t="str">
        <f t="shared" si="399"/>
        <v>Elite</v>
      </c>
      <c r="K972" t="str">
        <f t="shared" si="381"/>
        <v>Device</v>
      </c>
      <c r="L972" t="str">
        <f>"777251628"</f>
        <v>777251628</v>
      </c>
      <c r="M972" t="str">
        <f>"16719510"</f>
        <v>16719510</v>
      </c>
      <c r="N972" t="str">
        <f>"2256-18A"</f>
        <v>2256-18A</v>
      </c>
      <c r="O972" t="str">
        <f t="shared" si="400"/>
        <v>TEXAS</v>
      </c>
      <c r="P972" t="str">
        <f t="shared" si="401"/>
        <v>N A</v>
      </c>
      <c r="Q972" t="str">
        <f t="shared" si="402"/>
        <v>N/A</v>
      </c>
      <c r="R972" t="str">
        <f>"130 DKCRP 11 307"</f>
        <v>130 DKCRP 11 307</v>
      </c>
      <c r="S972" t="str">
        <f>"12/18/2019 6:36:53 PM"</f>
        <v>12/18/2019 6:36:53 PM</v>
      </c>
      <c r="T972" t="str">
        <f t="shared" si="406"/>
        <v>5</v>
      </c>
      <c r="U972" t="str">
        <f t="shared" si="403"/>
        <v>N/A</v>
      </c>
      <c r="V972" t="str">
        <f t="shared" si="405"/>
        <v>5.5500</v>
      </c>
    </row>
    <row r="973" spans="1:22" x14ac:dyDescent="0.25">
      <c r="A973" s="1" t="str">
        <f t="shared" si="393"/>
        <v>2256-</v>
      </c>
      <c r="B973" s="1" t="str">
        <f t="shared" si="404"/>
        <v>2256-</v>
      </c>
      <c r="C973" s="1" t="str">
        <f>VLOOKUP(B973,'Master truck list'!D:E,2,0)</f>
        <v>2256-18AL</v>
      </c>
      <c r="D973" s="1" t="str">
        <f>VLOOKUP(C973,'Master truck list'!E:F,2,0)</f>
        <v>ACTIVE</v>
      </c>
      <c r="E973" s="1" t="str">
        <f>VLOOKUP(C973,'Master truck list'!E:M,9,0)</f>
        <v>CHARGER LOGISTICS USA INC</v>
      </c>
      <c r="F973" s="1" t="str">
        <f>VLOOKUP(C973,'Master truck list'!E:G,3,0)</f>
        <v>Owner Operator</v>
      </c>
      <c r="G973" s="1">
        <f>VLOOKUP(C973,'Master truck list'!E:R,14,0)</f>
        <v>886</v>
      </c>
      <c r="H973" t="str">
        <f>"12/19/2019 7:00:35 AM"</f>
        <v>12/19/2019 7:00:35 AM</v>
      </c>
      <c r="I973" t="str">
        <f>""</f>
        <v/>
      </c>
      <c r="J973" t="str">
        <f t="shared" si="399"/>
        <v>Elite</v>
      </c>
      <c r="K973" t="str">
        <f t="shared" si="381"/>
        <v>Device</v>
      </c>
      <c r="L973" t="str">
        <f>"777251628"</f>
        <v>777251628</v>
      </c>
      <c r="M973" t="str">
        <f>"16719510"</f>
        <v>16719510</v>
      </c>
      <c r="N973" t="str">
        <f>"2256-18A"</f>
        <v>2256-18A</v>
      </c>
      <c r="O973" t="str">
        <f t="shared" si="400"/>
        <v>TEXAS</v>
      </c>
      <c r="P973" t="str">
        <f t="shared" si="401"/>
        <v>N A</v>
      </c>
      <c r="Q973" t="str">
        <f t="shared" si="402"/>
        <v>N/A</v>
      </c>
      <c r="R973" t="str">
        <f>"130 MGCRP 11 305"</f>
        <v>130 MGCRP 11 305</v>
      </c>
      <c r="S973" t="str">
        <f>"12/18/2019 6:58:00 PM"</f>
        <v>12/18/2019 6:58:00 PM</v>
      </c>
      <c r="T973" t="str">
        <f t="shared" si="406"/>
        <v>5</v>
      </c>
      <c r="U973" t="str">
        <f t="shared" si="403"/>
        <v>N/A</v>
      </c>
      <c r="V973" t="str">
        <f t="shared" si="405"/>
        <v>5.5500</v>
      </c>
    </row>
    <row r="974" spans="1:22" x14ac:dyDescent="0.25">
      <c r="A974" s="1" t="str">
        <f t="shared" si="393"/>
        <v>2256-</v>
      </c>
      <c r="B974" s="1" t="str">
        <f t="shared" si="404"/>
        <v>2256-</v>
      </c>
      <c r="C974" s="1" t="str">
        <f>VLOOKUP(B974,'Master truck list'!D:E,2,0)</f>
        <v>2256-18AL</v>
      </c>
      <c r="D974" s="1" t="str">
        <f>VLOOKUP(C974,'Master truck list'!E:F,2,0)</f>
        <v>ACTIVE</v>
      </c>
      <c r="E974" s="1" t="str">
        <f>VLOOKUP(C974,'Master truck list'!E:M,9,0)</f>
        <v>CHARGER LOGISTICS USA INC</v>
      </c>
      <c r="F974" s="1" t="str">
        <f>VLOOKUP(C974,'Master truck list'!E:G,3,0)</f>
        <v>Owner Operator</v>
      </c>
      <c r="G974" s="1">
        <f>VLOOKUP(C974,'Master truck list'!E:R,14,0)</f>
        <v>886</v>
      </c>
      <c r="H974" t="str">
        <f>"12/19/2019 7:00:35 AM"</f>
        <v>12/19/2019 7:00:35 AM</v>
      </c>
      <c r="I974" t="str">
        <f>""</f>
        <v/>
      </c>
      <c r="J974" t="str">
        <f t="shared" si="399"/>
        <v>Elite</v>
      </c>
      <c r="K974" t="str">
        <f t="shared" si="381"/>
        <v>Device</v>
      </c>
      <c r="L974" t="str">
        <f>"777251628"</f>
        <v>777251628</v>
      </c>
      <c r="M974" t="str">
        <f>"16719510"</f>
        <v>16719510</v>
      </c>
      <c r="N974" t="str">
        <f>"2256-18A"</f>
        <v>2256-18A</v>
      </c>
      <c r="O974" t="str">
        <f t="shared" si="400"/>
        <v>TEXAS</v>
      </c>
      <c r="P974" t="str">
        <f t="shared" si="401"/>
        <v>N A</v>
      </c>
      <c r="Q974" t="str">
        <f t="shared" si="402"/>
        <v>N/A</v>
      </c>
      <c r="R974" t="str">
        <f>"45SE MLPEB 02 611"</f>
        <v>45SE MLPEB 02 611</v>
      </c>
      <c r="S974" t="str">
        <f>"12/18/2019 6:19:23 PM"</f>
        <v>12/18/2019 6:19:23 PM</v>
      </c>
      <c r="T974" t="str">
        <f t="shared" si="406"/>
        <v>5</v>
      </c>
      <c r="U974" t="str">
        <f t="shared" si="403"/>
        <v>N/A</v>
      </c>
      <c r="V974" t="str">
        <f>"3.3000"</f>
        <v>3.3000</v>
      </c>
    </row>
    <row r="975" spans="1:22" x14ac:dyDescent="0.25">
      <c r="A975" s="1" t="str">
        <f t="shared" si="393"/>
        <v>2256-</v>
      </c>
      <c r="B975" s="1" t="str">
        <f t="shared" si="404"/>
        <v>2256-</v>
      </c>
      <c r="C975" s="1" t="s">
        <v>8897</v>
      </c>
      <c r="D975" s="1" t="s">
        <v>91</v>
      </c>
      <c r="E975" s="1" t="s">
        <v>37</v>
      </c>
      <c r="F975" s="1" t="s">
        <v>22</v>
      </c>
      <c r="G975" s="1" t="e">
        <f>VLOOKUP(C975,'Master truck list'!E:R,14,0)</f>
        <v>#N/A</v>
      </c>
      <c r="H975" t="str">
        <f>"12/19/2019 7:00:35 AM"</f>
        <v>12/19/2019 7:00:35 AM</v>
      </c>
      <c r="I975" t="str">
        <f>""</f>
        <v/>
      </c>
      <c r="J975" t="str">
        <f t="shared" si="399"/>
        <v>Elite</v>
      </c>
      <c r="K975" t="str">
        <f t="shared" ref="K975:K1038" si="407">"Device"</f>
        <v>Device</v>
      </c>
      <c r="L975" t="str">
        <f>"777251628"</f>
        <v>777251628</v>
      </c>
      <c r="M975" t="str">
        <f>"16719510"</f>
        <v>16719510</v>
      </c>
      <c r="N975" t="str">
        <f>"2256-18A"</f>
        <v>2256-18A</v>
      </c>
      <c r="O975" t="str">
        <f t="shared" si="400"/>
        <v>TEXAS</v>
      </c>
      <c r="P975" t="str">
        <f t="shared" si="401"/>
        <v>N A</v>
      </c>
      <c r="Q975" t="str">
        <f t="shared" si="402"/>
        <v>N/A</v>
      </c>
      <c r="R975" t="str">
        <f>"130 ARPTP 09 308"</f>
        <v>130 ARPTP 09 308</v>
      </c>
      <c r="S975" t="str">
        <f>"12/18/2019 6:30:00 PM"</f>
        <v>12/18/2019 6:30:00 PM</v>
      </c>
      <c r="T975" t="str">
        <f t="shared" si="406"/>
        <v>5</v>
      </c>
      <c r="U975" t="str">
        <f t="shared" si="403"/>
        <v>N/A</v>
      </c>
      <c r="V975" t="str">
        <f>"5.5500"</f>
        <v>5.5500</v>
      </c>
    </row>
    <row r="976" spans="1:22" x14ac:dyDescent="0.25">
      <c r="A976" s="1" t="str">
        <f t="shared" si="393"/>
        <v>2256-</v>
      </c>
      <c r="B976" s="1" t="str">
        <f t="shared" si="404"/>
        <v>2256-</v>
      </c>
      <c r="C976" s="1" t="str">
        <f>VLOOKUP(B976,'Master truck list'!D:E,2,0)</f>
        <v>2256-18AL</v>
      </c>
      <c r="D976" s="1" t="str">
        <f>VLOOKUP(C976,'Master truck list'!E:F,2,0)</f>
        <v>ACTIVE</v>
      </c>
      <c r="E976" s="1" t="str">
        <f>VLOOKUP(C976,'Master truck list'!E:M,9,0)</f>
        <v>CHARGER LOGISTICS USA INC</v>
      </c>
      <c r="F976" s="1" t="str">
        <f>VLOOKUP(C976,'Master truck list'!E:G,3,0)</f>
        <v>Owner Operator</v>
      </c>
      <c r="G976" s="1">
        <f>VLOOKUP(C976,'Master truck list'!E:R,14,0)</f>
        <v>886</v>
      </c>
      <c r="H976" t="str">
        <f>"12/19/2019 7:00:35 AM"</f>
        <v>12/19/2019 7:00:35 AM</v>
      </c>
      <c r="I976" t="str">
        <f>""</f>
        <v/>
      </c>
      <c r="J976" t="str">
        <f t="shared" si="399"/>
        <v>Elite</v>
      </c>
      <c r="K976" t="str">
        <f t="shared" si="407"/>
        <v>Device</v>
      </c>
      <c r="L976" t="str">
        <f>"777251628"</f>
        <v>777251628</v>
      </c>
      <c r="M976" t="str">
        <f>"16719510"</f>
        <v>16719510</v>
      </c>
      <c r="N976" t="str">
        <f>"2256-18A"</f>
        <v>2256-18A</v>
      </c>
      <c r="O976" t="str">
        <f t="shared" si="400"/>
        <v>TEXAS</v>
      </c>
      <c r="P976" t="str">
        <f t="shared" si="401"/>
        <v>N A</v>
      </c>
      <c r="Q976" t="str">
        <f t="shared" si="402"/>
        <v>N/A</v>
      </c>
      <c r="R976" t="str">
        <f>"130 CMRNP 13 306"</f>
        <v>130 CMRNP 13 306</v>
      </c>
      <c r="S976" t="str">
        <f>"12/18/2019 6:46:56 PM"</f>
        <v>12/18/2019 6:46:56 PM</v>
      </c>
      <c r="T976" t="str">
        <f t="shared" si="406"/>
        <v>5</v>
      </c>
      <c r="U976" t="str">
        <f t="shared" si="403"/>
        <v>N/A</v>
      </c>
      <c r="V976" t="str">
        <f>"5.5500"</f>
        <v>5.5500</v>
      </c>
    </row>
    <row r="977" spans="1:22" x14ac:dyDescent="0.25">
      <c r="A977" s="1" t="str">
        <f t="shared" si="393"/>
        <v>72290</v>
      </c>
      <c r="B977" s="1" t="str">
        <f t="shared" si="404"/>
        <v>72290</v>
      </c>
      <c r="C977" s="1" t="str">
        <f>VLOOKUP(B977,'Master truck list'!D:E,2,0)</f>
        <v>72290</v>
      </c>
      <c r="D977" s="1" t="str">
        <f>VLOOKUP(C977,'Master truck list'!E:F,2,0)</f>
        <v>ACTIVE</v>
      </c>
      <c r="E977" s="1" t="str">
        <f>VLOOKUP(C977,'Master truck list'!E:M,9,0)</f>
        <v>CHARGER LOGISTICS USA INC</v>
      </c>
      <c r="F977" s="1" t="str">
        <f>VLOOKUP(C977,'Master truck list'!E:G,3,0)</f>
        <v>Owner Operator</v>
      </c>
      <c r="G977" s="1">
        <f>VLOOKUP(C977,'Master truck list'!E:R,14,0)</f>
        <v>1084</v>
      </c>
      <c r="H977" t="str">
        <f>"12/21/2019 7:00:28 AM"</f>
        <v>12/21/2019 7:00:28 AM</v>
      </c>
      <c r="I977" t="str">
        <f>""</f>
        <v/>
      </c>
      <c r="J977" t="str">
        <f t="shared" si="399"/>
        <v>Elite</v>
      </c>
      <c r="K977" t="str">
        <f t="shared" si="407"/>
        <v>Device</v>
      </c>
      <c r="L977" t="str">
        <f>"777237857"</f>
        <v>777237857</v>
      </c>
      <c r="M977" t="str">
        <f>"16670614"</f>
        <v>16670614</v>
      </c>
      <c r="N977" t="str">
        <f>"72290"</f>
        <v>72290</v>
      </c>
      <c r="O977" t="str">
        <f t="shared" si="400"/>
        <v>TEXAS</v>
      </c>
      <c r="P977" t="str">
        <f t="shared" si="401"/>
        <v>N A</v>
      </c>
      <c r="Q977" t="str">
        <f t="shared" si="402"/>
        <v>N/A</v>
      </c>
      <c r="R977" t="str">
        <f>"PGBW MLG11 03 MLG1"</f>
        <v>PGBW MLG11 03 MLG1</v>
      </c>
      <c r="S977" t="str">
        <f>"12/20/2019 2:26:09 PM"</f>
        <v>12/20/2019 2:26:09 PM</v>
      </c>
      <c r="T977" t="str">
        <f>"4"</f>
        <v>4</v>
      </c>
      <c r="U977" t="str">
        <f t="shared" si="403"/>
        <v>N/A</v>
      </c>
      <c r="V977" t="str">
        <f>"3.3000"</f>
        <v>3.3000</v>
      </c>
    </row>
    <row r="978" spans="1:22" x14ac:dyDescent="0.25">
      <c r="A978" s="1" t="str">
        <f t="shared" si="393"/>
        <v>72290</v>
      </c>
      <c r="B978" s="1" t="str">
        <f t="shared" si="404"/>
        <v>72290</v>
      </c>
      <c r="C978" s="1" t="str">
        <f>VLOOKUP(B978,'Master truck list'!D:E,2,0)</f>
        <v>72290</v>
      </c>
      <c r="D978" s="1" t="str">
        <f>VLOOKUP(C978,'Master truck list'!E:F,2,0)</f>
        <v>ACTIVE</v>
      </c>
      <c r="E978" s="1" t="str">
        <f>VLOOKUP(C978,'Master truck list'!E:M,9,0)</f>
        <v>CHARGER LOGISTICS USA INC</v>
      </c>
      <c r="F978" s="1" t="str">
        <f>VLOOKUP(C978,'Master truck list'!E:G,3,0)</f>
        <v>Owner Operator</v>
      </c>
      <c r="G978" s="1">
        <f>VLOOKUP(C978,'Master truck list'!E:R,14,0)</f>
        <v>1084</v>
      </c>
      <c r="H978" t="str">
        <f>"12/21/2019 7:00:28 AM"</f>
        <v>12/21/2019 7:00:28 AM</v>
      </c>
      <c r="I978" t="str">
        <f>""</f>
        <v/>
      </c>
      <c r="J978" t="str">
        <f t="shared" si="399"/>
        <v>Elite</v>
      </c>
      <c r="K978" t="str">
        <f t="shared" si="407"/>
        <v>Device</v>
      </c>
      <c r="L978" t="str">
        <f>"777237857"</f>
        <v>777237857</v>
      </c>
      <c r="M978" t="str">
        <f>"16670614"</f>
        <v>16670614</v>
      </c>
      <c r="N978" t="str">
        <f>"72290"</f>
        <v>72290</v>
      </c>
      <c r="O978" t="str">
        <f t="shared" si="400"/>
        <v>TEXAS</v>
      </c>
      <c r="P978" t="str">
        <f t="shared" si="401"/>
        <v>N A</v>
      </c>
      <c r="Q978" t="str">
        <f t="shared" si="402"/>
        <v>N/A</v>
      </c>
      <c r="R978" t="str">
        <f>"PGBW MLG12 02 MLG1"</f>
        <v>PGBW MLG12 02 MLG1</v>
      </c>
      <c r="S978" t="str">
        <f>"12/20/2019 2:31:09 PM"</f>
        <v>12/20/2019 2:31:09 PM</v>
      </c>
      <c r="T978" t="str">
        <f>"3"</f>
        <v>3</v>
      </c>
      <c r="U978" t="str">
        <f t="shared" si="403"/>
        <v>N/A</v>
      </c>
      <c r="V978" t="str">
        <f>"2.3200"</f>
        <v>2.3200</v>
      </c>
    </row>
    <row r="979" spans="1:22" x14ac:dyDescent="0.25">
      <c r="A979" s="1" t="str">
        <f t="shared" si="393"/>
        <v>72462</v>
      </c>
      <c r="B979" s="1" t="str">
        <f t="shared" si="404"/>
        <v>72462</v>
      </c>
      <c r="C979" s="1" t="s">
        <v>8894</v>
      </c>
      <c r="D979" s="1" t="s">
        <v>91</v>
      </c>
      <c r="E979" s="1" t="s">
        <v>1738</v>
      </c>
      <c r="F979" s="1" t="s">
        <v>22</v>
      </c>
      <c r="G979" s="1" t="e">
        <f>VLOOKUP(C979,'Master truck list'!E:R,14,0)</f>
        <v>#N/A</v>
      </c>
      <c r="H979" t="str">
        <f>"12/21/2019 7:00:28 AM"</f>
        <v>12/21/2019 7:00:28 AM</v>
      </c>
      <c r="I979" t="str">
        <f>""</f>
        <v/>
      </c>
      <c r="J979" t="str">
        <f t="shared" si="399"/>
        <v>Elite</v>
      </c>
      <c r="K979" t="str">
        <f t="shared" si="407"/>
        <v>Device</v>
      </c>
      <c r="L979" t="str">
        <f t="shared" ref="L979:L990" si="408">"777251629"</f>
        <v>777251629</v>
      </c>
      <c r="M979" t="str">
        <f t="shared" ref="M979:M990" si="409">"16719511"</f>
        <v>16719511</v>
      </c>
      <c r="N979" t="str">
        <f t="shared" ref="N979:N990" si="410">"72462"</f>
        <v>72462</v>
      </c>
      <c r="O979" t="str">
        <f t="shared" si="400"/>
        <v>TEXAS</v>
      </c>
      <c r="P979" t="str">
        <f t="shared" si="401"/>
        <v>N A</v>
      </c>
      <c r="Q979" t="str">
        <f t="shared" si="402"/>
        <v>N/A</v>
      </c>
      <c r="R979" t="str">
        <f>"130 ARPTP 05 308"</f>
        <v>130 ARPTP 05 308</v>
      </c>
      <c r="S979" t="str">
        <f>"12/20/2019 9:51:33 AM"</f>
        <v>12/20/2019 9:51:33 AM</v>
      </c>
      <c r="T979" t="str">
        <f>"5"</f>
        <v>5</v>
      </c>
      <c r="U979" t="str">
        <f t="shared" si="403"/>
        <v>N/A</v>
      </c>
      <c r="V979" t="str">
        <f>"5.5500"</f>
        <v>5.5500</v>
      </c>
    </row>
    <row r="980" spans="1:22" x14ac:dyDescent="0.25">
      <c r="A980" s="1" t="str">
        <f t="shared" si="393"/>
        <v>72462</v>
      </c>
      <c r="B980" s="1" t="str">
        <f t="shared" si="404"/>
        <v>72462</v>
      </c>
      <c r="C980" s="1" t="s">
        <v>8898</v>
      </c>
      <c r="D980" s="1" t="s">
        <v>8899</v>
      </c>
      <c r="E980" s="1" t="s">
        <v>154</v>
      </c>
      <c r="F980" s="1" t="s">
        <v>22</v>
      </c>
      <c r="G980" s="1" t="e">
        <f>VLOOKUP(C980,'Master truck list'!E:R,14,0)</f>
        <v>#N/A</v>
      </c>
      <c r="H980" t="str">
        <f>"12/17/2019 7:00:33 AM"</f>
        <v>12/17/2019 7:00:33 AM</v>
      </c>
      <c r="I980" t="str">
        <f>""</f>
        <v/>
      </c>
      <c r="J980" t="str">
        <f t="shared" si="399"/>
        <v>Elite</v>
      </c>
      <c r="K980" t="str">
        <f t="shared" si="407"/>
        <v>Device</v>
      </c>
      <c r="L980" t="str">
        <f t="shared" si="408"/>
        <v>777251629</v>
      </c>
      <c r="M980" t="str">
        <f t="shared" si="409"/>
        <v>16719511</v>
      </c>
      <c r="N980" t="str">
        <f t="shared" si="410"/>
        <v>72462</v>
      </c>
      <c r="O980" t="str">
        <f t="shared" si="400"/>
        <v>TEXAS</v>
      </c>
      <c r="P980" t="str">
        <f t="shared" si="401"/>
        <v>N A</v>
      </c>
      <c r="Q980" t="str">
        <f t="shared" si="402"/>
        <v>N/A</v>
      </c>
      <c r="R980" t="str">
        <f>"130 DKCRP 11 307"</f>
        <v>130 DKCRP 11 307</v>
      </c>
      <c r="S980" t="str">
        <f>"12/16/2019 6:51:20 AM"</f>
        <v>12/16/2019 6:51:20 AM</v>
      </c>
      <c r="T980" t="str">
        <f>"5"</f>
        <v>5</v>
      </c>
      <c r="U980" t="str">
        <f t="shared" si="403"/>
        <v>N/A</v>
      </c>
      <c r="V980" t="str">
        <f>"5.5500"</f>
        <v>5.5500</v>
      </c>
    </row>
    <row r="981" spans="1:22" x14ac:dyDescent="0.25">
      <c r="A981" s="1" t="str">
        <f t="shared" si="393"/>
        <v>72462</v>
      </c>
      <c r="B981" s="1" t="str">
        <f t="shared" si="404"/>
        <v>72462</v>
      </c>
      <c r="C981" s="1" t="s">
        <v>8903</v>
      </c>
      <c r="D981" s="1" t="s">
        <v>91</v>
      </c>
      <c r="E981" s="1" t="s">
        <v>154</v>
      </c>
      <c r="F981" s="1" t="s">
        <v>8892</v>
      </c>
      <c r="G981" s="1" t="e">
        <f>VLOOKUP(C981,'Master truck list'!E:R,14,0)</f>
        <v>#N/A</v>
      </c>
      <c r="H981" t="str">
        <f>"12/18/2019 7:00:28 AM"</f>
        <v>12/18/2019 7:00:28 AM</v>
      </c>
      <c r="I981" t="str">
        <f>""</f>
        <v/>
      </c>
      <c r="J981" t="str">
        <f t="shared" si="399"/>
        <v>Elite</v>
      </c>
      <c r="K981" t="str">
        <f t="shared" si="407"/>
        <v>Device</v>
      </c>
      <c r="L981" t="str">
        <f t="shared" si="408"/>
        <v>777251629</v>
      </c>
      <c r="M981" t="str">
        <f t="shared" si="409"/>
        <v>16719511</v>
      </c>
      <c r="N981" t="str">
        <f t="shared" si="410"/>
        <v>72462</v>
      </c>
      <c r="O981" t="str">
        <f t="shared" si="400"/>
        <v>TEXAS</v>
      </c>
      <c r="P981" t="str">
        <f t="shared" si="401"/>
        <v>N A</v>
      </c>
      <c r="Q981" t="str">
        <f t="shared" si="402"/>
        <v>N/A</v>
      </c>
      <c r="R981" t="str">
        <f>"I35W NSIDEDR 34 NSID"</f>
        <v>I35W NSIDEDR 34 NSID</v>
      </c>
      <c r="S981" t="str">
        <f>"12/16/2019 11:14:24 AM"</f>
        <v>12/16/2019 11:14:24 AM</v>
      </c>
      <c r="T981" t="str">
        <f>"2"</f>
        <v>2</v>
      </c>
      <c r="U981" t="str">
        <f t="shared" si="403"/>
        <v>N/A</v>
      </c>
      <c r="V981" t="str">
        <f>"6.2000"</f>
        <v>6.2000</v>
      </c>
    </row>
    <row r="982" spans="1:22" x14ac:dyDescent="0.25">
      <c r="A982" s="1" t="str">
        <f t="shared" si="393"/>
        <v>72462</v>
      </c>
      <c r="B982" s="1" t="str">
        <f t="shared" si="404"/>
        <v>72462</v>
      </c>
      <c r="C982" s="1" t="str">
        <f>VLOOKUP(B982,'Master truck list'!D:E,2,0)</f>
        <v>72462L</v>
      </c>
      <c r="D982" s="1" t="str">
        <f>VLOOKUP(C982,'Master truck list'!E:F,2,0)</f>
        <v>ACTIVE</v>
      </c>
      <c r="E982" s="1" t="str">
        <f>VLOOKUP(C982,'Master truck list'!E:M,9,0)</f>
        <v>CHARGER LOGISTICS USA INC</v>
      </c>
      <c r="F982" s="1" t="str">
        <f>VLOOKUP(C982,'Master truck list'!E:G,3,0)</f>
        <v>Owner Operator</v>
      </c>
      <c r="G982" s="1">
        <f>VLOOKUP(C982,'Master truck list'!E:R,14,0)</f>
        <v>1929</v>
      </c>
      <c r="H982" t="str">
        <f>"12/18/2019 7:00:28 AM"</f>
        <v>12/18/2019 7:00:28 AM</v>
      </c>
      <c r="I982" t="str">
        <f>""</f>
        <v/>
      </c>
      <c r="J982" t="str">
        <f t="shared" si="399"/>
        <v>Elite</v>
      </c>
      <c r="K982" t="str">
        <f t="shared" si="407"/>
        <v>Device</v>
      </c>
      <c r="L982" t="str">
        <f t="shared" si="408"/>
        <v>777251629</v>
      </c>
      <c r="M982" t="str">
        <f t="shared" si="409"/>
        <v>16719511</v>
      </c>
      <c r="N982" t="str">
        <f t="shared" si="410"/>
        <v>72462</v>
      </c>
      <c r="O982" t="str">
        <f t="shared" si="400"/>
        <v>TEXAS</v>
      </c>
      <c r="P982" t="str">
        <f t="shared" si="401"/>
        <v>N A</v>
      </c>
      <c r="Q982" t="str">
        <f t="shared" si="402"/>
        <v>N/A</v>
      </c>
      <c r="R982" t="str">
        <f>"I35WN 820 24 820"</f>
        <v>I35WN 820 24 820</v>
      </c>
      <c r="S982" t="str">
        <f>"12/16/2019 11:18:24 AM"</f>
        <v>12/16/2019 11:18:24 AM</v>
      </c>
      <c r="T982" t="str">
        <f>"2"</f>
        <v>2</v>
      </c>
      <c r="U982" t="str">
        <f t="shared" si="403"/>
        <v>N/A</v>
      </c>
      <c r="V982" t="str">
        <f>"8.0000"</f>
        <v>8.0000</v>
      </c>
    </row>
    <row r="983" spans="1:22" x14ac:dyDescent="0.25">
      <c r="A983" s="1" t="str">
        <f t="shared" si="393"/>
        <v>72462</v>
      </c>
      <c r="B983" s="1" t="str">
        <f t="shared" si="404"/>
        <v>72462</v>
      </c>
      <c r="C983" s="1" t="s">
        <v>8893</v>
      </c>
      <c r="D983" s="1" t="s">
        <v>91</v>
      </c>
      <c r="E983" s="1" t="s">
        <v>1738</v>
      </c>
      <c r="F983" s="1" t="s">
        <v>22</v>
      </c>
      <c r="G983" s="1" t="e">
        <f>VLOOKUP(C983,'Master truck list'!E:R,14,0)</f>
        <v>#N/A</v>
      </c>
      <c r="H983" t="str">
        <f>"12/17/2019 7:00:33 AM"</f>
        <v>12/17/2019 7:00:33 AM</v>
      </c>
      <c r="I983" t="str">
        <f>""</f>
        <v/>
      </c>
      <c r="J983" t="str">
        <f t="shared" si="399"/>
        <v>Elite</v>
      </c>
      <c r="K983" t="str">
        <f t="shared" si="407"/>
        <v>Device</v>
      </c>
      <c r="L983" t="str">
        <f t="shared" si="408"/>
        <v>777251629</v>
      </c>
      <c r="M983" t="str">
        <f t="shared" si="409"/>
        <v>16719511</v>
      </c>
      <c r="N983" t="str">
        <f t="shared" si="410"/>
        <v>72462</v>
      </c>
      <c r="O983" t="str">
        <f t="shared" si="400"/>
        <v>TEXAS</v>
      </c>
      <c r="P983" t="str">
        <f t="shared" si="401"/>
        <v>N A</v>
      </c>
      <c r="Q983" t="str">
        <f t="shared" si="402"/>
        <v>N/A</v>
      </c>
      <c r="R983" t="str">
        <f>"130 ARPTP 08 308"</f>
        <v>130 ARPTP 08 308</v>
      </c>
      <c r="S983" t="str">
        <f>"12/16/2019 6:44:35 AM"</f>
        <v>12/16/2019 6:44:35 AM</v>
      </c>
      <c r="T983" t="str">
        <f t="shared" ref="T983:T1009" si="411">"5"</f>
        <v>5</v>
      </c>
      <c r="U983" t="str">
        <f t="shared" si="403"/>
        <v>N/A</v>
      </c>
      <c r="V983" t="str">
        <f>"5.5500"</f>
        <v>5.5500</v>
      </c>
    </row>
    <row r="984" spans="1:22" x14ac:dyDescent="0.25">
      <c r="A984" s="1" t="str">
        <f t="shared" si="393"/>
        <v>72462</v>
      </c>
      <c r="B984" s="1" t="str">
        <f t="shared" si="404"/>
        <v>72462</v>
      </c>
      <c r="C984" s="1" t="str">
        <f>VLOOKUP(B984,'Master truck list'!D:E,2,0)</f>
        <v>72462L</v>
      </c>
      <c r="D984" s="1" t="str">
        <f>VLOOKUP(C984,'Master truck list'!E:F,2,0)</f>
        <v>ACTIVE</v>
      </c>
      <c r="E984" s="1" t="str">
        <f>VLOOKUP(C984,'Master truck list'!E:M,9,0)</f>
        <v>CHARGER LOGISTICS USA INC</v>
      </c>
      <c r="F984" s="1" t="str">
        <f>VLOOKUP(C984,'Master truck list'!E:G,3,0)</f>
        <v>Owner Operator</v>
      </c>
      <c r="G984" s="1">
        <f>VLOOKUP(C984,'Master truck list'!E:R,14,0)</f>
        <v>1929</v>
      </c>
      <c r="H984" t="str">
        <f>"12/17/2019 7:00:33 AM"</f>
        <v>12/17/2019 7:00:33 AM</v>
      </c>
      <c r="I984" t="str">
        <f>""</f>
        <v/>
      </c>
      <c r="J984" t="str">
        <f t="shared" si="399"/>
        <v>Elite</v>
      </c>
      <c r="K984" t="str">
        <f t="shared" si="407"/>
        <v>Device</v>
      </c>
      <c r="L984" t="str">
        <f t="shared" si="408"/>
        <v>777251629</v>
      </c>
      <c r="M984" t="str">
        <f t="shared" si="409"/>
        <v>16719511</v>
      </c>
      <c r="N984" t="str">
        <f t="shared" si="410"/>
        <v>72462</v>
      </c>
      <c r="O984" t="str">
        <f t="shared" si="400"/>
        <v>TEXAS</v>
      </c>
      <c r="P984" t="str">
        <f t="shared" si="401"/>
        <v>N A</v>
      </c>
      <c r="Q984" t="str">
        <f t="shared" si="402"/>
        <v>N/A</v>
      </c>
      <c r="R984" t="str">
        <f>"45SE MLPEB 02 611"</f>
        <v>45SE MLPEB 02 611</v>
      </c>
      <c r="S984" t="str">
        <f>"12/16/2019 6:34:21 AM"</f>
        <v>12/16/2019 6:34:21 AM</v>
      </c>
      <c r="T984" t="str">
        <f t="shared" si="411"/>
        <v>5</v>
      </c>
      <c r="U984" t="str">
        <f t="shared" si="403"/>
        <v>N/A</v>
      </c>
      <c r="V984" t="str">
        <f>"3.3000"</f>
        <v>3.3000</v>
      </c>
    </row>
    <row r="985" spans="1:22" x14ac:dyDescent="0.25">
      <c r="A985" s="1" t="str">
        <f t="shared" si="393"/>
        <v>72462</v>
      </c>
      <c r="B985" s="1" t="str">
        <f t="shared" si="404"/>
        <v>72462</v>
      </c>
      <c r="C985" s="1" t="s">
        <v>8886</v>
      </c>
      <c r="D985" s="1" t="s">
        <v>91</v>
      </c>
      <c r="E985" s="1" t="s">
        <v>1738</v>
      </c>
      <c r="F985" s="1" t="s">
        <v>22</v>
      </c>
      <c r="G985" s="1" t="e">
        <f>VLOOKUP(C985,'Master truck list'!E:R,14,0)</f>
        <v>#N/A</v>
      </c>
      <c r="H985" t="str">
        <f>"12/17/2019 7:00:33 AM"</f>
        <v>12/17/2019 7:00:33 AM</v>
      </c>
      <c r="I985" t="str">
        <f>""</f>
        <v/>
      </c>
      <c r="J985" t="str">
        <f t="shared" si="399"/>
        <v>Elite</v>
      </c>
      <c r="K985" t="str">
        <f t="shared" si="407"/>
        <v>Device</v>
      </c>
      <c r="L985" t="str">
        <f t="shared" si="408"/>
        <v>777251629</v>
      </c>
      <c r="M985" t="str">
        <f t="shared" si="409"/>
        <v>16719511</v>
      </c>
      <c r="N985" t="str">
        <f t="shared" si="410"/>
        <v>72462</v>
      </c>
      <c r="O985" t="str">
        <f t="shared" si="400"/>
        <v>TEXAS</v>
      </c>
      <c r="P985" t="str">
        <f t="shared" si="401"/>
        <v>N A</v>
      </c>
      <c r="Q985" t="str">
        <f t="shared" si="402"/>
        <v>N/A</v>
      </c>
      <c r="R985" t="str">
        <f>"130 MGCRP 10 305"</f>
        <v>130 MGCRP 10 305</v>
      </c>
      <c r="S985" t="str">
        <f>"12/16/2019 7:11:59 AM"</f>
        <v>12/16/2019 7:11:59 AM</v>
      </c>
      <c r="T985" t="str">
        <f t="shared" si="411"/>
        <v>5</v>
      </c>
      <c r="U985" t="str">
        <f t="shared" si="403"/>
        <v>N/A</v>
      </c>
      <c r="V985" t="str">
        <f>"5.5500"</f>
        <v>5.5500</v>
      </c>
    </row>
    <row r="986" spans="1:22" x14ac:dyDescent="0.25">
      <c r="A986" s="1" t="str">
        <f t="shared" si="393"/>
        <v>72462</v>
      </c>
      <c r="B986" s="1" t="str">
        <f t="shared" si="404"/>
        <v>72462</v>
      </c>
      <c r="C986" s="1" t="s">
        <v>8901</v>
      </c>
      <c r="D986" s="1" t="s">
        <v>91</v>
      </c>
      <c r="E986" s="1" t="s">
        <v>1738</v>
      </c>
      <c r="F986" s="1" t="s">
        <v>22</v>
      </c>
      <c r="G986" s="1" t="e">
        <f>VLOOKUP(C986,'Master truck list'!E:R,14,0)</f>
        <v>#N/A</v>
      </c>
      <c r="H986" t="str">
        <f>"12/17/2019 7:00:33 AM"</f>
        <v>12/17/2019 7:00:33 AM</v>
      </c>
      <c r="I986" t="str">
        <f>""</f>
        <v/>
      </c>
      <c r="J986" t="str">
        <f t="shared" si="399"/>
        <v>Elite</v>
      </c>
      <c r="K986" t="str">
        <f t="shared" si="407"/>
        <v>Device</v>
      </c>
      <c r="L986" t="str">
        <f t="shared" si="408"/>
        <v>777251629</v>
      </c>
      <c r="M986" t="str">
        <f t="shared" si="409"/>
        <v>16719511</v>
      </c>
      <c r="N986" t="str">
        <f t="shared" si="410"/>
        <v>72462</v>
      </c>
      <c r="O986" t="str">
        <f t="shared" si="400"/>
        <v>TEXAS</v>
      </c>
      <c r="P986" t="str">
        <f t="shared" si="401"/>
        <v>N A</v>
      </c>
      <c r="Q986" t="str">
        <f t="shared" si="402"/>
        <v>N/A</v>
      </c>
      <c r="R986" t="str">
        <f>"130 CMRNP 13 306"</f>
        <v>130 CMRNP 13 306</v>
      </c>
      <c r="S986" t="str">
        <f>"12/16/2019 7:01:19 AM"</f>
        <v>12/16/2019 7:01:19 AM</v>
      </c>
      <c r="T986" t="str">
        <f t="shared" si="411"/>
        <v>5</v>
      </c>
      <c r="U986" t="str">
        <f t="shared" si="403"/>
        <v>N/A</v>
      </c>
      <c r="V986" t="str">
        <f>"5.5500"</f>
        <v>5.5500</v>
      </c>
    </row>
    <row r="987" spans="1:22" x14ac:dyDescent="0.25">
      <c r="A987" s="1" t="str">
        <f t="shared" si="393"/>
        <v>72462</v>
      </c>
      <c r="B987" s="1" t="str">
        <f t="shared" si="404"/>
        <v>72462</v>
      </c>
      <c r="C987" s="1" t="str">
        <f>VLOOKUP(B987,'Master truck list'!D:E,2,0)</f>
        <v>72462L</v>
      </c>
      <c r="D987" s="1" t="str">
        <f>VLOOKUP(C987,'Master truck list'!E:F,2,0)</f>
        <v>ACTIVE</v>
      </c>
      <c r="E987" s="1" t="str">
        <f>VLOOKUP(C987,'Master truck list'!E:M,9,0)</f>
        <v>CHARGER LOGISTICS USA INC</v>
      </c>
      <c r="F987" s="1" t="str">
        <f>VLOOKUP(C987,'Master truck list'!E:G,3,0)</f>
        <v>Owner Operator</v>
      </c>
      <c r="G987" s="1">
        <f>VLOOKUP(C987,'Master truck list'!E:R,14,0)</f>
        <v>1929</v>
      </c>
      <c r="H987" t="str">
        <f>"12/21/2019 7:00:28 AM"</f>
        <v>12/21/2019 7:00:28 AM</v>
      </c>
      <c r="I987" t="str">
        <f>""</f>
        <v/>
      </c>
      <c r="J987" t="str">
        <f t="shared" si="399"/>
        <v>Elite</v>
      </c>
      <c r="K987" t="str">
        <f t="shared" si="407"/>
        <v>Device</v>
      </c>
      <c r="L987" t="str">
        <f t="shared" si="408"/>
        <v>777251629</v>
      </c>
      <c r="M987" t="str">
        <f t="shared" si="409"/>
        <v>16719511</v>
      </c>
      <c r="N987" t="str">
        <f t="shared" si="410"/>
        <v>72462</v>
      </c>
      <c r="O987" t="str">
        <f t="shared" si="400"/>
        <v>TEXAS</v>
      </c>
      <c r="P987" t="str">
        <f t="shared" si="401"/>
        <v>N A</v>
      </c>
      <c r="Q987" t="str">
        <f t="shared" si="402"/>
        <v>N/A</v>
      </c>
      <c r="R987" t="str">
        <f>"130 DKCRP 07 307"</f>
        <v>130 DKCRP 07 307</v>
      </c>
      <c r="S987" t="str">
        <f>"12/20/2019 9:44:55 AM"</f>
        <v>12/20/2019 9:44:55 AM</v>
      </c>
      <c r="T987" t="str">
        <f t="shared" si="411"/>
        <v>5</v>
      </c>
      <c r="U987" t="str">
        <f t="shared" si="403"/>
        <v>N/A</v>
      </c>
      <c r="V987" t="str">
        <f>"5.5500"</f>
        <v>5.5500</v>
      </c>
    </row>
    <row r="988" spans="1:22" x14ac:dyDescent="0.25">
      <c r="A988" s="1" t="str">
        <f t="shared" si="393"/>
        <v>72462</v>
      </c>
      <c r="B988" s="1" t="str">
        <f t="shared" si="404"/>
        <v>72462</v>
      </c>
      <c r="C988" s="1" t="s">
        <v>8897</v>
      </c>
      <c r="D988" s="1" t="s">
        <v>91</v>
      </c>
      <c r="E988" s="1" t="s">
        <v>37</v>
      </c>
      <c r="F988" s="1" t="s">
        <v>22</v>
      </c>
      <c r="G988" s="1" t="e">
        <f>VLOOKUP(C988,'Master truck list'!E:R,14,0)</f>
        <v>#N/A</v>
      </c>
      <c r="H988" t="str">
        <f>"12/21/2019 7:00:28 AM"</f>
        <v>12/21/2019 7:00:28 AM</v>
      </c>
      <c r="I988" t="str">
        <f>""</f>
        <v/>
      </c>
      <c r="J988" t="str">
        <f t="shared" si="399"/>
        <v>Elite</v>
      </c>
      <c r="K988" t="str">
        <f t="shared" si="407"/>
        <v>Device</v>
      </c>
      <c r="L988" t="str">
        <f t="shared" si="408"/>
        <v>777251629</v>
      </c>
      <c r="M988" t="str">
        <f t="shared" si="409"/>
        <v>16719511</v>
      </c>
      <c r="N988" t="str">
        <f t="shared" si="410"/>
        <v>72462</v>
      </c>
      <c r="O988" t="str">
        <f t="shared" si="400"/>
        <v>TEXAS</v>
      </c>
      <c r="P988" t="str">
        <f t="shared" si="401"/>
        <v>N A</v>
      </c>
      <c r="Q988" t="str">
        <f t="shared" si="402"/>
        <v>N/A</v>
      </c>
      <c r="R988" t="str">
        <f>"130 CMRNP 08 306"</f>
        <v>130 CMRNP 08 306</v>
      </c>
      <c r="S988" t="str">
        <f>"12/20/2019 9:35:22 AM"</f>
        <v>12/20/2019 9:35:22 AM</v>
      </c>
      <c r="T988" t="str">
        <f t="shared" si="411"/>
        <v>5</v>
      </c>
      <c r="U988" t="str">
        <f t="shared" si="403"/>
        <v>N/A</v>
      </c>
      <c r="V988" t="str">
        <f>"5.5500"</f>
        <v>5.5500</v>
      </c>
    </row>
    <row r="989" spans="1:22" x14ac:dyDescent="0.25">
      <c r="A989" s="1" t="str">
        <f t="shared" si="393"/>
        <v>72462</v>
      </c>
      <c r="B989" s="1" t="str">
        <f t="shared" si="404"/>
        <v>72462</v>
      </c>
      <c r="C989" s="1" t="s">
        <v>8904</v>
      </c>
      <c r="D989" s="1" t="s">
        <v>91</v>
      </c>
      <c r="E989" s="1" t="s">
        <v>37</v>
      </c>
      <c r="F989" s="1" t="s">
        <v>22</v>
      </c>
      <c r="G989" s="1" t="e">
        <f>VLOOKUP(C989,'Master truck list'!E:R,14,0)</f>
        <v>#N/A</v>
      </c>
      <c r="H989" t="str">
        <f>"12/21/2019 7:00:28 AM"</f>
        <v>12/21/2019 7:00:28 AM</v>
      </c>
      <c r="I989" t="str">
        <f>""</f>
        <v/>
      </c>
      <c r="J989" t="str">
        <f t="shared" si="399"/>
        <v>Elite</v>
      </c>
      <c r="K989" t="str">
        <f t="shared" si="407"/>
        <v>Device</v>
      </c>
      <c r="L989" t="str">
        <f t="shared" si="408"/>
        <v>777251629</v>
      </c>
      <c r="M989" t="str">
        <f t="shared" si="409"/>
        <v>16719511</v>
      </c>
      <c r="N989" t="str">
        <f t="shared" si="410"/>
        <v>72462</v>
      </c>
      <c r="O989" t="str">
        <f t="shared" si="400"/>
        <v>TEXAS</v>
      </c>
      <c r="P989" t="str">
        <f t="shared" si="401"/>
        <v>N A</v>
      </c>
      <c r="Q989" t="str">
        <f t="shared" si="402"/>
        <v>N/A</v>
      </c>
      <c r="R989" t="str">
        <f>"45SE MLPWB 02 611"</f>
        <v>45SE MLPWB 02 611</v>
      </c>
      <c r="S989" t="str">
        <f>"12/20/2019 10:01:47 AM"</f>
        <v>12/20/2019 10:01:47 AM</v>
      </c>
      <c r="T989" t="str">
        <f t="shared" si="411"/>
        <v>5</v>
      </c>
      <c r="U989" t="str">
        <f t="shared" si="403"/>
        <v>N/A</v>
      </c>
      <c r="V989" t="str">
        <f>"3.3000"</f>
        <v>3.3000</v>
      </c>
    </row>
    <row r="990" spans="1:22" x14ac:dyDescent="0.25">
      <c r="A990" s="1" t="str">
        <f t="shared" si="393"/>
        <v>72462</v>
      </c>
      <c r="B990" s="1" t="str">
        <f t="shared" si="404"/>
        <v>72462</v>
      </c>
      <c r="C990" s="1" t="s">
        <v>8902</v>
      </c>
      <c r="D990" s="1" t="s">
        <v>91</v>
      </c>
      <c r="E990" s="1" t="s">
        <v>1738</v>
      </c>
      <c r="F990" s="1" t="s">
        <v>22</v>
      </c>
      <c r="G990" s="1" t="e">
        <f>VLOOKUP(C990,'Master truck list'!E:R,14,0)</f>
        <v>#N/A</v>
      </c>
      <c r="H990" t="str">
        <f>"12/21/2019 7:00:28 AM"</f>
        <v>12/21/2019 7:00:28 AM</v>
      </c>
      <c r="I990" t="str">
        <f>""</f>
        <v/>
      </c>
      <c r="J990" t="str">
        <f t="shared" si="399"/>
        <v>Elite</v>
      </c>
      <c r="K990" t="str">
        <f t="shared" si="407"/>
        <v>Device</v>
      </c>
      <c r="L990" t="str">
        <f t="shared" si="408"/>
        <v>777251629</v>
      </c>
      <c r="M990" t="str">
        <f t="shared" si="409"/>
        <v>16719511</v>
      </c>
      <c r="N990" t="str">
        <f t="shared" si="410"/>
        <v>72462</v>
      </c>
      <c r="O990" t="str">
        <f t="shared" si="400"/>
        <v>TEXAS</v>
      </c>
      <c r="P990" t="str">
        <f t="shared" si="401"/>
        <v>N A</v>
      </c>
      <c r="Q990" t="str">
        <f t="shared" si="402"/>
        <v>N/A</v>
      </c>
      <c r="R990" t="str">
        <f>"130 MGCRP 06 305"</f>
        <v>130 MGCRP 06 305</v>
      </c>
      <c r="S990" t="str">
        <f>"12/20/2019 9:24:52 AM"</f>
        <v>12/20/2019 9:24:52 AM</v>
      </c>
      <c r="T990" t="str">
        <f t="shared" si="411"/>
        <v>5</v>
      </c>
      <c r="U990" t="str">
        <f t="shared" si="403"/>
        <v>N/A</v>
      </c>
      <c r="V990" t="str">
        <f>"5.5500"</f>
        <v>5.5500</v>
      </c>
    </row>
    <row r="991" spans="1:22" x14ac:dyDescent="0.25">
      <c r="A991" s="1" t="str">
        <f t="shared" si="393"/>
        <v>22291</v>
      </c>
      <c r="B991" s="1" t="str">
        <f t="shared" si="404"/>
        <v>22291</v>
      </c>
      <c r="C991" s="1" t="s">
        <v>2491</v>
      </c>
      <c r="D991" s="1" t="s">
        <v>91</v>
      </c>
      <c r="E991" s="1" t="str">
        <f>VLOOKUP(C991,'Master truck list'!E:M,9,0)</f>
        <v>CHARGER LOGISTICS USA INC</v>
      </c>
      <c r="F991" s="1" t="str">
        <f>VLOOKUP(C991,'Master truck list'!E:G,3,0)</f>
        <v>Owner Operator</v>
      </c>
      <c r="G991" s="1">
        <f>VLOOKUP(C991,'Master truck list'!E:R,14,0)</f>
        <v>771</v>
      </c>
      <c r="H991" t="str">
        <f>"12/19/2019 7:00:35 AM"</f>
        <v>12/19/2019 7:00:35 AM</v>
      </c>
      <c r="I991" t="str">
        <f>""</f>
        <v/>
      </c>
      <c r="J991" t="str">
        <f t="shared" si="399"/>
        <v>Elite</v>
      </c>
      <c r="K991" t="str">
        <f t="shared" si="407"/>
        <v>Device</v>
      </c>
      <c r="L991" t="str">
        <f>"777251625"</f>
        <v>777251625</v>
      </c>
      <c r="M991" t="str">
        <f>"16719507"</f>
        <v>16719507</v>
      </c>
      <c r="N991" t="str">
        <f>"222917A"</f>
        <v>222917A</v>
      </c>
      <c r="O991" t="str">
        <f t="shared" si="400"/>
        <v>TEXAS</v>
      </c>
      <c r="P991" t="str">
        <f t="shared" si="401"/>
        <v>N A</v>
      </c>
      <c r="Q991" t="str">
        <f t="shared" si="402"/>
        <v>N/A</v>
      </c>
      <c r="R991" t="str">
        <f>"130 CMRNP 08 306"</f>
        <v>130 CMRNP 08 306</v>
      </c>
      <c r="S991" t="str">
        <f>"12/18/2019 6:02:16 PM"</f>
        <v>12/18/2019 6:02:16 PM</v>
      </c>
      <c r="T991" t="str">
        <f t="shared" si="411"/>
        <v>5</v>
      </c>
      <c r="U991" t="str">
        <f t="shared" si="403"/>
        <v>N/A</v>
      </c>
      <c r="V991" t="str">
        <f>"5.5500"</f>
        <v>5.5500</v>
      </c>
    </row>
    <row r="992" spans="1:22" x14ac:dyDescent="0.25">
      <c r="A992" s="1" t="str">
        <f t="shared" si="393"/>
        <v>22291</v>
      </c>
      <c r="B992" s="1" t="str">
        <f t="shared" si="404"/>
        <v>22291</v>
      </c>
      <c r="C992" s="1" t="s">
        <v>2491</v>
      </c>
      <c r="D992" s="1" t="s">
        <v>91</v>
      </c>
      <c r="E992" s="1" t="str">
        <f>VLOOKUP(C992,'Master truck list'!E:M,9,0)</f>
        <v>CHARGER LOGISTICS USA INC</v>
      </c>
      <c r="F992" s="1" t="str">
        <f>VLOOKUP(C992,'Master truck list'!E:G,3,0)</f>
        <v>Owner Operator</v>
      </c>
      <c r="G992" s="1">
        <f>VLOOKUP(C992,'Master truck list'!E:R,14,0)</f>
        <v>771</v>
      </c>
      <c r="H992" t="str">
        <f>"12/19/2019 7:00:35 AM"</f>
        <v>12/19/2019 7:00:35 AM</v>
      </c>
      <c r="I992" t="str">
        <f>""</f>
        <v/>
      </c>
      <c r="J992" t="str">
        <f t="shared" si="399"/>
        <v>Elite</v>
      </c>
      <c r="K992" t="str">
        <f t="shared" si="407"/>
        <v>Device</v>
      </c>
      <c r="L992" t="str">
        <f>"777251625"</f>
        <v>777251625</v>
      </c>
      <c r="M992" t="str">
        <f>"16719507"</f>
        <v>16719507</v>
      </c>
      <c r="N992" t="str">
        <f>"222917A"</f>
        <v>222917A</v>
      </c>
      <c r="O992" t="str">
        <f t="shared" si="400"/>
        <v>TEXAS</v>
      </c>
      <c r="P992" t="str">
        <f t="shared" si="401"/>
        <v>N A</v>
      </c>
      <c r="Q992" t="str">
        <f t="shared" si="402"/>
        <v>N/A</v>
      </c>
      <c r="R992" t="str">
        <f>"130 ARPTP 04 308"</f>
        <v>130 ARPTP 04 308</v>
      </c>
      <c r="S992" t="str">
        <f>"12/18/2019 6:20:12 PM"</f>
        <v>12/18/2019 6:20:12 PM</v>
      </c>
      <c r="T992" t="str">
        <f t="shared" si="411"/>
        <v>5</v>
      </c>
      <c r="U992" t="str">
        <f t="shared" si="403"/>
        <v>N/A</v>
      </c>
      <c r="V992" t="str">
        <f>"5.5500"</f>
        <v>5.5500</v>
      </c>
    </row>
    <row r="993" spans="1:22" x14ac:dyDescent="0.25">
      <c r="A993" s="1" t="str">
        <f t="shared" si="393"/>
        <v>22291</v>
      </c>
      <c r="B993" s="1" t="str">
        <f t="shared" si="404"/>
        <v>22291</v>
      </c>
      <c r="C993" s="1" t="s">
        <v>2491</v>
      </c>
      <c r="D993" s="1" t="s">
        <v>91</v>
      </c>
      <c r="E993" s="1" t="str">
        <f>VLOOKUP(C993,'Master truck list'!E:M,9,0)</f>
        <v>CHARGER LOGISTICS USA INC</v>
      </c>
      <c r="F993" s="1" t="str">
        <f>VLOOKUP(C993,'Master truck list'!E:G,3,0)</f>
        <v>Owner Operator</v>
      </c>
      <c r="G993" s="1">
        <f>VLOOKUP(C993,'Master truck list'!E:R,14,0)</f>
        <v>771</v>
      </c>
      <c r="H993" t="str">
        <f>"12/19/2019 7:00:35 AM"</f>
        <v>12/19/2019 7:00:35 AM</v>
      </c>
      <c r="I993" t="str">
        <f>""</f>
        <v/>
      </c>
      <c r="J993" t="str">
        <f t="shared" si="399"/>
        <v>Elite</v>
      </c>
      <c r="K993" t="str">
        <f t="shared" si="407"/>
        <v>Device</v>
      </c>
      <c r="L993" t="str">
        <f>"777251625"</f>
        <v>777251625</v>
      </c>
      <c r="M993" t="str">
        <f>"16719507"</f>
        <v>16719507</v>
      </c>
      <c r="N993" t="str">
        <f>"222917A"</f>
        <v>222917A</v>
      </c>
      <c r="O993" t="str">
        <f t="shared" si="400"/>
        <v>TEXAS</v>
      </c>
      <c r="P993" t="str">
        <f t="shared" si="401"/>
        <v>N A</v>
      </c>
      <c r="Q993" t="str">
        <f t="shared" si="402"/>
        <v>N/A</v>
      </c>
      <c r="R993" t="str">
        <f>"45SE MLPWB 01 611"</f>
        <v>45SE MLPWB 01 611</v>
      </c>
      <c r="S993" t="str">
        <f>"12/18/2019 6:30:41 PM"</f>
        <v>12/18/2019 6:30:41 PM</v>
      </c>
      <c r="T993" t="str">
        <f t="shared" si="411"/>
        <v>5</v>
      </c>
      <c r="U993" t="str">
        <f t="shared" si="403"/>
        <v>N/A</v>
      </c>
      <c r="V993" t="str">
        <f>"3.3000"</f>
        <v>3.3000</v>
      </c>
    </row>
    <row r="994" spans="1:22" x14ac:dyDescent="0.25">
      <c r="A994" s="1" t="str">
        <f t="shared" si="393"/>
        <v>22291</v>
      </c>
      <c r="B994" s="1" t="str">
        <f t="shared" si="404"/>
        <v>22291</v>
      </c>
      <c r="C994" s="1" t="s">
        <v>2491</v>
      </c>
      <c r="D994" s="1" t="s">
        <v>91</v>
      </c>
      <c r="E994" s="1" t="str">
        <f>VLOOKUP(C994,'Master truck list'!E:M,9,0)</f>
        <v>CHARGER LOGISTICS USA INC</v>
      </c>
      <c r="F994" s="1" t="str">
        <f>VLOOKUP(C994,'Master truck list'!E:G,3,0)</f>
        <v>Owner Operator</v>
      </c>
      <c r="G994" s="1">
        <f>VLOOKUP(C994,'Master truck list'!E:R,14,0)</f>
        <v>771</v>
      </c>
      <c r="H994" t="str">
        <f>"12/19/2019 7:00:35 AM"</f>
        <v>12/19/2019 7:00:35 AM</v>
      </c>
      <c r="I994" t="str">
        <f>""</f>
        <v/>
      </c>
      <c r="J994" t="str">
        <f t="shared" si="399"/>
        <v>Elite</v>
      </c>
      <c r="K994" t="str">
        <f t="shared" si="407"/>
        <v>Device</v>
      </c>
      <c r="L994" t="str">
        <f>"777251625"</f>
        <v>777251625</v>
      </c>
      <c r="M994" t="str">
        <f>"16719507"</f>
        <v>16719507</v>
      </c>
      <c r="N994" t="str">
        <f>"222917A"</f>
        <v>222917A</v>
      </c>
      <c r="O994" t="str">
        <f t="shared" si="400"/>
        <v>TEXAS</v>
      </c>
      <c r="P994" t="str">
        <f t="shared" si="401"/>
        <v>N A</v>
      </c>
      <c r="Q994" t="str">
        <f t="shared" si="402"/>
        <v>N/A</v>
      </c>
      <c r="R994" t="str">
        <f>"130 DKCRP 06 307"</f>
        <v>130 DKCRP 06 307</v>
      </c>
      <c r="S994" t="str">
        <f>"12/18/2019 6:12:10 PM"</f>
        <v>12/18/2019 6:12:10 PM</v>
      </c>
      <c r="T994" t="str">
        <f t="shared" si="411"/>
        <v>5</v>
      </c>
      <c r="U994" t="str">
        <f t="shared" si="403"/>
        <v>N/A</v>
      </c>
      <c r="V994" t="str">
        <f>"5.5500"</f>
        <v>5.5500</v>
      </c>
    </row>
    <row r="995" spans="1:22" x14ac:dyDescent="0.25">
      <c r="A995" s="1" t="str">
        <f t="shared" si="393"/>
        <v>22291</v>
      </c>
      <c r="B995" s="1" t="str">
        <f t="shared" si="404"/>
        <v>22291</v>
      </c>
      <c r="C995" s="1" t="s">
        <v>2491</v>
      </c>
      <c r="D995" s="1" t="s">
        <v>91</v>
      </c>
      <c r="E995" s="1" t="str">
        <f>VLOOKUP(C995,'Master truck list'!E:M,9,0)</f>
        <v>CHARGER LOGISTICS USA INC</v>
      </c>
      <c r="F995" s="1" t="str">
        <f>VLOOKUP(C995,'Master truck list'!E:G,3,0)</f>
        <v>Owner Operator</v>
      </c>
      <c r="G995" s="1">
        <f>VLOOKUP(C995,'Master truck list'!E:R,14,0)</f>
        <v>771</v>
      </c>
      <c r="H995" t="str">
        <f>"12/19/2019 7:00:35 AM"</f>
        <v>12/19/2019 7:00:35 AM</v>
      </c>
      <c r="I995" t="str">
        <f>""</f>
        <v/>
      </c>
      <c r="J995" t="str">
        <f t="shared" si="399"/>
        <v>Elite</v>
      </c>
      <c r="K995" t="str">
        <f t="shared" si="407"/>
        <v>Device</v>
      </c>
      <c r="L995" t="str">
        <f>"777251625"</f>
        <v>777251625</v>
      </c>
      <c r="M995" t="str">
        <f>"16719507"</f>
        <v>16719507</v>
      </c>
      <c r="N995" t="str">
        <f>"222917A"</f>
        <v>222917A</v>
      </c>
      <c r="O995" t="str">
        <f t="shared" si="400"/>
        <v>TEXAS</v>
      </c>
      <c r="P995" t="str">
        <f t="shared" si="401"/>
        <v>N A</v>
      </c>
      <c r="Q995" t="str">
        <f t="shared" si="402"/>
        <v>N/A</v>
      </c>
      <c r="R995" t="str">
        <f>"45N HWLDP 13 202"</f>
        <v>45N HWLDP 13 202</v>
      </c>
      <c r="S995" t="str">
        <f>"12/18/2019 5:57:32 PM"</f>
        <v>12/18/2019 5:57:32 PM</v>
      </c>
      <c r="T995" t="str">
        <f t="shared" si="411"/>
        <v>5</v>
      </c>
      <c r="U995" t="str">
        <f t="shared" si="403"/>
        <v>N/A</v>
      </c>
      <c r="V995" t="str">
        <f>"4.4800"</f>
        <v>4.4800</v>
      </c>
    </row>
    <row r="996" spans="1:22" x14ac:dyDescent="0.25">
      <c r="A996" s="1" t="str">
        <f t="shared" si="393"/>
        <v>79759</v>
      </c>
      <c r="B996" s="1" t="str">
        <f t="shared" si="404"/>
        <v>79759</v>
      </c>
      <c r="C996" s="1" t="s">
        <v>8901</v>
      </c>
      <c r="D996" s="1" t="s">
        <v>91</v>
      </c>
      <c r="E996" s="1" t="s">
        <v>1738</v>
      </c>
      <c r="F996" s="1" t="s">
        <v>22</v>
      </c>
      <c r="G996" s="1" t="e">
        <f>VLOOKUP(C996,'Master truck list'!E:R,14,0)</f>
        <v>#N/A</v>
      </c>
      <c r="H996" t="str">
        <f>"12/18/2019 7:00:28 AM"</f>
        <v>12/18/2019 7:00:28 AM</v>
      </c>
      <c r="I996" t="str">
        <f>""</f>
        <v/>
      </c>
      <c r="J996" t="str">
        <f t="shared" si="399"/>
        <v>Elite</v>
      </c>
      <c r="K996" t="str">
        <f t="shared" si="407"/>
        <v>Device</v>
      </c>
      <c r="L996" t="str">
        <f>"777237863"</f>
        <v>777237863</v>
      </c>
      <c r="M996" t="str">
        <f>"16670620"</f>
        <v>16670620</v>
      </c>
      <c r="N996" t="str">
        <f>"79759"</f>
        <v>79759</v>
      </c>
      <c r="O996" t="str">
        <f t="shared" si="400"/>
        <v>TEXAS</v>
      </c>
      <c r="P996" t="str">
        <f t="shared" si="401"/>
        <v>N A</v>
      </c>
      <c r="Q996" t="str">
        <f t="shared" si="402"/>
        <v>N/A</v>
      </c>
      <c r="R996" t="str">
        <f>"130 MGCRP 11 305"</f>
        <v>130 MGCRP 11 305</v>
      </c>
      <c r="S996" t="str">
        <f>"12/17/2019 6:29:17 PM"</f>
        <v>12/17/2019 6:29:17 PM</v>
      </c>
      <c r="T996" t="str">
        <f t="shared" si="411"/>
        <v>5</v>
      </c>
      <c r="U996" t="str">
        <f t="shared" si="403"/>
        <v>N/A</v>
      </c>
      <c r="V996" t="str">
        <f>"5.5500"</f>
        <v>5.5500</v>
      </c>
    </row>
    <row r="997" spans="1:22" x14ac:dyDescent="0.25">
      <c r="A997" s="1" t="str">
        <f t="shared" si="393"/>
        <v>79759</v>
      </c>
      <c r="B997" s="1" t="str">
        <f t="shared" si="404"/>
        <v>79759</v>
      </c>
      <c r="C997" s="1" t="s">
        <v>8898</v>
      </c>
      <c r="D997" s="1" t="s">
        <v>8899</v>
      </c>
      <c r="E997" s="1" t="s">
        <v>154</v>
      </c>
      <c r="F997" s="1" t="s">
        <v>22</v>
      </c>
      <c r="G997" s="1" t="e">
        <f>VLOOKUP(C997,'Master truck list'!E:R,14,0)</f>
        <v>#N/A</v>
      </c>
      <c r="H997" t="str">
        <f>"12/18/2019 7:00:28 AM"</f>
        <v>12/18/2019 7:00:28 AM</v>
      </c>
      <c r="I997" t="str">
        <f>""</f>
        <v/>
      </c>
      <c r="J997" t="str">
        <f t="shared" si="399"/>
        <v>Elite</v>
      </c>
      <c r="K997" t="str">
        <f t="shared" si="407"/>
        <v>Device</v>
      </c>
      <c r="L997" t="str">
        <f>"777237863"</f>
        <v>777237863</v>
      </c>
      <c r="M997" t="str">
        <f>"16670620"</f>
        <v>16670620</v>
      </c>
      <c r="N997" t="str">
        <f>"79759"</f>
        <v>79759</v>
      </c>
      <c r="O997" t="str">
        <f t="shared" si="400"/>
        <v>TEXAS</v>
      </c>
      <c r="P997" t="str">
        <f t="shared" si="401"/>
        <v>N A</v>
      </c>
      <c r="Q997" t="str">
        <f t="shared" si="402"/>
        <v>N/A</v>
      </c>
      <c r="R997" t="str">
        <f>"130 ARPTP 09 308"</f>
        <v>130 ARPTP 09 308</v>
      </c>
      <c r="S997" t="str">
        <f>"12/17/2019 5:58:30 PM"</f>
        <v>12/17/2019 5:58:30 PM</v>
      </c>
      <c r="T997" t="str">
        <f t="shared" si="411"/>
        <v>5</v>
      </c>
      <c r="U997" t="str">
        <f t="shared" si="403"/>
        <v>N/A</v>
      </c>
      <c r="V997" t="str">
        <f>"5.5500"</f>
        <v>5.5500</v>
      </c>
    </row>
    <row r="998" spans="1:22" x14ac:dyDescent="0.25">
      <c r="A998" s="1" t="str">
        <f t="shared" si="393"/>
        <v>79759</v>
      </c>
      <c r="B998" s="1" t="str">
        <f t="shared" si="404"/>
        <v>79759</v>
      </c>
      <c r="C998" s="1" t="s">
        <v>8889</v>
      </c>
      <c r="D998" s="1" t="s">
        <v>91</v>
      </c>
      <c r="E998" s="1" t="s">
        <v>1738</v>
      </c>
      <c r="F998" s="1" t="s">
        <v>22</v>
      </c>
      <c r="G998" s="1" t="e">
        <f>VLOOKUP(C998,'Master truck list'!E:R,14,0)</f>
        <v>#N/A</v>
      </c>
      <c r="H998" t="str">
        <f>"12/18/2019 7:00:28 AM"</f>
        <v>12/18/2019 7:00:28 AM</v>
      </c>
      <c r="I998" t="str">
        <f>""</f>
        <v/>
      </c>
      <c r="J998" t="str">
        <f t="shared" si="399"/>
        <v>Elite</v>
      </c>
      <c r="K998" t="str">
        <f t="shared" si="407"/>
        <v>Device</v>
      </c>
      <c r="L998" t="str">
        <f>"777237863"</f>
        <v>777237863</v>
      </c>
      <c r="M998" t="str">
        <f>"16670620"</f>
        <v>16670620</v>
      </c>
      <c r="N998" t="str">
        <f>"79759"</f>
        <v>79759</v>
      </c>
      <c r="O998" t="str">
        <f t="shared" si="400"/>
        <v>TEXAS</v>
      </c>
      <c r="P998" t="str">
        <f t="shared" si="401"/>
        <v>N A</v>
      </c>
      <c r="Q998" t="str">
        <f t="shared" si="402"/>
        <v>N/A</v>
      </c>
      <c r="R998" t="str">
        <f>"130 CMRNP 12 306"</f>
        <v>130 CMRNP 12 306</v>
      </c>
      <c r="S998" t="str">
        <f>"12/17/2019 6:18:16 PM"</f>
        <v>12/17/2019 6:18:16 PM</v>
      </c>
      <c r="T998" t="str">
        <f t="shared" si="411"/>
        <v>5</v>
      </c>
      <c r="U998" t="str">
        <f t="shared" si="403"/>
        <v>N/A</v>
      </c>
      <c r="V998" t="str">
        <f>"5.5500"</f>
        <v>5.5500</v>
      </c>
    </row>
    <row r="999" spans="1:22" x14ac:dyDescent="0.25">
      <c r="A999" s="1" t="str">
        <f t="shared" si="393"/>
        <v>79759</v>
      </c>
      <c r="B999" s="1" t="str">
        <f t="shared" si="404"/>
        <v>79759</v>
      </c>
      <c r="C999" s="1" t="str">
        <f>VLOOKUP(B999,'Master truck list'!D:E,2,0)</f>
        <v>79759</v>
      </c>
      <c r="D999" s="1" t="str">
        <f>VLOOKUP(C999,'Master truck list'!E:F,2,0)</f>
        <v>ACTIVE</v>
      </c>
      <c r="E999" s="1" t="str">
        <f>VLOOKUP(C999,'Master truck list'!E:M,9,0)</f>
        <v>CHARGER LOGISTICS USA INC</v>
      </c>
      <c r="F999" s="1" t="str">
        <f>VLOOKUP(C999,'Master truck list'!E:G,3,0)</f>
        <v>Owner Operator</v>
      </c>
      <c r="G999" s="1">
        <f>VLOOKUP(C999,'Master truck list'!E:R,14,0)</f>
        <v>516</v>
      </c>
      <c r="H999" t="str">
        <f>"12/18/2019 7:00:28 AM"</f>
        <v>12/18/2019 7:00:28 AM</v>
      </c>
      <c r="I999" t="str">
        <f>""</f>
        <v/>
      </c>
      <c r="J999" t="str">
        <f t="shared" si="399"/>
        <v>Elite</v>
      </c>
      <c r="K999" t="str">
        <f t="shared" si="407"/>
        <v>Device</v>
      </c>
      <c r="L999" t="str">
        <f>"777237863"</f>
        <v>777237863</v>
      </c>
      <c r="M999" t="str">
        <f>"16670620"</f>
        <v>16670620</v>
      </c>
      <c r="N999" t="str">
        <f>"79759"</f>
        <v>79759</v>
      </c>
      <c r="O999" t="str">
        <f t="shared" si="400"/>
        <v>TEXAS</v>
      </c>
      <c r="P999" t="str">
        <f t="shared" si="401"/>
        <v>N A</v>
      </c>
      <c r="Q999" t="str">
        <f t="shared" si="402"/>
        <v>N/A</v>
      </c>
      <c r="R999" t="str">
        <f>"45SE MLPEB 02 611"</f>
        <v>45SE MLPEB 02 611</v>
      </c>
      <c r="S999" t="str">
        <f>"12/17/2019 5:47:54 PM"</f>
        <v>12/17/2019 5:47:54 PM</v>
      </c>
      <c r="T999" t="str">
        <f t="shared" si="411"/>
        <v>5</v>
      </c>
      <c r="U999" t="str">
        <f t="shared" si="403"/>
        <v>N/A</v>
      </c>
      <c r="V999" t="str">
        <f>"3.3000"</f>
        <v>3.3000</v>
      </c>
    </row>
    <row r="1000" spans="1:22" x14ac:dyDescent="0.25">
      <c r="A1000" s="1" t="str">
        <f t="shared" si="393"/>
        <v>79759</v>
      </c>
      <c r="B1000" s="1" t="str">
        <f t="shared" si="404"/>
        <v>79759</v>
      </c>
      <c r="C1000" s="1" t="s">
        <v>8893</v>
      </c>
      <c r="D1000" s="1" t="s">
        <v>91</v>
      </c>
      <c r="E1000" s="1" t="s">
        <v>1738</v>
      </c>
      <c r="F1000" s="1" t="s">
        <v>22</v>
      </c>
      <c r="G1000" s="1" t="e">
        <f>VLOOKUP(C1000,'Master truck list'!E:R,14,0)</f>
        <v>#N/A</v>
      </c>
      <c r="H1000" t="str">
        <f>"12/18/2019 7:00:28 AM"</f>
        <v>12/18/2019 7:00:28 AM</v>
      </c>
      <c r="I1000" t="str">
        <f>""</f>
        <v/>
      </c>
      <c r="J1000" t="str">
        <f t="shared" si="399"/>
        <v>Elite</v>
      </c>
      <c r="K1000" t="str">
        <f t="shared" si="407"/>
        <v>Device</v>
      </c>
      <c r="L1000" t="str">
        <f>"777237863"</f>
        <v>777237863</v>
      </c>
      <c r="M1000" t="str">
        <f>"16670620"</f>
        <v>16670620</v>
      </c>
      <c r="N1000" t="str">
        <f>"79759"</f>
        <v>79759</v>
      </c>
      <c r="O1000" t="str">
        <f t="shared" si="400"/>
        <v>TEXAS</v>
      </c>
      <c r="P1000" t="str">
        <f t="shared" si="401"/>
        <v>N A</v>
      </c>
      <c r="Q1000" t="str">
        <f t="shared" si="402"/>
        <v>N/A</v>
      </c>
      <c r="R1000" t="str">
        <f>"130 DKCRP 11 307"</f>
        <v>130 DKCRP 11 307</v>
      </c>
      <c r="S1000" t="str">
        <f>"12/17/2019 6:05:28 PM"</f>
        <v>12/17/2019 6:05:28 PM</v>
      </c>
      <c r="T1000" t="str">
        <f t="shared" si="411"/>
        <v>5</v>
      </c>
      <c r="U1000" t="str">
        <f t="shared" si="403"/>
        <v>N/A</v>
      </c>
      <c r="V1000" t="str">
        <f>"5.5500"</f>
        <v>5.5500</v>
      </c>
    </row>
    <row r="1001" spans="1:22" x14ac:dyDescent="0.25">
      <c r="A1001" s="1" t="str">
        <f t="shared" si="393"/>
        <v>2393-</v>
      </c>
      <c r="B1001" s="1" t="str">
        <f t="shared" si="404"/>
        <v>2393-</v>
      </c>
      <c r="C1001" s="1" t="str">
        <f>VLOOKUP(B1001,'Master truck list'!D:E,2,0)</f>
        <v>2393-19T</v>
      </c>
      <c r="D1001" s="1" t="str">
        <f>VLOOKUP(C1001,'Master truck list'!E:F,2,0)</f>
        <v>ACTIVE</v>
      </c>
      <c r="E1001" s="1" t="str">
        <f>VLOOKUP(C1001,'Master truck list'!E:M,9,0)</f>
        <v>CHARGER LOGISTICS USA INC</v>
      </c>
      <c r="F1001" s="1" t="str">
        <f>VLOOKUP(C1001,'Master truck list'!E:G,3,0)</f>
        <v>Company</v>
      </c>
      <c r="G1001" s="1">
        <f>VLOOKUP(C1001,'Master truck list'!E:R,14,0)</f>
        <v>1450</v>
      </c>
      <c r="H1001" t="str">
        <f>"12/17/2019 7:00:33 AM"</f>
        <v>12/17/2019 7:00:33 AM</v>
      </c>
      <c r="I1001" t="str">
        <f>""</f>
        <v/>
      </c>
      <c r="J1001" t="str">
        <f t="shared" si="399"/>
        <v>Elite</v>
      </c>
      <c r="K1001" t="str">
        <f t="shared" si="407"/>
        <v>Device</v>
      </c>
      <c r="L1001" t="str">
        <f>"777237860"</f>
        <v>777237860</v>
      </c>
      <c r="M1001" t="str">
        <f>"16670617"</f>
        <v>16670617</v>
      </c>
      <c r="N1001" t="str">
        <f>"2393-19T"</f>
        <v>2393-19T</v>
      </c>
      <c r="O1001" t="str">
        <f t="shared" si="400"/>
        <v>TEXAS</v>
      </c>
      <c r="P1001" t="str">
        <f t="shared" si="401"/>
        <v>N A</v>
      </c>
      <c r="Q1001" t="str">
        <f t="shared" si="402"/>
        <v>N/A</v>
      </c>
      <c r="R1001" t="str">
        <f>"130 CMRNP 13 306"</f>
        <v>130 CMRNP 13 306</v>
      </c>
      <c r="S1001" t="str">
        <f>"12/16/2019 1:09:28 PM"</f>
        <v>12/16/2019 1:09:28 PM</v>
      </c>
      <c r="T1001" t="str">
        <f t="shared" si="411"/>
        <v>5</v>
      </c>
      <c r="U1001" t="str">
        <f t="shared" si="403"/>
        <v>N/A</v>
      </c>
      <c r="V1001" t="str">
        <f>"5.5500"</f>
        <v>5.5500</v>
      </c>
    </row>
    <row r="1002" spans="1:22" x14ac:dyDescent="0.25">
      <c r="A1002" s="1" t="str">
        <f t="shared" si="393"/>
        <v>2393-</v>
      </c>
      <c r="B1002" s="1" t="str">
        <f t="shared" si="404"/>
        <v>2393-</v>
      </c>
      <c r="C1002" s="1" t="str">
        <f>VLOOKUP(B1002,'Master truck list'!D:E,2,0)</f>
        <v>2393-19T</v>
      </c>
      <c r="D1002" s="1" t="str">
        <f>VLOOKUP(C1002,'Master truck list'!E:F,2,0)</f>
        <v>ACTIVE</v>
      </c>
      <c r="E1002" s="1" t="str">
        <f>VLOOKUP(C1002,'Master truck list'!E:M,9,0)</f>
        <v>CHARGER LOGISTICS USA INC</v>
      </c>
      <c r="F1002" s="1" t="str">
        <f>VLOOKUP(C1002,'Master truck list'!E:G,3,0)</f>
        <v>Company</v>
      </c>
      <c r="G1002" s="1">
        <f>VLOOKUP(C1002,'Master truck list'!E:R,14,0)</f>
        <v>1450</v>
      </c>
      <c r="H1002" t="str">
        <f>"12/17/2019 7:00:33 AM"</f>
        <v>12/17/2019 7:00:33 AM</v>
      </c>
      <c r="I1002" t="str">
        <f>""</f>
        <v/>
      </c>
      <c r="J1002" t="str">
        <f t="shared" si="399"/>
        <v>Elite</v>
      </c>
      <c r="K1002" t="str">
        <f t="shared" si="407"/>
        <v>Device</v>
      </c>
      <c r="L1002" t="str">
        <f>"777237860"</f>
        <v>777237860</v>
      </c>
      <c r="M1002" t="str">
        <f>"16670617"</f>
        <v>16670617</v>
      </c>
      <c r="N1002" t="str">
        <f>"2393-19T"</f>
        <v>2393-19T</v>
      </c>
      <c r="O1002" t="str">
        <f t="shared" si="400"/>
        <v>TEXAS</v>
      </c>
      <c r="P1002" t="str">
        <f t="shared" si="401"/>
        <v>N A</v>
      </c>
      <c r="Q1002" t="str">
        <f t="shared" si="402"/>
        <v>N/A</v>
      </c>
      <c r="R1002" t="str">
        <f>"130 ARPTP 09 308"</f>
        <v>130 ARPTP 09 308</v>
      </c>
      <c r="S1002" t="str">
        <f>"12/16/2019 12:52:29 PM"</f>
        <v>12/16/2019 12:52:29 PM</v>
      </c>
      <c r="T1002" t="str">
        <f t="shared" si="411"/>
        <v>5</v>
      </c>
      <c r="U1002" t="str">
        <f t="shared" si="403"/>
        <v>N/A</v>
      </c>
      <c r="V1002" t="str">
        <f>"5.5500"</f>
        <v>5.5500</v>
      </c>
    </row>
    <row r="1003" spans="1:22" x14ac:dyDescent="0.25">
      <c r="A1003" s="1" t="str">
        <f t="shared" si="393"/>
        <v>2393-</v>
      </c>
      <c r="B1003" s="1" t="str">
        <f t="shared" si="404"/>
        <v>2393-</v>
      </c>
      <c r="C1003" s="1" t="s">
        <v>8894</v>
      </c>
      <c r="D1003" s="1" t="s">
        <v>91</v>
      </c>
      <c r="E1003" s="1" t="s">
        <v>1738</v>
      </c>
      <c r="F1003" s="1" t="s">
        <v>22</v>
      </c>
      <c r="G1003" s="1" t="e">
        <f>VLOOKUP(C1003,'Master truck list'!E:R,14,0)</f>
        <v>#N/A</v>
      </c>
      <c r="H1003" t="str">
        <f>"12/17/2019 7:00:33 AM"</f>
        <v>12/17/2019 7:00:33 AM</v>
      </c>
      <c r="I1003" t="str">
        <f>""</f>
        <v/>
      </c>
      <c r="J1003" t="str">
        <f t="shared" si="399"/>
        <v>Elite</v>
      </c>
      <c r="K1003" t="str">
        <f t="shared" si="407"/>
        <v>Device</v>
      </c>
      <c r="L1003" t="str">
        <f>"777237860"</f>
        <v>777237860</v>
      </c>
      <c r="M1003" t="str">
        <f>"16670617"</f>
        <v>16670617</v>
      </c>
      <c r="N1003" t="str">
        <f>"2393-19T"</f>
        <v>2393-19T</v>
      </c>
      <c r="O1003" t="str">
        <f t="shared" si="400"/>
        <v>TEXAS</v>
      </c>
      <c r="P1003" t="str">
        <f t="shared" si="401"/>
        <v>N A</v>
      </c>
      <c r="Q1003" t="str">
        <f t="shared" si="402"/>
        <v>N/A</v>
      </c>
      <c r="R1003" t="str">
        <f>"45SE MLPEB 02 611"</f>
        <v>45SE MLPEB 02 611</v>
      </c>
      <c r="S1003" t="str">
        <f>"12/16/2019 12:41:55 PM"</f>
        <v>12/16/2019 12:41:55 PM</v>
      </c>
      <c r="T1003" t="str">
        <f t="shared" si="411"/>
        <v>5</v>
      </c>
      <c r="U1003" t="str">
        <f t="shared" si="403"/>
        <v>N/A</v>
      </c>
      <c r="V1003" t="str">
        <f>"3.3000"</f>
        <v>3.3000</v>
      </c>
    </row>
    <row r="1004" spans="1:22" x14ac:dyDescent="0.25">
      <c r="A1004" s="1" t="str">
        <f t="shared" si="393"/>
        <v>2393-</v>
      </c>
      <c r="B1004" s="1" t="str">
        <f t="shared" si="404"/>
        <v>2393-</v>
      </c>
      <c r="C1004" s="1" t="str">
        <f>VLOOKUP(B1004,'Master truck list'!D:E,2,0)</f>
        <v>2393-19T</v>
      </c>
      <c r="D1004" s="1" t="str">
        <f>VLOOKUP(C1004,'Master truck list'!E:F,2,0)</f>
        <v>ACTIVE</v>
      </c>
      <c r="E1004" s="1" t="str">
        <f>VLOOKUP(C1004,'Master truck list'!E:M,9,0)</f>
        <v>CHARGER LOGISTICS USA INC</v>
      </c>
      <c r="F1004" s="1" t="str">
        <f>VLOOKUP(C1004,'Master truck list'!E:G,3,0)</f>
        <v>Company</v>
      </c>
      <c r="G1004" s="1">
        <f>VLOOKUP(C1004,'Master truck list'!E:R,14,0)</f>
        <v>1450</v>
      </c>
      <c r="H1004" t="str">
        <f>"12/17/2019 7:00:33 AM"</f>
        <v>12/17/2019 7:00:33 AM</v>
      </c>
      <c r="I1004" t="str">
        <f>""</f>
        <v/>
      </c>
      <c r="J1004" t="str">
        <f t="shared" si="399"/>
        <v>Elite</v>
      </c>
      <c r="K1004" t="str">
        <f t="shared" si="407"/>
        <v>Device</v>
      </c>
      <c r="L1004" t="str">
        <f>"777237860"</f>
        <v>777237860</v>
      </c>
      <c r="M1004" t="str">
        <f>"16670617"</f>
        <v>16670617</v>
      </c>
      <c r="N1004" t="str">
        <f>"2393-19T"</f>
        <v>2393-19T</v>
      </c>
      <c r="O1004" t="str">
        <f t="shared" si="400"/>
        <v>TEXAS</v>
      </c>
      <c r="P1004" t="str">
        <f t="shared" si="401"/>
        <v>N A</v>
      </c>
      <c r="Q1004" t="str">
        <f t="shared" si="402"/>
        <v>N/A</v>
      </c>
      <c r="R1004" t="str">
        <f>"130 MGCRP 11 305"</f>
        <v>130 MGCRP 11 305</v>
      </c>
      <c r="S1004" t="str">
        <f>"12/16/2019 1:20:30 PM"</f>
        <v>12/16/2019 1:20:30 PM</v>
      </c>
      <c r="T1004" t="str">
        <f t="shared" si="411"/>
        <v>5</v>
      </c>
      <c r="U1004" t="str">
        <f t="shared" si="403"/>
        <v>N/A</v>
      </c>
      <c r="V1004" t="str">
        <f t="shared" ref="V1004:V1009" si="412">"5.5500"</f>
        <v>5.5500</v>
      </c>
    </row>
    <row r="1005" spans="1:22" x14ac:dyDescent="0.25">
      <c r="A1005" s="1" t="str">
        <f t="shared" si="393"/>
        <v>2393-</v>
      </c>
      <c r="B1005" s="1" t="str">
        <f t="shared" si="404"/>
        <v>2393-</v>
      </c>
      <c r="C1005" s="1" t="s">
        <v>8898</v>
      </c>
      <c r="D1005" s="1" t="s">
        <v>8899</v>
      </c>
      <c r="E1005" s="1" t="s">
        <v>154</v>
      </c>
      <c r="F1005" s="1" t="s">
        <v>22</v>
      </c>
      <c r="G1005" s="1" t="e">
        <f>VLOOKUP(C1005,'Master truck list'!E:R,14,0)</f>
        <v>#N/A</v>
      </c>
      <c r="H1005" t="str">
        <f>"12/17/2019 7:00:33 AM"</f>
        <v>12/17/2019 7:00:33 AM</v>
      </c>
      <c r="I1005" t="str">
        <f>""</f>
        <v/>
      </c>
      <c r="J1005" t="str">
        <f t="shared" si="399"/>
        <v>Elite</v>
      </c>
      <c r="K1005" t="str">
        <f t="shared" si="407"/>
        <v>Device</v>
      </c>
      <c r="L1005" t="str">
        <f>"777237860"</f>
        <v>777237860</v>
      </c>
      <c r="M1005" t="str">
        <f>"16670617"</f>
        <v>16670617</v>
      </c>
      <c r="N1005" t="str">
        <f>"2393-19T"</f>
        <v>2393-19T</v>
      </c>
      <c r="O1005" t="str">
        <f t="shared" si="400"/>
        <v>TEXAS</v>
      </c>
      <c r="P1005" t="str">
        <f t="shared" si="401"/>
        <v>N A</v>
      </c>
      <c r="Q1005" t="str">
        <f t="shared" si="402"/>
        <v>N/A</v>
      </c>
      <c r="R1005" t="str">
        <f>"130 DKCRP 11 307"</f>
        <v>130 DKCRP 11 307</v>
      </c>
      <c r="S1005" t="str">
        <f>"12/16/2019 12:59:26 PM"</f>
        <v>12/16/2019 12:59:26 PM</v>
      </c>
      <c r="T1005" t="str">
        <f t="shared" si="411"/>
        <v>5</v>
      </c>
      <c r="U1005" t="str">
        <f t="shared" si="403"/>
        <v>N/A</v>
      </c>
      <c r="V1005" t="str">
        <f t="shared" si="412"/>
        <v>5.5500</v>
      </c>
    </row>
    <row r="1006" spans="1:22" x14ac:dyDescent="0.25">
      <c r="A1006" s="1" t="str">
        <f t="shared" ref="A1006:A1069" si="413">LEFT(N1006,5)</f>
        <v>2203</v>
      </c>
      <c r="B1006" s="1" t="str">
        <f t="shared" si="404"/>
        <v>2203</v>
      </c>
      <c r="C1006" s="1" t="s">
        <v>8903</v>
      </c>
      <c r="D1006" s="1" t="s">
        <v>91</v>
      </c>
      <c r="E1006" s="1" t="s">
        <v>154</v>
      </c>
      <c r="F1006" s="1" t="s">
        <v>8892</v>
      </c>
      <c r="G1006" s="1" t="e">
        <f>VLOOKUP(C1006,'Master truck list'!E:R,14,0)</f>
        <v>#N/A</v>
      </c>
      <c r="H1006" t="str">
        <f>"12/19/2019 7:00:35 AM"</f>
        <v>12/19/2019 7:00:35 AM</v>
      </c>
      <c r="I1006" t="str">
        <f>""</f>
        <v/>
      </c>
      <c r="J1006" t="str">
        <f t="shared" si="399"/>
        <v>Elite</v>
      </c>
      <c r="K1006" t="str">
        <f t="shared" si="407"/>
        <v>Device</v>
      </c>
      <c r="L1006" t="str">
        <f t="shared" ref="L1006:L1016" si="414">"777237868"</f>
        <v>777237868</v>
      </c>
      <c r="M1006" t="str">
        <f t="shared" ref="M1006:M1016" si="415">"16670625"</f>
        <v>16670625</v>
      </c>
      <c r="N1006" t="str">
        <f t="shared" ref="N1006:N1016" si="416">"2203"</f>
        <v>2203</v>
      </c>
      <c r="O1006" t="str">
        <f t="shared" si="400"/>
        <v>TEXAS</v>
      </c>
      <c r="P1006" t="str">
        <f t="shared" si="401"/>
        <v>N A</v>
      </c>
      <c r="Q1006" t="str">
        <f t="shared" si="402"/>
        <v>N/A</v>
      </c>
      <c r="R1006" t="str">
        <f>"130 ARPTP 04 308"</f>
        <v>130 ARPTP 04 308</v>
      </c>
      <c r="S1006" t="str">
        <f>"12/18/2019 3:59:33 PM"</f>
        <v>12/18/2019 3:59:33 PM</v>
      </c>
      <c r="T1006" t="str">
        <f t="shared" si="411"/>
        <v>5</v>
      </c>
      <c r="U1006" t="str">
        <f t="shared" si="403"/>
        <v>N/A</v>
      </c>
      <c r="V1006" t="str">
        <f t="shared" si="412"/>
        <v>5.5500</v>
      </c>
    </row>
    <row r="1007" spans="1:22" x14ac:dyDescent="0.25">
      <c r="A1007" s="1" t="str">
        <f t="shared" si="413"/>
        <v>2203</v>
      </c>
      <c r="B1007" s="1" t="str">
        <f t="shared" si="404"/>
        <v>2203</v>
      </c>
      <c r="C1007" s="1" t="s">
        <v>8900</v>
      </c>
      <c r="D1007" s="1" t="s">
        <v>91</v>
      </c>
      <c r="E1007" s="1" t="s">
        <v>1738</v>
      </c>
      <c r="F1007" s="1" t="s">
        <v>22</v>
      </c>
      <c r="G1007" s="1" t="e">
        <f>VLOOKUP(C1007,'Master truck list'!E:R,14,0)</f>
        <v>#N/A</v>
      </c>
      <c r="H1007" t="str">
        <f>"12/19/2019 7:00:35 AM"</f>
        <v>12/19/2019 7:00:35 AM</v>
      </c>
      <c r="I1007" t="str">
        <f>""</f>
        <v/>
      </c>
      <c r="J1007" t="str">
        <f t="shared" si="399"/>
        <v>Elite</v>
      </c>
      <c r="K1007" t="str">
        <f t="shared" si="407"/>
        <v>Device</v>
      </c>
      <c r="L1007" t="str">
        <f t="shared" si="414"/>
        <v>777237868</v>
      </c>
      <c r="M1007" t="str">
        <f t="shared" si="415"/>
        <v>16670625</v>
      </c>
      <c r="N1007" t="str">
        <f t="shared" si="416"/>
        <v>2203</v>
      </c>
      <c r="O1007" t="str">
        <f t="shared" si="400"/>
        <v>TEXAS</v>
      </c>
      <c r="P1007" t="str">
        <f t="shared" si="401"/>
        <v>N A</v>
      </c>
      <c r="Q1007" t="str">
        <f t="shared" si="402"/>
        <v>N/A</v>
      </c>
      <c r="R1007" t="str">
        <f>"130 CMRNP 08 306"</f>
        <v>130 CMRNP 08 306</v>
      </c>
      <c r="S1007" t="str">
        <f>"12/18/2019 3:43:17 PM"</f>
        <v>12/18/2019 3:43:17 PM</v>
      </c>
      <c r="T1007" t="str">
        <f t="shared" si="411"/>
        <v>5</v>
      </c>
      <c r="U1007" t="str">
        <f t="shared" si="403"/>
        <v>N/A</v>
      </c>
      <c r="V1007" t="str">
        <f t="shared" si="412"/>
        <v>5.5500</v>
      </c>
    </row>
    <row r="1008" spans="1:22" x14ac:dyDescent="0.25">
      <c r="A1008" s="1" t="str">
        <f t="shared" si="413"/>
        <v>2203</v>
      </c>
      <c r="B1008" s="1" t="str">
        <f t="shared" si="404"/>
        <v>2203</v>
      </c>
      <c r="C1008" s="1" t="str">
        <f>VLOOKUP(B1008,'Master truck list'!D:E,2,0)</f>
        <v>2203</v>
      </c>
      <c r="D1008" s="1" t="str">
        <f>VLOOKUP(C1008,'Master truck list'!E:F,2,0)</f>
        <v>ACTIVE</v>
      </c>
      <c r="E1008" s="1" t="str">
        <f>VLOOKUP(C1008,'Master truck list'!E:M,9,0)</f>
        <v>CHARGER LOGISTICS USA INC</v>
      </c>
      <c r="F1008" s="1" t="str">
        <f>VLOOKUP(C1008,'Master truck list'!E:G,3,0)</f>
        <v>Company</v>
      </c>
      <c r="G1008" s="1">
        <f>VLOOKUP(C1008,'Master truck list'!E:R,14,0)</f>
        <v>292</v>
      </c>
      <c r="H1008" t="str">
        <f>"12/19/2019 7:00:35 AM"</f>
        <v>12/19/2019 7:00:35 AM</v>
      </c>
      <c r="I1008" t="str">
        <f>""</f>
        <v/>
      </c>
      <c r="J1008" t="str">
        <f t="shared" si="399"/>
        <v>Elite</v>
      </c>
      <c r="K1008" t="str">
        <f t="shared" si="407"/>
        <v>Device</v>
      </c>
      <c r="L1008" t="str">
        <f t="shared" si="414"/>
        <v>777237868</v>
      </c>
      <c r="M1008" t="str">
        <f t="shared" si="415"/>
        <v>16670625</v>
      </c>
      <c r="N1008" t="str">
        <f t="shared" si="416"/>
        <v>2203</v>
      </c>
      <c r="O1008" t="str">
        <f t="shared" si="400"/>
        <v>TEXAS</v>
      </c>
      <c r="P1008" t="str">
        <f t="shared" si="401"/>
        <v>N A</v>
      </c>
      <c r="Q1008" t="str">
        <f t="shared" si="402"/>
        <v>N/A</v>
      </c>
      <c r="R1008" t="str">
        <f>"130 DKCRP 07 307"</f>
        <v>130 DKCRP 07 307</v>
      </c>
      <c r="S1008" t="str">
        <f>"12/18/2019 3:52:46 PM"</f>
        <v>12/18/2019 3:52:46 PM</v>
      </c>
      <c r="T1008" t="str">
        <f t="shared" si="411"/>
        <v>5</v>
      </c>
      <c r="U1008" t="str">
        <f t="shared" si="403"/>
        <v>N/A</v>
      </c>
      <c r="V1008" t="str">
        <f t="shared" si="412"/>
        <v>5.5500</v>
      </c>
    </row>
    <row r="1009" spans="1:22" x14ac:dyDescent="0.25">
      <c r="A1009" s="1" t="str">
        <f t="shared" si="413"/>
        <v>2203</v>
      </c>
      <c r="B1009" s="1" t="str">
        <f t="shared" si="404"/>
        <v>2203</v>
      </c>
      <c r="C1009" s="1" t="str">
        <f>VLOOKUP(B1009,'Master truck list'!D:E,2,0)</f>
        <v>2203</v>
      </c>
      <c r="D1009" s="1" t="str">
        <f>VLOOKUP(C1009,'Master truck list'!E:F,2,0)</f>
        <v>ACTIVE</v>
      </c>
      <c r="E1009" s="1" t="str">
        <f>VLOOKUP(C1009,'Master truck list'!E:M,9,0)</f>
        <v>CHARGER LOGISTICS USA INC</v>
      </c>
      <c r="F1009" s="1" t="str">
        <f>VLOOKUP(C1009,'Master truck list'!E:G,3,0)</f>
        <v>Company</v>
      </c>
      <c r="G1009" s="1">
        <f>VLOOKUP(C1009,'Master truck list'!E:R,14,0)</f>
        <v>292</v>
      </c>
      <c r="H1009" t="str">
        <f>"12/19/2019 7:00:35 AM"</f>
        <v>12/19/2019 7:00:35 AM</v>
      </c>
      <c r="I1009" t="str">
        <f>""</f>
        <v/>
      </c>
      <c r="J1009" t="str">
        <f t="shared" si="399"/>
        <v>Elite</v>
      </c>
      <c r="K1009" t="str">
        <f t="shared" si="407"/>
        <v>Device</v>
      </c>
      <c r="L1009" t="str">
        <f t="shared" si="414"/>
        <v>777237868</v>
      </c>
      <c r="M1009" t="str">
        <f t="shared" si="415"/>
        <v>16670625</v>
      </c>
      <c r="N1009" t="str">
        <f t="shared" si="416"/>
        <v>2203</v>
      </c>
      <c r="O1009" t="str">
        <f t="shared" si="400"/>
        <v>TEXAS</v>
      </c>
      <c r="P1009" t="str">
        <f t="shared" si="401"/>
        <v>N A</v>
      </c>
      <c r="Q1009" t="str">
        <f t="shared" si="402"/>
        <v>N/A</v>
      </c>
      <c r="R1009" t="str">
        <f>"130 MGCRP 06 305"</f>
        <v>130 MGCRP 06 305</v>
      </c>
      <c r="S1009" t="str">
        <f>"12/18/2019 3:32:34 PM"</f>
        <v>12/18/2019 3:32:34 PM</v>
      </c>
      <c r="T1009" t="str">
        <f t="shared" si="411"/>
        <v>5</v>
      </c>
      <c r="U1009" t="str">
        <f t="shared" si="403"/>
        <v>N/A</v>
      </c>
      <c r="V1009" t="str">
        <f t="shared" si="412"/>
        <v>5.5500</v>
      </c>
    </row>
    <row r="1010" spans="1:22" x14ac:dyDescent="0.25">
      <c r="A1010" s="1" t="str">
        <f t="shared" si="413"/>
        <v>2203</v>
      </c>
      <c r="B1010" s="1" t="str">
        <f t="shared" si="404"/>
        <v>2203</v>
      </c>
      <c r="C1010" s="1" t="str">
        <f>VLOOKUP(B1010,'Master truck list'!D:E,2,0)</f>
        <v>2203</v>
      </c>
      <c r="D1010" s="1" t="str">
        <f>VLOOKUP(C1010,'Master truck list'!E:F,2,0)</f>
        <v>ACTIVE</v>
      </c>
      <c r="E1010" s="1" t="str">
        <f>VLOOKUP(C1010,'Master truck list'!E:M,9,0)</f>
        <v>CHARGER LOGISTICS USA INC</v>
      </c>
      <c r="F1010" s="1" t="str">
        <f>VLOOKUP(C1010,'Master truck list'!E:G,3,0)</f>
        <v>Company</v>
      </c>
      <c r="G1010" s="1">
        <f>VLOOKUP(C1010,'Master truck list'!E:R,14,0)</f>
        <v>292</v>
      </c>
      <c r="H1010" t="str">
        <f>"12/20/2019 7:00:30 AM"</f>
        <v>12/20/2019 7:00:30 AM</v>
      </c>
      <c r="I1010" t="str">
        <f>""</f>
        <v/>
      </c>
      <c r="J1010" t="str">
        <f t="shared" si="399"/>
        <v>Elite</v>
      </c>
      <c r="K1010" t="str">
        <f t="shared" si="407"/>
        <v>Device</v>
      </c>
      <c r="L1010" t="str">
        <f t="shared" si="414"/>
        <v>777237868</v>
      </c>
      <c r="M1010" t="str">
        <f t="shared" si="415"/>
        <v>16670625</v>
      </c>
      <c r="N1010" t="str">
        <f t="shared" si="416"/>
        <v>2203</v>
      </c>
      <c r="O1010" t="str">
        <f t="shared" si="400"/>
        <v>TEXAS</v>
      </c>
      <c r="P1010" t="str">
        <f t="shared" si="401"/>
        <v>N A</v>
      </c>
      <c r="Q1010" t="str">
        <f t="shared" si="402"/>
        <v>N/A</v>
      </c>
      <c r="R1010" t="str">
        <f>"130 BLUESP 01 4110"</f>
        <v>130 BLUESP 01 4110</v>
      </c>
      <c r="S1010" t="str">
        <f>"12/18/2019 4:23:44 PM"</f>
        <v>12/18/2019 4:23:44 PM</v>
      </c>
      <c r="T1010" t="str">
        <f>"15"</f>
        <v>15</v>
      </c>
      <c r="U1010" t="str">
        <f t="shared" si="403"/>
        <v>N/A</v>
      </c>
      <c r="V1010" t="str">
        <f>"20.4900"</f>
        <v>20.4900</v>
      </c>
    </row>
    <row r="1011" spans="1:22" x14ac:dyDescent="0.25">
      <c r="A1011" s="1" t="str">
        <f t="shared" si="413"/>
        <v>2203</v>
      </c>
      <c r="B1011" s="1" t="str">
        <f t="shared" si="404"/>
        <v>2203</v>
      </c>
      <c r="C1011" s="1" t="s">
        <v>8889</v>
      </c>
      <c r="D1011" s="1" t="s">
        <v>91</v>
      </c>
      <c r="E1011" s="1" t="s">
        <v>1738</v>
      </c>
      <c r="F1011" s="1" t="s">
        <v>22</v>
      </c>
      <c r="G1011" s="1" t="e">
        <f>VLOOKUP(C1011,'Master truck list'!E:R,14,0)</f>
        <v>#N/A</v>
      </c>
      <c r="H1011" t="str">
        <f>"12/20/2019 7:00:30 AM"</f>
        <v>12/20/2019 7:00:30 AM</v>
      </c>
      <c r="I1011" t="str">
        <f>""</f>
        <v/>
      </c>
      <c r="J1011" t="str">
        <f t="shared" si="399"/>
        <v>Elite</v>
      </c>
      <c r="K1011" t="str">
        <f t="shared" si="407"/>
        <v>Device</v>
      </c>
      <c r="L1011" t="str">
        <f t="shared" si="414"/>
        <v>777237868</v>
      </c>
      <c r="M1011" t="str">
        <f t="shared" si="415"/>
        <v>16670625</v>
      </c>
      <c r="N1011" t="str">
        <f t="shared" si="416"/>
        <v>2203</v>
      </c>
      <c r="O1011" t="str">
        <f t="shared" si="400"/>
        <v>TEXAS</v>
      </c>
      <c r="P1011" t="str">
        <f t="shared" si="401"/>
        <v>N A</v>
      </c>
      <c r="Q1011" t="str">
        <f t="shared" si="402"/>
        <v>N/A</v>
      </c>
      <c r="R1011" t="str">
        <f>"130 SKYSP 02 4104"</f>
        <v>130 SKYSP 02 4104</v>
      </c>
      <c r="S1011" t="str">
        <f>"12/18/2019 4:11:17 PM"</f>
        <v>12/18/2019 4:11:17 PM</v>
      </c>
      <c r="T1011" t="str">
        <f>"15"</f>
        <v>15</v>
      </c>
      <c r="U1011" t="str">
        <f t="shared" si="403"/>
        <v>N/A</v>
      </c>
      <c r="V1011" t="str">
        <f>"9.3800"</f>
        <v>9.3800</v>
      </c>
    </row>
    <row r="1012" spans="1:22" x14ac:dyDescent="0.25">
      <c r="A1012" s="1" t="str">
        <f t="shared" si="413"/>
        <v>2203</v>
      </c>
      <c r="B1012" s="1" t="str">
        <f t="shared" si="404"/>
        <v>2203</v>
      </c>
      <c r="C1012" s="1" t="s">
        <v>8905</v>
      </c>
      <c r="D1012" s="1" t="s">
        <v>91</v>
      </c>
      <c r="E1012" s="1" t="s">
        <v>1738</v>
      </c>
      <c r="F1012" s="1" t="s">
        <v>22</v>
      </c>
      <c r="G1012" s="1" t="e">
        <f>VLOOKUP(C1012,'Master truck list'!E:R,14,0)</f>
        <v>#N/A</v>
      </c>
      <c r="H1012" t="str">
        <f>"12/20/2019 7:00:30 AM"</f>
        <v>12/20/2019 7:00:30 AM</v>
      </c>
      <c r="I1012" t="str">
        <f>""</f>
        <v/>
      </c>
      <c r="J1012" t="str">
        <f t="shared" si="399"/>
        <v>Elite</v>
      </c>
      <c r="K1012" t="str">
        <f t="shared" si="407"/>
        <v>Device</v>
      </c>
      <c r="L1012" t="str">
        <f t="shared" si="414"/>
        <v>777237868</v>
      </c>
      <c r="M1012" t="str">
        <f t="shared" si="415"/>
        <v>16670625</v>
      </c>
      <c r="N1012" t="str">
        <f t="shared" si="416"/>
        <v>2203</v>
      </c>
      <c r="O1012" t="str">
        <f t="shared" si="400"/>
        <v>TEXAS</v>
      </c>
      <c r="P1012" t="str">
        <f t="shared" si="401"/>
        <v>N A</v>
      </c>
      <c r="Q1012" t="str">
        <f t="shared" si="402"/>
        <v>N/A</v>
      </c>
      <c r="R1012" t="str">
        <f>"130 ARPTP 09 308"</f>
        <v>130 ARPTP 09 308</v>
      </c>
      <c r="S1012" t="str">
        <f>"12/19/2019 6:11:16 PM"</f>
        <v>12/19/2019 6:11:16 PM</v>
      </c>
      <c r="T1012" t="str">
        <f>"5"</f>
        <v>5</v>
      </c>
      <c r="U1012" t="str">
        <f t="shared" si="403"/>
        <v>N/A</v>
      </c>
      <c r="V1012" t="str">
        <f>"5.5500"</f>
        <v>5.5500</v>
      </c>
    </row>
    <row r="1013" spans="1:22" x14ac:dyDescent="0.25">
      <c r="A1013" s="1" t="str">
        <f t="shared" si="413"/>
        <v>2203</v>
      </c>
      <c r="B1013" s="1" t="str">
        <f t="shared" si="404"/>
        <v>2203</v>
      </c>
      <c r="C1013" s="1" t="str">
        <f>VLOOKUP(B1013,'Master truck list'!D:E,2,0)</f>
        <v>2203</v>
      </c>
      <c r="D1013" s="1" t="str">
        <f>VLOOKUP(C1013,'Master truck list'!E:F,2,0)</f>
        <v>ACTIVE</v>
      </c>
      <c r="E1013" s="1" t="str">
        <f>VLOOKUP(C1013,'Master truck list'!E:M,9,0)</f>
        <v>CHARGER LOGISTICS USA INC</v>
      </c>
      <c r="F1013" s="1" t="str">
        <f>VLOOKUP(C1013,'Master truck list'!E:G,3,0)</f>
        <v>Company</v>
      </c>
      <c r="G1013" s="1">
        <f>VLOOKUP(C1013,'Master truck list'!E:R,14,0)</f>
        <v>292</v>
      </c>
      <c r="H1013" t="str">
        <f>"12/20/2019 7:00:30 AM"</f>
        <v>12/20/2019 7:00:30 AM</v>
      </c>
      <c r="I1013" t="str">
        <f>""</f>
        <v/>
      </c>
      <c r="J1013" t="str">
        <f t="shared" si="399"/>
        <v>Elite</v>
      </c>
      <c r="K1013" t="str">
        <f t="shared" si="407"/>
        <v>Device</v>
      </c>
      <c r="L1013" t="str">
        <f t="shared" si="414"/>
        <v>777237868</v>
      </c>
      <c r="M1013" t="str">
        <f t="shared" si="415"/>
        <v>16670625</v>
      </c>
      <c r="N1013" t="str">
        <f t="shared" si="416"/>
        <v>2203</v>
      </c>
      <c r="O1013" t="str">
        <f t="shared" si="400"/>
        <v>TEXAS</v>
      </c>
      <c r="P1013" t="str">
        <f t="shared" si="401"/>
        <v>N A</v>
      </c>
      <c r="Q1013" t="str">
        <f t="shared" si="402"/>
        <v>N/A</v>
      </c>
      <c r="R1013" t="str">
        <f>"130 DKCRP 10 307"</f>
        <v>130 DKCRP 10 307</v>
      </c>
      <c r="S1013" t="str">
        <f>"12/19/2019 6:20:19 PM"</f>
        <v>12/19/2019 6:20:19 PM</v>
      </c>
      <c r="T1013" t="str">
        <f>"5"</f>
        <v>5</v>
      </c>
      <c r="U1013" t="str">
        <f t="shared" si="403"/>
        <v>N/A</v>
      </c>
      <c r="V1013" t="str">
        <f>"5.5500"</f>
        <v>5.5500</v>
      </c>
    </row>
    <row r="1014" spans="1:22" x14ac:dyDescent="0.25">
      <c r="A1014" s="1" t="str">
        <f t="shared" si="413"/>
        <v>2203</v>
      </c>
      <c r="B1014" s="1" t="str">
        <f t="shared" si="404"/>
        <v>2203</v>
      </c>
      <c r="C1014" s="1" t="s">
        <v>8896</v>
      </c>
      <c r="D1014" s="1" t="s">
        <v>91</v>
      </c>
      <c r="E1014" s="1" t="s">
        <v>1738</v>
      </c>
      <c r="F1014" s="1" t="s">
        <v>22</v>
      </c>
      <c r="G1014" s="1" t="e">
        <f>VLOOKUP(C1014,'Master truck list'!E:R,14,0)</f>
        <v>#N/A</v>
      </c>
      <c r="H1014" t="str">
        <f>"12/20/2019 7:00:30 AM"</f>
        <v>12/20/2019 7:00:30 AM</v>
      </c>
      <c r="I1014" t="str">
        <f>""</f>
        <v/>
      </c>
      <c r="J1014" t="str">
        <f t="shared" si="399"/>
        <v>Elite</v>
      </c>
      <c r="K1014" t="str">
        <f t="shared" si="407"/>
        <v>Device</v>
      </c>
      <c r="L1014" t="str">
        <f t="shared" si="414"/>
        <v>777237868</v>
      </c>
      <c r="M1014" t="str">
        <f t="shared" si="415"/>
        <v>16670625</v>
      </c>
      <c r="N1014" t="str">
        <f t="shared" si="416"/>
        <v>2203</v>
      </c>
      <c r="O1014" t="str">
        <f t="shared" si="400"/>
        <v>TEXAS</v>
      </c>
      <c r="P1014" t="str">
        <f t="shared" si="401"/>
        <v>N A</v>
      </c>
      <c r="Q1014" t="str">
        <f t="shared" si="402"/>
        <v>N/A</v>
      </c>
      <c r="R1014" t="str">
        <f>"130 CMRNP 13 306"</f>
        <v>130 CMRNP 13 306</v>
      </c>
      <c r="S1014" t="str">
        <f>"12/19/2019 6:30:20 PM"</f>
        <v>12/19/2019 6:30:20 PM</v>
      </c>
      <c r="T1014" t="str">
        <f>"5"</f>
        <v>5</v>
      </c>
      <c r="U1014" t="str">
        <f t="shared" si="403"/>
        <v>N/A</v>
      </c>
      <c r="V1014" t="str">
        <f>"5.5500"</f>
        <v>5.5500</v>
      </c>
    </row>
    <row r="1015" spans="1:22" x14ac:dyDescent="0.25">
      <c r="A1015" s="1" t="str">
        <f t="shared" si="413"/>
        <v>2203</v>
      </c>
      <c r="B1015" s="1" t="str">
        <f t="shared" si="404"/>
        <v>2203</v>
      </c>
      <c r="C1015" s="1" t="s">
        <v>8906</v>
      </c>
      <c r="D1015" s="1" t="str">
        <f>VLOOKUP(C1015,'Master truck list'!E:F,2,0)</f>
        <v>ACTIVE</v>
      </c>
      <c r="E1015" s="1" t="str">
        <f>VLOOKUP(C1015,'Master truck list'!E:M,9,0)</f>
        <v>CHARGER LOGISTICS USA INC</v>
      </c>
      <c r="F1015" s="1" t="str">
        <f>VLOOKUP(C1015,'Master truck list'!E:G,3,0)</f>
        <v>Owner Operator</v>
      </c>
      <c r="G1015" s="1">
        <f>VLOOKUP(C1015,'Master truck list'!E:R,14,0)</f>
        <v>272</v>
      </c>
      <c r="H1015" t="str">
        <f>"12/21/2019 7:00:28 AM"</f>
        <v>12/21/2019 7:00:28 AM</v>
      </c>
      <c r="I1015" t="str">
        <f>""</f>
        <v/>
      </c>
      <c r="J1015" t="str">
        <f t="shared" si="399"/>
        <v>Elite</v>
      </c>
      <c r="K1015" t="str">
        <f t="shared" si="407"/>
        <v>Device</v>
      </c>
      <c r="L1015" t="str">
        <f t="shared" si="414"/>
        <v>777237868</v>
      </c>
      <c r="M1015" t="str">
        <f t="shared" si="415"/>
        <v>16670625</v>
      </c>
      <c r="N1015" t="str">
        <f t="shared" si="416"/>
        <v>2203</v>
      </c>
      <c r="O1015" t="str">
        <f t="shared" si="400"/>
        <v>TEXAS</v>
      </c>
      <c r="P1015" t="str">
        <f t="shared" si="401"/>
        <v>N A</v>
      </c>
      <c r="Q1015" t="str">
        <f t="shared" si="402"/>
        <v>N/A</v>
      </c>
      <c r="R1015" t="str">
        <f>"130 BLUENP 01 4109"</f>
        <v>130 BLUENP 01 4109</v>
      </c>
      <c r="S1015" t="str">
        <f>"12/19/2019 5:46:45 PM"</f>
        <v>12/19/2019 5:46:45 PM</v>
      </c>
      <c r="T1015" t="str">
        <f>"15"</f>
        <v>15</v>
      </c>
      <c r="U1015" t="str">
        <f t="shared" si="403"/>
        <v>N/A</v>
      </c>
      <c r="V1015" t="str">
        <f>"20.4900"</f>
        <v>20.4900</v>
      </c>
    </row>
    <row r="1016" spans="1:22" x14ac:dyDescent="0.25">
      <c r="A1016" s="1" t="str">
        <f t="shared" si="413"/>
        <v>2203</v>
      </c>
      <c r="B1016" s="1" t="str">
        <f t="shared" si="404"/>
        <v>2203</v>
      </c>
      <c r="C1016" s="1" t="str">
        <f>VLOOKUP(B1016,'Master truck list'!D:E,2,0)</f>
        <v>2203</v>
      </c>
      <c r="D1016" s="1" t="str">
        <f>VLOOKUP(C1016,'Master truck list'!E:F,2,0)</f>
        <v>ACTIVE</v>
      </c>
      <c r="E1016" s="1" t="str">
        <f>VLOOKUP(C1016,'Master truck list'!E:M,9,0)</f>
        <v>CHARGER LOGISTICS USA INC</v>
      </c>
      <c r="F1016" s="1" t="str">
        <f>VLOOKUP(C1016,'Master truck list'!E:G,3,0)</f>
        <v>Company</v>
      </c>
      <c r="G1016" s="1">
        <f>VLOOKUP(C1016,'Master truck list'!E:R,14,0)</f>
        <v>292</v>
      </c>
      <c r="H1016" t="str">
        <f>"12/20/2019 7:00:30 AM"</f>
        <v>12/20/2019 7:00:30 AM</v>
      </c>
      <c r="I1016" t="str">
        <f>""</f>
        <v/>
      </c>
      <c r="J1016" t="str">
        <f t="shared" si="399"/>
        <v>Elite</v>
      </c>
      <c r="K1016" t="str">
        <f t="shared" si="407"/>
        <v>Device</v>
      </c>
      <c r="L1016" t="str">
        <f t="shared" si="414"/>
        <v>777237868</v>
      </c>
      <c r="M1016" t="str">
        <f t="shared" si="415"/>
        <v>16670625</v>
      </c>
      <c r="N1016" t="str">
        <f t="shared" si="416"/>
        <v>2203</v>
      </c>
      <c r="O1016" t="str">
        <f t="shared" si="400"/>
        <v>TEXAS</v>
      </c>
      <c r="P1016" t="str">
        <f t="shared" si="401"/>
        <v>N A</v>
      </c>
      <c r="Q1016" t="str">
        <f t="shared" si="402"/>
        <v>N/A</v>
      </c>
      <c r="R1016" t="str">
        <f>"130 MGCRP 11 305"</f>
        <v>130 MGCRP 11 305</v>
      </c>
      <c r="S1016" t="str">
        <f>"12/19/2019 6:40:53 PM"</f>
        <v>12/19/2019 6:40:53 PM</v>
      </c>
      <c r="T1016" t="str">
        <f t="shared" ref="T1016:T1043" si="417">"5"</f>
        <v>5</v>
      </c>
      <c r="U1016" t="str">
        <f t="shared" si="403"/>
        <v>N/A</v>
      </c>
      <c r="V1016" t="str">
        <f t="shared" ref="V1016:V1023" si="418">"5.5500"</f>
        <v>5.5500</v>
      </c>
    </row>
    <row r="1017" spans="1:22" x14ac:dyDescent="0.25">
      <c r="A1017" s="1" t="str">
        <f t="shared" si="413"/>
        <v>9704-</v>
      </c>
      <c r="B1017" s="1" t="str">
        <f t="shared" si="404"/>
        <v>9704-</v>
      </c>
      <c r="C1017" s="1" t="str">
        <f>VLOOKUP(B1017,'Master truck list'!D:E,2,0)</f>
        <v>9704-15MT</v>
      </c>
      <c r="D1017" s="1" t="str">
        <f>VLOOKUP(C1017,'Master truck list'!E:F,2,0)</f>
        <v>ACTIVE</v>
      </c>
      <c r="E1017" s="1" t="str">
        <f>VLOOKUP(C1017,'Master truck list'!E:M,9,0)</f>
        <v>CHARGER LOGISTICS USA INC</v>
      </c>
      <c r="F1017" s="1" t="str">
        <f>VLOOKUP(C1017,'Master truck list'!E:G,3,0)</f>
        <v>Company</v>
      </c>
      <c r="G1017" s="1">
        <f>VLOOKUP(C1017,'Master truck list'!E:R,14,0)</f>
        <v>385</v>
      </c>
      <c r="H1017" t="str">
        <f t="shared" ref="H1017:H1024" si="419">"12/21/2019 7:00:28 AM"</f>
        <v>12/21/2019 7:00:28 AM</v>
      </c>
      <c r="I1017" t="str">
        <f>""</f>
        <v/>
      </c>
      <c r="J1017" t="str">
        <f t="shared" si="399"/>
        <v>Elite</v>
      </c>
      <c r="K1017" t="str">
        <f t="shared" si="407"/>
        <v>Device</v>
      </c>
      <c r="L1017" t="str">
        <f>"777237859"</f>
        <v>777237859</v>
      </c>
      <c r="M1017" t="str">
        <f>"16670616"</f>
        <v>16670616</v>
      </c>
      <c r="N1017" t="str">
        <f>"9704-15M"</f>
        <v>9704-15M</v>
      </c>
      <c r="O1017" t="str">
        <f t="shared" si="400"/>
        <v>TEXAS</v>
      </c>
      <c r="P1017" t="str">
        <f t="shared" si="401"/>
        <v>N A</v>
      </c>
      <c r="Q1017" t="str">
        <f t="shared" si="402"/>
        <v>N/A</v>
      </c>
      <c r="R1017" t="str">
        <f>"130 ARPTP 04 308"</f>
        <v>130 ARPTP 04 308</v>
      </c>
      <c r="S1017" t="str">
        <f>"12/20/2019 5:50:49 PM"</f>
        <v>12/20/2019 5:50:49 PM</v>
      </c>
      <c r="T1017" t="str">
        <f t="shared" si="417"/>
        <v>5</v>
      </c>
      <c r="U1017" t="str">
        <f t="shared" si="403"/>
        <v>N/A</v>
      </c>
      <c r="V1017" t="str">
        <f t="shared" si="418"/>
        <v>5.5500</v>
      </c>
    </row>
    <row r="1018" spans="1:22" x14ac:dyDescent="0.25">
      <c r="A1018" s="1" t="str">
        <f t="shared" si="413"/>
        <v>9704-</v>
      </c>
      <c r="B1018" s="1" t="str">
        <f t="shared" si="404"/>
        <v>9704-</v>
      </c>
      <c r="C1018" s="1" t="s">
        <v>8910</v>
      </c>
      <c r="D1018" s="1" t="s">
        <v>91</v>
      </c>
      <c r="E1018" s="1" t="s">
        <v>37</v>
      </c>
      <c r="F1018" s="1" t="s">
        <v>22</v>
      </c>
      <c r="G1018" s="1" t="e">
        <f>VLOOKUP(C1018,'Master truck list'!E:R,14,0)</f>
        <v>#N/A</v>
      </c>
      <c r="H1018" t="str">
        <f t="shared" si="419"/>
        <v>12/21/2019 7:00:28 AM</v>
      </c>
      <c r="I1018" t="str">
        <f>""</f>
        <v/>
      </c>
      <c r="J1018" t="str">
        <f t="shared" si="399"/>
        <v>Elite</v>
      </c>
      <c r="K1018" t="str">
        <f t="shared" si="407"/>
        <v>Device</v>
      </c>
      <c r="L1018" t="str">
        <f>"777237859"</f>
        <v>777237859</v>
      </c>
      <c r="M1018" t="str">
        <f>"16670616"</f>
        <v>16670616</v>
      </c>
      <c r="N1018" t="str">
        <f>"9704-15M"</f>
        <v>9704-15M</v>
      </c>
      <c r="O1018" t="str">
        <f t="shared" si="400"/>
        <v>TEXAS</v>
      </c>
      <c r="P1018" t="str">
        <f t="shared" si="401"/>
        <v>N A</v>
      </c>
      <c r="Q1018" t="str">
        <f t="shared" si="402"/>
        <v>N/A</v>
      </c>
      <c r="R1018" t="str">
        <f>"130 MGCRP 07 305"</f>
        <v>130 MGCRP 07 305</v>
      </c>
      <c r="S1018" t="str">
        <f>"12/20/2019 5:19:11 PM"</f>
        <v>12/20/2019 5:19:11 PM</v>
      </c>
      <c r="T1018" t="str">
        <f t="shared" si="417"/>
        <v>5</v>
      </c>
      <c r="U1018" t="str">
        <f t="shared" si="403"/>
        <v>N/A</v>
      </c>
      <c r="V1018" t="str">
        <f t="shared" si="418"/>
        <v>5.5500</v>
      </c>
    </row>
    <row r="1019" spans="1:22" x14ac:dyDescent="0.25">
      <c r="A1019" s="1" t="str">
        <f t="shared" si="413"/>
        <v>9704-</v>
      </c>
      <c r="B1019" s="1" t="str">
        <f t="shared" si="404"/>
        <v>9704-</v>
      </c>
      <c r="C1019" s="1" t="s">
        <v>8911</v>
      </c>
      <c r="D1019" s="1" t="s">
        <v>91</v>
      </c>
      <c r="E1019" s="1" t="s">
        <v>8912</v>
      </c>
      <c r="F1019" s="1" t="s">
        <v>22</v>
      </c>
      <c r="G1019" s="1" t="e">
        <f>VLOOKUP(C1019,'Master truck list'!E:R,14,0)</f>
        <v>#N/A</v>
      </c>
      <c r="H1019" t="str">
        <f t="shared" si="419"/>
        <v>12/21/2019 7:00:28 AM</v>
      </c>
      <c r="I1019" t="str">
        <f>""</f>
        <v/>
      </c>
      <c r="J1019" t="str">
        <f t="shared" si="399"/>
        <v>Elite</v>
      </c>
      <c r="K1019" t="str">
        <f t="shared" si="407"/>
        <v>Device</v>
      </c>
      <c r="L1019" t="str">
        <f>"777237859"</f>
        <v>777237859</v>
      </c>
      <c r="M1019" t="str">
        <f>"16670616"</f>
        <v>16670616</v>
      </c>
      <c r="N1019" t="str">
        <f>"9704-15M"</f>
        <v>9704-15M</v>
      </c>
      <c r="O1019" t="str">
        <f t="shared" si="400"/>
        <v>TEXAS</v>
      </c>
      <c r="P1019" t="str">
        <f t="shared" si="401"/>
        <v>N A</v>
      </c>
      <c r="Q1019" t="str">
        <f t="shared" si="402"/>
        <v>N/A</v>
      </c>
      <c r="R1019" t="str">
        <f>"130 CMRNP 08 306"</f>
        <v>130 CMRNP 08 306</v>
      </c>
      <c r="S1019" t="str">
        <f>"12/20/2019 5:29:43 PM"</f>
        <v>12/20/2019 5:29:43 PM</v>
      </c>
      <c r="T1019" t="str">
        <f t="shared" si="417"/>
        <v>5</v>
      </c>
      <c r="U1019" t="str">
        <f t="shared" si="403"/>
        <v>N/A</v>
      </c>
      <c r="V1019" t="str">
        <f t="shared" si="418"/>
        <v>5.5500</v>
      </c>
    </row>
    <row r="1020" spans="1:22" x14ac:dyDescent="0.25">
      <c r="A1020" s="1" t="str">
        <f t="shared" si="413"/>
        <v>9704-</v>
      </c>
      <c r="B1020" s="1" t="str">
        <f t="shared" si="404"/>
        <v>9704-</v>
      </c>
      <c r="C1020" s="1" t="str">
        <f>VLOOKUP(B1020,'Master truck list'!D:E,2,0)</f>
        <v>9704-15MT</v>
      </c>
      <c r="D1020" s="1" t="str">
        <f>VLOOKUP(C1020,'Master truck list'!E:F,2,0)</f>
        <v>ACTIVE</v>
      </c>
      <c r="E1020" s="1" t="str">
        <f>VLOOKUP(C1020,'Master truck list'!E:M,9,0)</f>
        <v>CHARGER LOGISTICS USA INC</v>
      </c>
      <c r="F1020" s="1" t="str">
        <f>VLOOKUP(C1020,'Master truck list'!E:G,3,0)</f>
        <v>Company</v>
      </c>
      <c r="G1020" s="1">
        <f>VLOOKUP(C1020,'Master truck list'!E:R,14,0)</f>
        <v>385</v>
      </c>
      <c r="H1020" t="str">
        <f t="shared" si="419"/>
        <v>12/21/2019 7:00:28 AM</v>
      </c>
      <c r="I1020" t="str">
        <f>""</f>
        <v/>
      </c>
      <c r="J1020" t="str">
        <f t="shared" si="399"/>
        <v>Elite</v>
      </c>
      <c r="K1020" t="str">
        <f t="shared" si="407"/>
        <v>Device</v>
      </c>
      <c r="L1020" t="str">
        <f>"777237859"</f>
        <v>777237859</v>
      </c>
      <c r="M1020" t="str">
        <f>"16670616"</f>
        <v>16670616</v>
      </c>
      <c r="N1020" t="str">
        <f>"9704-15M"</f>
        <v>9704-15M</v>
      </c>
      <c r="O1020" t="str">
        <f t="shared" si="400"/>
        <v>TEXAS</v>
      </c>
      <c r="P1020" t="str">
        <f t="shared" si="401"/>
        <v>N A</v>
      </c>
      <c r="Q1020" t="str">
        <f t="shared" si="402"/>
        <v>N/A</v>
      </c>
      <c r="R1020" t="str">
        <f>"130 DKCRP 06 307"</f>
        <v>130 DKCRP 06 307</v>
      </c>
      <c r="S1020" t="str">
        <f>"12/20/2019 5:41:02 PM"</f>
        <v>12/20/2019 5:41:02 PM</v>
      </c>
      <c r="T1020" t="str">
        <f t="shared" si="417"/>
        <v>5</v>
      </c>
      <c r="U1020" t="str">
        <f t="shared" si="403"/>
        <v>N/A</v>
      </c>
      <c r="V1020" t="str">
        <f t="shared" si="418"/>
        <v>5.5500</v>
      </c>
    </row>
    <row r="1021" spans="1:22" x14ac:dyDescent="0.25">
      <c r="A1021" s="1" t="str">
        <f t="shared" si="413"/>
        <v>2257-</v>
      </c>
      <c r="B1021" s="1" t="str">
        <f t="shared" si="404"/>
        <v>2257-</v>
      </c>
      <c r="C1021" s="1" t="str">
        <f>VLOOKUP(B1021,'Master truck list'!D:E,2,0)</f>
        <v>2257-18AL</v>
      </c>
      <c r="D1021" s="1" t="str">
        <f>VLOOKUP(C1021,'Master truck list'!E:F,2,0)</f>
        <v>ACTIVE</v>
      </c>
      <c r="E1021" s="1" t="str">
        <f>VLOOKUP(C1021,'Master truck list'!E:M,9,0)</f>
        <v>CHARGER LOGISTICS USA INC</v>
      </c>
      <c r="F1021" s="1" t="str">
        <f>VLOOKUP(C1021,'Master truck list'!E:G,3,0)</f>
        <v>Owner Operator</v>
      </c>
      <c r="G1021" s="1">
        <f>VLOOKUP(C1021,'Master truck list'!E:R,14,0)</f>
        <v>881</v>
      </c>
      <c r="H1021" t="str">
        <f t="shared" si="419"/>
        <v>12/21/2019 7:00:28 AM</v>
      </c>
      <c r="I1021" t="str">
        <f>""</f>
        <v/>
      </c>
      <c r="J1021" t="str">
        <f t="shared" si="399"/>
        <v>Elite</v>
      </c>
      <c r="K1021" t="str">
        <f t="shared" si="407"/>
        <v>Device</v>
      </c>
      <c r="L1021" t="str">
        <f t="shared" ref="L1021:L1032" si="420">"777237864"</f>
        <v>777237864</v>
      </c>
      <c r="M1021" t="str">
        <f t="shared" ref="M1021:M1032" si="421">"16670621"</f>
        <v>16670621</v>
      </c>
      <c r="N1021" t="str">
        <f t="shared" ref="N1021:N1032" si="422">"2257-18A"</f>
        <v>2257-18A</v>
      </c>
      <c r="O1021" t="str">
        <f t="shared" si="400"/>
        <v>TEXAS</v>
      </c>
      <c r="P1021" t="str">
        <f t="shared" si="401"/>
        <v>N A</v>
      </c>
      <c r="Q1021" t="str">
        <f t="shared" si="402"/>
        <v>N/A</v>
      </c>
      <c r="R1021" t="str">
        <f>"130 DKCRP 11 307"</f>
        <v>130 DKCRP 11 307</v>
      </c>
      <c r="S1021" t="str">
        <f>"12/20/2019 2:41:57 PM"</f>
        <v>12/20/2019 2:41:57 PM</v>
      </c>
      <c r="T1021" t="str">
        <f t="shared" si="417"/>
        <v>5</v>
      </c>
      <c r="U1021" t="str">
        <f t="shared" si="403"/>
        <v>N/A</v>
      </c>
      <c r="V1021" t="str">
        <f t="shared" si="418"/>
        <v>5.5500</v>
      </c>
    </row>
    <row r="1022" spans="1:22" x14ac:dyDescent="0.25">
      <c r="A1022" s="1" t="str">
        <f t="shared" si="413"/>
        <v>2257-</v>
      </c>
      <c r="B1022" s="1" t="str">
        <f t="shared" si="404"/>
        <v>2257-</v>
      </c>
      <c r="C1022" s="1" t="str">
        <f>VLOOKUP(B1022,'Master truck list'!D:E,2,0)</f>
        <v>2257-18AL</v>
      </c>
      <c r="D1022" s="1" t="str">
        <f>VLOOKUP(C1022,'Master truck list'!E:F,2,0)</f>
        <v>ACTIVE</v>
      </c>
      <c r="E1022" s="1" t="str">
        <f>VLOOKUP(C1022,'Master truck list'!E:M,9,0)</f>
        <v>CHARGER LOGISTICS USA INC</v>
      </c>
      <c r="F1022" s="1" t="str">
        <f>VLOOKUP(C1022,'Master truck list'!E:G,3,0)</f>
        <v>Owner Operator</v>
      </c>
      <c r="G1022" s="1">
        <f>VLOOKUP(C1022,'Master truck list'!E:R,14,0)</f>
        <v>881</v>
      </c>
      <c r="H1022" t="str">
        <f t="shared" si="419"/>
        <v>12/21/2019 7:00:28 AM</v>
      </c>
      <c r="I1022" t="str">
        <f>""</f>
        <v/>
      </c>
      <c r="J1022" t="str">
        <f t="shared" si="399"/>
        <v>Elite</v>
      </c>
      <c r="K1022" t="str">
        <f t="shared" si="407"/>
        <v>Device</v>
      </c>
      <c r="L1022" t="str">
        <f t="shared" si="420"/>
        <v>777237864</v>
      </c>
      <c r="M1022" t="str">
        <f t="shared" si="421"/>
        <v>16670621</v>
      </c>
      <c r="N1022" t="str">
        <f t="shared" si="422"/>
        <v>2257-18A</v>
      </c>
      <c r="O1022" t="str">
        <f t="shared" si="400"/>
        <v>TEXAS</v>
      </c>
      <c r="P1022" t="str">
        <f t="shared" si="401"/>
        <v>N A</v>
      </c>
      <c r="Q1022" t="str">
        <f t="shared" si="402"/>
        <v>N/A</v>
      </c>
      <c r="R1022" t="str">
        <f>"130 ARPTP 08 308"</f>
        <v>130 ARPTP 08 308</v>
      </c>
      <c r="S1022" t="str">
        <f>"12/20/2019 2:34:33 PM"</f>
        <v>12/20/2019 2:34:33 PM</v>
      </c>
      <c r="T1022" t="str">
        <f t="shared" si="417"/>
        <v>5</v>
      </c>
      <c r="U1022" t="str">
        <f t="shared" si="403"/>
        <v>N/A</v>
      </c>
      <c r="V1022" t="str">
        <f t="shared" si="418"/>
        <v>5.5500</v>
      </c>
    </row>
    <row r="1023" spans="1:22" x14ac:dyDescent="0.25">
      <c r="A1023" s="1" t="str">
        <f t="shared" si="413"/>
        <v>2257-</v>
      </c>
      <c r="B1023" s="1" t="str">
        <f t="shared" si="404"/>
        <v>2257-</v>
      </c>
      <c r="C1023" s="1" t="s">
        <v>8906</v>
      </c>
      <c r="D1023" s="1" t="str">
        <f>VLOOKUP(C1023,'Master truck list'!E:F,2,0)</f>
        <v>ACTIVE</v>
      </c>
      <c r="E1023" s="1" t="str">
        <f>VLOOKUP(C1023,'Master truck list'!E:M,9,0)</f>
        <v>CHARGER LOGISTICS USA INC</v>
      </c>
      <c r="F1023" s="1" t="str">
        <f>VLOOKUP(C1023,'Master truck list'!E:G,3,0)</f>
        <v>Owner Operator</v>
      </c>
      <c r="G1023" s="1">
        <f>VLOOKUP(C1023,'Master truck list'!E:R,14,0)</f>
        <v>272</v>
      </c>
      <c r="H1023" t="str">
        <f t="shared" si="419"/>
        <v>12/21/2019 7:00:28 AM</v>
      </c>
      <c r="I1023" t="str">
        <f>""</f>
        <v/>
      </c>
      <c r="J1023" t="str">
        <f t="shared" si="399"/>
        <v>Elite</v>
      </c>
      <c r="K1023" t="str">
        <f t="shared" si="407"/>
        <v>Device</v>
      </c>
      <c r="L1023" t="str">
        <f t="shared" si="420"/>
        <v>777237864</v>
      </c>
      <c r="M1023" t="str">
        <f t="shared" si="421"/>
        <v>16670621</v>
      </c>
      <c r="N1023" t="str">
        <f t="shared" si="422"/>
        <v>2257-18A</v>
      </c>
      <c r="O1023" t="str">
        <f t="shared" si="400"/>
        <v>TEXAS</v>
      </c>
      <c r="P1023" t="str">
        <f t="shared" si="401"/>
        <v>N A</v>
      </c>
      <c r="Q1023" t="str">
        <f t="shared" si="402"/>
        <v>N/A</v>
      </c>
      <c r="R1023" t="str">
        <f>"130 MGCRP 11 305"</f>
        <v>130 MGCRP 11 305</v>
      </c>
      <c r="S1023" t="str">
        <f>"12/20/2019 3:07:47 PM"</f>
        <v>12/20/2019 3:07:47 PM</v>
      </c>
      <c r="T1023" t="str">
        <f t="shared" si="417"/>
        <v>5</v>
      </c>
      <c r="U1023" t="str">
        <f t="shared" si="403"/>
        <v>N/A</v>
      </c>
      <c r="V1023" t="str">
        <f t="shared" si="418"/>
        <v>5.5500</v>
      </c>
    </row>
    <row r="1024" spans="1:22" x14ac:dyDescent="0.25">
      <c r="A1024" s="1" t="str">
        <f t="shared" si="413"/>
        <v>2257-</v>
      </c>
      <c r="B1024" s="1" t="str">
        <f t="shared" si="404"/>
        <v>2257-</v>
      </c>
      <c r="C1024" s="1" t="s">
        <v>8902</v>
      </c>
      <c r="D1024" s="1" t="s">
        <v>91</v>
      </c>
      <c r="E1024" s="1" t="s">
        <v>1738</v>
      </c>
      <c r="F1024" s="1" t="s">
        <v>22</v>
      </c>
      <c r="G1024" s="1" t="e">
        <f>VLOOKUP(C1024,'Master truck list'!E:R,14,0)</f>
        <v>#N/A</v>
      </c>
      <c r="H1024" t="str">
        <f t="shared" si="419"/>
        <v>12/21/2019 7:00:28 AM</v>
      </c>
      <c r="I1024" t="str">
        <f>""</f>
        <v/>
      </c>
      <c r="J1024" t="str">
        <f t="shared" si="399"/>
        <v>Elite</v>
      </c>
      <c r="K1024" t="str">
        <f t="shared" si="407"/>
        <v>Device</v>
      </c>
      <c r="L1024" t="str">
        <f t="shared" si="420"/>
        <v>777237864</v>
      </c>
      <c r="M1024" t="str">
        <f t="shared" si="421"/>
        <v>16670621</v>
      </c>
      <c r="N1024" t="str">
        <f t="shared" si="422"/>
        <v>2257-18A</v>
      </c>
      <c r="O1024" t="str">
        <f t="shared" si="400"/>
        <v>TEXAS</v>
      </c>
      <c r="P1024" t="str">
        <f t="shared" si="401"/>
        <v>N A</v>
      </c>
      <c r="Q1024" t="str">
        <f t="shared" si="402"/>
        <v>N/A</v>
      </c>
      <c r="R1024" t="str">
        <f>"45SE MLPEB 02 611"</f>
        <v>45SE MLPEB 02 611</v>
      </c>
      <c r="S1024" t="str">
        <f>"12/20/2019 2:23:17 PM"</f>
        <v>12/20/2019 2:23:17 PM</v>
      </c>
      <c r="T1024" t="str">
        <f t="shared" si="417"/>
        <v>5</v>
      </c>
      <c r="U1024" t="str">
        <f t="shared" si="403"/>
        <v>N/A</v>
      </c>
      <c r="V1024" t="str">
        <f>"3.3000"</f>
        <v>3.3000</v>
      </c>
    </row>
    <row r="1025" spans="1:22" x14ac:dyDescent="0.25">
      <c r="A1025" s="1" t="str">
        <f t="shared" si="413"/>
        <v>2257-</v>
      </c>
      <c r="B1025" s="1" t="str">
        <f t="shared" si="404"/>
        <v>2257-</v>
      </c>
      <c r="C1025" s="1" t="s">
        <v>8922</v>
      </c>
      <c r="D1025" s="1" t="s">
        <v>91</v>
      </c>
      <c r="E1025" s="1" t="s">
        <v>37</v>
      </c>
      <c r="F1025" s="1" t="s">
        <v>22</v>
      </c>
      <c r="G1025" s="1" t="e">
        <f>VLOOKUP(C1025,'Master truck list'!E:R,14,0)</f>
        <v>#N/A</v>
      </c>
      <c r="H1025" t="str">
        <f>"12/20/2019 7:00:30 AM"</f>
        <v>12/20/2019 7:00:30 AM</v>
      </c>
      <c r="I1025" t="str">
        <f>""</f>
        <v/>
      </c>
      <c r="J1025" t="str">
        <f t="shared" si="399"/>
        <v>Elite</v>
      </c>
      <c r="K1025" t="str">
        <f t="shared" si="407"/>
        <v>Device</v>
      </c>
      <c r="L1025" t="str">
        <f t="shared" si="420"/>
        <v>777237864</v>
      </c>
      <c r="M1025" t="str">
        <f t="shared" si="421"/>
        <v>16670621</v>
      </c>
      <c r="N1025" t="str">
        <f t="shared" si="422"/>
        <v>2257-18A</v>
      </c>
      <c r="O1025" t="str">
        <f t="shared" si="400"/>
        <v>TEXAS</v>
      </c>
      <c r="P1025" t="str">
        <f t="shared" si="401"/>
        <v>N A</v>
      </c>
      <c r="Q1025" t="str">
        <f t="shared" si="402"/>
        <v>N/A</v>
      </c>
      <c r="R1025" t="str">
        <f>"130 DKCRP 06 307"</f>
        <v>130 DKCRP 06 307</v>
      </c>
      <c r="S1025" t="str">
        <f>"12/19/2019 7:08:53 AM"</f>
        <v>12/19/2019 7:08:53 AM</v>
      </c>
      <c r="T1025" t="str">
        <f t="shared" si="417"/>
        <v>5</v>
      </c>
      <c r="U1025" t="str">
        <f t="shared" si="403"/>
        <v>N/A</v>
      </c>
      <c r="V1025" t="str">
        <f>"5.5500"</f>
        <v>5.5500</v>
      </c>
    </row>
    <row r="1026" spans="1:22" x14ac:dyDescent="0.25">
      <c r="A1026" s="1" t="str">
        <f t="shared" si="413"/>
        <v>2257-</v>
      </c>
      <c r="B1026" s="1" t="str">
        <f t="shared" si="404"/>
        <v>2257-</v>
      </c>
      <c r="C1026" s="1" t="str">
        <f>VLOOKUP(B1026,'Master truck list'!D:E,2,0)</f>
        <v>2257-18AL</v>
      </c>
      <c r="D1026" s="1" t="str">
        <f>VLOOKUP(C1026,'Master truck list'!E:F,2,0)</f>
        <v>ACTIVE</v>
      </c>
      <c r="E1026" s="1" t="str">
        <f>VLOOKUP(C1026,'Master truck list'!E:M,9,0)</f>
        <v>CHARGER LOGISTICS USA INC</v>
      </c>
      <c r="F1026" s="1" t="str">
        <f>VLOOKUP(C1026,'Master truck list'!E:G,3,0)</f>
        <v>Owner Operator</v>
      </c>
      <c r="G1026" s="1">
        <f>VLOOKUP(C1026,'Master truck list'!E:R,14,0)</f>
        <v>881</v>
      </c>
      <c r="H1026" t="str">
        <f>"12/20/2019 7:00:30 AM"</f>
        <v>12/20/2019 7:00:30 AM</v>
      </c>
      <c r="I1026" t="str">
        <f>""</f>
        <v/>
      </c>
      <c r="J1026" t="str">
        <f t="shared" ref="J1026:J1089" si="423">"Elite"</f>
        <v>Elite</v>
      </c>
      <c r="K1026" t="str">
        <f t="shared" si="407"/>
        <v>Device</v>
      </c>
      <c r="L1026" t="str">
        <f t="shared" si="420"/>
        <v>777237864</v>
      </c>
      <c r="M1026" t="str">
        <f t="shared" si="421"/>
        <v>16670621</v>
      </c>
      <c r="N1026" t="str">
        <f t="shared" si="422"/>
        <v>2257-18A</v>
      </c>
      <c r="O1026" t="str">
        <f t="shared" ref="O1026:O1089" si="424">"TEXAS"</f>
        <v>TEXAS</v>
      </c>
      <c r="P1026" t="str">
        <f t="shared" ref="P1026:P1089" si="425">"N A"</f>
        <v>N A</v>
      </c>
      <c r="Q1026" t="str">
        <f t="shared" ref="Q1026:Q1089" si="426">"N/A"</f>
        <v>N/A</v>
      </c>
      <c r="R1026" t="str">
        <f>"45SE MLPWB 01 611"</f>
        <v>45SE MLPWB 01 611</v>
      </c>
      <c r="S1026" t="str">
        <f>"12/19/2019 7:26:47 AM"</f>
        <v>12/19/2019 7:26:47 AM</v>
      </c>
      <c r="T1026" t="str">
        <f t="shared" si="417"/>
        <v>5</v>
      </c>
      <c r="U1026" t="str">
        <f t="shared" ref="U1026:U1089" si="427">"N/A"</f>
        <v>N/A</v>
      </c>
      <c r="V1026" t="str">
        <f>"3.3000"</f>
        <v>3.3000</v>
      </c>
    </row>
    <row r="1027" spans="1:22" x14ac:dyDescent="0.25">
      <c r="A1027" s="1" t="str">
        <f t="shared" si="413"/>
        <v>2257-</v>
      </c>
      <c r="B1027" s="1" t="str">
        <f t="shared" ref="B1027:B1090" si="428">SUBSTITUTE(A1027," ","")</f>
        <v>2257-</v>
      </c>
      <c r="C1027" s="1" t="str">
        <f>VLOOKUP(B1027,'Master truck list'!D:E,2,0)</f>
        <v>2257-18AL</v>
      </c>
      <c r="D1027" s="1" t="str">
        <f>VLOOKUP(C1027,'Master truck list'!E:F,2,0)</f>
        <v>ACTIVE</v>
      </c>
      <c r="E1027" s="1" t="str">
        <f>VLOOKUP(C1027,'Master truck list'!E:M,9,0)</f>
        <v>CHARGER LOGISTICS USA INC</v>
      </c>
      <c r="F1027" s="1" t="str">
        <f>VLOOKUP(C1027,'Master truck list'!E:G,3,0)</f>
        <v>Owner Operator</v>
      </c>
      <c r="G1027" s="1">
        <f>VLOOKUP(C1027,'Master truck list'!E:R,14,0)</f>
        <v>881</v>
      </c>
      <c r="H1027" t="str">
        <f>"12/20/2019 7:00:30 AM"</f>
        <v>12/20/2019 7:00:30 AM</v>
      </c>
      <c r="I1027" t="str">
        <f>""</f>
        <v/>
      </c>
      <c r="J1027" t="str">
        <f t="shared" si="423"/>
        <v>Elite</v>
      </c>
      <c r="K1027" t="str">
        <f t="shared" si="407"/>
        <v>Device</v>
      </c>
      <c r="L1027" t="str">
        <f t="shared" si="420"/>
        <v>777237864</v>
      </c>
      <c r="M1027" t="str">
        <f t="shared" si="421"/>
        <v>16670621</v>
      </c>
      <c r="N1027" t="str">
        <f t="shared" si="422"/>
        <v>2257-18A</v>
      </c>
      <c r="O1027" t="str">
        <f t="shared" si="424"/>
        <v>TEXAS</v>
      </c>
      <c r="P1027" t="str">
        <f t="shared" si="425"/>
        <v>N A</v>
      </c>
      <c r="Q1027" t="str">
        <f t="shared" si="426"/>
        <v>N/A</v>
      </c>
      <c r="R1027" t="str">
        <f>"130 CMRNP 08 306"</f>
        <v>130 CMRNP 08 306</v>
      </c>
      <c r="S1027" t="str">
        <f>"12/19/2019 6:58:38 AM"</f>
        <v>12/19/2019 6:58:38 AM</v>
      </c>
      <c r="T1027" t="str">
        <f t="shared" si="417"/>
        <v>5</v>
      </c>
      <c r="U1027" t="str">
        <f t="shared" si="427"/>
        <v>N/A</v>
      </c>
      <c r="V1027" t="str">
        <f>"5.5500"</f>
        <v>5.5500</v>
      </c>
    </row>
    <row r="1028" spans="1:22" x14ac:dyDescent="0.25">
      <c r="A1028" s="1" t="str">
        <f t="shared" si="413"/>
        <v>2257-</v>
      </c>
      <c r="B1028" s="1" t="str">
        <f t="shared" si="428"/>
        <v>2257-</v>
      </c>
      <c r="C1028" s="1" t="s">
        <v>8887</v>
      </c>
      <c r="D1028" s="1" t="s">
        <v>91</v>
      </c>
      <c r="E1028" s="1" t="s">
        <v>1738</v>
      </c>
      <c r="F1028" s="1" t="s">
        <v>22</v>
      </c>
      <c r="G1028" s="1" t="e">
        <f>VLOOKUP(C1028,'Master truck list'!E:R,14,0)</f>
        <v>#N/A</v>
      </c>
      <c r="H1028" t="str">
        <f>"12/20/2019 7:00:30 AM"</f>
        <v>12/20/2019 7:00:30 AM</v>
      </c>
      <c r="I1028" t="str">
        <f>""</f>
        <v/>
      </c>
      <c r="J1028" t="str">
        <f t="shared" si="423"/>
        <v>Elite</v>
      </c>
      <c r="K1028" t="str">
        <f t="shared" si="407"/>
        <v>Device</v>
      </c>
      <c r="L1028" t="str">
        <f t="shared" si="420"/>
        <v>777237864</v>
      </c>
      <c r="M1028" t="str">
        <f t="shared" si="421"/>
        <v>16670621</v>
      </c>
      <c r="N1028" t="str">
        <f t="shared" si="422"/>
        <v>2257-18A</v>
      </c>
      <c r="O1028" t="str">
        <f t="shared" si="424"/>
        <v>TEXAS</v>
      </c>
      <c r="P1028" t="str">
        <f t="shared" si="425"/>
        <v>N A</v>
      </c>
      <c r="Q1028" t="str">
        <f t="shared" si="426"/>
        <v>N/A</v>
      </c>
      <c r="R1028" t="str">
        <f>"130 MGCRP 06 305"</f>
        <v>130 MGCRP 06 305</v>
      </c>
      <c r="S1028" t="str">
        <f>"12/19/2019 6:47:24 AM"</f>
        <v>12/19/2019 6:47:24 AM</v>
      </c>
      <c r="T1028" t="str">
        <f t="shared" si="417"/>
        <v>5</v>
      </c>
      <c r="U1028" t="str">
        <f t="shared" si="427"/>
        <v>N/A</v>
      </c>
      <c r="V1028" t="str">
        <f>"5.5500"</f>
        <v>5.5500</v>
      </c>
    </row>
    <row r="1029" spans="1:22" x14ac:dyDescent="0.25">
      <c r="A1029" s="1" t="str">
        <f t="shared" si="413"/>
        <v>2257-</v>
      </c>
      <c r="B1029" s="1" t="str">
        <f t="shared" si="428"/>
        <v>2257-</v>
      </c>
      <c r="C1029" s="1" t="s">
        <v>8907</v>
      </c>
      <c r="D1029" s="1" t="s">
        <v>91</v>
      </c>
      <c r="E1029" s="1" t="s">
        <v>37</v>
      </c>
      <c r="F1029" s="1" t="s">
        <v>22</v>
      </c>
      <c r="G1029" s="1" t="e">
        <f>VLOOKUP(C1029,'Master truck list'!E:R,14,0)</f>
        <v>#N/A</v>
      </c>
      <c r="H1029" t="str">
        <f>"12/20/2019 7:00:30 AM"</f>
        <v>12/20/2019 7:00:30 AM</v>
      </c>
      <c r="I1029" t="str">
        <f>""</f>
        <v/>
      </c>
      <c r="J1029" t="str">
        <f t="shared" si="423"/>
        <v>Elite</v>
      </c>
      <c r="K1029" t="str">
        <f t="shared" si="407"/>
        <v>Device</v>
      </c>
      <c r="L1029" t="str">
        <f t="shared" si="420"/>
        <v>777237864</v>
      </c>
      <c r="M1029" t="str">
        <f t="shared" si="421"/>
        <v>16670621</v>
      </c>
      <c r="N1029" t="str">
        <f t="shared" si="422"/>
        <v>2257-18A</v>
      </c>
      <c r="O1029" t="str">
        <f t="shared" si="424"/>
        <v>TEXAS</v>
      </c>
      <c r="P1029" t="str">
        <f t="shared" si="425"/>
        <v>N A</v>
      </c>
      <c r="Q1029" t="str">
        <f t="shared" si="426"/>
        <v>N/A</v>
      </c>
      <c r="R1029" t="str">
        <f>"130 ARPTP 04 308"</f>
        <v>130 ARPTP 04 308</v>
      </c>
      <c r="S1029" t="str">
        <f>"12/19/2019 7:15:59 AM"</f>
        <v>12/19/2019 7:15:59 AM</v>
      </c>
      <c r="T1029" t="str">
        <f t="shared" si="417"/>
        <v>5</v>
      </c>
      <c r="U1029" t="str">
        <f t="shared" si="427"/>
        <v>N/A</v>
      </c>
      <c r="V1029" t="str">
        <f>"5.5500"</f>
        <v>5.5500</v>
      </c>
    </row>
    <row r="1030" spans="1:22" x14ac:dyDescent="0.25">
      <c r="A1030" s="1" t="str">
        <f t="shared" si="413"/>
        <v>2257-</v>
      </c>
      <c r="B1030" s="1" t="str">
        <f t="shared" si="428"/>
        <v>2257-</v>
      </c>
      <c r="C1030" s="1" t="s">
        <v>8907</v>
      </c>
      <c r="D1030" s="1" t="s">
        <v>91</v>
      </c>
      <c r="E1030" s="1" t="s">
        <v>37</v>
      </c>
      <c r="F1030" s="1" t="s">
        <v>22</v>
      </c>
      <c r="G1030" s="1" t="e">
        <f>VLOOKUP(C1030,'Master truck list'!E:R,14,0)</f>
        <v>#N/A</v>
      </c>
      <c r="H1030" t="str">
        <f>"12/19/2019 7:00:35 AM"</f>
        <v>12/19/2019 7:00:35 AM</v>
      </c>
      <c r="I1030" t="str">
        <f>""</f>
        <v/>
      </c>
      <c r="J1030" t="str">
        <f t="shared" si="423"/>
        <v>Elite</v>
      </c>
      <c r="K1030" t="str">
        <f t="shared" si="407"/>
        <v>Device</v>
      </c>
      <c r="L1030" t="str">
        <f t="shared" si="420"/>
        <v>777237864</v>
      </c>
      <c r="M1030" t="str">
        <f t="shared" si="421"/>
        <v>16670621</v>
      </c>
      <c r="N1030" t="str">
        <f t="shared" si="422"/>
        <v>2257-18A</v>
      </c>
      <c r="O1030" t="str">
        <f t="shared" si="424"/>
        <v>TEXAS</v>
      </c>
      <c r="P1030" t="str">
        <f t="shared" si="425"/>
        <v>N A</v>
      </c>
      <c r="Q1030" t="str">
        <f t="shared" si="426"/>
        <v>N/A</v>
      </c>
      <c r="R1030" t="str">
        <f>"PGBW NLTRD 02 NLTR"</f>
        <v>PGBW NLTRD 02 NLTR</v>
      </c>
      <c r="S1030" t="str">
        <f>"12/18/2019 4:03:23 PM"</f>
        <v>12/18/2019 4:03:23 PM</v>
      </c>
      <c r="T1030" t="str">
        <f t="shared" si="417"/>
        <v>5</v>
      </c>
      <c r="U1030" t="str">
        <f t="shared" si="427"/>
        <v>N/A</v>
      </c>
      <c r="V1030" t="str">
        <f>"2.0400"</f>
        <v>2.0400</v>
      </c>
    </row>
    <row r="1031" spans="1:22" x14ac:dyDescent="0.25">
      <c r="A1031" s="1" t="str">
        <f t="shared" si="413"/>
        <v>2257-</v>
      </c>
      <c r="B1031" s="1" t="str">
        <f t="shared" si="428"/>
        <v>2257-</v>
      </c>
      <c r="C1031" s="1" t="str">
        <f>VLOOKUP(B1031,'Master truck list'!D:E,2,0)</f>
        <v>2257-18AL</v>
      </c>
      <c r="D1031" s="1" t="str">
        <f>VLOOKUP(C1031,'Master truck list'!E:F,2,0)</f>
        <v>ACTIVE</v>
      </c>
      <c r="E1031" s="1" t="str">
        <f>VLOOKUP(C1031,'Master truck list'!E:M,9,0)</f>
        <v>CHARGER LOGISTICS USA INC</v>
      </c>
      <c r="F1031" s="1" t="str">
        <f>VLOOKUP(C1031,'Master truck list'!E:G,3,0)</f>
        <v>Owner Operator</v>
      </c>
      <c r="G1031" s="1">
        <f>VLOOKUP(C1031,'Master truck list'!E:R,14,0)</f>
        <v>881</v>
      </c>
      <c r="H1031" t="str">
        <f>"12/19/2019 7:00:35 AM"</f>
        <v>12/19/2019 7:00:35 AM</v>
      </c>
      <c r="I1031" t="str">
        <f>""</f>
        <v/>
      </c>
      <c r="J1031" t="str">
        <f t="shared" si="423"/>
        <v>Elite</v>
      </c>
      <c r="K1031" t="str">
        <f t="shared" si="407"/>
        <v>Device</v>
      </c>
      <c r="L1031" t="str">
        <f t="shared" si="420"/>
        <v>777237864</v>
      </c>
      <c r="M1031" t="str">
        <f t="shared" si="421"/>
        <v>16670621</v>
      </c>
      <c r="N1031" t="str">
        <f t="shared" si="422"/>
        <v>2257-18A</v>
      </c>
      <c r="O1031" t="str">
        <f t="shared" si="424"/>
        <v>TEXAS</v>
      </c>
      <c r="P1031" t="str">
        <f t="shared" si="425"/>
        <v>N A</v>
      </c>
      <c r="Q1031" t="str">
        <f t="shared" si="426"/>
        <v>N/A</v>
      </c>
      <c r="R1031" t="str">
        <f>"PGBT MLP10 07 MLP1"</f>
        <v>PGBT MLP10 07 MLP1</v>
      </c>
      <c r="S1031" t="str">
        <f>"12/18/2019 3:53:27 PM"</f>
        <v>12/18/2019 3:53:27 PM</v>
      </c>
      <c r="T1031" t="str">
        <f t="shared" si="417"/>
        <v>5</v>
      </c>
      <c r="U1031" t="str">
        <f t="shared" si="427"/>
        <v>N/A</v>
      </c>
      <c r="V1031" t="str">
        <f>"2.4000"</f>
        <v>2.4000</v>
      </c>
    </row>
    <row r="1032" spans="1:22" x14ac:dyDescent="0.25">
      <c r="A1032" s="1" t="str">
        <f t="shared" si="413"/>
        <v>2257-</v>
      </c>
      <c r="B1032" s="1" t="str">
        <f t="shared" si="428"/>
        <v>2257-</v>
      </c>
      <c r="C1032" s="1" t="s">
        <v>8898</v>
      </c>
      <c r="D1032" s="1" t="s">
        <v>8899</v>
      </c>
      <c r="E1032" s="1" t="s">
        <v>154</v>
      </c>
      <c r="F1032" s="1" t="s">
        <v>22</v>
      </c>
      <c r="G1032" s="1" t="e">
        <f>VLOOKUP(C1032,'Master truck list'!E:R,14,0)</f>
        <v>#N/A</v>
      </c>
      <c r="H1032" t="str">
        <f>"12/19/2019 7:00:35 AM"</f>
        <v>12/19/2019 7:00:35 AM</v>
      </c>
      <c r="I1032" t="str">
        <f>""</f>
        <v/>
      </c>
      <c r="J1032" t="str">
        <f t="shared" si="423"/>
        <v>Elite</v>
      </c>
      <c r="K1032" t="str">
        <f t="shared" si="407"/>
        <v>Device</v>
      </c>
      <c r="L1032" t="str">
        <f t="shared" si="420"/>
        <v>777237864</v>
      </c>
      <c r="M1032" t="str">
        <f t="shared" si="421"/>
        <v>16670621</v>
      </c>
      <c r="N1032" t="str">
        <f t="shared" si="422"/>
        <v>2257-18A</v>
      </c>
      <c r="O1032" t="str">
        <f t="shared" si="424"/>
        <v>TEXAS</v>
      </c>
      <c r="P1032" t="str">
        <f t="shared" si="425"/>
        <v>N A</v>
      </c>
      <c r="Q1032" t="str">
        <f t="shared" si="426"/>
        <v>N/A</v>
      </c>
      <c r="R1032" t="str">
        <f>"PGBW MLG12 02 MLG1"</f>
        <v>PGBW MLG12 02 MLG1</v>
      </c>
      <c r="S1032" t="str">
        <f>"12/18/2019 5:09:44 PM"</f>
        <v>12/18/2019 5:09:44 PM</v>
      </c>
      <c r="T1032" t="str">
        <f t="shared" si="417"/>
        <v>5</v>
      </c>
      <c r="U1032" t="str">
        <f t="shared" si="427"/>
        <v>N/A</v>
      </c>
      <c r="V1032" t="str">
        <f>"4.6400"</f>
        <v>4.6400</v>
      </c>
    </row>
    <row r="1033" spans="1:22" x14ac:dyDescent="0.25">
      <c r="A1033" s="1" t="str">
        <f t="shared" si="413"/>
        <v>9931</v>
      </c>
      <c r="B1033" s="1" t="str">
        <f t="shared" si="428"/>
        <v>9931</v>
      </c>
      <c r="C1033" s="1" t="str">
        <f>VLOOKUP(B1033,'Master truck list'!D:E,2,0)</f>
        <v>9931</v>
      </c>
      <c r="D1033" s="1" t="str">
        <f>VLOOKUP(C1033,'Master truck list'!E:F,2,0)</f>
        <v>ACTIVE</v>
      </c>
      <c r="E1033" s="1" t="str">
        <f>VLOOKUP(C1033,'Master truck list'!E:M,9,0)</f>
        <v>CHARGER LOGISTICS USA INC</v>
      </c>
      <c r="F1033" s="1" t="str">
        <f>VLOOKUP(C1033,'Master truck list'!E:G,3,0)</f>
        <v>Company</v>
      </c>
      <c r="G1033" s="1">
        <f>VLOOKUP(C1033,'Master truck list'!E:R,14,0)</f>
        <v>132</v>
      </c>
      <c r="H1033" t="str">
        <f>"12/19/2019 7:00:35 AM"</f>
        <v>12/19/2019 7:00:35 AM</v>
      </c>
      <c r="I1033" t="str">
        <f>""</f>
        <v/>
      </c>
      <c r="J1033" t="str">
        <f t="shared" si="423"/>
        <v>Elite</v>
      </c>
      <c r="K1033" t="str">
        <f t="shared" si="407"/>
        <v>Device</v>
      </c>
      <c r="L1033" t="str">
        <f t="shared" ref="L1033:L1041" si="429">"777237876"</f>
        <v>777237876</v>
      </c>
      <c r="M1033" t="str">
        <f t="shared" ref="M1033:M1041" si="430">"16670633"</f>
        <v>16670633</v>
      </c>
      <c r="N1033" t="str">
        <f t="shared" ref="N1033:N1041" si="431">"9931"</f>
        <v>9931</v>
      </c>
      <c r="O1033" t="str">
        <f t="shared" si="424"/>
        <v>TEXAS</v>
      </c>
      <c r="P1033" t="str">
        <f t="shared" si="425"/>
        <v>N A</v>
      </c>
      <c r="Q1033" t="str">
        <f t="shared" si="426"/>
        <v>N/A</v>
      </c>
      <c r="R1033" t="str">
        <f>"130 ARPTP 04 308"</f>
        <v>130 ARPTP 04 308</v>
      </c>
      <c r="S1033" t="str">
        <f>"12/18/2019 5:37:14 PM"</f>
        <v>12/18/2019 5:37:14 PM</v>
      </c>
      <c r="T1033" t="str">
        <f t="shared" si="417"/>
        <v>5</v>
      </c>
      <c r="U1033" t="str">
        <f t="shared" si="427"/>
        <v>N/A</v>
      </c>
      <c r="V1033" t="str">
        <f t="shared" ref="V1033:V1039" si="432">"5.5500"</f>
        <v>5.5500</v>
      </c>
    </row>
    <row r="1034" spans="1:22" x14ac:dyDescent="0.25">
      <c r="A1034" s="1" t="str">
        <f t="shared" si="413"/>
        <v>9931</v>
      </c>
      <c r="B1034" s="1" t="str">
        <f t="shared" si="428"/>
        <v>9931</v>
      </c>
      <c r="C1034" s="1" t="s">
        <v>8908</v>
      </c>
      <c r="D1034" s="1" t="s">
        <v>91</v>
      </c>
      <c r="E1034" s="1" t="s">
        <v>1738</v>
      </c>
      <c r="F1034" s="1" t="s">
        <v>22</v>
      </c>
      <c r="G1034" s="1" t="e">
        <f>VLOOKUP(C1034,'Master truck list'!E:R,14,0)</f>
        <v>#N/A</v>
      </c>
      <c r="H1034" t="str">
        <f>"12/20/2019 7:00:30 AM"</f>
        <v>12/20/2019 7:00:30 AM</v>
      </c>
      <c r="I1034" t="str">
        <f>""</f>
        <v/>
      </c>
      <c r="J1034" t="str">
        <f t="shared" si="423"/>
        <v>Elite</v>
      </c>
      <c r="K1034" t="str">
        <f t="shared" si="407"/>
        <v>Device</v>
      </c>
      <c r="L1034" t="str">
        <f t="shared" si="429"/>
        <v>777237876</v>
      </c>
      <c r="M1034" t="str">
        <f t="shared" si="430"/>
        <v>16670633</v>
      </c>
      <c r="N1034" t="str">
        <f t="shared" si="431"/>
        <v>9931</v>
      </c>
      <c r="O1034" t="str">
        <f t="shared" si="424"/>
        <v>TEXAS</v>
      </c>
      <c r="P1034" t="str">
        <f t="shared" si="425"/>
        <v>N A</v>
      </c>
      <c r="Q1034" t="str">
        <f t="shared" si="426"/>
        <v>N/A</v>
      </c>
      <c r="R1034" t="str">
        <f>"130 CMRNP 13 306"</f>
        <v>130 CMRNP 13 306</v>
      </c>
      <c r="S1034" t="str">
        <f>"12/19/2019 8:35:38 PM"</f>
        <v>12/19/2019 8:35:38 PM</v>
      </c>
      <c r="T1034" t="str">
        <f t="shared" si="417"/>
        <v>5</v>
      </c>
      <c r="U1034" t="str">
        <f t="shared" si="427"/>
        <v>N/A</v>
      </c>
      <c r="V1034" t="str">
        <f t="shared" si="432"/>
        <v>5.5500</v>
      </c>
    </row>
    <row r="1035" spans="1:22" x14ac:dyDescent="0.25">
      <c r="A1035" s="1" t="str">
        <f t="shared" si="413"/>
        <v>9931</v>
      </c>
      <c r="B1035" s="1" t="str">
        <f t="shared" si="428"/>
        <v>9931</v>
      </c>
      <c r="C1035" s="1" t="s">
        <v>8909</v>
      </c>
      <c r="D1035" s="1" t="s">
        <v>91</v>
      </c>
      <c r="E1035" s="1" t="s">
        <v>1738</v>
      </c>
      <c r="F1035" s="1" t="s">
        <v>22</v>
      </c>
      <c r="G1035" s="1" t="e">
        <f>VLOOKUP(C1035,'Master truck list'!E:R,14,0)</f>
        <v>#N/A</v>
      </c>
      <c r="H1035" t="str">
        <f>"12/20/2019 7:00:30 AM"</f>
        <v>12/20/2019 7:00:30 AM</v>
      </c>
      <c r="I1035" t="str">
        <f>""</f>
        <v/>
      </c>
      <c r="J1035" t="str">
        <f t="shared" si="423"/>
        <v>Elite</v>
      </c>
      <c r="K1035" t="str">
        <f t="shared" si="407"/>
        <v>Device</v>
      </c>
      <c r="L1035" t="str">
        <f t="shared" si="429"/>
        <v>777237876</v>
      </c>
      <c r="M1035" t="str">
        <f t="shared" si="430"/>
        <v>16670633</v>
      </c>
      <c r="N1035" t="str">
        <f t="shared" si="431"/>
        <v>9931</v>
      </c>
      <c r="O1035" t="str">
        <f t="shared" si="424"/>
        <v>TEXAS</v>
      </c>
      <c r="P1035" t="str">
        <f t="shared" si="425"/>
        <v>N A</v>
      </c>
      <c r="Q1035" t="str">
        <f t="shared" si="426"/>
        <v>N/A</v>
      </c>
      <c r="R1035" t="str">
        <f>"130 ARPTP 09 308"</f>
        <v>130 ARPTP 09 308</v>
      </c>
      <c r="S1035" t="str">
        <f>"12/19/2019 8:18:45 PM"</f>
        <v>12/19/2019 8:18:45 PM</v>
      </c>
      <c r="T1035" t="str">
        <f t="shared" si="417"/>
        <v>5</v>
      </c>
      <c r="U1035" t="str">
        <f t="shared" si="427"/>
        <v>N/A</v>
      </c>
      <c r="V1035" t="str">
        <f t="shared" si="432"/>
        <v>5.5500</v>
      </c>
    </row>
    <row r="1036" spans="1:22" x14ac:dyDescent="0.25">
      <c r="A1036" s="1" t="str">
        <f t="shared" si="413"/>
        <v>9931</v>
      </c>
      <c r="B1036" s="1" t="str">
        <f t="shared" si="428"/>
        <v>9931</v>
      </c>
      <c r="C1036" s="1" t="s">
        <v>8896</v>
      </c>
      <c r="D1036" s="1" t="s">
        <v>91</v>
      </c>
      <c r="E1036" s="1" t="s">
        <v>1738</v>
      </c>
      <c r="F1036" s="1" t="s">
        <v>22</v>
      </c>
      <c r="G1036" s="1" t="e">
        <f>VLOOKUP(C1036,'Master truck list'!E:R,14,0)</f>
        <v>#N/A</v>
      </c>
      <c r="H1036" t="str">
        <f>"12/19/2019 7:00:35 AM"</f>
        <v>12/19/2019 7:00:35 AM</v>
      </c>
      <c r="I1036" t="str">
        <f>""</f>
        <v/>
      </c>
      <c r="J1036" t="str">
        <f t="shared" si="423"/>
        <v>Elite</v>
      </c>
      <c r="K1036" t="str">
        <f t="shared" si="407"/>
        <v>Device</v>
      </c>
      <c r="L1036" t="str">
        <f t="shared" si="429"/>
        <v>777237876</v>
      </c>
      <c r="M1036" t="str">
        <f t="shared" si="430"/>
        <v>16670633</v>
      </c>
      <c r="N1036" t="str">
        <f t="shared" si="431"/>
        <v>9931</v>
      </c>
      <c r="O1036" t="str">
        <f t="shared" si="424"/>
        <v>TEXAS</v>
      </c>
      <c r="P1036" t="str">
        <f t="shared" si="425"/>
        <v>N A</v>
      </c>
      <c r="Q1036" t="str">
        <f t="shared" si="426"/>
        <v>N/A</v>
      </c>
      <c r="R1036" t="str">
        <f>"130 MGCRP 06 305"</f>
        <v>130 MGCRP 06 305</v>
      </c>
      <c r="S1036" t="str">
        <f>"12/18/2019 5:05:08 PM"</f>
        <v>12/18/2019 5:05:08 PM</v>
      </c>
      <c r="T1036" t="str">
        <f t="shared" si="417"/>
        <v>5</v>
      </c>
      <c r="U1036" t="str">
        <f t="shared" si="427"/>
        <v>N/A</v>
      </c>
      <c r="V1036" t="str">
        <f t="shared" si="432"/>
        <v>5.5500</v>
      </c>
    </row>
    <row r="1037" spans="1:22" x14ac:dyDescent="0.25">
      <c r="A1037" s="1" t="str">
        <f t="shared" si="413"/>
        <v>9931</v>
      </c>
      <c r="B1037" s="1" t="str">
        <f t="shared" si="428"/>
        <v>9931</v>
      </c>
      <c r="C1037" s="1" t="str">
        <f>VLOOKUP(B1037,'Master truck list'!D:E,2,0)</f>
        <v>9931</v>
      </c>
      <c r="D1037" s="1" t="str">
        <f>VLOOKUP(C1037,'Master truck list'!E:F,2,0)</f>
        <v>ACTIVE</v>
      </c>
      <c r="E1037" s="1" t="str">
        <f>VLOOKUP(C1037,'Master truck list'!E:M,9,0)</f>
        <v>CHARGER LOGISTICS USA INC</v>
      </c>
      <c r="F1037" s="1" t="str">
        <f>VLOOKUP(C1037,'Master truck list'!E:G,3,0)</f>
        <v>Company</v>
      </c>
      <c r="G1037" s="1">
        <f>VLOOKUP(C1037,'Master truck list'!E:R,14,0)</f>
        <v>132</v>
      </c>
      <c r="H1037" t="str">
        <f>"12/19/2019 7:00:35 AM"</f>
        <v>12/19/2019 7:00:35 AM</v>
      </c>
      <c r="I1037" t="str">
        <f>""</f>
        <v/>
      </c>
      <c r="J1037" t="str">
        <f t="shared" si="423"/>
        <v>Elite</v>
      </c>
      <c r="K1037" t="str">
        <f t="shared" si="407"/>
        <v>Device</v>
      </c>
      <c r="L1037" t="str">
        <f t="shared" si="429"/>
        <v>777237876</v>
      </c>
      <c r="M1037" t="str">
        <f t="shared" si="430"/>
        <v>16670633</v>
      </c>
      <c r="N1037" t="str">
        <f t="shared" si="431"/>
        <v>9931</v>
      </c>
      <c r="O1037" t="str">
        <f t="shared" si="424"/>
        <v>TEXAS</v>
      </c>
      <c r="P1037" t="str">
        <f t="shared" si="425"/>
        <v>N A</v>
      </c>
      <c r="Q1037" t="str">
        <f t="shared" si="426"/>
        <v>N/A</v>
      </c>
      <c r="R1037" t="str">
        <f>"130 CMRNP 09 306"</f>
        <v>130 CMRNP 09 306</v>
      </c>
      <c r="S1037" t="str">
        <f>"12/18/2019 5:16:05 PM"</f>
        <v>12/18/2019 5:16:05 PM</v>
      </c>
      <c r="T1037" t="str">
        <f t="shared" si="417"/>
        <v>5</v>
      </c>
      <c r="U1037" t="str">
        <f t="shared" si="427"/>
        <v>N/A</v>
      </c>
      <c r="V1037" t="str">
        <f t="shared" si="432"/>
        <v>5.5500</v>
      </c>
    </row>
    <row r="1038" spans="1:22" x14ac:dyDescent="0.25">
      <c r="A1038" s="1" t="str">
        <f t="shared" si="413"/>
        <v>9931</v>
      </c>
      <c r="B1038" s="1" t="str">
        <f t="shared" si="428"/>
        <v>9931</v>
      </c>
      <c r="C1038" s="1" t="str">
        <f>VLOOKUP(B1038,'Master truck list'!D:E,2,0)</f>
        <v>9931</v>
      </c>
      <c r="D1038" s="1" t="str">
        <f>VLOOKUP(C1038,'Master truck list'!E:F,2,0)</f>
        <v>ACTIVE</v>
      </c>
      <c r="E1038" s="1" t="str">
        <f>VLOOKUP(C1038,'Master truck list'!E:M,9,0)</f>
        <v>CHARGER LOGISTICS USA INC</v>
      </c>
      <c r="F1038" s="1" t="str">
        <f>VLOOKUP(C1038,'Master truck list'!E:G,3,0)</f>
        <v>Company</v>
      </c>
      <c r="G1038" s="1">
        <f>VLOOKUP(C1038,'Master truck list'!E:R,14,0)</f>
        <v>132</v>
      </c>
      <c r="H1038" t="str">
        <f>"12/19/2019 7:00:35 AM"</f>
        <v>12/19/2019 7:00:35 AM</v>
      </c>
      <c r="I1038" t="str">
        <f>""</f>
        <v/>
      </c>
      <c r="J1038" t="str">
        <f t="shared" si="423"/>
        <v>Elite</v>
      </c>
      <c r="K1038" t="str">
        <f t="shared" si="407"/>
        <v>Device</v>
      </c>
      <c r="L1038" t="str">
        <f t="shared" si="429"/>
        <v>777237876</v>
      </c>
      <c r="M1038" t="str">
        <f t="shared" si="430"/>
        <v>16670633</v>
      </c>
      <c r="N1038" t="str">
        <f t="shared" si="431"/>
        <v>9931</v>
      </c>
      <c r="O1038" t="str">
        <f t="shared" si="424"/>
        <v>TEXAS</v>
      </c>
      <c r="P1038" t="str">
        <f t="shared" si="425"/>
        <v>N A</v>
      </c>
      <c r="Q1038" t="str">
        <f t="shared" si="426"/>
        <v>N/A</v>
      </c>
      <c r="R1038" t="str">
        <f>"130 DKCRP 06 307"</f>
        <v>130 DKCRP 06 307</v>
      </c>
      <c r="S1038" t="str">
        <f>"12/18/2019 5:27:43 PM"</f>
        <v>12/18/2019 5:27:43 PM</v>
      </c>
      <c r="T1038" t="str">
        <f t="shared" si="417"/>
        <v>5</v>
      </c>
      <c r="U1038" t="str">
        <f t="shared" si="427"/>
        <v>N/A</v>
      </c>
      <c r="V1038" t="str">
        <f t="shared" si="432"/>
        <v>5.5500</v>
      </c>
    </row>
    <row r="1039" spans="1:22" x14ac:dyDescent="0.25">
      <c r="A1039" s="1" t="str">
        <f t="shared" si="413"/>
        <v>9931</v>
      </c>
      <c r="B1039" s="1" t="str">
        <f t="shared" si="428"/>
        <v>9931</v>
      </c>
      <c r="C1039" s="1" t="str">
        <f>VLOOKUP(B1039,'Master truck list'!D:E,2,0)</f>
        <v>9931</v>
      </c>
      <c r="D1039" s="1" t="str">
        <f>VLOOKUP(C1039,'Master truck list'!E:F,2,0)</f>
        <v>ACTIVE</v>
      </c>
      <c r="E1039" s="1" t="str">
        <f>VLOOKUP(C1039,'Master truck list'!E:M,9,0)</f>
        <v>CHARGER LOGISTICS USA INC</v>
      </c>
      <c r="F1039" s="1" t="str">
        <f>VLOOKUP(C1039,'Master truck list'!E:G,3,0)</f>
        <v>Company</v>
      </c>
      <c r="G1039" s="1">
        <f>VLOOKUP(C1039,'Master truck list'!E:R,14,0)</f>
        <v>132</v>
      </c>
      <c r="H1039" t="str">
        <f>"12/20/2019 7:00:30 AM"</f>
        <v>12/20/2019 7:00:30 AM</v>
      </c>
      <c r="I1039" t="str">
        <f>""</f>
        <v/>
      </c>
      <c r="J1039" t="str">
        <f t="shared" si="423"/>
        <v>Elite</v>
      </c>
      <c r="K1039" t="str">
        <f t="shared" ref="K1039:K1102" si="433">"Device"</f>
        <v>Device</v>
      </c>
      <c r="L1039" t="str">
        <f t="shared" si="429"/>
        <v>777237876</v>
      </c>
      <c r="M1039" t="str">
        <f t="shared" si="430"/>
        <v>16670633</v>
      </c>
      <c r="N1039" t="str">
        <f t="shared" si="431"/>
        <v>9931</v>
      </c>
      <c r="O1039" t="str">
        <f t="shared" si="424"/>
        <v>TEXAS</v>
      </c>
      <c r="P1039" t="str">
        <f t="shared" si="425"/>
        <v>N A</v>
      </c>
      <c r="Q1039" t="str">
        <f t="shared" si="426"/>
        <v>N/A</v>
      </c>
      <c r="R1039" t="str">
        <f>"130 DKCRP 11 307"</f>
        <v>130 DKCRP 11 307</v>
      </c>
      <c r="S1039" t="str">
        <f>"12/19/2019 8:25:39 PM"</f>
        <v>12/19/2019 8:25:39 PM</v>
      </c>
      <c r="T1039" t="str">
        <f t="shared" si="417"/>
        <v>5</v>
      </c>
      <c r="U1039" t="str">
        <f t="shared" si="427"/>
        <v>N/A</v>
      </c>
      <c r="V1039" t="str">
        <f t="shared" si="432"/>
        <v>5.5500</v>
      </c>
    </row>
    <row r="1040" spans="1:22" x14ac:dyDescent="0.25">
      <c r="A1040" s="1" t="str">
        <f t="shared" si="413"/>
        <v>9931</v>
      </c>
      <c r="B1040" s="1" t="str">
        <f t="shared" si="428"/>
        <v>9931</v>
      </c>
      <c r="C1040" s="1" t="str">
        <f>VLOOKUP(B1040,'Master truck list'!D:E,2,0)</f>
        <v>9931</v>
      </c>
      <c r="D1040" s="1" t="str">
        <f>VLOOKUP(C1040,'Master truck list'!E:F,2,0)</f>
        <v>ACTIVE</v>
      </c>
      <c r="E1040" s="1" t="str">
        <f>VLOOKUP(C1040,'Master truck list'!E:M,9,0)</f>
        <v>CHARGER LOGISTICS USA INC</v>
      </c>
      <c r="F1040" s="1" t="str">
        <f>VLOOKUP(C1040,'Master truck list'!E:G,3,0)</f>
        <v>Company</v>
      </c>
      <c r="G1040" s="1">
        <f>VLOOKUP(C1040,'Master truck list'!E:R,14,0)</f>
        <v>132</v>
      </c>
      <c r="H1040" t="str">
        <f>"12/20/2019 7:00:30 AM"</f>
        <v>12/20/2019 7:00:30 AM</v>
      </c>
      <c r="I1040" t="str">
        <f>""</f>
        <v/>
      </c>
      <c r="J1040" t="str">
        <f t="shared" si="423"/>
        <v>Elite</v>
      </c>
      <c r="K1040" t="str">
        <f t="shared" si="433"/>
        <v>Device</v>
      </c>
      <c r="L1040" t="str">
        <f t="shared" si="429"/>
        <v>777237876</v>
      </c>
      <c r="M1040" t="str">
        <f t="shared" si="430"/>
        <v>16670633</v>
      </c>
      <c r="N1040" t="str">
        <f t="shared" si="431"/>
        <v>9931</v>
      </c>
      <c r="O1040" t="str">
        <f t="shared" si="424"/>
        <v>TEXAS</v>
      </c>
      <c r="P1040" t="str">
        <f t="shared" si="425"/>
        <v>N A</v>
      </c>
      <c r="Q1040" t="str">
        <f t="shared" si="426"/>
        <v>N/A</v>
      </c>
      <c r="R1040" t="str">
        <f>"45SE MLPEB 02 611"</f>
        <v>45SE MLPEB 02 611</v>
      </c>
      <c r="S1040" t="str">
        <f>"12/19/2019 8:08:13 PM"</f>
        <v>12/19/2019 8:08:13 PM</v>
      </c>
      <c r="T1040" t="str">
        <f t="shared" si="417"/>
        <v>5</v>
      </c>
      <c r="U1040" t="str">
        <f t="shared" si="427"/>
        <v>N/A</v>
      </c>
      <c r="V1040" t="str">
        <f>"3.3000"</f>
        <v>3.3000</v>
      </c>
    </row>
    <row r="1041" spans="1:22" x14ac:dyDescent="0.25">
      <c r="A1041" s="1" t="str">
        <f t="shared" si="413"/>
        <v>9931</v>
      </c>
      <c r="B1041" s="1" t="str">
        <f t="shared" si="428"/>
        <v>9931</v>
      </c>
      <c r="C1041" s="1" t="s">
        <v>8889</v>
      </c>
      <c r="D1041" s="1" t="s">
        <v>91</v>
      </c>
      <c r="E1041" s="1" t="s">
        <v>1738</v>
      </c>
      <c r="F1041" s="1" t="s">
        <v>22</v>
      </c>
      <c r="G1041" s="1" t="e">
        <f>VLOOKUP(C1041,'Master truck list'!E:R,14,0)</f>
        <v>#N/A</v>
      </c>
      <c r="H1041" t="str">
        <f>"12/20/2019 7:00:30 AM"</f>
        <v>12/20/2019 7:00:30 AM</v>
      </c>
      <c r="I1041" t="str">
        <f>""</f>
        <v/>
      </c>
      <c r="J1041" t="str">
        <f t="shared" si="423"/>
        <v>Elite</v>
      </c>
      <c r="K1041" t="str">
        <f t="shared" si="433"/>
        <v>Device</v>
      </c>
      <c r="L1041" t="str">
        <f t="shared" si="429"/>
        <v>777237876</v>
      </c>
      <c r="M1041" t="str">
        <f t="shared" si="430"/>
        <v>16670633</v>
      </c>
      <c r="N1041" t="str">
        <f t="shared" si="431"/>
        <v>9931</v>
      </c>
      <c r="O1041" t="str">
        <f t="shared" si="424"/>
        <v>TEXAS</v>
      </c>
      <c r="P1041" t="str">
        <f t="shared" si="425"/>
        <v>N A</v>
      </c>
      <c r="Q1041" t="str">
        <f t="shared" si="426"/>
        <v>N/A</v>
      </c>
      <c r="R1041" t="str">
        <f>"130 MGCRP 11 305"</f>
        <v>130 MGCRP 11 305</v>
      </c>
      <c r="S1041" t="str">
        <f>"12/19/2019 8:46:35 PM"</f>
        <v>12/19/2019 8:46:35 PM</v>
      </c>
      <c r="T1041" t="str">
        <f t="shared" si="417"/>
        <v>5</v>
      </c>
      <c r="U1041" t="str">
        <f t="shared" si="427"/>
        <v>N/A</v>
      </c>
      <c r="V1041" t="str">
        <f>"5.5500"</f>
        <v>5.5500</v>
      </c>
    </row>
    <row r="1042" spans="1:22" x14ac:dyDescent="0.25">
      <c r="A1042" s="1" t="str">
        <f t="shared" si="413"/>
        <v>2279-</v>
      </c>
      <c r="B1042" s="1" t="str">
        <f t="shared" si="428"/>
        <v>2279-</v>
      </c>
      <c r="C1042" s="1" t="str">
        <f>VLOOKUP(B1042,'Master truck list'!D:E,2,0)</f>
        <v>2279-18AT</v>
      </c>
      <c r="D1042" s="1" t="str">
        <f>VLOOKUP(C1042,'Master truck list'!E:F,2,0)</f>
        <v>ACTIVE</v>
      </c>
      <c r="E1042" s="1" t="str">
        <f>VLOOKUP(C1042,'Master truck list'!E:M,9,0)</f>
        <v>CHARGER LOGISTICS USA INC</v>
      </c>
      <c r="F1042" s="1" t="str">
        <f>VLOOKUP(C1042,'Master truck list'!E:G,3,0)</f>
        <v>Company</v>
      </c>
      <c r="G1042" s="1">
        <f>VLOOKUP(C1042,'Master truck list'!E:R,14,0)</f>
        <v>1028</v>
      </c>
      <c r="H1042" t="str">
        <f>"12/20/2019 7:00:30 AM"</f>
        <v>12/20/2019 7:00:30 AM</v>
      </c>
      <c r="I1042" t="str">
        <f>""</f>
        <v/>
      </c>
      <c r="J1042" t="str">
        <f t="shared" si="423"/>
        <v>Elite</v>
      </c>
      <c r="K1042" t="str">
        <f t="shared" si="433"/>
        <v>Device</v>
      </c>
      <c r="L1042" t="str">
        <f>"777237546"</f>
        <v>777237546</v>
      </c>
      <c r="M1042" t="str">
        <f>"16670303"</f>
        <v>16670303</v>
      </c>
      <c r="N1042" t="str">
        <f>"2279-18A"</f>
        <v>2279-18A</v>
      </c>
      <c r="O1042" t="str">
        <f t="shared" si="424"/>
        <v>TEXAS</v>
      </c>
      <c r="P1042" t="str">
        <f t="shared" si="425"/>
        <v>N A</v>
      </c>
      <c r="Q1042" t="str">
        <f t="shared" si="426"/>
        <v>N/A</v>
      </c>
      <c r="R1042" t="str">
        <f>"PGBW MLG12 09 MLG1"</f>
        <v>PGBW MLG12 09 MLG1</v>
      </c>
      <c r="S1042" t="str">
        <f>"12/19/2019 8:17:41 AM"</f>
        <v>12/19/2019 8:17:41 AM</v>
      </c>
      <c r="T1042" t="str">
        <f t="shared" si="417"/>
        <v>5</v>
      </c>
      <c r="U1042" t="str">
        <f t="shared" si="427"/>
        <v>N/A</v>
      </c>
      <c r="V1042" t="str">
        <f>"4.6400"</f>
        <v>4.6400</v>
      </c>
    </row>
    <row r="1043" spans="1:22" x14ac:dyDescent="0.25">
      <c r="A1043" s="1" t="str">
        <f t="shared" si="413"/>
        <v>2279-</v>
      </c>
      <c r="B1043" s="1" t="str">
        <f t="shared" si="428"/>
        <v>2279-</v>
      </c>
      <c r="C1043" s="1" t="s">
        <v>8906</v>
      </c>
      <c r="D1043" s="1" t="str">
        <f>VLOOKUP(C1043,'Master truck list'!E:F,2,0)</f>
        <v>ACTIVE</v>
      </c>
      <c r="E1043" s="1" t="str">
        <f>VLOOKUP(C1043,'Master truck list'!E:M,9,0)</f>
        <v>CHARGER LOGISTICS USA INC</v>
      </c>
      <c r="F1043" s="1" t="str">
        <f>VLOOKUP(C1043,'Master truck list'!E:G,3,0)</f>
        <v>Owner Operator</v>
      </c>
      <c r="G1043" s="1">
        <f>VLOOKUP(C1043,'Master truck list'!E:R,14,0)</f>
        <v>272</v>
      </c>
      <c r="H1043" t="str">
        <f>"12/18/2019 7:00:28 AM"</f>
        <v>12/18/2019 7:00:28 AM</v>
      </c>
      <c r="I1043" t="str">
        <f>""</f>
        <v/>
      </c>
      <c r="J1043" t="str">
        <f t="shared" si="423"/>
        <v>Elite</v>
      </c>
      <c r="K1043" t="str">
        <f t="shared" si="433"/>
        <v>Device</v>
      </c>
      <c r="L1043" t="str">
        <f>"777237546"</f>
        <v>777237546</v>
      </c>
      <c r="M1043" t="str">
        <f>"16670303"</f>
        <v>16670303</v>
      </c>
      <c r="N1043" t="str">
        <f>"2279-18A"</f>
        <v>2279-18A</v>
      </c>
      <c r="O1043" t="str">
        <f t="shared" si="424"/>
        <v>TEXAS</v>
      </c>
      <c r="P1043" t="str">
        <f t="shared" si="425"/>
        <v>N A</v>
      </c>
      <c r="Q1043" t="str">
        <f t="shared" si="426"/>
        <v>N/A</v>
      </c>
      <c r="R1043" t="str">
        <f>"PGBW MLG12 02 MLG1"</f>
        <v>PGBW MLG12 02 MLG1</v>
      </c>
      <c r="S1043" t="str">
        <f>"12/17/2019 3:47:32 PM"</f>
        <v>12/17/2019 3:47:32 PM</v>
      </c>
      <c r="T1043" t="str">
        <f t="shared" si="417"/>
        <v>5</v>
      </c>
      <c r="U1043" t="str">
        <f t="shared" si="427"/>
        <v>N/A</v>
      </c>
      <c r="V1043" t="str">
        <f>"4.6400"</f>
        <v>4.6400</v>
      </c>
    </row>
    <row r="1044" spans="1:22" x14ac:dyDescent="0.25">
      <c r="A1044" s="1" t="str">
        <f t="shared" si="413"/>
        <v>72499</v>
      </c>
      <c r="B1044" s="1" t="str">
        <f t="shared" si="428"/>
        <v>72499</v>
      </c>
      <c r="C1044" s="1" t="s">
        <v>8906</v>
      </c>
      <c r="D1044" s="1" t="str">
        <f>VLOOKUP(C1044,'Master truck list'!E:F,2,0)</f>
        <v>ACTIVE</v>
      </c>
      <c r="E1044" s="1" t="str">
        <f>VLOOKUP(C1044,'Master truck list'!E:M,9,0)</f>
        <v>CHARGER LOGISTICS USA INC</v>
      </c>
      <c r="F1044" s="1" t="str">
        <f>VLOOKUP(C1044,'Master truck list'!E:G,3,0)</f>
        <v>Owner Operator</v>
      </c>
      <c r="G1044" s="1">
        <f>VLOOKUP(C1044,'Master truck list'!E:R,14,0)</f>
        <v>272</v>
      </c>
      <c r="H1044" t="str">
        <f>"12/18/2019 7:00:28 AM"</f>
        <v>12/18/2019 7:00:28 AM</v>
      </c>
      <c r="I1044" t="str">
        <f>""</f>
        <v/>
      </c>
      <c r="J1044" t="str">
        <f t="shared" si="423"/>
        <v>Elite</v>
      </c>
      <c r="K1044" t="str">
        <f t="shared" si="433"/>
        <v>Device</v>
      </c>
      <c r="L1044" t="str">
        <f t="shared" ref="L1044:L1050" si="434">"777250446"</f>
        <v>777250446</v>
      </c>
      <c r="M1044" t="str">
        <f t="shared" ref="M1044:M1050" si="435">"16718328"</f>
        <v>16718328</v>
      </c>
      <c r="N1044" t="str">
        <f t="shared" ref="N1044:N1050" si="436">"72499"</f>
        <v>72499</v>
      </c>
      <c r="O1044" t="str">
        <f t="shared" si="424"/>
        <v>TEXAS</v>
      </c>
      <c r="P1044" t="str">
        <f t="shared" si="425"/>
        <v>N A</v>
      </c>
      <c r="Q1044" t="str">
        <f t="shared" si="426"/>
        <v>N/A</v>
      </c>
      <c r="R1044" t="str">
        <f>"I35WS US287S 22 US28"</f>
        <v>I35WS US287S 22 US28</v>
      </c>
      <c r="S1044" t="str">
        <f>"12/16/2019 10:29:16 PM"</f>
        <v>12/16/2019 10:29:16 PM</v>
      </c>
      <c r="T1044" t="str">
        <f>"2"</f>
        <v>2</v>
      </c>
      <c r="U1044" t="str">
        <f t="shared" si="427"/>
        <v>N/A</v>
      </c>
      <c r="V1044" t="str">
        <f>"3.8000"</f>
        <v>3.8000</v>
      </c>
    </row>
    <row r="1045" spans="1:22" x14ac:dyDescent="0.25">
      <c r="A1045" s="1" t="str">
        <f t="shared" si="413"/>
        <v>72499</v>
      </c>
      <c r="B1045" s="1" t="str">
        <f t="shared" si="428"/>
        <v>72499</v>
      </c>
      <c r="C1045" s="1" t="str">
        <f>VLOOKUP(B1045,'Master truck list'!D:E,2,0)</f>
        <v>72499</v>
      </c>
      <c r="D1045" s="1" t="str">
        <f>VLOOKUP(C1045,'Master truck list'!E:F,2,0)</f>
        <v>ACTIVE</v>
      </c>
      <c r="E1045" s="1" t="str">
        <f>VLOOKUP(C1045,'Master truck list'!E:M,9,0)</f>
        <v>CHARGER LOGISTICS USA INC</v>
      </c>
      <c r="F1045" s="1" t="str">
        <f>VLOOKUP(C1045,'Master truck list'!E:G,3,0)</f>
        <v>Owner Operator</v>
      </c>
      <c r="G1045" s="1">
        <f>VLOOKUP(C1045,'Master truck list'!E:R,14,0)</f>
        <v>2150</v>
      </c>
      <c r="H1045" t="str">
        <f>"12/18/2019 7:00:28 AM"</f>
        <v>12/18/2019 7:00:28 AM</v>
      </c>
      <c r="I1045" t="str">
        <f>""</f>
        <v/>
      </c>
      <c r="J1045" t="str">
        <f t="shared" si="423"/>
        <v>Elite</v>
      </c>
      <c r="K1045" t="str">
        <f t="shared" si="433"/>
        <v>Device</v>
      </c>
      <c r="L1045" t="str">
        <f t="shared" si="434"/>
        <v>777250446</v>
      </c>
      <c r="M1045" t="str">
        <f t="shared" si="435"/>
        <v>16718328</v>
      </c>
      <c r="N1045" t="str">
        <f t="shared" si="436"/>
        <v>72499</v>
      </c>
      <c r="O1045" t="str">
        <f t="shared" si="424"/>
        <v>TEXAS</v>
      </c>
      <c r="P1045" t="str">
        <f t="shared" si="425"/>
        <v>N A</v>
      </c>
      <c r="Q1045" t="str">
        <f t="shared" si="426"/>
        <v>N/A</v>
      </c>
      <c r="R1045" t="str">
        <f>"I35WS 820 31 820"</f>
        <v>I35WS 820 31 820</v>
      </c>
      <c r="S1045" t="str">
        <f>"12/16/2019 10:32:19 PM"</f>
        <v>12/16/2019 10:32:19 PM</v>
      </c>
      <c r="T1045" t="str">
        <f>"2"</f>
        <v>2</v>
      </c>
      <c r="U1045" t="str">
        <f t="shared" si="427"/>
        <v>N/A</v>
      </c>
      <c r="V1045" t="str">
        <f>"3.8000"</f>
        <v>3.8000</v>
      </c>
    </row>
    <row r="1046" spans="1:22" x14ac:dyDescent="0.25">
      <c r="A1046" s="1" t="str">
        <f t="shared" si="413"/>
        <v>72499</v>
      </c>
      <c r="B1046" s="1" t="str">
        <f t="shared" si="428"/>
        <v>72499</v>
      </c>
      <c r="C1046" s="1" t="s">
        <v>8886</v>
      </c>
      <c r="D1046" s="1" t="s">
        <v>91</v>
      </c>
      <c r="E1046" s="1" t="s">
        <v>1738</v>
      </c>
      <c r="F1046" s="1" t="s">
        <v>22</v>
      </c>
      <c r="G1046" s="1" t="e">
        <f>VLOOKUP(C1046,'Master truck list'!E:R,14,0)</f>
        <v>#N/A</v>
      </c>
      <c r="H1046" t="str">
        <f>"12/19/2019 7:00:35 AM"</f>
        <v>12/19/2019 7:00:35 AM</v>
      </c>
      <c r="I1046" t="str">
        <f>""</f>
        <v/>
      </c>
      <c r="J1046" t="str">
        <f t="shared" si="423"/>
        <v>Elite</v>
      </c>
      <c r="K1046" t="str">
        <f t="shared" si="433"/>
        <v>Device</v>
      </c>
      <c r="L1046" t="str">
        <f t="shared" si="434"/>
        <v>777250446</v>
      </c>
      <c r="M1046" t="str">
        <f t="shared" si="435"/>
        <v>16718328</v>
      </c>
      <c r="N1046" t="str">
        <f t="shared" si="436"/>
        <v>72499</v>
      </c>
      <c r="O1046" t="str">
        <f t="shared" si="424"/>
        <v>TEXAS</v>
      </c>
      <c r="P1046" t="str">
        <f t="shared" si="425"/>
        <v>N A</v>
      </c>
      <c r="Q1046" t="str">
        <f t="shared" si="426"/>
        <v>N/A</v>
      </c>
      <c r="R1046" t="str">
        <f>"130 ARPTP 09 308"</f>
        <v>130 ARPTP 09 308</v>
      </c>
      <c r="S1046" t="str">
        <f>"12/18/2019 4:56:52 PM"</f>
        <v>12/18/2019 4:56:52 PM</v>
      </c>
      <c r="T1046" t="str">
        <f t="shared" ref="T1046:T1073" si="437">"5"</f>
        <v>5</v>
      </c>
      <c r="U1046" t="str">
        <f t="shared" si="427"/>
        <v>N/A</v>
      </c>
      <c r="V1046" t="str">
        <f>"5.5500"</f>
        <v>5.5500</v>
      </c>
    </row>
    <row r="1047" spans="1:22" x14ac:dyDescent="0.25">
      <c r="A1047" s="1" t="str">
        <f t="shared" si="413"/>
        <v>72499</v>
      </c>
      <c r="B1047" s="1" t="str">
        <f t="shared" si="428"/>
        <v>72499</v>
      </c>
      <c r="C1047" s="1" t="s">
        <v>8901</v>
      </c>
      <c r="D1047" s="1" t="s">
        <v>91</v>
      </c>
      <c r="E1047" s="1" t="s">
        <v>1738</v>
      </c>
      <c r="F1047" s="1" t="s">
        <v>22</v>
      </c>
      <c r="G1047" s="1" t="e">
        <f>VLOOKUP(C1047,'Master truck list'!E:R,14,0)</f>
        <v>#N/A</v>
      </c>
      <c r="H1047" t="str">
        <f>"12/19/2019 7:00:35 AM"</f>
        <v>12/19/2019 7:00:35 AM</v>
      </c>
      <c r="I1047" t="str">
        <f>""</f>
        <v/>
      </c>
      <c r="J1047" t="str">
        <f t="shared" si="423"/>
        <v>Elite</v>
      </c>
      <c r="K1047" t="str">
        <f t="shared" si="433"/>
        <v>Device</v>
      </c>
      <c r="L1047" t="str">
        <f t="shared" si="434"/>
        <v>777250446</v>
      </c>
      <c r="M1047" t="str">
        <f t="shared" si="435"/>
        <v>16718328</v>
      </c>
      <c r="N1047" t="str">
        <f t="shared" si="436"/>
        <v>72499</v>
      </c>
      <c r="O1047" t="str">
        <f t="shared" si="424"/>
        <v>TEXAS</v>
      </c>
      <c r="P1047" t="str">
        <f t="shared" si="425"/>
        <v>N A</v>
      </c>
      <c r="Q1047" t="str">
        <f t="shared" si="426"/>
        <v>N/A</v>
      </c>
      <c r="R1047" t="str">
        <f>"130 CMRNP 13 306"</f>
        <v>130 CMRNP 13 306</v>
      </c>
      <c r="S1047" t="str">
        <f>"12/18/2019 5:23:37 PM"</f>
        <v>12/18/2019 5:23:37 PM</v>
      </c>
      <c r="T1047" t="str">
        <f t="shared" si="437"/>
        <v>5</v>
      </c>
      <c r="U1047" t="str">
        <f t="shared" si="427"/>
        <v>N/A</v>
      </c>
      <c r="V1047" t="str">
        <f>"5.5500"</f>
        <v>5.5500</v>
      </c>
    </row>
    <row r="1048" spans="1:22" x14ac:dyDescent="0.25">
      <c r="A1048" s="1" t="str">
        <f t="shared" si="413"/>
        <v>72499</v>
      </c>
      <c r="B1048" s="1" t="str">
        <f t="shared" si="428"/>
        <v>72499</v>
      </c>
      <c r="C1048" s="1" t="s">
        <v>8898</v>
      </c>
      <c r="D1048" s="1" t="s">
        <v>8899</v>
      </c>
      <c r="E1048" s="1" t="s">
        <v>154</v>
      </c>
      <c r="F1048" s="1" t="s">
        <v>22</v>
      </c>
      <c r="G1048" s="1" t="e">
        <f>VLOOKUP(C1048,'Master truck list'!E:R,14,0)</f>
        <v>#N/A</v>
      </c>
      <c r="H1048" t="str">
        <f>"12/19/2019 7:00:35 AM"</f>
        <v>12/19/2019 7:00:35 AM</v>
      </c>
      <c r="I1048" t="str">
        <f>""</f>
        <v/>
      </c>
      <c r="J1048" t="str">
        <f t="shared" si="423"/>
        <v>Elite</v>
      </c>
      <c r="K1048" t="str">
        <f t="shared" si="433"/>
        <v>Device</v>
      </c>
      <c r="L1048" t="str">
        <f t="shared" si="434"/>
        <v>777250446</v>
      </c>
      <c r="M1048" t="str">
        <f t="shared" si="435"/>
        <v>16718328</v>
      </c>
      <c r="N1048" t="str">
        <f t="shared" si="436"/>
        <v>72499</v>
      </c>
      <c r="O1048" t="str">
        <f t="shared" si="424"/>
        <v>TEXAS</v>
      </c>
      <c r="P1048" t="str">
        <f t="shared" si="425"/>
        <v>N A</v>
      </c>
      <c r="Q1048" t="str">
        <f t="shared" si="426"/>
        <v>N/A</v>
      </c>
      <c r="R1048" t="str">
        <f>"130 MGCRP 10 305"</f>
        <v>130 MGCRP 10 305</v>
      </c>
      <c r="S1048" t="str">
        <f>"12/18/2019 5:35:01 PM"</f>
        <v>12/18/2019 5:35:01 PM</v>
      </c>
      <c r="T1048" t="str">
        <f t="shared" si="437"/>
        <v>5</v>
      </c>
      <c r="U1048" t="str">
        <f t="shared" si="427"/>
        <v>N/A</v>
      </c>
      <c r="V1048" t="str">
        <f>"5.5500"</f>
        <v>5.5500</v>
      </c>
    </row>
    <row r="1049" spans="1:22" x14ac:dyDescent="0.25">
      <c r="A1049" s="1" t="str">
        <f t="shared" si="413"/>
        <v>72499</v>
      </c>
      <c r="B1049" s="1" t="str">
        <f t="shared" si="428"/>
        <v>72499</v>
      </c>
      <c r="C1049" s="1" t="str">
        <f>VLOOKUP(B1049,'Master truck list'!D:E,2,0)</f>
        <v>72499</v>
      </c>
      <c r="D1049" s="1" t="str">
        <f>VLOOKUP(C1049,'Master truck list'!E:F,2,0)</f>
        <v>ACTIVE</v>
      </c>
      <c r="E1049" s="1" t="str">
        <f>VLOOKUP(C1049,'Master truck list'!E:M,9,0)</f>
        <v>CHARGER LOGISTICS USA INC</v>
      </c>
      <c r="F1049" s="1" t="str">
        <f>VLOOKUP(C1049,'Master truck list'!E:G,3,0)</f>
        <v>Owner Operator</v>
      </c>
      <c r="G1049" s="1">
        <f>VLOOKUP(C1049,'Master truck list'!E:R,14,0)</f>
        <v>2150</v>
      </c>
      <c r="H1049" t="str">
        <f>"12/19/2019 7:00:35 AM"</f>
        <v>12/19/2019 7:00:35 AM</v>
      </c>
      <c r="I1049" t="str">
        <f>""</f>
        <v/>
      </c>
      <c r="J1049" t="str">
        <f t="shared" si="423"/>
        <v>Elite</v>
      </c>
      <c r="K1049" t="str">
        <f t="shared" si="433"/>
        <v>Device</v>
      </c>
      <c r="L1049" t="str">
        <f t="shared" si="434"/>
        <v>777250446</v>
      </c>
      <c r="M1049" t="str">
        <f t="shared" si="435"/>
        <v>16718328</v>
      </c>
      <c r="N1049" t="str">
        <f t="shared" si="436"/>
        <v>72499</v>
      </c>
      <c r="O1049" t="str">
        <f t="shared" si="424"/>
        <v>TEXAS</v>
      </c>
      <c r="P1049" t="str">
        <f t="shared" si="425"/>
        <v>N A</v>
      </c>
      <c r="Q1049" t="str">
        <f t="shared" si="426"/>
        <v>N/A</v>
      </c>
      <c r="R1049" t="str">
        <f>"130 DKCRP 11 307"</f>
        <v>130 DKCRP 11 307</v>
      </c>
      <c r="S1049" t="str">
        <f>"12/18/2019 5:05:21 PM"</f>
        <v>12/18/2019 5:05:21 PM</v>
      </c>
      <c r="T1049" t="str">
        <f t="shared" si="437"/>
        <v>5</v>
      </c>
      <c r="U1049" t="str">
        <f t="shared" si="427"/>
        <v>N/A</v>
      </c>
      <c r="V1049" t="str">
        <f>"5.5500"</f>
        <v>5.5500</v>
      </c>
    </row>
    <row r="1050" spans="1:22" x14ac:dyDescent="0.25">
      <c r="A1050" s="1" t="str">
        <f t="shared" si="413"/>
        <v>72499</v>
      </c>
      <c r="B1050" s="1" t="str">
        <f t="shared" si="428"/>
        <v>72499</v>
      </c>
      <c r="C1050" s="1" t="str">
        <f>VLOOKUP(B1050,'Master truck list'!D:E,2,0)</f>
        <v>72499</v>
      </c>
      <c r="D1050" s="1" t="str">
        <f>VLOOKUP(C1050,'Master truck list'!E:F,2,0)</f>
        <v>ACTIVE</v>
      </c>
      <c r="E1050" s="1" t="str">
        <f>VLOOKUP(C1050,'Master truck list'!E:M,9,0)</f>
        <v>CHARGER LOGISTICS USA INC</v>
      </c>
      <c r="F1050" s="1" t="str">
        <f>VLOOKUP(C1050,'Master truck list'!E:G,3,0)</f>
        <v>Owner Operator</v>
      </c>
      <c r="G1050" s="1">
        <f>VLOOKUP(C1050,'Master truck list'!E:R,14,0)</f>
        <v>2150</v>
      </c>
      <c r="H1050" t="str">
        <f>"12/19/2019 7:00:35 AM"</f>
        <v>12/19/2019 7:00:35 AM</v>
      </c>
      <c r="I1050" t="str">
        <f>""</f>
        <v/>
      </c>
      <c r="J1050" t="str">
        <f t="shared" si="423"/>
        <v>Elite</v>
      </c>
      <c r="K1050" t="str">
        <f t="shared" si="433"/>
        <v>Device</v>
      </c>
      <c r="L1050" t="str">
        <f t="shared" si="434"/>
        <v>777250446</v>
      </c>
      <c r="M1050" t="str">
        <f t="shared" si="435"/>
        <v>16718328</v>
      </c>
      <c r="N1050" t="str">
        <f t="shared" si="436"/>
        <v>72499</v>
      </c>
      <c r="O1050" t="str">
        <f t="shared" si="424"/>
        <v>TEXAS</v>
      </c>
      <c r="P1050" t="str">
        <f t="shared" si="425"/>
        <v>N A</v>
      </c>
      <c r="Q1050" t="str">
        <f t="shared" si="426"/>
        <v>N/A</v>
      </c>
      <c r="R1050" t="str">
        <f>"45SE MLPEB 02 611"</f>
        <v>45SE MLPEB 02 611</v>
      </c>
      <c r="S1050" t="str">
        <f>"12/18/2019 4:46:13 PM"</f>
        <v>12/18/2019 4:46:13 PM</v>
      </c>
      <c r="T1050" t="str">
        <f t="shared" si="437"/>
        <v>5</v>
      </c>
      <c r="U1050" t="str">
        <f t="shared" si="427"/>
        <v>N/A</v>
      </c>
      <c r="V1050" t="str">
        <f>"3.3000"</f>
        <v>3.3000</v>
      </c>
    </row>
    <row r="1051" spans="1:22" x14ac:dyDescent="0.25">
      <c r="A1051" s="1" t="str">
        <f t="shared" si="413"/>
        <v>2282-</v>
      </c>
      <c r="B1051" s="1" t="str">
        <f t="shared" si="428"/>
        <v>2282-</v>
      </c>
      <c r="C1051" s="1" t="s">
        <v>8908</v>
      </c>
      <c r="D1051" s="1" t="s">
        <v>91</v>
      </c>
      <c r="E1051" s="1" t="s">
        <v>1738</v>
      </c>
      <c r="F1051" s="1" t="s">
        <v>22</v>
      </c>
      <c r="G1051" s="1" t="e">
        <f>VLOOKUP(C1051,'Master truck list'!E:R,14,0)</f>
        <v>#N/A</v>
      </c>
      <c r="H1051" t="str">
        <f>"12/17/2019 7:00:33 AM"</f>
        <v>12/17/2019 7:00:33 AM</v>
      </c>
      <c r="I1051" t="str">
        <f>""</f>
        <v/>
      </c>
      <c r="J1051" t="str">
        <f t="shared" si="423"/>
        <v>Elite</v>
      </c>
      <c r="K1051" t="str">
        <f t="shared" si="433"/>
        <v>Device</v>
      </c>
      <c r="L1051" t="str">
        <f>"777237548"</f>
        <v>777237548</v>
      </c>
      <c r="M1051" t="str">
        <f>"16670305"</f>
        <v>16670305</v>
      </c>
      <c r="N1051" t="str">
        <f>"2282-18A"</f>
        <v>2282-18A</v>
      </c>
      <c r="O1051" t="str">
        <f t="shared" si="424"/>
        <v>TEXAS</v>
      </c>
      <c r="P1051" t="str">
        <f t="shared" si="425"/>
        <v>N A</v>
      </c>
      <c r="Q1051" t="str">
        <f t="shared" si="426"/>
        <v>N/A</v>
      </c>
      <c r="R1051" t="str">
        <f>"130 DKCRP 06 307"</f>
        <v>130 DKCRP 06 307</v>
      </c>
      <c r="S1051" t="str">
        <f>"12/16/2019 2:36:46 PM"</f>
        <v>12/16/2019 2:36:46 PM</v>
      </c>
      <c r="T1051" t="str">
        <f t="shared" si="437"/>
        <v>5</v>
      </c>
      <c r="U1051" t="str">
        <f t="shared" si="427"/>
        <v>N/A</v>
      </c>
      <c r="V1051" t="str">
        <f>"5.5500"</f>
        <v>5.5500</v>
      </c>
    </row>
    <row r="1052" spans="1:22" x14ac:dyDescent="0.25">
      <c r="A1052" s="1" t="str">
        <f t="shared" si="413"/>
        <v>2282-</v>
      </c>
      <c r="B1052" s="1" t="str">
        <f t="shared" si="428"/>
        <v>2282-</v>
      </c>
      <c r="C1052" s="1" t="str">
        <f>VLOOKUP(B1052,'Master truck list'!D:E,2,0)</f>
        <v>2282-18AT</v>
      </c>
      <c r="D1052" s="1" t="str">
        <f>VLOOKUP(C1052,'Master truck list'!E:F,2,0)</f>
        <v>ACTIVE</v>
      </c>
      <c r="E1052" s="1" t="str">
        <f>VLOOKUP(C1052,'Master truck list'!E:M,9,0)</f>
        <v>CHARGER LOGISTICS USA INC</v>
      </c>
      <c r="F1052" s="1" t="str">
        <f>VLOOKUP(C1052,'Master truck list'!E:G,3,0)</f>
        <v>Company</v>
      </c>
      <c r="G1052" s="1">
        <f>VLOOKUP(C1052,'Master truck list'!E:R,14,0)</f>
        <v>1036</v>
      </c>
      <c r="H1052" t="str">
        <f>"12/17/2019 7:00:33 AM"</f>
        <v>12/17/2019 7:00:33 AM</v>
      </c>
      <c r="I1052" t="str">
        <f>""</f>
        <v/>
      </c>
      <c r="J1052" t="str">
        <f t="shared" si="423"/>
        <v>Elite</v>
      </c>
      <c r="K1052" t="str">
        <f t="shared" si="433"/>
        <v>Device</v>
      </c>
      <c r="L1052" t="str">
        <f>"777237548"</f>
        <v>777237548</v>
      </c>
      <c r="M1052" t="str">
        <f>"16670305"</f>
        <v>16670305</v>
      </c>
      <c r="N1052" t="str">
        <f>"2282-18A"</f>
        <v>2282-18A</v>
      </c>
      <c r="O1052" t="str">
        <f t="shared" si="424"/>
        <v>TEXAS</v>
      </c>
      <c r="P1052" t="str">
        <f t="shared" si="425"/>
        <v>N A</v>
      </c>
      <c r="Q1052" t="str">
        <f t="shared" si="426"/>
        <v>N/A</v>
      </c>
      <c r="R1052" t="str">
        <f>"130 MGCRP 06 305"</f>
        <v>130 MGCRP 06 305</v>
      </c>
      <c r="S1052" t="str">
        <f>"12/16/2019 2:15:41 PM"</f>
        <v>12/16/2019 2:15:41 PM</v>
      </c>
      <c r="T1052" t="str">
        <f t="shared" si="437"/>
        <v>5</v>
      </c>
      <c r="U1052" t="str">
        <f t="shared" si="427"/>
        <v>N/A</v>
      </c>
      <c r="V1052" t="str">
        <f>"5.5500"</f>
        <v>5.5500</v>
      </c>
    </row>
    <row r="1053" spans="1:22" x14ac:dyDescent="0.25">
      <c r="A1053" s="1" t="str">
        <f t="shared" si="413"/>
        <v>2282-</v>
      </c>
      <c r="B1053" s="1" t="str">
        <f t="shared" si="428"/>
        <v>2282-</v>
      </c>
      <c r="C1053" s="1" t="s">
        <v>8909</v>
      </c>
      <c r="D1053" s="1" t="s">
        <v>91</v>
      </c>
      <c r="E1053" s="1" t="s">
        <v>1738</v>
      </c>
      <c r="F1053" s="1" t="s">
        <v>22</v>
      </c>
      <c r="G1053" s="1" t="e">
        <f>VLOOKUP(C1053,'Master truck list'!E:R,14,0)</f>
        <v>#N/A</v>
      </c>
      <c r="H1053" t="str">
        <f>"12/17/2019 7:00:33 AM"</f>
        <v>12/17/2019 7:00:33 AM</v>
      </c>
      <c r="I1053" t="str">
        <f>""</f>
        <v/>
      </c>
      <c r="J1053" t="str">
        <f t="shared" si="423"/>
        <v>Elite</v>
      </c>
      <c r="K1053" t="str">
        <f t="shared" si="433"/>
        <v>Device</v>
      </c>
      <c r="L1053" t="str">
        <f>"777237548"</f>
        <v>777237548</v>
      </c>
      <c r="M1053" t="str">
        <f>"16670305"</f>
        <v>16670305</v>
      </c>
      <c r="N1053" t="str">
        <f>"2282-18A"</f>
        <v>2282-18A</v>
      </c>
      <c r="O1053" t="str">
        <f t="shared" si="424"/>
        <v>TEXAS</v>
      </c>
      <c r="P1053" t="str">
        <f t="shared" si="425"/>
        <v>N A</v>
      </c>
      <c r="Q1053" t="str">
        <f t="shared" si="426"/>
        <v>N/A</v>
      </c>
      <c r="R1053" t="str">
        <f>"45SE MLPWB 01 611"</f>
        <v>45SE MLPWB 01 611</v>
      </c>
      <c r="S1053" t="str">
        <f>"12/16/2019 3:02:45 PM"</f>
        <v>12/16/2019 3:02:45 PM</v>
      </c>
      <c r="T1053" t="str">
        <f t="shared" si="437"/>
        <v>5</v>
      </c>
      <c r="U1053" t="str">
        <f t="shared" si="427"/>
        <v>N/A</v>
      </c>
      <c r="V1053" t="str">
        <f>"3.3000"</f>
        <v>3.3000</v>
      </c>
    </row>
    <row r="1054" spans="1:22" x14ac:dyDescent="0.25">
      <c r="A1054" s="1" t="str">
        <f t="shared" si="413"/>
        <v>2282-</v>
      </c>
      <c r="B1054" s="1" t="str">
        <f t="shared" si="428"/>
        <v>2282-</v>
      </c>
      <c r="C1054" s="1" t="str">
        <f>VLOOKUP(B1054,'Master truck list'!D:E,2,0)</f>
        <v>2282-18AT</v>
      </c>
      <c r="D1054" s="1" t="str">
        <f>VLOOKUP(C1054,'Master truck list'!E:F,2,0)</f>
        <v>ACTIVE</v>
      </c>
      <c r="E1054" s="1" t="str">
        <f>VLOOKUP(C1054,'Master truck list'!E:M,9,0)</f>
        <v>CHARGER LOGISTICS USA INC</v>
      </c>
      <c r="F1054" s="1" t="str">
        <f>VLOOKUP(C1054,'Master truck list'!E:G,3,0)</f>
        <v>Company</v>
      </c>
      <c r="G1054" s="1">
        <f>VLOOKUP(C1054,'Master truck list'!E:R,14,0)</f>
        <v>1036</v>
      </c>
      <c r="H1054" t="str">
        <f>"12/17/2019 7:00:33 AM"</f>
        <v>12/17/2019 7:00:33 AM</v>
      </c>
      <c r="I1054" t="str">
        <f>""</f>
        <v/>
      </c>
      <c r="J1054" t="str">
        <f t="shared" si="423"/>
        <v>Elite</v>
      </c>
      <c r="K1054" t="str">
        <f t="shared" si="433"/>
        <v>Device</v>
      </c>
      <c r="L1054" t="str">
        <f>"777237548"</f>
        <v>777237548</v>
      </c>
      <c r="M1054" t="str">
        <f>"16670305"</f>
        <v>16670305</v>
      </c>
      <c r="N1054" t="str">
        <f>"2282-18A"</f>
        <v>2282-18A</v>
      </c>
      <c r="O1054" t="str">
        <f t="shared" si="424"/>
        <v>TEXAS</v>
      </c>
      <c r="P1054" t="str">
        <f t="shared" si="425"/>
        <v>N A</v>
      </c>
      <c r="Q1054" t="str">
        <f t="shared" si="426"/>
        <v>N/A</v>
      </c>
      <c r="R1054" t="str">
        <f>"130 CMRNP 08 306"</f>
        <v>130 CMRNP 08 306</v>
      </c>
      <c r="S1054" t="str">
        <f>"12/16/2019 2:26:38 PM"</f>
        <v>12/16/2019 2:26:38 PM</v>
      </c>
      <c r="T1054" t="str">
        <f t="shared" si="437"/>
        <v>5</v>
      </c>
      <c r="U1054" t="str">
        <f t="shared" si="427"/>
        <v>N/A</v>
      </c>
      <c r="V1054" t="str">
        <f t="shared" ref="V1054:V1060" si="438">"5.5500"</f>
        <v>5.5500</v>
      </c>
    </row>
    <row r="1055" spans="1:22" x14ac:dyDescent="0.25">
      <c r="A1055" s="1" t="str">
        <f t="shared" si="413"/>
        <v>2282-</v>
      </c>
      <c r="B1055" s="1" t="str">
        <f t="shared" si="428"/>
        <v>2282-</v>
      </c>
      <c r="C1055" s="1" t="str">
        <f>VLOOKUP(B1055,'Master truck list'!D:E,2,0)</f>
        <v>2282-18AT</v>
      </c>
      <c r="D1055" s="1" t="str">
        <f>VLOOKUP(C1055,'Master truck list'!E:F,2,0)</f>
        <v>ACTIVE</v>
      </c>
      <c r="E1055" s="1" t="str">
        <f>VLOOKUP(C1055,'Master truck list'!E:M,9,0)</f>
        <v>CHARGER LOGISTICS USA INC</v>
      </c>
      <c r="F1055" s="1" t="str">
        <f>VLOOKUP(C1055,'Master truck list'!E:G,3,0)</f>
        <v>Company</v>
      </c>
      <c r="G1055" s="1">
        <f>VLOOKUP(C1055,'Master truck list'!E:R,14,0)</f>
        <v>1036</v>
      </c>
      <c r="H1055" t="str">
        <f>"12/17/2019 7:00:33 AM"</f>
        <v>12/17/2019 7:00:33 AM</v>
      </c>
      <c r="I1055" t="str">
        <f>""</f>
        <v/>
      </c>
      <c r="J1055" t="str">
        <f t="shared" si="423"/>
        <v>Elite</v>
      </c>
      <c r="K1055" t="str">
        <f t="shared" si="433"/>
        <v>Device</v>
      </c>
      <c r="L1055" t="str">
        <f>"777237548"</f>
        <v>777237548</v>
      </c>
      <c r="M1055" t="str">
        <f>"16670305"</f>
        <v>16670305</v>
      </c>
      <c r="N1055" t="str">
        <f>"2282-18A"</f>
        <v>2282-18A</v>
      </c>
      <c r="O1055" t="str">
        <f t="shared" si="424"/>
        <v>TEXAS</v>
      </c>
      <c r="P1055" t="str">
        <f t="shared" si="425"/>
        <v>N A</v>
      </c>
      <c r="Q1055" t="str">
        <f t="shared" si="426"/>
        <v>N/A</v>
      </c>
      <c r="R1055" t="str">
        <f>"130 ARPTP 04 308"</f>
        <v>130 ARPTP 04 308</v>
      </c>
      <c r="S1055" t="str">
        <f>"12/16/2019 2:43:49 PM"</f>
        <v>12/16/2019 2:43:49 PM</v>
      </c>
      <c r="T1055" t="str">
        <f t="shared" si="437"/>
        <v>5</v>
      </c>
      <c r="U1055" t="str">
        <f t="shared" si="427"/>
        <v>N/A</v>
      </c>
      <c r="V1055" t="str">
        <f t="shared" si="438"/>
        <v>5.5500</v>
      </c>
    </row>
    <row r="1056" spans="1:22" x14ac:dyDescent="0.25">
      <c r="A1056" s="1" t="str">
        <f t="shared" si="413"/>
        <v>19376</v>
      </c>
      <c r="B1056" s="1" t="str">
        <f t="shared" si="428"/>
        <v>19376</v>
      </c>
      <c r="C1056" s="1">
        <v>19376</v>
      </c>
      <c r="D1056" s="1" t="s">
        <v>91</v>
      </c>
      <c r="E1056" s="1" t="s">
        <v>37</v>
      </c>
      <c r="F1056" s="1" t="s">
        <v>8919</v>
      </c>
      <c r="G1056" s="1" t="e">
        <f>VLOOKUP(C1056,'Master truck list'!E:R,14,0)</f>
        <v>#N/A</v>
      </c>
      <c r="H1056" t="str">
        <f t="shared" ref="H1056:H1070" si="439">"12/20/2019 7:00:30 AM"</f>
        <v>12/20/2019 7:00:30 AM</v>
      </c>
      <c r="I1056" t="str">
        <f>""</f>
        <v/>
      </c>
      <c r="J1056" t="str">
        <f t="shared" si="423"/>
        <v>Elite</v>
      </c>
      <c r="K1056" t="str">
        <f t="shared" si="433"/>
        <v>Device</v>
      </c>
      <c r="L1056" t="str">
        <f t="shared" ref="L1056:L1065" si="440">"777219009"</f>
        <v>777219009</v>
      </c>
      <c r="M1056" t="str">
        <f t="shared" ref="M1056:M1065" si="441">"16561656"</f>
        <v>16561656</v>
      </c>
      <c r="N1056" t="str">
        <f t="shared" ref="N1056:N1065" si="442">"19376-20"</f>
        <v>19376-20</v>
      </c>
      <c r="O1056" t="str">
        <f t="shared" si="424"/>
        <v>TEXAS</v>
      </c>
      <c r="P1056" t="str">
        <f t="shared" si="425"/>
        <v>N A</v>
      </c>
      <c r="Q1056" t="str">
        <f t="shared" si="426"/>
        <v>N/A</v>
      </c>
      <c r="R1056" t="str">
        <f>"130 ARPTP 04 308"</f>
        <v>130 ARPTP 04 308</v>
      </c>
      <c r="S1056" t="str">
        <f>"12/19/2019 4:15:37 AM"</f>
        <v>12/19/2019 4:15:37 AM</v>
      </c>
      <c r="T1056" t="str">
        <f t="shared" si="437"/>
        <v>5</v>
      </c>
      <c r="U1056" t="str">
        <f t="shared" si="427"/>
        <v>N/A</v>
      </c>
      <c r="V1056" t="str">
        <f t="shared" si="438"/>
        <v>5.5500</v>
      </c>
    </row>
    <row r="1057" spans="1:22" x14ac:dyDescent="0.25">
      <c r="A1057" s="1" t="str">
        <f t="shared" si="413"/>
        <v>19376</v>
      </c>
      <c r="B1057" s="1" t="str">
        <f t="shared" si="428"/>
        <v>19376</v>
      </c>
      <c r="C1057" s="1">
        <v>19376</v>
      </c>
      <c r="D1057" s="1" t="s">
        <v>91</v>
      </c>
      <c r="E1057" s="1" t="s">
        <v>37</v>
      </c>
      <c r="F1057" s="1" t="s">
        <v>22</v>
      </c>
      <c r="G1057" s="1" t="e">
        <f>VLOOKUP(C1057,'Master truck list'!E:R,14,0)</f>
        <v>#N/A</v>
      </c>
      <c r="H1057" t="str">
        <f t="shared" si="439"/>
        <v>12/20/2019 7:00:30 AM</v>
      </c>
      <c r="I1057" t="str">
        <f>""</f>
        <v/>
      </c>
      <c r="J1057" t="str">
        <f t="shared" si="423"/>
        <v>Elite</v>
      </c>
      <c r="K1057" t="str">
        <f t="shared" si="433"/>
        <v>Device</v>
      </c>
      <c r="L1057" t="str">
        <f t="shared" si="440"/>
        <v>777219009</v>
      </c>
      <c r="M1057" t="str">
        <f t="shared" si="441"/>
        <v>16561656</v>
      </c>
      <c r="N1057" t="str">
        <f t="shared" si="442"/>
        <v>19376-20</v>
      </c>
      <c r="O1057" t="str">
        <f t="shared" si="424"/>
        <v>TEXAS</v>
      </c>
      <c r="P1057" t="str">
        <f t="shared" si="425"/>
        <v>N A</v>
      </c>
      <c r="Q1057" t="str">
        <f t="shared" si="426"/>
        <v>N/A</v>
      </c>
      <c r="R1057" t="str">
        <f>"130 ARPTP 09 308"</f>
        <v>130 ARPTP 09 308</v>
      </c>
      <c r="S1057" t="str">
        <f>"12/19/2019 7:40:15 PM"</f>
        <v>12/19/2019 7:40:15 PM</v>
      </c>
      <c r="T1057" t="str">
        <f t="shared" si="437"/>
        <v>5</v>
      </c>
      <c r="U1057" t="str">
        <f t="shared" si="427"/>
        <v>N/A</v>
      </c>
      <c r="V1057" t="str">
        <f t="shared" si="438"/>
        <v>5.5500</v>
      </c>
    </row>
    <row r="1058" spans="1:22" x14ac:dyDescent="0.25">
      <c r="A1058" s="1" t="str">
        <f t="shared" si="413"/>
        <v>19376</v>
      </c>
      <c r="B1058" s="1" t="str">
        <f t="shared" si="428"/>
        <v>19376</v>
      </c>
      <c r="C1058" s="1">
        <v>19376</v>
      </c>
      <c r="D1058" s="1" t="s">
        <v>91</v>
      </c>
      <c r="E1058" s="1" t="s">
        <v>37</v>
      </c>
      <c r="F1058" s="1" t="s">
        <v>22</v>
      </c>
      <c r="G1058" s="1" t="e">
        <f>VLOOKUP(C1058,'Master truck list'!E:R,14,0)</f>
        <v>#N/A</v>
      </c>
      <c r="H1058" t="str">
        <f t="shared" si="439"/>
        <v>12/20/2019 7:00:30 AM</v>
      </c>
      <c r="I1058" t="str">
        <f>""</f>
        <v/>
      </c>
      <c r="J1058" t="str">
        <f t="shared" si="423"/>
        <v>Elite</v>
      </c>
      <c r="K1058" t="str">
        <f t="shared" si="433"/>
        <v>Device</v>
      </c>
      <c r="L1058" t="str">
        <f t="shared" si="440"/>
        <v>777219009</v>
      </c>
      <c r="M1058" t="str">
        <f t="shared" si="441"/>
        <v>16561656</v>
      </c>
      <c r="N1058" t="str">
        <f t="shared" si="442"/>
        <v>19376-20</v>
      </c>
      <c r="O1058" t="str">
        <f t="shared" si="424"/>
        <v>TEXAS</v>
      </c>
      <c r="P1058" t="str">
        <f t="shared" si="425"/>
        <v>N A</v>
      </c>
      <c r="Q1058" t="str">
        <f t="shared" si="426"/>
        <v>N/A</v>
      </c>
      <c r="R1058" t="str">
        <f>"130 CMRNP 08 306"</f>
        <v>130 CMRNP 08 306</v>
      </c>
      <c r="S1058" t="str">
        <f>"12/19/2019 3:57:49 AM"</f>
        <v>12/19/2019 3:57:49 AM</v>
      </c>
      <c r="T1058" t="str">
        <f t="shared" si="437"/>
        <v>5</v>
      </c>
      <c r="U1058" t="str">
        <f t="shared" si="427"/>
        <v>N/A</v>
      </c>
      <c r="V1058" t="str">
        <f t="shared" si="438"/>
        <v>5.5500</v>
      </c>
    </row>
    <row r="1059" spans="1:22" x14ac:dyDescent="0.25">
      <c r="A1059" s="1" t="str">
        <f t="shared" si="413"/>
        <v>19376</v>
      </c>
      <c r="B1059" s="1" t="str">
        <f t="shared" si="428"/>
        <v>19376</v>
      </c>
      <c r="C1059" s="1">
        <v>19376</v>
      </c>
      <c r="D1059" s="1" t="s">
        <v>91</v>
      </c>
      <c r="E1059" s="1" t="s">
        <v>37</v>
      </c>
      <c r="F1059" s="1" t="s">
        <v>22</v>
      </c>
      <c r="G1059" s="1" t="e">
        <f>VLOOKUP(C1059,'Master truck list'!E:R,14,0)</f>
        <v>#N/A</v>
      </c>
      <c r="H1059" t="str">
        <f t="shared" si="439"/>
        <v>12/20/2019 7:00:30 AM</v>
      </c>
      <c r="I1059" t="str">
        <f>""</f>
        <v/>
      </c>
      <c r="J1059" t="str">
        <f t="shared" si="423"/>
        <v>Elite</v>
      </c>
      <c r="K1059" t="str">
        <f t="shared" si="433"/>
        <v>Device</v>
      </c>
      <c r="L1059" t="str">
        <f t="shared" si="440"/>
        <v>777219009</v>
      </c>
      <c r="M1059" t="str">
        <f t="shared" si="441"/>
        <v>16561656</v>
      </c>
      <c r="N1059" t="str">
        <f t="shared" si="442"/>
        <v>19376-20</v>
      </c>
      <c r="O1059" t="str">
        <f t="shared" si="424"/>
        <v>TEXAS</v>
      </c>
      <c r="P1059" t="str">
        <f t="shared" si="425"/>
        <v>N A</v>
      </c>
      <c r="Q1059" t="str">
        <f t="shared" si="426"/>
        <v>N/A</v>
      </c>
      <c r="R1059" t="str">
        <f>"130 CMRNP 13 306"</f>
        <v>130 CMRNP 13 306</v>
      </c>
      <c r="S1059" t="str">
        <f>"12/19/2019 7:58:02 PM"</f>
        <v>12/19/2019 7:58:02 PM</v>
      </c>
      <c r="T1059" t="str">
        <f t="shared" si="437"/>
        <v>5</v>
      </c>
      <c r="U1059" t="str">
        <f t="shared" si="427"/>
        <v>N/A</v>
      </c>
      <c r="V1059" t="str">
        <f t="shared" si="438"/>
        <v>5.5500</v>
      </c>
    </row>
    <row r="1060" spans="1:22" x14ac:dyDescent="0.25">
      <c r="A1060" s="1" t="str">
        <f t="shared" si="413"/>
        <v>19376</v>
      </c>
      <c r="B1060" s="1" t="str">
        <f t="shared" si="428"/>
        <v>19376</v>
      </c>
      <c r="C1060" s="1">
        <v>19376</v>
      </c>
      <c r="D1060" s="1" t="s">
        <v>91</v>
      </c>
      <c r="E1060" s="1" t="s">
        <v>37</v>
      </c>
      <c r="F1060" s="1" t="s">
        <v>8919</v>
      </c>
      <c r="G1060" s="1" t="e">
        <f>VLOOKUP(C1060,'Master truck list'!E:R,14,0)</f>
        <v>#N/A</v>
      </c>
      <c r="H1060" t="str">
        <f t="shared" si="439"/>
        <v>12/20/2019 7:00:30 AM</v>
      </c>
      <c r="I1060" t="str">
        <f>""</f>
        <v/>
      </c>
      <c r="J1060" t="str">
        <f t="shared" si="423"/>
        <v>Elite</v>
      </c>
      <c r="K1060" t="str">
        <f t="shared" si="433"/>
        <v>Device</v>
      </c>
      <c r="L1060" t="str">
        <f t="shared" si="440"/>
        <v>777219009</v>
      </c>
      <c r="M1060" t="str">
        <f t="shared" si="441"/>
        <v>16561656</v>
      </c>
      <c r="N1060" t="str">
        <f t="shared" si="442"/>
        <v>19376-20</v>
      </c>
      <c r="O1060" t="str">
        <f t="shared" si="424"/>
        <v>TEXAS</v>
      </c>
      <c r="P1060" t="str">
        <f t="shared" si="425"/>
        <v>N A</v>
      </c>
      <c r="Q1060" t="str">
        <f t="shared" si="426"/>
        <v>N/A</v>
      </c>
      <c r="R1060" t="str">
        <f>"130 MGCRP 11 305"</f>
        <v>130 MGCRP 11 305</v>
      </c>
      <c r="S1060" t="str">
        <f>"12/19/2019 8:09:33 PM"</f>
        <v>12/19/2019 8:09:33 PM</v>
      </c>
      <c r="T1060" t="str">
        <f t="shared" si="437"/>
        <v>5</v>
      </c>
      <c r="U1060" t="str">
        <f t="shared" si="427"/>
        <v>N/A</v>
      </c>
      <c r="V1060" t="str">
        <f t="shared" si="438"/>
        <v>5.5500</v>
      </c>
    </row>
    <row r="1061" spans="1:22" x14ac:dyDescent="0.25">
      <c r="A1061" s="1" t="str">
        <f t="shared" si="413"/>
        <v>19376</v>
      </c>
      <c r="B1061" s="1" t="str">
        <f t="shared" si="428"/>
        <v>19376</v>
      </c>
      <c r="C1061" s="1">
        <v>19376</v>
      </c>
      <c r="D1061" s="1" t="s">
        <v>91</v>
      </c>
      <c r="E1061" s="1" t="s">
        <v>37</v>
      </c>
      <c r="F1061" s="1" t="s">
        <v>8919</v>
      </c>
      <c r="G1061" s="1" t="e">
        <f>VLOOKUP(C1061,'Master truck list'!E:R,14,0)</f>
        <v>#N/A</v>
      </c>
      <c r="H1061" t="str">
        <f t="shared" si="439"/>
        <v>12/20/2019 7:00:30 AM</v>
      </c>
      <c r="I1061" t="str">
        <f>""</f>
        <v/>
      </c>
      <c r="J1061" t="str">
        <f t="shared" si="423"/>
        <v>Elite</v>
      </c>
      <c r="K1061" t="str">
        <f t="shared" si="433"/>
        <v>Device</v>
      </c>
      <c r="L1061" t="str">
        <f t="shared" si="440"/>
        <v>777219009</v>
      </c>
      <c r="M1061" t="str">
        <f t="shared" si="441"/>
        <v>16561656</v>
      </c>
      <c r="N1061" t="str">
        <f t="shared" si="442"/>
        <v>19376-20</v>
      </c>
      <c r="O1061" t="str">
        <f t="shared" si="424"/>
        <v>TEXAS</v>
      </c>
      <c r="P1061" t="str">
        <f t="shared" si="425"/>
        <v>N A</v>
      </c>
      <c r="Q1061" t="str">
        <f t="shared" si="426"/>
        <v>N/A</v>
      </c>
      <c r="R1061" t="str">
        <f>"45SE MLPWB 01 611"</f>
        <v>45SE MLPWB 01 611</v>
      </c>
      <c r="S1061" t="str">
        <f>"12/19/2019 4:26:39 AM"</f>
        <v>12/19/2019 4:26:39 AM</v>
      </c>
      <c r="T1061" t="str">
        <f t="shared" si="437"/>
        <v>5</v>
      </c>
      <c r="U1061" t="str">
        <f t="shared" si="427"/>
        <v>N/A</v>
      </c>
      <c r="V1061" t="str">
        <f>"3.3000"</f>
        <v>3.3000</v>
      </c>
    </row>
    <row r="1062" spans="1:22" x14ac:dyDescent="0.25">
      <c r="A1062" s="1" t="str">
        <f t="shared" si="413"/>
        <v>19376</v>
      </c>
      <c r="B1062" s="1" t="str">
        <f t="shared" si="428"/>
        <v>19376</v>
      </c>
      <c r="C1062" s="1">
        <v>19376</v>
      </c>
      <c r="D1062" s="1" t="s">
        <v>91</v>
      </c>
      <c r="E1062" s="1" t="s">
        <v>37</v>
      </c>
      <c r="F1062" s="1" t="s">
        <v>8919</v>
      </c>
      <c r="G1062" s="1" t="e">
        <f>VLOOKUP(C1062,'Master truck list'!E:R,14,0)</f>
        <v>#N/A</v>
      </c>
      <c r="H1062" t="str">
        <f t="shared" si="439"/>
        <v>12/20/2019 7:00:30 AM</v>
      </c>
      <c r="I1062" t="str">
        <f>""</f>
        <v/>
      </c>
      <c r="J1062" t="str">
        <f t="shared" si="423"/>
        <v>Elite</v>
      </c>
      <c r="K1062" t="str">
        <f t="shared" si="433"/>
        <v>Device</v>
      </c>
      <c r="L1062" t="str">
        <f t="shared" si="440"/>
        <v>777219009</v>
      </c>
      <c r="M1062" t="str">
        <f t="shared" si="441"/>
        <v>16561656</v>
      </c>
      <c r="N1062" t="str">
        <f t="shared" si="442"/>
        <v>19376-20</v>
      </c>
      <c r="O1062" t="str">
        <f t="shared" si="424"/>
        <v>TEXAS</v>
      </c>
      <c r="P1062" t="str">
        <f t="shared" si="425"/>
        <v>N A</v>
      </c>
      <c r="Q1062" t="str">
        <f t="shared" si="426"/>
        <v>N/A</v>
      </c>
      <c r="R1062" t="str">
        <f>"45SE MLPEB 02 611"</f>
        <v>45SE MLPEB 02 611</v>
      </c>
      <c r="S1062" t="str">
        <f>"12/19/2019 7:29:15 PM"</f>
        <v>12/19/2019 7:29:15 PM</v>
      </c>
      <c r="T1062" t="str">
        <f t="shared" si="437"/>
        <v>5</v>
      </c>
      <c r="U1062" t="str">
        <f t="shared" si="427"/>
        <v>N/A</v>
      </c>
      <c r="V1062" t="str">
        <f>"3.3000"</f>
        <v>3.3000</v>
      </c>
    </row>
    <row r="1063" spans="1:22" x14ac:dyDescent="0.25">
      <c r="A1063" s="1" t="str">
        <f t="shared" si="413"/>
        <v>19376</v>
      </c>
      <c r="B1063" s="1" t="str">
        <f t="shared" si="428"/>
        <v>19376</v>
      </c>
      <c r="C1063" s="1">
        <v>19376</v>
      </c>
      <c r="D1063" s="1" t="s">
        <v>91</v>
      </c>
      <c r="E1063" s="1" t="s">
        <v>37</v>
      </c>
      <c r="F1063" s="1" t="s">
        <v>8919</v>
      </c>
      <c r="G1063" s="1" t="e">
        <f>VLOOKUP(C1063,'Master truck list'!E:R,14,0)</f>
        <v>#N/A</v>
      </c>
      <c r="H1063" t="str">
        <f t="shared" si="439"/>
        <v>12/20/2019 7:00:30 AM</v>
      </c>
      <c r="I1063" t="str">
        <f>""</f>
        <v/>
      </c>
      <c r="J1063" t="str">
        <f t="shared" si="423"/>
        <v>Elite</v>
      </c>
      <c r="K1063" t="str">
        <f t="shared" si="433"/>
        <v>Device</v>
      </c>
      <c r="L1063" t="str">
        <f t="shared" si="440"/>
        <v>777219009</v>
      </c>
      <c r="M1063" t="str">
        <f t="shared" si="441"/>
        <v>16561656</v>
      </c>
      <c r="N1063" t="str">
        <f t="shared" si="442"/>
        <v>19376-20</v>
      </c>
      <c r="O1063" t="str">
        <f t="shared" si="424"/>
        <v>TEXAS</v>
      </c>
      <c r="P1063" t="str">
        <f t="shared" si="425"/>
        <v>N A</v>
      </c>
      <c r="Q1063" t="str">
        <f t="shared" si="426"/>
        <v>N/A</v>
      </c>
      <c r="R1063" t="str">
        <f>"130 MGCRP 06 305"</f>
        <v>130 MGCRP 06 305</v>
      </c>
      <c r="S1063" t="str">
        <f>"12/19/2019 3:46:16 AM"</f>
        <v>12/19/2019 3:46:16 AM</v>
      </c>
      <c r="T1063" t="str">
        <f t="shared" si="437"/>
        <v>5</v>
      </c>
      <c r="U1063" t="str">
        <f t="shared" si="427"/>
        <v>N/A</v>
      </c>
      <c r="V1063" t="str">
        <f>"5.5500"</f>
        <v>5.5500</v>
      </c>
    </row>
    <row r="1064" spans="1:22" x14ac:dyDescent="0.25">
      <c r="A1064" s="1" t="str">
        <f t="shared" si="413"/>
        <v>19376</v>
      </c>
      <c r="B1064" s="1" t="str">
        <f t="shared" si="428"/>
        <v>19376</v>
      </c>
      <c r="C1064" s="1">
        <v>19376</v>
      </c>
      <c r="D1064" s="1" t="s">
        <v>91</v>
      </c>
      <c r="E1064" s="1" t="s">
        <v>37</v>
      </c>
      <c r="F1064" s="1" t="s">
        <v>8919</v>
      </c>
      <c r="G1064" s="1" t="e">
        <f>VLOOKUP(C1064,'Master truck list'!E:R,14,0)</f>
        <v>#N/A</v>
      </c>
      <c r="H1064" t="str">
        <f t="shared" si="439"/>
        <v>12/20/2019 7:00:30 AM</v>
      </c>
      <c r="I1064" t="str">
        <f>""</f>
        <v/>
      </c>
      <c r="J1064" t="str">
        <f t="shared" si="423"/>
        <v>Elite</v>
      </c>
      <c r="K1064" t="str">
        <f t="shared" si="433"/>
        <v>Device</v>
      </c>
      <c r="L1064" t="str">
        <f t="shared" si="440"/>
        <v>777219009</v>
      </c>
      <c r="M1064" t="str">
        <f t="shared" si="441"/>
        <v>16561656</v>
      </c>
      <c r="N1064" t="str">
        <f t="shared" si="442"/>
        <v>19376-20</v>
      </c>
      <c r="O1064" t="str">
        <f t="shared" si="424"/>
        <v>TEXAS</v>
      </c>
      <c r="P1064" t="str">
        <f t="shared" si="425"/>
        <v>N A</v>
      </c>
      <c r="Q1064" t="str">
        <f t="shared" si="426"/>
        <v>N/A</v>
      </c>
      <c r="R1064" t="str">
        <f>"130 DKCRP 06 307"</f>
        <v>130 DKCRP 06 307</v>
      </c>
      <c r="S1064" t="str">
        <f>"12/19/2019 4:08:22 AM"</f>
        <v>12/19/2019 4:08:22 AM</v>
      </c>
      <c r="T1064" t="str">
        <f t="shared" si="437"/>
        <v>5</v>
      </c>
      <c r="U1064" t="str">
        <f t="shared" si="427"/>
        <v>N/A</v>
      </c>
      <c r="V1064" t="str">
        <f>"5.5500"</f>
        <v>5.5500</v>
      </c>
    </row>
    <row r="1065" spans="1:22" x14ac:dyDescent="0.25">
      <c r="A1065" s="1" t="str">
        <f t="shared" si="413"/>
        <v>19376</v>
      </c>
      <c r="B1065" s="1" t="str">
        <f t="shared" si="428"/>
        <v>19376</v>
      </c>
      <c r="C1065" s="1">
        <v>19376</v>
      </c>
      <c r="D1065" s="1" t="s">
        <v>91</v>
      </c>
      <c r="E1065" s="1" t="s">
        <v>37</v>
      </c>
      <c r="F1065" s="1" t="s">
        <v>8919</v>
      </c>
      <c r="G1065" s="1" t="e">
        <f>VLOOKUP(C1065,'Master truck list'!E:R,14,0)</f>
        <v>#N/A</v>
      </c>
      <c r="H1065" t="str">
        <f t="shared" si="439"/>
        <v>12/20/2019 7:00:30 AM</v>
      </c>
      <c r="I1065" t="str">
        <f>""</f>
        <v/>
      </c>
      <c r="J1065" t="str">
        <f t="shared" si="423"/>
        <v>Elite</v>
      </c>
      <c r="K1065" t="str">
        <f t="shared" si="433"/>
        <v>Device</v>
      </c>
      <c r="L1065" t="str">
        <f t="shared" si="440"/>
        <v>777219009</v>
      </c>
      <c r="M1065" t="str">
        <f t="shared" si="441"/>
        <v>16561656</v>
      </c>
      <c r="N1065" t="str">
        <f t="shared" si="442"/>
        <v>19376-20</v>
      </c>
      <c r="O1065" t="str">
        <f t="shared" si="424"/>
        <v>TEXAS</v>
      </c>
      <c r="P1065" t="str">
        <f t="shared" si="425"/>
        <v>N A</v>
      </c>
      <c r="Q1065" t="str">
        <f t="shared" si="426"/>
        <v>N/A</v>
      </c>
      <c r="R1065" t="str">
        <f>"130 DKCRP 11 307"</f>
        <v>130 DKCRP 11 307</v>
      </c>
      <c r="S1065" t="str">
        <f>"12/19/2019 7:47:29 PM"</f>
        <v>12/19/2019 7:47:29 PM</v>
      </c>
      <c r="T1065" t="str">
        <f t="shared" si="437"/>
        <v>5</v>
      </c>
      <c r="U1065" t="str">
        <f t="shared" si="427"/>
        <v>N/A</v>
      </c>
      <c r="V1065" t="str">
        <f>"5.5500"</f>
        <v>5.5500</v>
      </c>
    </row>
    <row r="1066" spans="1:22" x14ac:dyDescent="0.25">
      <c r="A1066" s="1" t="str">
        <f t="shared" si="413"/>
        <v>19377</v>
      </c>
      <c r="B1066" s="1" t="str">
        <f t="shared" si="428"/>
        <v>19377</v>
      </c>
      <c r="C1066" s="1">
        <v>19377</v>
      </c>
      <c r="D1066" s="1" t="s">
        <v>91</v>
      </c>
      <c r="E1066" s="1" t="s">
        <v>37</v>
      </c>
      <c r="F1066" s="1" t="s">
        <v>8919</v>
      </c>
      <c r="G1066" s="1" t="e">
        <f>VLOOKUP(C1066,'Master truck list'!E:R,14,0)</f>
        <v>#N/A</v>
      </c>
      <c r="H1066" t="str">
        <f t="shared" si="439"/>
        <v>12/20/2019 7:00:30 AM</v>
      </c>
      <c r="I1066" t="str">
        <f>""</f>
        <v/>
      </c>
      <c r="J1066" t="str">
        <f t="shared" si="423"/>
        <v>Elite</v>
      </c>
      <c r="K1066" t="str">
        <f t="shared" si="433"/>
        <v>Device</v>
      </c>
      <c r="L1066" t="str">
        <f>"777215450"</f>
        <v>777215450</v>
      </c>
      <c r="M1066" t="str">
        <f>"16550572"</f>
        <v>16550572</v>
      </c>
      <c r="N1066" t="str">
        <f>"19377-20"</f>
        <v>19377-20</v>
      </c>
      <c r="O1066" t="str">
        <f t="shared" si="424"/>
        <v>TEXAS</v>
      </c>
      <c r="P1066" t="str">
        <f t="shared" si="425"/>
        <v>N A</v>
      </c>
      <c r="Q1066" t="str">
        <f t="shared" si="426"/>
        <v>N/A</v>
      </c>
      <c r="R1066" t="str">
        <f>"130 DKCRP 11 307"</f>
        <v>130 DKCRP 11 307</v>
      </c>
      <c r="S1066" t="str">
        <f>"12/19/2019 7:30:02 PM"</f>
        <v>12/19/2019 7:30:02 PM</v>
      </c>
      <c r="T1066" t="str">
        <f t="shared" si="437"/>
        <v>5</v>
      </c>
      <c r="U1066" t="str">
        <f t="shared" si="427"/>
        <v>N/A</v>
      </c>
      <c r="V1066" t="str">
        <f>"5.5500"</f>
        <v>5.5500</v>
      </c>
    </row>
    <row r="1067" spans="1:22" x14ac:dyDescent="0.25">
      <c r="A1067" s="1" t="str">
        <f t="shared" si="413"/>
        <v>19377</v>
      </c>
      <c r="B1067" s="1" t="str">
        <f t="shared" si="428"/>
        <v>19377</v>
      </c>
      <c r="C1067" s="1">
        <v>19377</v>
      </c>
      <c r="D1067" s="1" t="s">
        <v>91</v>
      </c>
      <c r="E1067" s="1" t="s">
        <v>37</v>
      </c>
      <c r="F1067" s="1" t="s">
        <v>8919</v>
      </c>
      <c r="G1067" s="1" t="e">
        <f>VLOOKUP(C1067,'Master truck list'!E:R,14,0)</f>
        <v>#N/A</v>
      </c>
      <c r="H1067" t="str">
        <f t="shared" si="439"/>
        <v>12/20/2019 7:00:30 AM</v>
      </c>
      <c r="I1067" t="str">
        <f>""</f>
        <v/>
      </c>
      <c r="J1067" t="str">
        <f t="shared" si="423"/>
        <v>Elite</v>
      </c>
      <c r="K1067" t="str">
        <f t="shared" si="433"/>
        <v>Device</v>
      </c>
      <c r="L1067" t="str">
        <f>"777215450"</f>
        <v>777215450</v>
      </c>
      <c r="M1067" t="str">
        <f>"16550572"</f>
        <v>16550572</v>
      </c>
      <c r="N1067" t="str">
        <f>"19377-20"</f>
        <v>19377-20</v>
      </c>
      <c r="O1067" t="str">
        <f t="shared" si="424"/>
        <v>TEXAS</v>
      </c>
      <c r="P1067" t="str">
        <f t="shared" si="425"/>
        <v>N A</v>
      </c>
      <c r="Q1067" t="str">
        <f t="shared" si="426"/>
        <v>N/A</v>
      </c>
      <c r="R1067" t="str">
        <f>"45SE MLPEB 02 611"</f>
        <v>45SE MLPEB 02 611</v>
      </c>
      <c r="S1067" t="str">
        <f>"12/19/2019 7:11:16 PM"</f>
        <v>12/19/2019 7:11:16 PM</v>
      </c>
      <c r="T1067" t="str">
        <f t="shared" si="437"/>
        <v>5</v>
      </c>
      <c r="U1067" t="str">
        <f t="shared" si="427"/>
        <v>N/A</v>
      </c>
      <c r="V1067" t="str">
        <f>"3.3000"</f>
        <v>3.3000</v>
      </c>
    </row>
    <row r="1068" spans="1:22" x14ac:dyDescent="0.25">
      <c r="A1068" s="1" t="str">
        <f t="shared" si="413"/>
        <v>19377</v>
      </c>
      <c r="B1068" s="1" t="str">
        <f t="shared" si="428"/>
        <v>19377</v>
      </c>
      <c r="C1068" s="1">
        <v>19377</v>
      </c>
      <c r="D1068" s="1" t="s">
        <v>91</v>
      </c>
      <c r="E1068" s="1" t="s">
        <v>37</v>
      </c>
      <c r="F1068" s="1" t="s">
        <v>8919</v>
      </c>
      <c r="G1068" s="1" t="e">
        <f>VLOOKUP(C1068,'Master truck list'!E:R,14,0)</f>
        <v>#N/A</v>
      </c>
      <c r="H1068" t="str">
        <f t="shared" si="439"/>
        <v>12/20/2019 7:00:30 AM</v>
      </c>
      <c r="I1068" t="str">
        <f>""</f>
        <v/>
      </c>
      <c r="J1068" t="str">
        <f t="shared" si="423"/>
        <v>Elite</v>
      </c>
      <c r="K1068" t="str">
        <f t="shared" si="433"/>
        <v>Device</v>
      </c>
      <c r="L1068" t="str">
        <f>"777215450"</f>
        <v>777215450</v>
      </c>
      <c r="M1068" t="str">
        <f>"16550572"</f>
        <v>16550572</v>
      </c>
      <c r="N1068" t="str">
        <f>"19377-20"</f>
        <v>19377-20</v>
      </c>
      <c r="O1068" t="str">
        <f t="shared" si="424"/>
        <v>TEXAS</v>
      </c>
      <c r="P1068" t="str">
        <f t="shared" si="425"/>
        <v>N A</v>
      </c>
      <c r="Q1068" t="str">
        <f t="shared" si="426"/>
        <v>N/A</v>
      </c>
      <c r="R1068" t="str">
        <f>"130 MGCRP 11 305"</f>
        <v>130 MGCRP 11 305</v>
      </c>
      <c r="S1068" t="str">
        <f>"12/19/2019 7:52:13 PM"</f>
        <v>12/19/2019 7:52:13 PM</v>
      </c>
      <c r="T1068" t="str">
        <f t="shared" si="437"/>
        <v>5</v>
      </c>
      <c r="U1068" t="str">
        <f t="shared" si="427"/>
        <v>N/A</v>
      </c>
      <c r="V1068" t="str">
        <f>"5.5500"</f>
        <v>5.5500</v>
      </c>
    </row>
    <row r="1069" spans="1:22" x14ac:dyDescent="0.25">
      <c r="A1069" s="1" t="str">
        <f t="shared" si="413"/>
        <v>19377</v>
      </c>
      <c r="B1069" s="1" t="str">
        <f t="shared" si="428"/>
        <v>19377</v>
      </c>
      <c r="C1069" s="1">
        <v>19377</v>
      </c>
      <c r="D1069" s="1" t="s">
        <v>91</v>
      </c>
      <c r="E1069" s="1" t="s">
        <v>37</v>
      </c>
      <c r="F1069" s="1" t="s">
        <v>8919</v>
      </c>
      <c r="G1069" s="1" t="e">
        <f>VLOOKUP(C1069,'Master truck list'!E:R,14,0)</f>
        <v>#N/A</v>
      </c>
      <c r="H1069" t="str">
        <f t="shared" si="439"/>
        <v>12/20/2019 7:00:30 AM</v>
      </c>
      <c r="I1069" t="str">
        <f>""</f>
        <v/>
      </c>
      <c r="J1069" t="str">
        <f t="shared" si="423"/>
        <v>Elite</v>
      </c>
      <c r="K1069" t="str">
        <f t="shared" si="433"/>
        <v>Device</v>
      </c>
      <c r="L1069" t="str">
        <f>"777215450"</f>
        <v>777215450</v>
      </c>
      <c r="M1069" t="str">
        <f>"16550572"</f>
        <v>16550572</v>
      </c>
      <c r="N1069" t="str">
        <f>"19377-20"</f>
        <v>19377-20</v>
      </c>
      <c r="O1069" t="str">
        <f t="shared" si="424"/>
        <v>TEXAS</v>
      </c>
      <c r="P1069" t="str">
        <f t="shared" si="425"/>
        <v>N A</v>
      </c>
      <c r="Q1069" t="str">
        <f t="shared" si="426"/>
        <v>N/A</v>
      </c>
      <c r="R1069" t="str">
        <f>"130 CMRNP 13 306"</f>
        <v>130 CMRNP 13 306</v>
      </c>
      <c r="S1069" t="str">
        <f>"12/19/2019 7:40:43 PM"</f>
        <v>12/19/2019 7:40:43 PM</v>
      </c>
      <c r="T1069" t="str">
        <f t="shared" si="437"/>
        <v>5</v>
      </c>
      <c r="U1069" t="str">
        <f t="shared" si="427"/>
        <v>N/A</v>
      </c>
      <c r="V1069" t="str">
        <f>"5.5500"</f>
        <v>5.5500</v>
      </c>
    </row>
    <row r="1070" spans="1:22" x14ac:dyDescent="0.25">
      <c r="A1070" s="1" t="str">
        <f t="shared" ref="A1070:A1133" si="443">LEFT(N1070,5)</f>
        <v>19377</v>
      </c>
      <c r="B1070" s="1" t="str">
        <f t="shared" si="428"/>
        <v>19377</v>
      </c>
      <c r="C1070" s="1">
        <v>19377</v>
      </c>
      <c r="D1070" s="1" t="s">
        <v>91</v>
      </c>
      <c r="E1070" s="1" t="s">
        <v>37</v>
      </c>
      <c r="F1070" s="1" t="s">
        <v>8919</v>
      </c>
      <c r="G1070" s="1" t="e">
        <f>VLOOKUP(C1070,'Master truck list'!E:R,14,0)</f>
        <v>#N/A</v>
      </c>
      <c r="H1070" t="str">
        <f t="shared" si="439"/>
        <v>12/20/2019 7:00:30 AM</v>
      </c>
      <c r="I1070" t="str">
        <f>""</f>
        <v/>
      </c>
      <c r="J1070" t="str">
        <f t="shared" si="423"/>
        <v>Elite</v>
      </c>
      <c r="K1070" t="str">
        <f t="shared" si="433"/>
        <v>Device</v>
      </c>
      <c r="L1070" t="str">
        <f>"777215450"</f>
        <v>777215450</v>
      </c>
      <c r="M1070" t="str">
        <f>"16550572"</f>
        <v>16550572</v>
      </c>
      <c r="N1070" t="str">
        <f>"19377-20"</f>
        <v>19377-20</v>
      </c>
      <c r="O1070" t="str">
        <f t="shared" si="424"/>
        <v>TEXAS</v>
      </c>
      <c r="P1070" t="str">
        <f t="shared" si="425"/>
        <v>N A</v>
      </c>
      <c r="Q1070" t="str">
        <f t="shared" si="426"/>
        <v>N/A</v>
      </c>
      <c r="R1070" t="str">
        <f>"130 ARPTP 09 308"</f>
        <v>130 ARPTP 09 308</v>
      </c>
      <c r="S1070" t="str">
        <f>"12/19/2019 7:22:34 PM"</f>
        <v>12/19/2019 7:22:34 PM</v>
      </c>
      <c r="T1070" t="str">
        <f t="shared" si="437"/>
        <v>5</v>
      </c>
      <c r="U1070" t="str">
        <f t="shared" si="427"/>
        <v>N/A</v>
      </c>
      <c r="V1070" t="str">
        <f>"5.5500"</f>
        <v>5.5500</v>
      </c>
    </row>
    <row r="1071" spans="1:22" x14ac:dyDescent="0.25">
      <c r="A1071" s="1" t="str">
        <f t="shared" si="443"/>
        <v>19378</v>
      </c>
      <c r="B1071" s="1" t="str">
        <f t="shared" si="428"/>
        <v>19378</v>
      </c>
      <c r="C1071" s="1">
        <v>19378</v>
      </c>
      <c r="D1071" s="1" t="s">
        <v>91</v>
      </c>
      <c r="E1071" s="1" t="s">
        <v>37</v>
      </c>
      <c r="F1071" s="1" t="s">
        <v>8919</v>
      </c>
      <c r="G1071" s="1" t="e">
        <f>VLOOKUP(C1071,'Master truck list'!E:R,14,0)</f>
        <v>#N/A</v>
      </c>
      <c r="H1071" t="str">
        <f>"12/18/2019 7:00:28 AM"</f>
        <v>12/18/2019 7:00:28 AM</v>
      </c>
      <c r="I1071" t="str">
        <f>""</f>
        <v/>
      </c>
      <c r="J1071" t="str">
        <f t="shared" si="423"/>
        <v>Elite</v>
      </c>
      <c r="K1071" t="str">
        <f t="shared" si="433"/>
        <v>Device</v>
      </c>
      <c r="L1071" t="str">
        <f t="shared" ref="L1071:L1078" si="444">"777219005"</f>
        <v>777219005</v>
      </c>
      <c r="M1071" t="str">
        <f t="shared" ref="M1071:M1078" si="445">"16561652"</f>
        <v>16561652</v>
      </c>
      <c r="N1071" t="str">
        <f t="shared" ref="N1071:N1078" si="446">"19378-20"</f>
        <v>19378-20</v>
      </c>
      <c r="O1071" t="str">
        <f t="shared" si="424"/>
        <v>TEXAS</v>
      </c>
      <c r="P1071" t="str">
        <f t="shared" si="425"/>
        <v>N A</v>
      </c>
      <c r="Q1071" t="str">
        <f t="shared" si="426"/>
        <v>N/A</v>
      </c>
      <c r="R1071" t="str">
        <f>"290 GLMLWB 10 GLML"</f>
        <v>290 GLMLWB 10 GLML</v>
      </c>
      <c r="S1071" t="str">
        <f>"12/17/2019 11:22:44 AM"</f>
        <v>12/17/2019 11:22:44 AM</v>
      </c>
      <c r="T1071" t="str">
        <f t="shared" si="437"/>
        <v>5</v>
      </c>
      <c r="U1071" t="str">
        <f t="shared" si="427"/>
        <v>N/A</v>
      </c>
      <c r="V1071" t="str">
        <f>"4.7200"</f>
        <v>4.7200</v>
      </c>
    </row>
    <row r="1072" spans="1:22" x14ac:dyDescent="0.25">
      <c r="A1072" s="1" t="str">
        <f t="shared" si="443"/>
        <v>19378</v>
      </c>
      <c r="B1072" s="1" t="str">
        <f t="shared" si="428"/>
        <v>19378</v>
      </c>
      <c r="C1072" s="1">
        <v>19378</v>
      </c>
      <c r="D1072" s="1" t="s">
        <v>91</v>
      </c>
      <c r="E1072" s="1" t="s">
        <v>37</v>
      </c>
      <c r="F1072" s="1" t="s">
        <v>8919</v>
      </c>
      <c r="G1072" s="1" t="e">
        <f>VLOOKUP(C1072,'Master truck list'!E:R,14,0)</f>
        <v>#N/A</v>
      </c>
      <c r="H1072" t="str">
        <f>"12/19/2019 7:00:35 AM"</f>
        <v>12/19/2019 7:00:35 AM</v>
      </c>
      <c r="I1072" t="str">
        <f>""</f>
        <v/>
      </c>
      <c r="J1072" t="str">
        <f t="shared" si="423"/>
        <v>Elite</v>
      </c>
      <c r="K1072" t="str">
        <f t="shared" si="433"/>
        <v>Device</v>
      </c>
      <c r="L1072" t="str">
        <f t="shared" si="444"/>
        <v>777219005</v>
      </c>
      <c r="M1072" t="str">
        <f t="shared" si="445"/>
        <v>16561652</v>
      </c>
      <c r="N1072" t="str">
        <f t="shared" si="446"/>
        <v>19378-20</v>
      </c>
      <c r="O1072" t="str">
        <f t="shared" si="424"/>
        <v>TEXAS</v>
      </c>
      <c r="P1072" t="str">
        <f t="shared" si="425"/>
        <v>N A</v>
      </c>
      <c r="Q1072" t="str">
        <f t="shared" si="426"/>
        <v>N/A</v>
      </c>
      <c r="R1072" t="str">
        <f>"45SE MLPEB 02 611"</f>
        <v>45SE MLPEB 02 611</v>
      </c>
      <c r="S1072" t="str">
        <f>"12/17/2019 10:12:52 PM"</f>
        <v>12/17/2019 10:12:52 PM</v>
      </c>
      <c r="T1072" t="str">
        <f t="shared" si="437"/>
        <v>5</v>
      </c>
      <c r="U1072" t="str">
        <f t="shared" si="427"/>
        <v>N/A</v>
      </c>
      <c r="V1072" t="str">
        <f>"3.3000"</f>
        <v>3.3000</v>
      </c>
    </row>
    <row r="1073" spans="1:22" x14ac:dyDescent="0.25">
      <c r="A1073" s="1" t="str">
        <f t="shared" si="443"/>
        <v>19378</v>
      </c>
      <c r="B1073" s="1" t="str">
        <f t="shared" si="428"/>
        <v>19378</v>
      </c>
      <c r="C1073" s="1">
        <v>19378</v>
      </c>
      <c r="D1073" s="1" t="s">
        <v>91</v>
      </c>
      <c r="E1073" s="1" t="s">
        <v>37</v>
      </c>
      <c r="F1073" s="1" t="s">
        <v>8919</v>
      </c>
      <c r="G1073" s="1" t="e">
        <f>VLOOKUP(C1073,'Master truck list'!E:R,14,0)</f>
        <v>#N/A</v>
      </c>
      <c r="H1073" t="str">
        <f>"12/19/2019 7:00:35 AM"</f>
        <v>12/19/2019 7:00:35 AM</v>
      </c>
      <c r="I1073" t="str">
        <f>""</f>
        <v/>
      </c>
      <c r="J1073" t="str">
        <f t="shared" si="423"/>
        <v>Elite</v>
      </c>
      <c r="K1073" t="str">
        <f t="shared" si="433"/>
        <v>Device</v>
      </c>
      <c r="L1073" t="str">
        <f t="shared" si="444"/>
        <v>777219005</v>
      </c>
      <c r="M1073" t="str">
        <f t="shared" si="445"/>
        <v>16561652</v>
      </c>
      <c r="N1073" t="str">
        <f t="shared" si="446"/>
        <v>19378-20</v>
      </c>
      <c r="O1073" t="str">
        <f t="shared" si="424"/>
        <v>TEXAS</v>
      </c>
      <c r="P1073" t="str">
        <f t="shared" si="425"/>
        <v>N A</v>
      </c>
      <c r="Q1073" t="str">
        <f t="shared" si="426"/>
        <v>N/A</v>
      </c>
      <c r="R1073" t="str">
        <f>"130 DKCRP 11 307"</f>
        <v>130 DKCRP 11 307</v>
      </c>
      <c r="S1073" t="str">
        <f>"12/17/2019 10:31:03 PM"</f>
        <v>12/17/2019 10:31:03 PM</v>
      </c>
      <c r="T1073" t="str">
        <f t="shared" si="437"/>
        <v>5</v>
      </c>
      <c r="U1073" t="str">
        <f t="shared" si="427"/>
        <v>N/A</v>
      </c>
      <c r="V1073" t="str">
        <f>"5.5500"</f>
        <v>5.5500</v>
      </c>
    </row>
    <row r="1074" spans="1:22" x14ac:dyDescent="0.25">
      <c r="A1074" s="1" t="str">
        <f t="shared" si="443"/>
        <v>19378</v>
      </c>
      <c r="B1074" s="1" t="str">
        <f t="shared" si="428"/>
        <v>19378</v>
      </c>
      <c r="C1074" s="1">
        <v>19378</v>
      </c>
      <c r="D1074" s="1" t="s">
        <v>91</v>
      </c>
      <c r="E1074" s="1" t="s">
        <v>37</v>
      </c>
      <c r="F1074" s="1" t="s">
        <v>22</v>
      </c>
      <c r="G1074" s="1" t="e">
        <f>VLOOKUP(C1074,'Master truck list'!E:R,14,0)</f>
        <v>#N/A</v>
      </c>
      <c r="H1074" t="str">
        <f>"12/19/2019 7:00:35 AM"</f>
        <v>12/19/2019 7:00:35 AM</v>
      </c>
      <c r="I1074" t="str">
        <f>""</f>
        <v/>
      </c>
      <c r="J1074" t="str">
        <f t="shared" si="423"/>
        <v>Elite</v>
      </c>
      <c r="K1074" t="str">
        <f t="shared" si="433"/>
        <v>Device</v>
      </c>
      <c r="L1074" t="str">
        <f t="shared" si="444"/>
        <v>777219005</v>
      </c>
      <c r="M1074" t="str">
        <f t="shared" si="445"/>
        <v>16561652</v>
      </c>
      <c r="N1074" t="str">
        <f t="shared" si="446"/>
        <v>19378-20</v>
      </c>
      <c r="O1074" t="str">
        <f t="shared" si="424"/>
        <v>TEXAS</v>
      </c>
      <c r="P1074" t="str">
        <f t="shared" si="425"/>
        <v>N A</v>
      </c>
      <c r="Q1074" t="str">
        <f t="shared" si="426"/>
        <v>N/A</v>
      </c>
      <c r="R1074" t="str">
        <f>"130 CMRNP 13 306"</f>
        <v>130 CMRNP 13 306</v>
      </c>
      <c r="S1074" t="str">
        <f>"12/17/2019 10:41:36 PM"</f>
        <v>12/17/2019 10:41:36 PM</v>
      </c>
      <c r="T1074" t="str">
        <f>"2"</f>
        <v>2</v>
      </c>
      <c r="U1074" t="str">
        <f t="shared" si="427"/>
        <v>N/A</v>
      </c>
      <c r="V1074" t="str">
        <f>"1.8500"</f>
        <v>1.8500</v>
      </c>
    </row>
    <row r="1075" spans="1:22" x14ac:dyDescent="0.25">
      <c r="A1075" s="1" t="str">
        <f t="shared" si="443"/>
        <v>19378</v>
      </c>
      <c r="B1075" s="1" t="str">
        <f t="shared" si="428"/>
        <v>19378</v>
      </c>
      <c r="C1075" s="1">
        <v>19378</v>
      </c>
      <c r="D1075" s="1" t="s">
        <v>91</v>
      </c>
      <c r="E1075" s="1" t="s">
        <v>37</v>
      </c>
      <c r="F1075" s="1" t="s">
        <v>22</v>
      </c>
      <c r="G1075" s="1" t="e">
        <f>VLOOKUP(C1075,'Master truck list'!E:R,14,0)</f>
        <v>#N/A</v>
      </c>
      <c r="H1075" t="str">
        <f>"12/19/2019 7:00:35 AM"</f>
        <v>12/19/2019 7:00:35 AM</v>
      </c>
      <c r="I1075" t="str">
        <f>""</f>
        <v/>
      </c>
      <c r="J1075" t="str">
        <f t="shared" si="423"/>
        <v>Elite</v>
      </c>
      <c r="K1075" t="str">
        <f t="shared" si="433"/>
        <v>Device</v>
      </c>
      <c r="L1075" t="str">
        <f t="shared" si="444"/>
        <v>777219005</v>
      </c>
      <c r="M1075" t="str">
        <f t="shared" si="445"/>
        <v>16561652</v>
      </c>
      <c r="N1075" t="str">
        <f t="shared" si="446"/>
        <v>19378-20</v>
      </c>
      <c r="O1075" t="str">
        <f t="shared" si="424"/>
        <v>TEXAS</v>
      </c>
      <c r="P1075" t="str">
        <f t="shared" si="425"/>
        <v>N A</v>
      </c>
      <c r="Q1075" t="str">
        <f t="shared" si="426"/>
        <v>N/A</v>
      </c>
      <c r="R1075" t="str">
        <f>"130 MGCRP 11 305"</f>
        <v>130 MGCRP 11 305</v>
      </c>
      <c r="S1075" t="str">
        <f>"12/17/2019 10:53:06 PM"</f>
        <v>12/17/2019 10:53:06 PM</v>
      </c>
      <c r="T1075" t="str">
        <f t="shared" ref="T1075:T1102" si="447">"5"</f>
        <v>5</v>
      </c>
      <c r="U1075" t="str">
        <f t="shared" si="427"/>
        <v>N/A</v>
      </c>
      <c r="V1075" t="str">
        <f t="shared" ref="V1075:V1080" si="448">"5.5500"</f>
        <v>5.5500</v>
      </c>
    </row>
    <row r="1076" spans="1:22" x14ac:dyDescent="0.25">
      <c r="A1076" s="1" t="str">
        <f t="shared" si="443"/>
        <v>19378</v>
      </c>
      <c r="B1076" s="1" t="str">
        <f t="shared" si="428"/>
        <v>19378</v>
      </c>
      <c r="C1076" s="1">
        <v>19378</v>
      </c>
      <c r="D1076" s="1" t="s">
        <v>91</v>
      </c>
      <c r="E1076" s="1" t="s">
        <v>37</v>
      </c>
      <c r="F1076" s="1" t="s">
        <v>22</v>
      </c>
      <c r="G1076" s="1" t="e">
        <f>VLOOKUP(C1076,'Master truck list'!E:R,14,0)</f>
        <v>#N/A</v>
      </c>
      <c r="H1076" t="str">
        <f>"12/19/2019 7:00:35 AM"</f>
        <v>12/19/2019 7:00:35 AM</v>
      </c>
      <c r="I1076" t="str">
        <f>""</f>
        <v/>
      </c>
      <c r="J1076" t="str">
        <f t="shared" si="423"/>
        <v>Elite</v>
      </c>
      <c r="K1076" t="str">
        <f t="shared" si="433"/>
        <v>Device</v>
      </c>
      <c r="L1076" t="str">
        <f t="shared" si="444"/>
        <v>777219005</v>
      </c>
      <c r="M1076" t="str">
        <f t="shared" si="445"/>
        <v>16561652</v>
      </c>
      <c r="N1076" t="str">
        <f t="shared" si="446"/>
        <v>19378-20</v>
      </c>
      <c r="O1076" t="str">
        <f t="shared" si="424"/>
        <v>TEXAS</v>
      </c>
      <c r="P1076" t="str">
        <f t="shared" si="425"/>
        <v>N A</v>
      </c>
      <c r="Q1076" t="str">
        <f t="shared" si="426"/>
        <v>N/A</v>
      </c>
      <c r="R1076" t="str">
        <f>"130 ARPTP 09 308"</f>
        <v>130 ARPTP 09 308</v>
      </c>
      <c r="S1076" t="str">
        <f>"12/17/2019 10:23:52 PM"</f>
        <v>12/17/2019 10:23:52 PM</v>
      </c>
      <c r="T1076" t="str">
        <f t="shared" si="447"/>
        <v>5</v>
      </c>
      <c r="U1076" t="str">
        <f t="shared" si="427"/>
        <v>N/A</v>
      </c>
      <c r="V1076" t="str">
        <f t="shared" si="448"/>
        <v>5.5500</v>
      </c>
    </row>
    <row r="1077" spans="1:22" x14ac:dyDescent="0.25">
      <c r="A1077" s="1" t="str">
        <f t="shared" si="443"/>
        <v>19378</v>
      </c>
      <c r="B1077" s="1" t="str">
        <f t="shared" si="428"/>
        <v>19378</v>
      </c>
      <c r="C1077" s="1">
        <v>19378</v>
      </c>
      <c r="D1077" s="1" t="s">
        <v>91</v>
      </c>
      <c r="E1077" s="1" t="s">
        <v>37</v>
      </c>
      <c r="F1077" s="1" t="s">
        <v>22</v>
      </c>
      <c r="G1077" s="1" t="e">
        <f>VLOOKUP(C1077,'Master truck list'!E:R,14,0)</f>
        <v>#N/A</v>
      </c>
      <c r="H1077" t="str">
        <f>"12/18/2019 7:00:28 AM"</f>
        <v>12/18/2019 7:00:28 AM</v>
      </c>
      <c r="I1077" t="str">
        <f>""</f>
        <v/>
      </c>
      <c r="J1077" t="str">
        <f t="shared" si="423"/>
        <v>Elite</v>
      </c>
      <c r="K1077" t="str">
        <f t="shared" si="433"/>
        <v>Device</v>
      </c>
      <c r="L1077" t="str">
        <f t="shared" si="444"/>
        <v>777219005</v>
      </c>
      <c r="M1077" t="str">
        <f t="shared" si="445"/>
        <v>16561652</v>
      </c>
      <c r="N1077" t="str">
        <f t="shared" si="446"/>
        <v>19378-20</v>
      </c>
      <c r="O1077" t="str">
        <f t="shared" si="424"/>
        <v>TEXAS</v>
      </c>
      <c r="P1077" t="str">
        <f t="shared" si="425"/>
        <v>N A</v>
      </c>
      <c r="Q1077" t="str">
        <f t="shared" si="426"/>
        <v>N/A</v>
      </c>
      <c r="R1077" t="str">
        <f>"130 MGCRP 06 305"</f>
        <v>130 MGCRP 06 305</v>
      </c>
      <c r="S1077" t="str">
        <f>"12/17/2019 11:03:38 AM"</f>
        <v>12/17/2019 11:03:38 AM</v>
      </c>
      <c r="T1077" t="str">
        <f t="shared" si="447"/>
        <v>5</v>
      </c>
      <c r="U1077" t="str">
        <f t="shared" si="427"/>
        <v>N/A</v>
      </c>
      <c r="V1077" t="str">
        <f t="shared" si="448"/>
        <v>5.5500</v>
      </c>
    </row>
    <row r="1078" spans="1:22" x14ac:dyDescent="0.25">
      <c r="A1078" s="1" t="str">
        <f t="shared" si="443"/>
        <v>19378</v>
      </c>
      <c r="B1078" s="1" t="str">
        <f t="shared" si="428"/>
        <v>19378</v>
      </c>
      <c r="C1078" s="1">
        <v>19378</v>
      </c>
      <c r="D1078" s="1" t="s">
        <v>91</v>
      </c>
      <c r="E1078" s="1" t="s">
        <v>37</v>
      </c>
      <c r="F1078" s="1" t="s">
        <v>22</v>
      </c>
      <c r="G1078" s="1" t="e">
        <f>VLOOKUP(C1078,'Master truck list'!E:R,14,0)</f>
        <v>#N/A</v>
      </c>
      <c r="H1078" t="str">
        <f>"12/18/2019 7:00:28 AM"</f>
        <v>12/18/2019 7:00:28 AM</v>
      </c>
      <c r="I1078" t="str">
        <f>""</f>
        <v/>
      </c>
      <c r="J1078" t="str">
        <f t="shared" si="423"/>
        <v>Elite</v>
      </c>
      <c r="K1078" t="str">
        <f t="shared" si="433"/>
        <v>Device</v>
      </c>
      <c r="L1078" t="str">
        <f t="shared" si="444"/>
        <v>777219005</v>
      </c>
      <c r="M1078" t="str">
        <f t="shared" si="445"/>
        <v>16561652</v>
      </c>
      <c r="N1078" t="str">
        <f t="shared" si="446"/>
        <v>19378-20</v>
      </c>
      <c r="O1078" t="str">
        <f t="shared" si="424"/>
        <v>TEXAS</v>
      </c>
      <c r="P1078" t="str">
        <f t="shared" si="425"/>
        <v>N A</v>
      </c>
      <c r="Q1078" t="str">
        <f t="shared" si="426"/>
        <v>N/A</v>
      </c>
      <c r="R1078" t="str">
        <f>"130 CMRNP 08 306"</f>
        <v>130 CMRNP 08 306</v>
      </c>
      <c r="S1078" t="str">
        <f>"12/17/2019 11:14:07 AM"</f>
        <v>12/17/2019 11:14:07 AM</v>
      </c>
      <c r="T1078" t="str">
        <f t="shared" si="447"/>
        <v>5</v>
      </c>
      <c r="U1078" t="str">
        <f t="shared" si="427"/>
        <v>N/A</v>
      </c>
      <c r="V1078" t="str">
        <f t="shared" si="448"/>
        <v>5.5500</v>
      </c>
    </row>
    <row r="1079" spans="1:22" x14ac:dyDescent="0.25">
      <c r="A1079" s="1" t="str">
        <f t="shared" si="443"/>
        <v>19371</v>
      </c>
      <c r="B1079" s="1" t="str">
        <f t="shared" si="428"/>
        <v>19371</v>
      </c>
      <c r="C1079" s="1">
        <v>19371</v>
      </c>
      <c r="D1079" s="1" t="s">
        <v>91</v>
      </c>
      <c r="E1079" s="1" t="s">
        <v>37</v>
      </c>
      <c r="F1079" s="1" t="s">
        <v>22</v>
      </c>
      <c r="G1079" s="1" t="e">
        <f>VLOOKUP(C1079,'Master truck list'!E:R,14,0)</f>
        <v>#N/A</v>
      </c>
      <c r="H1079" t="str">
        <f>"12/21/2019 7:00:28 AM"</f>
        <v>12/21/2019 7:00:28 AM</v>
      </c>
      <c r="I1079" t="str">
        <f>""</f>
        <v/>
      </c>
      <c r="J1079" t="str">
        <f t="shared" si="423"/>
        <v>Elite</v>
      </c>
      <c r="K1079" t="str">
        <f t="shared" si="433"/>
        <v>Device</v>
      </c>
      <c r="L1079" t="str">
        <f>"777218998"</f>
        <v>777218998</v>
      </c>
      <c r="M1079" t="str">
        <f>"16561645"</f>
        <v>16561645</v>
      </c>
      <c r="N1079" t="str">
        <f>"19371-20"</f>
        <v>19371-20</v>
      </c>
      <c r="O1079" t="str">
        <f t="shared" si="424"/>
        <v>TEXAS</v>
      </c>
      <c r="P1079" t="str">
        <f t="shared" si="425"/>
        <v>N A</v>
      </c>
      <c r="Q1079" t="str">
        <f t="shared" si="426"/>
        <v>N/A</v>
      </c>
      <c r="R1079" t="str">
        <f>"130 ARPTP 04 308"</f>
        <v>130 ARPTP 04 308</v>
      </c>
      <c r="S1079" t="str">
        <f>"12/20/2019 8:49:21 AM"</f>
        <v>12/20/2019 8:49:21 AM</v>
      </c>
      <c r="T1079" t="str">
        <f t="shared" si="447"/>
        <v>5</v>
      </c>
      <c r="U1079" t="str">
        <f t="shared" si="427"/>
        <v>N/A</v>
      </c>
      <c r="V1079" t="str">
        <f t="shared" si="448"/>
        <v>5.5500</v>
      </c>
    </row>
    <row r="1080" spans="1:22" x14ac:dyDescent="0.25">
      <c r="A1080" s="1" t="str">
        <f t="shared" si="443"/>
        <v>19371</v>
      </c>
      <c r="B1080" s="1" t="str">
        <f t="shared" si="428"/>
        <v>19371</v>
      </c>
      <c r="C1080" s="1">
        <v>19371</v>
      </c>
      <c r="D1080" s="1" t="s">
        <v>91</v>
      </c>
      <c r="E1080" s="1" t="s">
        <v>37</v>
      </c>
      <c r="F1080" s="1" t="s">
        <v>22</v>
      </c>
      <c r="G1080" s="1" t="e">
        <f>VLOOKUP(C1080,'Master truck list'!E:R,14,0)</f>
        <v>#N/A</v>
      </c>
      <c r="H1080" t="str">
        <f>"12/21/2019 7:00:28 AM"</f>
        <v>12/21/2019 7:00:28 AM</v>
      </c>
      <c r="I1080" t="str">
        <f>""</f>
        <v/>
      </c>
      <c r="J1080" t="str">
        <f t="shared" si="423"/>
        <v>Elite</v>
      </c>
      <c r="K1080" t="str">
        <f t="shared" si="433"/>
        <v>Device</v>
      </c>
      <c r="L1080" t="str">
        <f>"777218998"</f>
        <v>777218998</v>
      </c>
      <c r="M1080" t="str">
        <f>"16561645"</f>
        <v>16561645</v>
      </c>
      <c r="N1080" t="str">
        <f>"19371-20"</f>
        <v>19371-20</v>
      </c>
      <c r="O1080" t="str">
        <f t="shared" si="424"/>
        <v>TEXAS</v>
      </c>
      <c r="P1080" t="str">
        <f t="shared" si="425"/>
        <v>N A</v>
      </c>
      <c r="Q1080" t="str">
        <f t="shared" si="426"/>
        <v>N/A</v>
      </c>
      <c r="R1080" t="str">
        <f>"130 MGCRP 06 305"</f>
        <v>130 MGCRP 06 305</v>
      </c>
      <c r="S1080" t="str">
        <f>"12/20/2019 8:21:23 AM"</f>
        <v>12/20/2019 8:21:23 AM</v>
      </c>
      <c r="T1080" t="str">
        <f t="shared" si="447"/>
        <v>5</v>
      </c>
      <c r="U1080" t="str">
        <f t="shared" si="427"/>
        <v>N/A</v>
      </c>
      <c r="V1080" t="str">
        <f t="shared" si="448"/>
        <v>5.5500</v>
      </c>
    </row>
    <row r="1081" spans="1:22" x14ac:dyDescent="0.25">
      <c r="A1081" s="1" t="str">
        <f t="shared" si="443"/>
        <v>19371</v>
      </c>
      <c r="B1081" s="1" t="str">
        <f t="shared" si="428"/>
        <v>19371</v>
      </c>
      <c r="C1081" s="1">
        <v>19371</v>
      </c>
      <c r="D1081" s="1" t="s">
        <v>91</v>
      </c>
      <c r="E1081" s="1" t="s">
        <v>37</v>
      </c>
      <c r="F1081" s="1" t="s">
        <v>22</v>
      </c>
      <c r="G1081" s="1" t="e">
        <f>VLOOKUP(C1081,'Master truck list'!E:R,14,0)</f>
        <v>#N/A</v>
      </c>
      <c r="H1081" t="str">
        <f>"12/21/2019 7:00:28 AM"</f>
        <v>12/21/2019 7:00:28 AM</v>
      </c>
      <c r="I1081" t="str">
        <f>""</f>
        <v/>
      </c>
      <c r="J1081" t="str">
        <f t="shared" si="423"/>
        <v>Elite</v>
      </c>
      <c r="K1081" t="str">
        <f t="shared" si="433"/>
        <v>Device</v>
      </c>
      <c r="L1081" t="str">
        <f>"777218998"</f>
        <v>777218998</v>
      </c>
      <c r="M1081" t="str">
        <f>"16561645"</f>
        <v>16561645</v>
      </c>
      <c r="N1081" t="str">
        <f>"19371-20"</f>
        <v>19371-20</v>
      </c>
      <c r="O1081" t="str">
        <f t="shared" si="424"/>
        <v>TEXAS</v>
      </c>
      <c r="P1081" t="str">
        <f t="shared" si="425"/>
        <v>N A</v>
      </c>
      <c r="Q1081" t="str">
        <f t="shared" si="426"/>
        <v>N/A</v>
      </c>
      <c r="R1081" t="str">
        <f>"45SE MLPWB 01 611"</f>
        <v>45SE MLPWB 01 611</v>
      </c>
      <c r="S1081" t="str">
        <f>"12/20/2019 9:00:01 AM"</f>
        <v>12/20/2019 9:00:01 AM</v>
      </c>
      <c r="T1081" t="str">
        <f t="shared" si="447"/>
        <v>5</v>
      </c>
      <c r="U1081" t="str">
        <f t="shared" si="427"/>
        <v>N/A</v>
      </c>
      <c r="V1081" t="str">
        <f>"3.3000"</f>
        <v>3.3000</v>
      </c>
    </row>
    <row r="1082" spans="1:22" x14ac:dyDescent="0.25">
      <c r="A1082" s="1" t="str">
        <f t="shared" si="443"/>
        <v>19371</v>
      </c>
      <c r="B1082" s="1" t="str">
        <f t="shared" si="428"/>
        <v>19371</v>
      </c>
      <c r="C1082" s="1">
        <v>19371</v>
      </c>
      <c r="D1082" s="1" t="s">
        <v>91</v>
      </c>
      <c r="E1082" s="1" t="s">
        <v>37</v>
      </c>
      <c r="F1082" s="1" t="s">
        <v>22</v>
      </c>
      <c r="G1082" s="1" t="e">
        <f>VLOOKUP(C1082,'Master truck list'!E:R,14,0)</f>
        <v>#N/A</v>
      </c>
      <c r="H1082" t="str">
        <f>"12/21/2019 7:00:28 AM"</f>
        <v>12/21/2019 7:00:28 AM</v>
      </c>
      <c r="I1082" t="str">
        <f>""</f>
        <v/>
      </c>
      <c r="J1082" t="str">
        <f t="shared" si="423"/>
        <v>Elite</v>
      </c>
      <c r="K1082" t="str">
        <f t="shared" si="433"/>
        <v>Device</v>
      </c>
      <c r="L1082" t="str">
        <f>"777218998"</f>
        <v>777218998</v>
      </c>
      <c r="M1082" t="str">
        <f>"16561645"</f>
        <v>16561645</v>
      </c>
      <c r="N1082" t="str">
        <f>"19371-20"</f>
        <v>19371-20</v>
      </c>
      <c r="O1082" t="str">
        <f t="shared" si="424"/>
        <v>TEXAS</v>
      </c>
      <c r="P1082" t="str">
        <f t="shared" si="425"/>
        <v>N A</v>
      </c>
      <c r="Q1082" t="str">
        <f t="shared" si="426"/>
        <v>N/A</v>
      </c>
      <c r="R1082" t="str">
        <f>"130 CMRNP 08 306"</f>
        <v>130 CMRNP 08 306</v>
      </c>
      <c r="S1082" t="str">
        <f>"12/20/2019 8:32:19 AM"</f>
        <v>12/20/2019 8:32:19 AM</v>
      </c>
      <c r="T1082" t="str">
        <f t="shared" si="447"/>
        <v>5</v>
      </c>
      <c r="U1082" t="str">
        <f t="shared" si="427"/>
        <v>N/A</v>
      </c>
      <c r="V1082" t="str">
        <f>"5.5500"</f>
        <v>5.5500</v>
      </c>
    </row>
    <row r="1083" spans="1:22" x14ac:dyDescent="0.25">
      <c r="A1083" s="1" t="str">
        <f t="shared" si="443"/>
        <v>19371</v>
      </c>
      <c r="B1083" s="1" t="str">
        <f t="shared" si="428"/>
        <v>19371</v>
      </c>
      <c r="C1083" s="1">
        <v>19371</v>
      </c>
      <c r="D1083" s="1" t="s">
        <v>91</v>
      </c>
      <c r="E1083" s="1" t="s">
        <v>37</v>
      </c>
      <c r="F1083" s="1" t="s">
        <v>22</v>
      </c>
      <c r="G1083" s="1" t="e">
        <f>VLOOKUP(C1083,'Master truck list'!E:R,14,0)</f>
        <v>#N/A</v>
      </c>
      <c r="H1083" t="str">
        <f>"12/21/2019 7:00:28 AM"</f>
        <v>12/21/2019 7:00:28 AM</v>
      </c>
      <c r="I1083" t="str">
        <f>""</f>
        <v/>
      </c>
      <c r="J1083" t="str">
        <f t="shared" si="423"/>
        <v>Elite</v>
      </c>
      <c r="K1083" t="str">
        <f t="shared" si="433"/>
        <v>Device</v>
      </c>
      <c r="L1083" t="str">
        <f>"777218998"</f>
        <v>777218998</v>
      </c>
      <c r="M1083" t="str">
        <f>"16561645"</f>
        <v>16561645</v>
      </c>
      <c r="N1083" t="str">
        <f>"19371-20"</f>
        <v>19371-20</v>
      </c>
      <c r="O1083" t="str">
        <f t="shared" si="424"/>
        <v>TEXAS</v>
      </c>
      <c r="P1083" t="str">
        <f t="shared" si="425"/>
        <v>N A</v>
      </c>
      <c r="Q1083" t="str">
        <f t="shared" si="426"/>
        <v>N/A</v>
      </c>
      <c r="R1083" t="str">
        <f>"130 DKCRP 06 307"</f>
        <v>130 DKCRP 06 307</v>
      </c>
      <c r="S1083" t="str">
        <f>"12/20/2019 8:42:25 AM"</f>
        <v>12/20/2019 8:42:25 AM</v>
      </c>
      <c r="T1083" t="str">
        <f t="shared" si="447"/>
        <v>5</v>
      </c>
      <c r="U1083" t="str">
        <f t="shared" si="427"/>
        <v>N/A</v>
      </c>
      <c r="V1083" t="str">
        <f>"5.5500"</f>
        <v>5.5500</v>
      </c>
    </row>
    <row r="1084" spans="1:22" x14ac:dyDescent="0.25">
      <c r="A1084" s="1" t="str">
        <f t="shared" si="443"/>
        <v>542-1</v>
      </c>
      <c r="B1084" s="1" t="str">
        <f t="shared" si="428"/>
        <v>542-1</v>
      </c>
      <c r="C1084" s="1" t="s">
        <v>3411</v>
      </c>
      <c r="D1084" s="1" t="s">
        <v>91</v>
      </c>
      <c r="E1084" s="1" t="s">
        <v>1738</v>
      </c>
      <c r="F1084" s="1" t="s">
        <v>22</v>
      </c>
      <c r="G1084" s="1" t="e">
        <f>VLOOKUP(C1084,'Master truck list'!E:R,14,0)</f>
        <v>#N/A</v>
      </c>
      <c r="H1084" t="str">
        <f>"12/20/2019 7:00:30 AM"</f>
        <v>12/20/2019 7:00:30 AM</v>
      </c>
      <c r="I1084" t="str">
        <f>""</f>
        <v/>
      </c>
      <c r="J1084" t="str">
        <f t="shared" si="423"/>
        <v>Elite</v>
      </c>
      <c r="K1084" t="str">
        <f t="shared" si="433"/>
        <v>Device</v>
      </c>
      <c r="L1084" t="str">
        <f t="shared" ref="L1084:L1093" si="449">"777248901"</f>
        <v>777248901</v>
      </c>
      <c r="M1084" t="str">
        <f t="shared" ref="M1084:M1093" si="450">"16716783"</f>
        <v>16716783</v>
      </c>
      <c r="N1084" t="str">
        <f t="shared" ref="N1084:N1093" si="451">"542-18AT"</f>
        <v>542-18AT</v>
      </c>
      <c r="O1084" t="str">
        <f t="shared" si="424"/>
        <v>TEXAS</v>
      </c>
      <c r="P1084" t="str">
        <f t="shared" si="425"/>
        <v>N A</v>
      </c>
      <c r="Q1084" t="str">
        <f t="shared" si="426"/>
        <v>N/A</v>
      </c>
      <c r="R1084" t="str">
        <f>"130 DKCRP 06 307"</f>
        <v>130 DKCRP 06 307</v>
      </c>
      <c r="S1084" t="str">
        <f>"12/19/2019 8:32:39 PM"</f>
        <v>12/19/2019 8:32:39 PM</v>
      </c>
      <c r="T1084" t="str">
        <f t="shared" si="447"/>
        <v>5</v>
      </c>
      <c r="U1084" t="str">
        <f t="shared" si="427"/>
        <v>N/A</v>
      </c>
      <c r="V1084" t="str">
        <f>"5.5500"</f>
        <v>5.5500</v>
      </c>
    </row>
    <row r="1085" spans="1:22" x14ac:dyDescent="0.25">
      <c r="A1085" s="1" t="str">
        <f t="shared" si="443"/>
        <v>542-1</v>
      </c>
      <c r="B1085" s="1" t="str">
        <f t="shared" si="428"/>
        <v>542-1</v>
      </c>
      <c r="C1085" s="1" t="s">
        <v>3411</v>
      </c>
      <c r="D1085" s="1" t="s">
        <v>91</v>
      </c>
      <c r="E1085" s="1" t="s">
        <v>1738</v>
      </c>
      <c r="F1085" s="1" t="s">
        <v>22</v>
      </c>
      <c r="G1085" s="1" t="e">
        <f>VLOOKUP(C1085,'Master truck list'!E:R,14,0)</f>
        <v>#N/A</v>
      </c>
      <c r="H1085" t="str">
        <f>"12/20/2019 7:00:30 AM"</f>
        <v>12/20/2019 7:00:30 AM</v>
      </c>
      <c r="I1085" t="str">
        <f>""</f>
        <v/>
      </c>
      <c r="J1085" t="str">
        <f t="shared" si="423"/>
        <v>Elite</v>
      </c>
      <c r="K1085" t="str">
        <f t="shared" si="433"/>
        <v>Device</v>
      </c>
      <c r="L1085" t="str">
        <f t="shared" si="449"/>
        <v>777248901</v>
      </c>
      <c r="M1085" t="str">
        <f t="shared" si="450"/>
        <v>16716783</v>
      </c>
      <c r="N1085" t="str">
        <f t="shared" si="451"/>
        <v>542-18AT</v>
      </c>
      <c r="O1085" t="str">
        <f t="shared" si="424"/>
        <v>TEXAS</v>
      </c>
      <c r="P1085" t="str">
        <f t="shared" si="425"/>
        <v>N A</v>
      </c>
      <c r="Q1085" t="str">
        <f t="shared" si="426"/>
        <v>N/A</v>
      </c>
      <c r="R1085" t="str">
        <f>"45SE MLPWB 01 611"</f>
        <v>45SE MLPWB 01 611</v>
      </c>
      <c r="S1085" t="str">
        <f>"12/19/2019 8:50:13 PM"</f>
        <v>12/19/2019 8:50:13 PM</v>
      </c>
      <c r="T1085" t="str">
        <f t="shared" si="447"/>
        <v>5</v>
      </c>
      <c r="U1085" t="str">
        <f t="shared" si="427"/>
        <v>N/A</v>
      </c>
      <c r="V1085" t="str">
        <f>"3.3000"</f>
        <v>3.3000</v>
      </c>
    </row>
    <row r="1086" spans="1:22" x14ac:dyDescent="0.25">
      <c r="A1086" s="1" t="str">
        <f t="shared" si="443"/>
        <v>542-1</v>
      </c>
      <c r="B1086" s="1" t="str">
        <f t="shared" si="428"/>
        <v>542-1</v>
      </c>
      <c r="C1086" s="1" t="s">
        <v>3411</v>
      </c>
      <c r="D1086" s="1" t="s">
        <v>8899</v>
      </c>
      <c r="E1086" s="1" t="s">
        <v>1738</v>
      </c>
      <c r="F1086" s="1" t="s">
        <v>22</v>
      </c>
      <c r="G1086" s="1" t="e">
        <f>VLOOKUP(C1086,'Master truck list'!E:R,14,0)</f>
        <v>#N/A</v>
      </c>
      <c r="H1086" t="str">
        <f>"12/20/2019 7:00:30 AM"</f>
        <v>12/20/2019 7:00:30 AM</v>
      </c>
      <c r="I1086" t="str">
        <f>""</f>
        <v/>
      </c>
      <c r="J1086" t="str">
        <f t="shared" si="423"/>
        <v>Elite</v>
      </c>
      <c r="K1086" t="str">
        <f t="shared" si="433"/>
        <v>Device</v>
      </c>
      <c r="L1086" t="str">
        <f t="shared" si="449"/>
        <v>777248901</v>
      </c>
      <c r="M1086" t="str">
        <f t="shared" si="450"/>
        <v>16716783</v>
      </c>
      <c r="N1086" t="str">
        <f t="shared" si="451"/>
        <v>542-18AT</v>
      </c>
      <c r="O1086" t="str">
        <f t="shared" si="424"/>
        <v>TEXAS</v>
      </c>
      <c r="P1086" t="str">
        <f t="shared" si="425"/>
        <v>N A</v>
      </c>
      <c r="Q1086" t="str">
        <f t="shared" si="426"/>
        <v>N/A</v>
      </c>
      <c r="R1086" t="str">
        <f>"130 MGCRP 06 305"</f>
        <v>130 MGCRP 06 305</v>
      </c>
      <c r="S1086" t="str">
        <f>"12/19/2019 8:11:40 PM"</f>
        <v>12/19/2019 8:11:40 PM</v>
      </c>
      <c r="T1086" t="str">
        <f t="shared" si="447"/>
        <v>5</v>
      </c>
      <c r="U1086" t="str">
        <f t="shared" si="427"/>
        <v>N/A</v>
      </c>
      <c r="V1086" t="str">
        <f t="shared" ref="V1086:V1092" si="452">"5.5500"</f>
        <v>5.5500</v>
      </c>
    </row>
    <row r="1087" spans="1:22" x14ac:dyDescent="0.25">
      <c r="A1087" s="1" t="str">
        <f t="shared" si="443"/>
        <v>542-1</v>
      </c>
      <c r="B1087" s="1" t="str">
        <f t="shared" si="428"/>
        <v>542-1</v>
      </c>
      <c r="C1087" s="1" t="s">
        <v>3411</v>
      </c>
      <c r="D1087" s="1" t="s">
        <v>8899</v>
      </c>
      <c r="E1087" s="1" t="s">
        <v>1738</v>
      </c>
      <c r="F1087" s="1" t="s">
        <v>22</v>
      </c>
      <c r="G1087" s="1" t="e">
        <f>VLOOKUP(C1087,'Master truck list'!E:R,14,0)</f>
        <v>#N/A</v>
      </c>
      <c r="H1087" t="str">
        <f>"12/20/2019 7:00:30 AM"</f>
        <v>12/20/2019 7:00:30 AM</v>
      </c>
      <c r="I1087" t="str">
        <f>""</f>
        <v/>
      </c>
      <c r="J1087" t="str">
        <f t="shared" si="423"/>
        <v>Elite</v>
      </c>
      <c r="K1087" t="str">
        <f t="shared" si="433"/>
        <v>Device</v>
      </c>
      <c r="L1087" t="str">
        <f t="shared" si="449"/>
        <v>777248901</v>
      </c>
      <c r="M1087" t="str">
        <f t="shared" si="450"/>
        <v>16716783</v>
      </c>
      <c r="N1087" t="str">
        <f t="shared" si="451"/>
        <v>542-18AT</v>
      </c>
      <c r="O1087" t="str">
        <f t="shared" si="424"/>
        <v>TEXAS</v>
      </c>
      <c r="P1087" t="str">
        <f t="shared" si="425"/>
        <v>N A</v>
      </c>
      <c r="Q1087" t="str">
        <f t="shared" si="426"/>
        <v>N/A</v>
      </c>
      <c r="R1087" t="str">
        <f>"130 CMRNP 08 306"</f>
        <v>130 CMRNP 08 306</v>
      </c>
      <c r="S1087" t="str">
        <f>"12/19/2019 8:22:41 PM"</f>
        <v>12/19/2019 8:22:41 PM</v>
      </c>
      <c r="T1087" t="str">
        <f t="shared" si="447"/>
        <v>5</v>
      </c>
      <c r="U1087" t="str">
        <f t="shared" si="427"/>
        <v>N/A</v>
      </c>
      <c r="V1087" t="str">
        <f t="shared" si="452"/>
        <v>5.5500</v>
      </c>
    </row>
    <row r="1088" spans="1:22" x14ac:dyDescent="0.25">
      <c r="A1088" s="1" t="str">
        <f t="shared" si="443"/>
        <v>542-1</v>
      </c>
      <c r="B1088" s="1" t="str">
        <f t="shared" si="428"/>
        <v>542-1</v>
      </c>
      <c r="C1088" s="1" t="s">
        <v>3411</v>
      </c>
      <c r="D1088" s="1" t="s">
        <v>8899</v>
      </c>
      <c r="E1088" s="1" t="s">
        <v>1738</v>
      </c>
      <c r="F1088" s="1" t="s">
        <v>22</v>
      </c>
      <c r="G1088" s="1" t="e">
        <f>VLOOKUP(C1088,'Master truck list'!E:R,14,0)</f>
        <v>#N/A</v>
      </c>
      <c r="H1088" t="str">
        <f>"12/20/2019 7:00:30 AM"</f>
        <v>12/20/2019 7:00:30 AM</v>
      </c>
      <c r="I1088" t="str">
        <f>""</f>
        <v/>
      </c>
      <c r="J1088" t="str">
        <f t="shared" si="423"/>
        <v>Elite</v>
      </c>
      <c r="K1088" t="str">
        <f t="shared" si="433"/>
        <v>Device</v>
      </c>
      <c r="L1088" t="str">
        <f t="shared" si="449"/>
        <v>777248901</v>
      </c>
      <c r="M1088" t="str">
        <f t="shared" si="450"/>
        <v>16716783</v>
      </c>
      <c r="N1088" t="str">
        <f t="shared" si="451"/>
        <v>542-18AT</v>
      </c>
      <c r="O1088" t="str">
        <f t="shared" si="424"/>
        <v>TEXAS</v>
      </c>
      <c r="P1088" t="str">
        <f t="shared" si="425"/>
        <v>N A</v>
      </c>
      <c r="Q1088" t="str">
        <f t="shared" si="426"/>
        <v>N/A</v>
      </c>
      <c r="R1088" t="str">
        <f>"130 ARPTP 04 308"</f>
        <v>130 ARPTP 04 308</v>
      </c>
      <c r="S1088" t="str">
        <f>"12/19/2019 8:39:36 PM"</f>
        <v>12/19/2019 8:39:36 PM</v>
      </c>
      <c r="T1088" t="str">
        <f t="shared" si="447"/>
        <v>5</v>
      </c>
      <c r="U1088" t="str">
        <f t="shared" si="427"/>
        <v>N/A</v>
      </c>
      <c r="V1088" t="str">
        <f t="shared" si="452"/>
        <v>5.5500</v>
      </c>
    </row>
    <row r="1089" spans="1:22" x14ac:dyDescent="0.25">
      <c r="A1089" s="1" t="str">
        <f t="shared" si="443"/>
        <v>542-1</v>
      </c>
      <c r="B1089" s="1" t="str">
        <f t="shared" si="428"/>
        <v>542-1</v>
      </c>
      <c r="C1089" s="1" t="s">
        <v>3411</v>
      </c>
      <c r="D1089" s="1" t="s">
        <v>8899</v>
      </c>
      <c r="E1089" s="1" t="s">
        <v>1738</v>
      </c>
      <c r="F1089" s="1" t="s">
        <v>22</v>
      </c>
      <c r="G1089" s="1" t="e">
        <f>VLOOKUP(C1089,'Master truck list'!E:R,14,0)</f>
        <v>#N/A</v>
      </c>
      <c r="H1089" t="str">
        <f>"12/18/2019 7:00:28 AM"</f>
        <v>12/18/2019 7:00:28 AM</v>
      </c>
      <c r="I1089" t="str">
        <f>""</f>
        <v/>
      </c>
      <c r="J1089" t="str">
        <f t="shared" si="423"/>
        <v>Elite</v>
      </c>
      <c r="K1089" t="str">
        <f t="shared" si="433"/>
        <v>Device</v>
      </c>
      <c r="L1089" t="str">
        <f t="shared" si="449"/>
        <v>777248901</v>
      </c>
      <c r="M1089" t="str">
        <f t="shared" si="450"/>
        <v>16716783</v>
      </c>
      <c r="N1089" t="str">
        <f t="shared" si="451"/>
        <v>542-18AT</v>
      </c>
      <c r="O1089" t="str">
        <f t="shared" si="424"/>
        <v>TEXAS</v>
      </c>
      <c r="P1089" t="str">
        <f t="shared" si="425"/>
        <v>N A</v>
      </c>
      <c r="Q1089" t="str">
        <f t="shared" si="426"/>
        <v>N/A</v>
      </c>
      <c r="R1089" t="str">
        <f>"130 CMRNP 13 306"</f>
        <v>130 CMRNP 13 306</v>
      </c>
      <c r="S1089" t="str">
        <f>"12/16/2019 9:17:05 PM"</f>
        <v>12/16/2019 9:17:05 PM</v>
      </c>
      <c r="T1089" t="str">
        <f t="shared" si="447"/>
        <v>5</v>
      </c>
      <c r="U1089" t="str">
        <f t="shared" si="427"/>
        <v>N/A</v>
      </c>
      <c r="V1089" t="str">
        <f t="shared" si="452"/>
        <v>5.5500</v>
      </c>
    </row>
    <row r="1090" spans="1:22" x14ac:dyDescent="0.25">
      <c r="A1090" s="1" t="str">
        <f t="shared" si="443"/>
        <v>542-1</v>
      </c>
      <c r="B1090" s="1" t="str">
        <f t="shared" si="428"/>
        <v>542-1</v>
      </c>
      <c r="C1090" s="1" t="s">
        <v>3411</v>
      </c>
      <c r="D1090" s="1" t="s">
        <v>8899</v>
      </c>
      <c r="E1090" s="1" t="s">
        <v>1738</v>
      </c>
      <c r="F1090" s="1" t="s">
        <v>22</v>
      </c>
      <c r="G1090" s="1" t="e">
        <f>VLOOKUP(C1090,'Master truck list'!E:R,14,0)</f>
        <v>#N/A</v>
      </c>
      <c r="H1090" t="str">
        <f>"12/18/2019 7:00:28 AM"</f>
        <v>12/18/2019 7:00:28 AM</v>
      </c>
      <c r="I1090" t="str">
        <f>""</f>
        <v/>
      </c>
      <c r="J1090" t="str">
        <f t="shared" ref="J1090:J1153" si="453">"Elite"</f>
        <v>Elite</v>
      </c>
      <c r="K1090" t="str">
        <f t="shared" si="433"/>
        <v>Device</v>
      </c>
      <c r="L1090" t="str">
        <f t="shared" si="449"/>
        <v>777248901</v>
      </c>
      <c r="M1090" t="str">
        <f t="shared" si="450"/>
        <v>16716783</v>
      </c>
      <c r="N1090" t="str">
        <f t="shared" si="451"/>
        <v>542-18AT</v>
      </c>
      <c r="O1090" t="str">
        <f t="shared" ref="O1090:O1153" si="454">"TEXAS"</f>
        <v>TEXAS</v>
      </c>
      <c r="P1090" t="str">
        <f t="shared" ref="P1090:P1153" si="455">"N A"</f>
        <v>N A</v>
      </c>
      <c r="Q1090" t="str">
        <f t="shared" ref="Q1090:Q1153" si="456">"N/A"</f>
        <v>N/A</v>
      </c>
      <c r="R1090" t="str">
        <f>"130 MGCRP 10 305"</f>
        <v>130 MGCRP 10 305</v>
      </c>
      <c r="S1090" t="str">
        <f>"12/16/2019 9:28:06 PM"</f>
        <v>12/16/2019 9:28:06 PM</v>
      </c>
      <c r="T1090" t="str">
        <f t="shared" si="447"/>
        <v>5</v>
      </c>
      <c r="U1090" t="str">
        <f t="shared" ref="U1090:U1153" si="457">"N/A"</f>
        <v>N/A</v>
      </c>
      <c r="V1090" t="str">
        <f t="shared" si="452"/>
        <v>5.5500</v>
      </c>
    </row>
    <row r="1091" spans="1:22" x14ac:dyDescent="0.25">
      <c r="A1091" s="1" t="str">
        <f t="shared" si="443"/>
        <v>542-1</v>
      </c>
      <c r="B1091" s="1" t="str">
        <f t="shared" ref="B1091:B1154" si="458">SUBSTITUTE(A1091," ","")</f>
        <v>542-1</v>
      </c>
      <c r="C1091" s="1" t="s">
        <v>3411</v>
      </c>
      <c r="D1091" s="1" t="s">
        <v>91</v>
      </c>
      <c r="E1091" s="1" t="s">
        <v>1738</v>
      </c>
      <c r="F1091" s="1" t="s">
        <v>22</v>
      </c>
      <c r="G1091" s="1" t="e">
        <f>VLOOKUP(C1091,'Master truck list'!E:R,14,0)</f>
        <v>#N/A</v>
      </c>
      <c r="H1091" t="str">
        <f>"12/18/2019 7:00:28 AM"</f>
        <v>12/18/2019 7:00:28 AM</v>
      </c>
      <c r="I1091" t="str">
        <f>""</f>
        <v/>
      </c>
      <c r="J1091" t="str">
        <f t="shared" si="453"/>
        <v>Elite</v>
      </c>
      <c r="K1091" t="str">
        <f t="shared" si="433"/>
        <v>Device</v>
      </c>
      <c r="L1091" t="str">
        <f t="shared" si="449"/>
        <v>777248901</v>
      </c>
      <c r="M1091" t="str">
        <f t="shared" si="450"/>
        <v>16716783</v>
      </c>
      <c r="N1091" t="str">
        <f t="shared" si="451"/>
        <v>542-18AT</v>
      </c>
      <c r="O1091" t="str">
        <f t="shared" si="454"/>
        <v>TEXAS</v>
      </c>
      <c r="P1091" t="str">
        <f t="shared" si="455"/>
        <v>N A</v>
      </c>
      <c r="Q1091" t="str">
        <f t="shared" si="456"/>
        <v>N/A</v>
      </c>
      <c r="R1091" t="str">
        <f>"130 DKCRP 11 307"</f>
        <v>130 DKCRP 11 307</v>
      </c>
      <c r="S1091" t="str">
        <f>"12/16/2019 9:06:44 PM"</f>
        <v>12/16/2019 9:06:44 PM</v>
      </c>
      <c r="T1091" t="str">
        <f t="shared" si="447"/>
        <v>5</v>
      </c>
      <c r="U1091" t="str">
        <f t="shared" si="457"/>
        <v>N/A</v>
      </c>
      <c r="V1091" t="str">
        <f t="shared" si="452"/>
        <v>5.5500</v>
      </c>
    </row>
    <row r="1092" spans="1:22" x14ac:dyDescent="0.25">
      <c r="A1092" s="1" t="str">
        <f t="shared" si="443"/>
        <v>542-1</v>
      </c>
      <c r="B1092" s="1" t="str">
        <f t="shared" si="458"/>
        <v>542-1</v>
      </c>
      <c r="C1092" s="1" t="s">
        <v>3411</v>
      </c>
      <c r="D1092" s="1" t="s">
        <v>91</v>
      </c>
      <c r="E1092" s="1" t="s">
        <v>1738</v>
      </c>
      <c r="F1092" s="1" t="s">
        <v>22</v>
      </c>
      <c r="G1092" s="1" t="e">
        <f>VLOOKUP(C1092,'Master truck list'!E:R,14,0)</f>
        <v>#N/A</v>
      </c>
      <c r="H1092" t="str">
        <f>"12/17/2019 7:00:33 AM"</f>
        <v>12/17/2019 7:00:33 AM</v>
      </c>
      <c r="I1092" t="str">
        <f>""</f>
        <v/>
      </c>
      <c r="J1092" t="str">
        <f t="shared" si="453"/>
        <v>Elite</v>
      </c>
      <c r="K1092" t="str">
        <f t="shared" si="433"/>
        <v>Device</v>
      </c>
      <c r="L1092" t="str">
        <f t="shared" si="449"/>
        <v>777248901</v>
      </c>
      <c r="M1092" t="str">
        <f t="shared" si="450"/>
        <v>16716783</v>
      </c>
      <c r="N1092" t="str">
        <f t="shared" si="451"/>
        <v>542-18AT</v>
      </c>
      <c r="O1092" t="str">
        <f t="shared" si="454"/>
        <v>TEXAS</v>
      </c>
      <c r="P1092" t="str">
        <f t="shared" si="455"/>
        <v>N A</v>
      </c>
      <c r="Q1092" t="str">
        <f t="shared" si="456"/>
        <v>N/A</v>
      </c>
      <c r="R1092" t="str">
        <f>"130 ARPTP 09 308"</f>
        <v>130 ARPTP 09 308</v>
      </c>
      <c r="S1092" t="str">
        <f>"12/16/2019 8:59:46 PM"</f>
        <v>12/16/2019 8:59:46 PM</v>
      </c>
      <c r="T1092" t="str">
        <f t="shared" si="447"/>
        <v>5</v>
      </c>
      <c r="U1092" t="str">
        <f t="shared" si="457"/>
        <v>N/A</v>
      </c>
      <c r="V1092" t="str">
        <f t="shared" si="452"/>
        <v>5.5500</v>
      </c>
    </row>
    <row r="1093" spans="1:22" x14ac:dyDescent="0.25">
      <c r="A1093" s="1" t="str">
        <f t="shared" si="443"/>
        <v>542-1</v>
      </c>
      <c r="B1093" s="1" t="str">
        <f t="shared" si="458"/>
        <v>542-1</v>
      </c>
      <c r="C1093" s="1" t="s">
        <v>3411</v>
      </c>
      <c r="D1093" s="1" t="s">
        <v>91</v>
      </c>
      <c r="E1093" s="1" t="s">
        <v>1738</v>
      </c>
      <c r="F1093" s="1" t="s">
        <v>22</v>
      </c>
      <c r="G1093" s="1" t="e">
        <f>VLOOKUP(C1093,'Master truck list'!E:R,14,0)</f>
        <v>#N/A</v>
      </c>
      <c r="H1093" t="str">
        <f>"12/17/2019 7:00:33 AM"</f>
        <v>12/17/2019 7:00:33 AM</v>
      </c>
      <c r="I1093" t="str">
        <f>""</f>
        <v/>
      </c>
      <c r="J1093" t="str">
        <f t="shared" si="453"/>
        <v>Elite</v>
      </c>
      <c r="K1093" t="str">
        <f t="shared" si="433"/>
        <v>Device</v>
      </c>
      <c r="L1093" t="str">
        <f t="shared" si="449"/>
        <v>777248901</v>
      </c>
      <c r="M1093" t="str">
        <f t="shared" si="450"/>
        <v>16716783</v>
      </c>
      <c r="N1093" t="str">
        <f t="shared" si="451"/>
        <v>542-18AT</v>
      </c>
      <c r="O1093" t="str">
        <f t="shared" si="454"/>
        <v>TEXAS</v>
      </c>
      <c r="P1093" t="str">
        <f t="shared" si="455"/>
        <v>N A</v>
      </c>
      <c r="Q1093" t="str">
        <f t="shared" si="456"/>
        <v>N/A</v>
      </c>
      <c r="R1093" t="str">
        <f>"45SE MLPEB 02 611"</f>
        <v>45SE MLPEB 02 611</v>
      </c>
      <c r="S1093" t="str">
        <f>"12/16/2019 8:49:10 PM"</f>
        <v>12/16/2019 8:49:10 PM</v>
      </c>
      <c r="T1093" t="str">
        <f t="shared" si="447"/>
        <v>5</v>
      </c>
      <c r="U1093" t="str">
        <f t="shared" si="457"/>
        <v>N/A</v>
      </c>
      <c r="V1093" t="str">
        <f>"3.3000"</f>
        <v>3.3000</v>
      </c>
    </row>
    <row r="1094" spans="1:22" x14ac:dyDescent="0.25">
      <c r="A1094" s="1" t="str">
        <f t="shared" si="443"/>
        <v>2392-</v>
      </c>
      <c r="B1094" s="1" t="str">
        <f t="shared" si="458"/>
        <v>2392-</v>
      </c>
      <c r="C1094" s="1" t="s">
        <v>4835</v>
      </c>
      <c r="D1094" s="1" t="s">
        <v>91</v>
      </c>
      <c r="E1094" s="1" t="s">
        <v>8932</v>
      </c>
      <c r="F1094" s="1" t="s">
        <v>22</v>
      </c>
      <c r="G1094" s="1">
        <f>VLOOKUP(C1094,'Master truck list'!E:R,14,0)</f>
        <v>1448</v>
      </c>
      <c r="H1094" t="str">
        <f>"12/19/2019 7:00:35 AM"</f>
        <v>12/19/2019 7:00:35 AM</v>
      </c>
      <c r="I1094" t="str">
        <f>""</f>
        <v/>
      </c>
      <c r="J1094" t="str">
        <f t="shared" si="453"/>
        <v>Elite</v>
      </c>
      <c r="K1094" t="str">
        <f t="shared" si="433"/>
        <v>Device</v>
      </c>
      <c r="L1094" t="str">
        <f t="shared" ref="L1094:L1103" si="459">"777237541"</f>
        <v>777237541</v>
      </c>
      <c r="M1094" t="str">
        <f t="shared" ref="M1094:M1103" si="460">"16670298"</f>
        <v>16670298</v>
      </c>
      <c r="N1094" t="str">
        <f t="shared" ref="N1094:N1103" si="461">"2392-19T"</f>
        <v>2392-19T</v>
      </c>
      <c r="O1094" t="str">
        <f t="shared" si="454"/>
        <v>TEXAS</v>
      </c>
      <c r="P1094" t="str">
        <f t="shared" si="455"/>
        <v>N A</v>
      </c>
      <c r="Q1094" t="str">
        <f t="shared" si="456"/>
        <v>N/A</v>
      </c>
      <c r="R1094" t="str">
        <f>"130 CMRNP 13 306"</f>
        <v>130 CMRNP 13 306</v>
      </c>
      <c r="S1094" t="str">
        <f>"12/18/2019 10:29:26 AM"</f>
        <v>12/18/2019 10:29:26 AM</v>
      </c>
      <c r="T1094" t="str">
        <f t="shared" si="447"/>
        <v>5</v>
      </c>
      <c r="U1094" t="str">
        <f t="shared" si="457"/>
        <v>N/A</v>
      </c>
      <c r="V1094" t="str">
        <f>"5.5500"</f>
        <v>5.5500</v>
      </c>
    </row>
    <row r="1095" spans="1:22" x14ac:dyDescent="0.25">
      <c r="A1095" s="1" t="str">
        <f t="shared" si="443"/>
        <v>2392-</v>
      </c>
      <c r="B1095" s="1" t="str">
        <f t="shared" si="458"/>
        <v>2392-</v>
      </c>
      <c r="C1095" s="1" t="s">
        <v>4835</v>
      </c>
      <c r="D1095" s="1" t="s">
        <v>91</v>
      </c>
      <c r="E1095" s="1" t="s">
        <v>8932</v>
      </c>
      <c r="F1095" s="1" t="s">
        <v>22</v>
      </c>
      <c r="G1095" s="1">
        <f>VLOOKUP(C1095,'Master truck list'!E:R,14,0)</f>
        <v>1448</v>
      </c>
      <c r="H1095" t="str">
        <f>"12/19/2019 7:00:35 AM"</f>
        <v>12/19/2019 7:00:35 AM</v>
      </c>
      <c r="I1095" t="str">
        <f>""</f>
        <v/>
      </c>
      <c r="J1095" t="str">
        <f t="shared" si="453"/>
        <v>Elite</v>
      </c>
      <c r="K1095" t="str">
        <f t="shared" si="433"/>
        <v>Device</v>
      </c>
      <c r="L1095" t="str">
        <f t="shared" si="459"/>
        <v>777237541</v>
      </c>
      <c r="M1095" t="str">
        <f t="shared" si="460"/>
        <v>16670298</v>
      </c>
      <c r="N1095" t="str">
        <f t="shared" si="461"/>
        <v>2392-19T</v>
      </c>
      <c r="O1095" t="str">
        <f t="shared" si="454"/>
        <v>TEXAS</v>
      </c>
      <c r="P1095" t="str">
        <f t="shared" si="455"/>
        <v>N A</v>
      </c>
      <c r="Q1095" t="str">
        <f t="shared" si="456"/>
        <v>N/A</v>
      </c>
      <c r="R1095" t="str">
        <f>"130 ARPTP 09 308"</f>
        <v>130 ARPTP 09 308</v>
      </c>
      <c r="S1095" t="str">
        <f>"12/18/2019 10:12:23 AM"</f>
        <v>12/18/2019 10:12:23 AM</v>
      </c>
      <c r="T1095" t="str">
        <f t="shared" si="447"/>
        <v>5</v>
      </c>
      <c r="U1095" t="str">
        <f t="shared" si="457"/>
        <v>N/A</v>
      </c>
      <c r="V1095" t="str">
        <f>"5.5500"</f>
        <v>5.5500</v>
      </c>
    </row>
    <row r="1096" spans="1:22" x14ac:dyDescent="0.25">
      <c r="A1096" s="1" t="str">
        <f t="shared" si="443"/>
        <v>2392-</v>
      </c>
      <c r="B1096" s="1" t="str">
        <f t="shared" si="458"/>
        <v>2392-</v>
      </c>
      <c r="C1096" s="1" t="s">
        <v>4835</v>
      </c>
      <c r="D1096" s="1" t="s">
        <v>91</v>
      </c>
      <c r="E1096" s="1" t="s">
        <v>8932</v>
      </c>
      <c r="F1096" s="1" t="s">
        <v>22</v>
      </c>
      <c r="G1096" s="1">
        <f>VLOOKUP(C1096,'Master truck list'!E:R,14,0)</f>
        <v>1448</v>
      </c>
      <c r="H1096" t="str">
        <f>"12/20/2019 7:00:30 AM"</f>
        <v>12/20/2019 7:00:30 AM</v>
      </c>
      <c r="I1096" t="str">
        <f>""</f>
        <v/>
      </c>
      <c r="J1096" t="str">
        <f t="shared" si="453"/>
        <v>Elite</v>
      </c>
      <c r="K1096" t="str">
        <f t="shared" si="433"/>
        <v>Device</v>
      </c>
      <c r="L1096" t="str">
        <f t="shared" si="459"/>
        <v>777237541</v>
      </c>
      <c r="M1096" t="str">
        <f t="shared" si="460"/>
        <v>16670298</v>
      </c>
      <c r="N1096" t="str">
        <f t="shared" si="461"/>
        <v>2392-19T</v>
      </c>
      <c r="O1096" t="str">
        <f t="shared" si="454"/>
        <v>TEXAS</v>
      </c>
      <c r="P1096" t="str">
        <f t="shared" si="455"/>
        <v>N A</v>
      </c>
      <c r="Q1096" t="str">
        <f t="shared" si="456"/>
        <v>N/A</v>
      </c>
      <c r="R1096" t="str">
        <f>"130 ARPTP 04 308"</f>
        <v>130 ARPTP 04 308</v>
      </c>
      <c r="S1096" t="str">
        <f>"12/19/2019 9:39:34 AM"</f>
        <v>12/19/2019 9:39:34 AM</v>
      </c>
      <c r="T1096" t="str">
        <f t="shared" si="447"/>
        <v>5</v>
      </c>
      <c r="U1096" t="str">
        <f t="shared" si="457"/>
        <v>N/A</v>
      </c>
      <c r="V1096" t="str">
        <f>"5.5500"</f>
        <v>5.5500</v>
      </c>
    </row>
    <row r="1097" spans="1:22" x14ac:dyDescent="0.25">
      <c r="A1097" s="1" t="str">
        <f t="shared" si="443"/>
        <v>2392-</v>
      </c>
      <c r="B1097" s="1" t="str">
        <f t="shared" si="458"/>
        <v>2392-</v>
      </c>
      <c r="C1097" s="1" t="s">
        <v>4835</v>
      </c>
      <c r="D1097" s="1" t="s">
        <v>91</v>
      </c>
      <c r="E1097" s="1" t="s">
        <v>8932</v>
      </c>
      <c r="F1097" s="1" t="s">
        <v>22</v>
      </c>
      <c r="G1097" s="1">
        <f>VLOOKUP(C1097,'Master truck list'!E:R,14,0)</f>
        <v>1448</v>
      </c>
      <c r="H1097" t="str">
        <f>"12/20/2019 7:00:30 AM"</f>
        <v>12/20/2019 7:00:30 AM</v>
      </c>
      <c r="I1097" t="str">
        <f>""</f>
        <v/>
      </c>
      <c r="J1097" t="str">
        <f t="shared" si="453"/>
        <v>Elite</v>
      </c>
      <c r="K1097" t="str">
        <f t="shared" si="433"/>
        <v>Device</v>
      </c>
      <c r="L1097" t="str">
        <f t="shared" si="459"/>
        <v>777237541</v>
      </c>
      <c r="M1097" t="str">
        <f t="shared" si="460"/>
        <v>16670298</v>
      </c>
      <c r="N1097" t="str">
        <f t="shared" si="461"/>
        <v>2392-19T</v>
      </c>
      <c r="O1097" t="str">
        <f t="shared" si="454"/>
        <v>TEXAS</v>
      </c>
      <c r="P1097" t="str">
        <f t="shared" si="455"/>
        <v>N A</v>
      </c>
      <c r="Q1097" t="str">
        <f t="shared" si="456"/>
        <v>N/A</v>
      </c>
      <c r="R1097" t="str">
        <f>"130 CMRNP 08 306"</f>
        <v>130 CMRNP 08 306</v>
      </c>
      <c r="S1097" t="str">
        <f>"12/19/2019 9:22:28 AM"</f>
        <v>12/19/2019 9:22:28 AM</v>
      </c>
      <c r="T1097" t="str">
        <f t="shared" si="447"/>
        <v>5</v>
      </c>
      <c r="U1097" t="str">
        <f t="shared" si="457"/>
        <v>N/A</v>
      </c>
      <c r="V1097" t="str">
        <f>"5.5500"</f>
        <v>5.5500</v>
      </c>
    </row>
    <row r="1098" spans="1:22" x14ac:dyDescent="0.25">
      <c r="A1098" s="1" t="str">
        <f t="shared" si="443"/>
        <v>2392-</v>
      </c>
      <c r="B1098" s="1" t="str">
        <f t="shared" si="458"/>
        <v>2392-</v>
      </c>
      <c r="C1098" s="1" t="s">
        <v>4835</v>
      </c>
      <c r="D1098" s="1" t="s">
        <v>91</v>
      </c>
      <c r="E1098" s="1" t="s">
        <v>8932</v>
      </c>
      <c r="F1098" s="1" t="s">
        <v>22</v>
      </c>
      <c r="G1098" s="1">
        <f>VLOOKUP(C1098,'Master truck list'!E:R,14,0)</f>
        <v>1448</v>
      </c>
      <c r="H1098" t="str">
        <f>"12/19/2019 7:00:35 AM"</f>
        <v>12/19/2019 7:00:35 AM</v>
      </c>
      <c r="I1098" t="str">
        <f>""</f>
        <v/>
      </c>
      <c r="J1098" t="str">
        <f t="shared" si="453"/>
        <v>Elite</v>
      </c>
      <c r="K1098" t="str">
        <f t="shared" si="433"/>
        <v>Device</v>
      </c>
      <c r="L1098" t="str">
        <f t="shared" si="459"/>
        <v>777237541</v>
      </c>
      <c r="M1098" t="str">
        <f t="shared" si="460"/>
        <v>16670298</v>
      </c>
      <c r="N1098" t="str">
        <f t="shared" si="461"/>
        <v>2392-19T</v>
      </c>
      <c r="O1098" t="str">
        <f t="shared" si="454"/>
        <v>TEXAS</v>
      </c>
      <c r="P1098" t="str">
        <f t="shared" si="455"/>
        <v>N A</v>
      </c>
      <c r="Q1098" t="str">
        <f t="shared" si="456"/>
        <v>N/A</v>
      </c>
      <c r="R1098" t="str">
        <f>"45SE MLPEB 02 611"</f>
        <v>45SE MLPEB 02 611</v>
      </c>
      <c r="S1098" t="str">
        <f>"12/18/2019 10:01:47 AM"</f>
        <v>12/18/2019 10:01:47 AM</v>
      </c>
      <c r="T1098" t="str">
        <f t="shared" si="447"/>
        <v>5</v>
      </c>
      <c r="U1098" t="str">
        <f t="shared" si="457"/>
        <v>N/A</v>
      </c>
      <c r="V1098" t="str">
        <f>"3.3000"</f>
        <v>3.3000</v>
      </c>
    </row>
    <row r="1099" spans="1:22" x14ac:dyDescent="0.25">
      <c r="A1099" s="1" t="str">
        <f t="shared" si="443"/>
        <v>2392-</v>
      </c>
      <c r="B1099" s="1" t="str">
        <f t="shared" si="458"/>
        <v>2392-</v>
      </c>
      <c r="C1099" s="1" t="s">
        <v>4835</v>
      </c>
      <c r="D1099" s="1" t="s">
        <v>91</v>
      </c>
      <c r="E1099" s="1" t="s">
        <v>8932</v>
      </c>
      <c r="F1099" s="1" t="str">
        <f>VLOOKUP(C1099,'Master truck list'!E:G,3,0)</f>
        <v>Company</v>
      </c>
      <c r="G1099" s="1">
        <f>VLOOKUP(C1099,'Master truck list'!E:R,14,0)</f>
        <v>1448</v>
      </c>
      <c r="H1099" t="str">
        <f>"12/19/2019 7:00:35 AM"</f>
        <v>12/19/2019 7:00:35 AM</v>
      </c>
      <c r="I1099" t="str">
        <f>""</f>
        <v/>
      </c>
      <c r="J1099" t="str">
        <f t="shared" si="453"/>
        <v>Elite</v>
      </c>
      <c r="K1099" t="str">
        <f t="shared" si="433"/>
        <v>Device</v>
      </c>
      <c r="L1099" t="str">
        <f t="shared" si="459"/>
        <v>777237541</v>
      </c>
      <c r="M1099" t="str">
        <f t="shared" si="460"/>
        <v>16670298</v>
      </c>
      <c r="N1099" t="str">
        <f t="shared" si="461"/>
        <v>2392-19T</v>
      </c>
      <c r="O1099" t="str">
        <f t="shared" si="454"/>
        <v>TEXAS</v>
      </c>
      <c r="P1099" t="str">
        <f t="shared" si="455"/>
        <v>N A</v>
      </c>
      <c r="Q1099" t="str">
        <f t="shared" si="456"/>
        <v>N/A</v>
      </c>
      <c r="R1099" t="str">
        <f>"130 MGCRP 11 305"</f>
        <v>130 MGCRP 11 305</v>
      </c>
      <c r="S1099" t="str">
        <f>"12/18/2019 10:40:31 AM"</f>
        <v>12/18/2019 10:40:31 AM</v>
      </c>
      <c r="T1099" t="str">
        <f t="shared" si="447"/>
        <v>5</v>
      </c>
      <c r="U1099" t="str">
        <f t="shared" si="457"/>
        <v>N/A</v>
      </c>
      <c r="V1099" t="str">
        <f>"5.5500"</f>
        <v>5.5500</v>
      </c>
    </row>
    <row r="1100" spans="1:22" x14ac:dyDescent="0.25">
      <c r="A1100" s="1" t="str">
        <f t="shared" si="443"/>
        <v>2392-</v>
      </c>
      <c r="B1100" s="1" t="str">
        <f t="shared" si="458"/>
        <v>2392-</v>
      </c>
      <c r="C1100" s="1" t="s">
        <v>4835</v>
      </c>
      <c r="D1100" s="1" t="s">
        <v>91</v>
      </c>
      <c r="E1100" s="1" t="s">
        <v>8932</v>
      </c>
      <c r="F1100" s="1" t="s">
        <v>22</v>
      </c>
      <c r="G1100" s="1">
        <f>VLOOKUP(C1100,'Master truck list'!E:R,14,0)</f>
        <v>1448</v>
      </c>
      <c r="H1100" t="str">
        <f>"12/19/2019 7:00:35 AM"</f>
        <v>12/19/2019 7:00:35 AM</v>
      </c>
      <c r="I1100" t="str">
        <f>""</f>
        <v/>
      </c>
      <c r="J1100" t="str">
        <f t="shared" si="453"/>
        <v>Elite</v>
      </c>
      <c r="K1100" t="str">
        <f t="shared" si="433"/>
        <v>Device</v>
      </c>
      <c r="L1100" t="str">
        <f t="shared" si="459"/>
        <v>777237541</v>
      </c>
      <c r="M1100" t="str">
        <f t="shared" si="460"/>
        <v>16670298</v>
      </c>
      <c r="N1100" t="str">
        <f t="shared" si="461"/>
        <v>2392-19T</v>
      </c>
      <c r="O1100" t="str">
        <f t="shared" si="454"/>
        <v>TEXAS</v>
      </c>
      <c r="P1100" t="str">
        <f t="shared" si="455"/>
        <v>N A</v>
      </c>
      <c r="Q1100" t="str">
        <f t="shared" si="456"/>
        <v>N/A</v>
      </c>
      <c r="R1100" t="str">
        <f>"130 DKCRP 11 307"</f>
        <v>130 DKCRP 11 307</v>
      </c>
      <c r="S1100" t="str">
        <f>"12/18/2019 10:19:20 AM"</f>
        <v>12/18/2019 10:19:20 AM</v>
      </c>
      <c r="T1100" t="str">
        <f t="shared" si="447"/>
        <v>5</v>
      </c>
      <c r="U1100" t="str">
        <f t="shared" si="457"/>
        <v>N/A</v>
      </c>
      <c r="V1100" t="str">
        <f>"5.5500"</f>
        <v>5.5500</v>
      </c>
    </row>
    <row r="1101" spans="1:22" x14ac:dyDescent="0.25">
      <c r="A1101" s="1" t="str">
        <f t="shared" si="443"/>
        <v>2392-</v>
      </c>
      <c r="B1101" s="1" t="str">
        <f t="shared" si="458"/>
        <v>2392-</v>
      </c>
      <c r="C1101" s="1" t="s">
        <v>4835</v>
      </c>
      <c r="D1101" s="1" t="s">
        <v>91</v>
      </c>
      <c r="E1101" s="1" t="s">
        <v>8932</v>
      </c>
      <c r="F1101" s="1" t="str">
        <f>VLOOKUP(C1101,'Master truck list'!E:G,3,0)</f>
        <v>Company</v>
      </c>
      <c r="G1101" s="1">
        <f>VLOOKUP(C1101,'Master truck list'!E:R,14,0)</f>
        <v>1448</v>
      </c>
      <c r="H1101" t="str">
        <f>"12/20/2019 7:00:30 AM"</f>
        <v>12/20/2019 7:00:30 AM</v>
      </c>
      <c r="I1101" t="str">
        <f>""</f>
        <v/>
      </c>
      <c r="J1101" t="str">
        <f t="shared" si="453"/>
        <v>Elite</v>
      </c>
      <c r="K1101" t="str">
        <f t="shared" si="433"/>
        <v>Device</v>
      </c>
      <c r="L1101" t="str">
        <f t="shared" si="459"/>
        <v>777237541</v>
      </c>
      <c r="M1101" t="str">
        <f t="shared" si="460"/>
        <v>16670298</v>
      </c>
      <c r="N1101" t="str">
        <f t="shared" si="461"/>
        <v>2392-19T</v>
      </c>
      <c r="O1101" t="str">
        <f t="shared" si="454"/>
        <v>TEXAS</v>
      </c>
      <c r="P1101" t="str">
        <f t="shared" si="455"/>
        <v>N A</v>
      </c>
      <c r="Q1101" t="str">
        <f t="shared" si="456"/>
        <v>N/A</v>
      </c>
      <c r="R1101" t="str">
        <f>"130 MGCRP 07 305"</f>
        <v>130 MGCRP 07 305</v>
      </c>
      <c r="S1101" t="str">
        <f>"12/19/2019 9:11:27 AM"</f>
        <v>12/19/2019 9:11:27 AM</v>
      </c>
      <c r="T1101" t="str">
        <f t="shared" si="447"/>
        <v>5</v>
      </c>
      <c r="U1101" t="str">
        <f t="shared" si="457"/>
        <v>N/A</v>
      </c>
      <c r="V1101" t="str">
        <f>"5.5500"</f>
        <v>5.5500</v>
      </c>
    </row>
    <row r="1102" spans="1:22" x14ac:dyDescent="0.25">
      <c r="A1102" s="1" t="str">
        <f t="shared" si="443"/>
        <v>2392-</v>
      </c>
      <c r="B1102" s="1" t="str">
        <f t="shared" si="458"/>
        <v>2392-</v>
      </c>
      <c r="C1102" s="1" t="s">
        <v>4835</v>
      </c>
      <c r="D1102" s="1" t="s">
        <v>91</v>
      </c>
      <c r="E1102" s="1" t="s">
        <v>8932</v>
      </c>
      <c r="F1102" s="1" t="s">
        <v>22</v>
      </c>
      <c r="G1102" s="1">
        <f>VLOOKUP(C1102,'Master truck list'!E:R,14,0)</f>
        <v>1448</v>
      </c>
      <c r="H1102" t="str">
        <f>"12/20/2019 7:00:30 AM"</f>
        <v>12/20/2019 7:00:30 AM</v>
      </c>
      <c r="I1102" t="str">
        <f>""</f>
        <v/>
      </c>
      <c r="J1102" t="str">
        <f t="shared" si="453"/>
        <v>Elite</v>
      </c>
      <c r="K1102" t="str">
        <f t="shared" si="433"/>
        <v>Device</v>
      </c>
      <c r="L1102" t="str">
        <f t="shared" si="459"/>
        <v>777237541</v>
      </c>
      <c r="M1102" t="str">
        <f t="shared" si="460"/>
        <v>16670298</v>
      </c>
      <c r="N1102" t="str">
        <f t="shared" si="461"/>
        <v>2392-19T</v>
      </c>
      <c r="O1102" t="str">
        <f t="shared" si="454"/>
        <v>TEXAS</v>
      </c>
      <c r="P1102" t="str">
        <f t="shared" si="455"/>
        <v>N A</v>
      </c>
      <c r="Q1102" t="str">
        <f t="shared" si="456"/>
        <v>N/A</v>
      </c>
      <c r="R1102" t="str">
        <f>"130 DKCRP 06 307"</f>
        <v>130 DKCRP 06 307</v>
      </c>
      <c r="S1102" t="str">
        <f>"12/19/2019 9:32:34 AM"</f>
        <v>12/19/2019 9:32:34 AM</v>
      </c>
      <c r="T1102" t="str">
        <f t="shared" si="447"/>
        <v>5</v>
      </c>
      <c r="U1102" t="str">
        <f t="shared" si="457"/>
        <v>N/A</v>
      </c>
      <c r="V1102" t="str">
        <f>"5.5500"</f>
        <v>5.5500</v>
      </c>
    </row>
    <row r="1103" spans="1:22" x14ac:dyDescent="0.25">
      <c r="A1103" s="1" t="str">
        <f t="shared" si="443"/>
        <v>2392-</v>
      </c>
      <c r="B1103" s="1" t="str">
        <f t="shared" si="458"/>
        <v>2392-</v>
      </c>
      <c r="C1103" s="1" t="s">
        <v>4835</v>
      </c>
      <c r="D1103" s="1" t="s">
        <v>91</v>
      </c>
      <c r="E1103" s="1" t="s">
        <v>8932</v>
      </c>
      <c r="F1103" s="1" t="str">
        <f>VLOOKUP(C1103,'Master truck list'!E:G,3,0)</f>
        <v>Company</v>
      </c>
      <c r="G1103" s="1">
        <f>VLOOKUP(C1103,'Master truck list'!E:R,14,0)</f>
        <v>1448</v>
      </c>
      <c r="H1103" t="str">
        <f>"12/21/2019 7:00:28 AM"</f>
        <v>12/21/2019 7:00:28 AM</v>
      </c>
      <c r="I1103" t="str">
        <f>""</f>
        <v/>
      </c>
      <c r="J1103" t="str">
        <f t="shared" si="453"/>
        <v>Elite</v>
      </c>
      <c r="K1103" t="str">
        <f t="shared" ref="K1103:K1166" si="462">"Device"</f>
        <v>Device</v>
      </c>
      <c r="L1103" t="str">
        <f t="shared" si="459"/>
        <v>777237541</v>
      </c>
      <c r="M1103" t="str">
        <f t="shared" si="460"/>
        <v>16670298</v>
      </c>
      <c r="N1103" t="str">
        <f t="shared" si="461"/>
        <v>2392-19T</v>
      </c>
      <c r="O1103" t="str">
        <f t="shared" si="454"/>
        <v>TEXAS</v>
      </c>
      <c r="P1103" t="str">
        <f t="shared" si="455"/>
        <v>N A</v>
      </c>
      <c r="Q1103" t="str">
        <f t="shared" si="456"/>
        <v>N/A</v>
      </c>
      <c r="R1103" t="str">
        <f>"130 BLUESP 01 4110"</f>
        <v>130 BLUESP 01 4110</v>
      </c>
      <c r="S1103" t="str">
        <f>"12/19/2019 10:04:52 AM"</f>
        <v>12/19/2019 10:04:52 AM</v>
      </c>
      <c r="T1103" t="str">
        <f>"15"</f>
        <v>15</v>
      </c>
      <c r="U1103" t="str">
        <f t="shared" si="457"/>
        <v>N/A</v>
      </c>
      <c r="V1103" t="str">
        <f>"20.4900"</f>
        <v>20.4900</v>
      </c>
    </row>
    <row r="1104" spans="1:22" x14ac:dyDescent="0.25">
      <c r="A1104" s="1" t="str">
        <f t="shared" si="443"/>
        <v>5169-</v>
      </c>
      <c r="B1104" s="1" t="str">
        <f t="shared" si="458"/>
        <v>5169-</v>
      </c>
      <c r="C1104" s="1" t="s">
        <v>8891</v>
      </c>
      <c r="D1104" s="1" t="s">
        <v>91</v>
      </c>
      <c r="E1104" s="1" t="s">
        <v>1738</v>
      </c>
      <c r="F1104" s="1" t="s">
        <v>22</v>
      </c>
      <c r="G1104" s="1" t="e">
        <f>VLOOKUP(C1104,'Master truck list'!E:R,14,0)</f>
        <v>#N/A</v>
      </c>
      <c r="H1104" t="str">
        <f>"12/20/2019 7:00:30 AM"</f>
        <v>12/20/2019 7:00:30 AM</v>
      </c>
      <c r="I1104" t="str">
        <f>""</f>
        <v/>
      </c>
      <c r="J1104" t="str">
        <f t="shared" si="453"/>
        <v>Elite</v>
      </c>
      <c r="K1104" t="str">
        <f t="shared" si="462"/>
        <v>Device</v>
      </c>
      <c r="L1104" t="str">
        <f t="shared" ref="L1104:L1118" si="463">"777169730"</f>
        <v>777169730</v>
      </c>
      <c r="M1104" t="str">
        <f t="shared" ref="M1104:M1118" si="464">"16428805"</f>
        <v>16428805</v>
      </c>
      <c r="N1104" t="str">
        <f t="shared" ref="N1104:N1118" si="465">"5169-20"</f>
        <v>5169-20</v>
      </c>
      <c r="O1104" t="str">
        <f t="shared" si="454"/>
        <v>TEXAS</v>
      </c>
      <c r="P1104" t="str">
        <f t="shared" si="455"/>
        <v>N A</v>
      </c>
      <c r="Q1104" t="str">
        <f t="shared" si="456"/>
        <v>N/A</v>
      </c>
      <c r="R1104" t="str">
        <f>"130 DKCRP 11 307"</f>
        <v>130 DKCRP 11 307</v>
      </c>
      <c r="S1104" t="str">
        <f>"12/19/2019 9:04:22 PM"</f>
        <v>12/19/2019 9:04:22 PM</v>
      </c>
      <c r="T1104" t="str">
        <f t="shared" ref="T1104:T1139" si="466">"5"</f>
        <v>5</v>
      </c>
      <c r="U1104" t="str">
        <f t="shared" si="457"/>
        <v>N/A</v>
      </c>
      <c r="V1104" t="str">
        <f>"5.5500"</f>
        <v>5.5500</v>
      </c>
    </row>
    <row r="1105" spans="1:22" x14ac:dyDescent="0.25">
      <c r="A1105" s="1" t="str">
        <f t="shared" si="443"/>
        <v>5169-</v>
      </c>
      <c r="B1105" s="1" t="str">
        <f t="shared" si="458"/>
        <v>5169-</v>
      </c>
      <c r="C1105" s="1" t="s">
        <v>8891</v>
      </c>
      <c r="D1105" s="1" t="s">
        <v>91</v>
      </c>
      <c r="E1105" s="1" t="s">
        <v>1738</v>
      </c>
      <c r="F1105" s="1" t="s">
        <v>22</v>
      </c>
      <c r="G1105" s="1" t="e">
        <f>VLOOKUP(C1105,'Master truck list'!E:R,14,0)</f>
        <v>#N/A</v>
      </c>
      <c r="H1105" t="str">
        <f>"12/21/2019 7:00:28 AM"</f>
        <v>12/21/2019 7:00:28 AM</v>
      </c>
      <c r="I1105" t="str">
        <f>""</f>
        <v/>
      </c>
      <c r="J1105" t="str">
        <f t="shared" si="453"/>
        <v>Elite</v>
      </c>
      <c r="K1105" t="str">
        <f t="shared" si="462"/>
        <v>Device</v>
      </c>
      <c r="L1105" t="str">
        <f t="shared" si="463"/>
        <v>777169730</v>
      </c>
      <c r="M1105" t="str">
        <f t="shared" si="464"/>
        <v>16428805</v>
      </c>
      <c r="N1105" t="str">
        <f t="shared" si="465"/>
        <v>5169-20</v>
      </c>
      <c r="O1105" t="str">
        <f t="shared" si="454"/>
        <v>TEXAS</v>
      </c>
      <c r="P1105" t="str">
        <f t="shared" si="455"/>
        <v>N A</v>
      </c>
      <c r="Q1105" t="str">
        <f t="shared" si="456"/>
        <v>N/A</v>
      </c>
      <c r="R1105" t="str">
        <f>"130 ARPTP 04 308"</f>
        <v>130 ARPTP 04 308</v>
      </c>
      <c r="S1105" t="str">
        <f>"12/20/2019 2:49:47 PM"</f>
        <v>12/20/2019 2:49:47 PM</v>
      </c>
      <c r="T1105" t="str">
        <f t="shared" si="466"/>
        <v>5</v>
      </c>
      <c r="U1105" t="str">
        <f t="shared" si="457"/>
        <v>N/A</v>
      </c>
      <c r="V1105" t="str">
        <f>"5.5500"</f>
        <v>5.5500</v>
      </c>
    </row>
    <row r="1106" spans="1:22" x14ac:dyDescent="0.25">
      <c r="A1106" s="1" t="str">
        <f t="shared" si="443"/>
        <v>5169-</v>
      </c>
      <c r="B1106" s="1" t="str">
        <f t="shared" si="458"/>
        <v>5169-</v>
      </c>
      <c r="C1106" s="1" t="s">
        <v>8891</v>
      </c>
      <c r="D1106" s="1" t="s">
        <v>91</v>
      </c>
      <c r="E1106" s="1" t="s">
        <v>1738</v>
      </c>
      <c r="F1106" s="1" t="s">
        <v>22</v>
      </c>
      <c r="G1106" s="1" t="e">
        <f>VLOOKUP(C1106,'Master truck list'!E:R,14,0)</f>
        <v>#N/A</v>
      </c>
      <c r="H1106" t="str">
        <f>"12/20/2019 7:00:30 AM"</f>
        <v>12/20/2019 7:00:30 AM</v>
      </c>
      <c r="I1106" t="str">
        <f>""</f>
        <v/>
      </c>
      <c r="J1106" t="str">
        <f t="shared" si="453"/>
        <v>Elite</v>
      </c>
      <c r="K1106" t="str">
        <f t="shared" si="462"/>
        <v>Device</v>
      </c>
      <c r="L1106" t="str">
        <f t="shared" si="463"/>
        <v>777169730</v>
      </c>
      <c r="M1106" t="str">
        <f t="shared" si="464"/>
        <v>16428805</v>
      </c>
      <c r="N1106" t="str">
        <f t="shared" si="465"/>
        <v>5169-20</v>
      </c>
      <c r="O1106" t="str">
        <f t="shared" si="454"/>
        <v>TEXAS</v>
      </c>
      <c r="P1106" t="str">
        <f t="shared" si="455"/>
        <v>N A</v>
      </c>
      <c r="Q1106" t="str">
        <f t="shared" si="456"/>
        <v>N/A</v>
      </c>
      <c r="R1106" t="str">
        <f>"130 CMRNP 12 306"</f>
        <v>130 CMRNP 12 306</v>
      </c>
      <c r="S1106" t="str">
        <f>"12/19/2019 9:14:34 PM"</f>
        <v>12/19/2019 9:14:34 PM</v>
      </c>
      <c r="T1106" t="str">
        <f t="shared" si="466"/>
        <v>5</v>
      </c>
      <c r="U1106" t="str">
        <f t="shared" si="457"/>
        <v>N/A</v>
      </c>
      <c r="V1106" t="str">
        <f>"5.5500"</f>
        <v>5.5500</v>
      </c>
    </row>
    <row r="1107" spans="1:22" x14ac:dyDescent="0.25">
      <c r="A1107" s="1" t="str">
        <f t="shared" si="443"/>
        <v>5169-</v>
      </c>
      <c r="B1107" s="1" t="str">
        <f t="shared" si="458"/>
        <v>5169-</v>
      </c>
      <c r="C1107" s="1" t="s">
        <v>8891</v>
      </c>
      <c r="D1107" s="1" t="s">
        <v>91</v>
      </c>
      <c r="E1107" s="1" t="s">
        <v>1738</v>
      </c>
      <c r="F1107" s="1" t="s">
        <v>22</v>
      </c>
      <c r="G1107" s="1" t="e">
        <f>VLOOKUP(C1107,'Master truck list'!E:R,14,0)</f>
        <v>#N/A</v>
      </c>
      <c r="H1107" t="str">
        <f>"12/20/2019 7:00:30 AM"</f>
        <v>12/20/2019 7:00:30 AM</v>
      </c>
      <c r="I1107" t="str">
        <f>""</f>
        <v/>
      </c>
      <c r="J1107" t="str">
        <f t="shared" si="453"/>
        <v>Elite</v>
      </c>
      <c r="K1107" t="str">
        <f t="shared" si="462"/>
        <v>Device</v>
      </c>
      <c r="L1107" t="str">
        <f t="shared" si="463"/>
        <v>777169730</v>
      </c>
      <c r="M1107" t="str">
        <f t="shared" si="464"/>
        <v>16428805</v>
      </c>
      <c r="N1107" t="str">
        <f t="shared" si="465"/>
        <v>5169-20</v>
      </c>
      <c r="O1107" t="str">
        <f t="shared" si="454"/>
        <v>TEXAS</v>
      </c>
      <c r="P1107" t="str">
        <f t="shared" si="455"/>
        <v>N A</v>
      </c>
      <c r="Q1107" t="str">
        <f t="shared" si="456"/>
        <v>N/A</v>
      </c>
      <c r="R1107" t="str">
        <f>"130 MGCRP 11 305"</f>
        <v>130 MGCRP 11 305</v>
      </c>
      <c r="S1107" t="str">
        <f>"12/19/2019 9:25:36 PM"</f>
        <v>12/19/2019 9:25:36 PM</v>
      </c>
      <c r="T1107" t="str">
        <f t="shared" si="466"/>
        <v>5</v>
      </c>
      <c r="U1107" t="str">
        <f t="shared" si="457"/>
        <v>N/A</v>
      </c>
      <c r="V1107" t="str">
        <f>"5.5500"</f>
        <v>5.5500</v>
      </c>
    </row>
    <row r="1108" spans="1:22" x14ac:dyDescent="0.25">
      <c r="A1108" s="1" t="str">
        <f t="shared" si="443"/>
        <v>5169-</v>
      </c>
      <c r="B1108" s="1" t="str">
        <f t="shared" si="458"/>
        <v>5169-</v>
      </c>
      <c r="C1108" s="1" t="s">
        <v>8891</v>
      </c>
      <c r="D1108" s="1" t="s">
        <v>91</v>
      </c>
      <c r="E1108" s="1" t="s">
        <v>1738</v>
      </c>
      <c r="F1108" s="1" t="s">
        <v>22</v>
      </c>
      <c r="G1108" s="1" t="e">
        <f>VLOOKUP(C1108,'Master truck list'!E:R,14,0)</f>
        <v>#N/A</v>
      </c>
      <c r="H1108" t="str">
        <f>"12/20/2019 7:00:30 AM"</f>
        <v>12/20/2019 7:00:30 AM</v>
      </c>
      <c r="I1108" t="str">
        <f>""</f>
        <v/>
      </c>
      <c r="J1108" t="str">
        <f t="shared" si="453"/>
        <v>Elite</v>
      </c>
      <c r="K1108" t="str">
        <f t="shared" si="462"/>
        <v>Device</v>
      </c>
      <c r="L1108" t="str">
        <f t="shared" si="463"/>
        <v>777169730</v>
      </c>
      <c r="M1108" t="str">
        <f t="shared" si="464"/>
        <v>16428805</v>
      </c>
      <c r="N1108" t="str">
        <f t="shared" si="465"/>
        <v>5169-20</v>
      </c>
      <c r="O1108" t="str">
        <f t="shared" si="454"/>
        <v>TEXAS</v>
      </c>
      <c r="P1108" t="str">
        <f t="shared" si="455"/>
        <v>N A</v>
      </c>
      <c r="Q1108" t="str">
        <f t="shared" si="456"/>
        <v>N/A</v>
      </c>
      <c r="R1108" t="str">
        <f>"45SE MLPEB 02 611"</f>
        <v>45SE MLPEB 02 611</v>
      </c>
      <c r="S1108" t="str">
        <f>"12/19/2019 8:46:50 PM"</f>
        <v>12/19/2019 8:46:50 PM</v>
      </c>
      <c r="T1108" t="str">
        <f t="shared" si="466"/>
        <v>5</v>
      </c>
      <c r="U1108" t="str">
        <f t="shared" si="457"/>
        <v>N/A</v>
      </c>
      <c r="V1108" t="str">
        <f>"3.3000"</f>
        <v>3.3000</v>
      </c>
    </row>
    <row r="1109" spans="1:22" x14ac:dyDescent="0.25">
      <c r="A1109" s="1" t="str">
        <f t="shared" si="443"/>
        <v>5169-</v>
      </c>
      <c r="B1109" s="1" t="str">
        <f t="shared" si="458"/>
        <v>5169-</v>
      </c>
      <c r="C1109" s="1" t="s">
        <v>8891</v>
      </c>
      <c r="D1109" s="1" t="s">
        <v>91</v>
      </c>
      <c r="E1109" s="1" t="s">
        <v>1738</v>
      </c>
      <c r="F1109" s="1" t="s">
        <v>22</v>
      </c>
      <c r="G1109" s="1" t="e">
        <f>VLOOKUP(C1109,'Master truck list'!E:R,14,0)</f>
        <v>#N/A</v>
      </c>
      <c r="H1109" t="str">
        <f>"12/19/2019 7:00:35 AM"</f>
        <v>12/19/2019 7:00:35 AM</v>
      </c>
      <c r="I1109" t="str">
        <f>""</f>
        <v/>
      </c>
      <c r="J1109" t="str">
        <f t="shared" si="453"/>
        <v>Elite</v>
      </c>
      <c r="K1109" t="str">
        <f t="shared" si="462"/>
        <v>Device</v>
      </c>
      <c r="L1109" t="str">
        <f t="shared" si="463"/>
        <v>777169730</v>
      </c>
      <c r="M1109" t="str">
        <f t="shared" si="464"/>
        <v>16428805</v>
      </c>
      <c r="N1109" t="str">
        <f t="shared" si="465"/>
        <v>5169-20</v>
      </c>
      <c r="O1109" t="str">
        <f t="shared" si="454"/>
        <v>TEXAS</v>
      </c>
      <c r="P1109" t="str">
        <f t="shared" si="455"/>
        <v>N A</v>
      </c>
      <c r="Q1109" t="str">
        <f t="shared" si="456"/>
        <v>N/A</v>
      </c>
      <c r="R1109" t="str">
        <f>"130 DKCRP 11 307"</f>
        <v>130 DKCRP 11 307</v>
      </c>
      <c r="S1109" t="str">
        <f>"12/18/2019 5:14:58 PM"</f>
        <v>12/18/2019 5:14:58 PM</v>
      </c>
      <c r="T1109" t="str">
        <f t="shared" si="466"/>
        <v>5</v>
      </c>
      <c r="U1109" t="str">
        <f t="shared" si="457"/>
        <v>N/A</v>
      </c>
      <c r="V1109" t="str">
        <f>"5.5500"</f>
        <v>5.5500</v>
      </c>
    </row>
    <row r="1110" spans="1:22" x14ac:dyDescent="0.25">
      <c r="A1110" s="1" t="str">
        <f t="shared" si="443"/>
        <v>5169-</v>
      </c>
      <c r="B1110" s="1" t="str">
        <f t="shared" si="458"/>
        <v>5169-</v>
      </c>
      <c r="C1110" s="1" t="s">
        <v>8891</v>
      </c>
      <c r="D1110" s="1" t="s">
        <v>91</v>
      </c>
      <c r="E1110" s="1" t="s">
        <v>1738</v>
      </c>
      <c r="F1110" s="1" t="s">
        <v>22</v>
      </c>
      <c r="G1110" s="1" t="e">
        <f>VLOOKUP(C1110,'Master truck list'!E:R,14,0)</f>
        <v>#N/A</v>
      </c>
      <c r="H1110" t="str">
        <f>"12/19/2019 7:00:35 AM"</f>
        <v>12/19/2019 7:00:35 AM</v>
      </c>
      <c r="I1110" t="str">
        <f>""</f>
        <v/>
      </c>
      <c r="J1110" t="str">
        <f t="shared" si="453"/>
        <v>Elite</v>
      </c>
      <c r="K1110" t="str">
        <f t="shared" si="462"/>
        <v>Device</v>
      </c>
      <c r="L1110" t="str">
        <f t="shared" si="463"/>
        <v>777169730</v>
      </c>
      <c r="M1110" t="str">
        <f t="shared" si="464"/>
        <v>16428805</v>
      </c>
      <c r="N1110" t="str">
        <f t="shared" si="465"/>
        <v>5169-20</v>
      </c>
      <c r="O1110" t="str">
        <f t="shared" si="454"/>
        <v>TEXAS</v>
      </c>
      <c r="P1110" t="str">
        <f t="shared" si="455"/>
        <v>N A</v>
      </c>
      <c r="Q1110" t="str">
        <f t="shared" si="456"/>
        <v>N/A</v>
      </c>
      <c r="R1110" t="str">
        <f>"130 MGCRP 11 305"</f>
        <v>130 MGCRP 11 305</v>
      </c>
      <c r="S1110" t="str">
        <f>"12/18/2019 5:43:22 PM"</f>
        <v>12/18/2019 5:43:22 PM</v>
      </c>
      <c r="T1110" t="str">
        <f t="shared" si="466"/>
        <v>5</v>
      </c>
      <c r="U1110" t="str">
        <f t="shared" si="457"/>
        <v>N/A</v>
      </c>
      <c r="V1110" t="str">
        <f>"5.5500"</f>
        <v>5.5500</v>
      </c>
    </row>
    <row r="1111" spans="1:22" x14ac:dyDescent="0.25">
      <c r="A1111" s="1" t="str">
        <f t="shared" si="443"/>
        <v>5169-</v>
      </c>
      <c r="B1111" s="1" t="str">
        <f t="shared" si="458"/>
        <v>5169-</v>
      </c>
      <c r="C1111" s="1" t="s">
        <v>8891</v>
      </c>
      <c r="D1111" s="1" t="s">
        <v>91</v>
      </c>
      <c r="E1111" s="1" t="s">
        <v>1738</v>
      </c>
      <c r="F1111" s="1" t="s">
        <v>22</v>
      </c>
      <c r="G1111" s="1" t="e">
        <f>VLOOKUP(C1111,'Master truck list'!E:R,14,0)</f>
        <v>#N/A</v>
      </c>
      <c r="H1111" t="str">
        <f>"12/19/2019 7:00:35 AM"</f>
        <v>12/19/2019 7:00:35 AM</v>
      </c>
      <c r="I1111" t="str">
        <f>""</f>
        <v/>
      </c>
      <c r="J1111" t="str">
        <f t="shared" si="453"/>
        <v>Elite</v>
      </c>
      <c r="K1111" t="str">
        <f t="shared" si="462"/>
        <v>Device</v>
      </c>
      <c r="L1111" t="str">
        <f t="shared" si="463"/>
        <v>777169730</v>
      </c>
      <c r="M1111" t="str">
        <f t="shared" si="464"/>
        <v>16428805</v>
      </c>
      <c r="N1111" t="str">
        <f t="shared" si="465"/>
        <v>5169-20</v>
      </c>
      <c r="O1111" t="str">
        <f t="shared" si="454"/>
        <v>TEXAS</v>
      </c>
      <c r="P1111" t="str">
        <f t="shared" si="455"/>
        <v>N A</v>
      </c>
      <c r="Q1111" t="str">
        <f t="shared" si="456"/>
        <v>N/A</v>
      </c>
      <c r="R1111" t="str">
        <f>"45SE MLPEB 02 611"</f>
        <v>45SE MLPEB 02 611</v>
      </c>
      <c r="S1111" t="str">
        <f>"12/18/2019 4:56:04 PM"</f>
        <v>12/18/2019 4:56:04 PM</v>
      </c>
      <c r="T1111" t="str">
        <f t="shared" si="466"/>
        <v>5</v>
      </c>
      <c r="U1111" t="str">
        <f t="shared" si="457"/>
        <v>N/A</v>
      </c>
      <c r="V1111" t="str">
        <f>"3.3000"</f>
        <v>3.3000</v>
      </c>
    </row>
    <row r="1112" spans="1:22" x14ac:dyDescent="0.25">
      <c r="A1112" s="1" t="str">
        <f t="shared" si="443"/>
        <v>5169-</v>
      </c>
      <c r="B1112" s="1" t="str">
        <f t="shared" si="458"/>
        <v>5169-</v>
      </c>
      <c r="C1112" s="1" t="s">
        <v>8891</v>
      </c>
      <c r="D1112" s="1" t="s">
        <v>91</v>
      </c>
      <c r="E1112" s="1" t="s">
        <v>1738</v>
      </c>
      <c r="F1112" s="1" t="s">
        <v>22</v>
      </c>
      <c r="G1112" s="1" t="e">
        <f>VLOOKUP(C1112,'Master truck list'!E:R,14,0)</f>
        <v>#N/A</v>
      </c>
      <c r="H1112" t="str">
        <f>"12/19/2019 7:00:35 AM"</f>
        <v>12/19/2019 7:00:35 AM</v>
      </c>
      <c r="I1112" t="str">
        <f>""</f>
        <v/>
      </c>
      <c r="J1112" t="str">
        <f t="shared" si="453"/>
        <v>Elite</v>
      </c>
      <c r="K1112" t="str">
        <f t="shared" si="462"/>
        <v>Device</v>
      </c>
      <c r="L1112" t="str">
        <f t="shared" si="463"/>
        <v>777169730</v>
      </c>
      <c r="M1112" t="str">
        <f t="shared" si="464"/>
        <v>16428805</v>
      </c>
      <c r="N1112" t="str">
        <f t="shared" si="465"/>
        <v>5169-20</v>
      </c>
      <c r="O1112" t="str">
        <f t="shared" si="454"/>
        <v>TEXAS</v>
      </c>
      <c r="P1112" t="str">
        <f t="shared" si="455"/>
        <v>N A</v>
      </c>
      <c r="Q1112" t="str">
        <f t="shared" si="456"/>
        <v>N/A</v>
      </c>
      <c r="R1112" t="str">
        <f>"130 CMRNP 12 306"</f>
        <v>130 CMRNP 12 306</v>
      </c>
      <c r="S1112" t="str">
        <f>"12/18/2019 5:32:19 PM"</f>
        <v>12/18/2019 5:32:19 PM</v>
      </c>
      <c r="T1112" t="str">
        <f t="shared" si="466"/>
        <v>5</v>
      </c>
      <c r="U1112" t="str">
        <f t="shared" si="457"/>
        <v>N/A</v>
      </c>
      <c r="V1112" t="str">
        <f>"5.5500"</f>
        <v>5.5500</v>
      </c>
    </row>
    <row r="1113" spans="1:22" x14ac:dyDescent="0.25">
      <c r="A1113" s="1" t="str">
        <f t="shared" si="443"/>
        <v>5169-</v>
      </c>
      <c r="B1113" s="1" t="str">
        <f t="shared" si="458"/>
        <v>5169-</v>
      </c>
      <c r="C1113" s="1" t="s">
        <v>8891</v>
      </c>
      <c r="D1113" s="1" t="s">
        <v>91</v>
      </c>
      <c r="E1113" s="1" t="s">
        <v>1738</v>
      </c>
      <c r="F1113" s="1" t="s">
        <v>22</v>
      </c>
      <c r="G1113" s="1" t="e">
        <f>VLOOKUP(C1113,'Master truck list'!E:R,14,0)</f>
        <v>#N/A</v>
      </c>
      <c r="H1113" t="str">
        <f>"12/20/2019 7:00:30 AM"</f>
        <v>12/20/2019 7:00:30 AM</v>
      </c>
      <c r="I1113" t="str">
        <f>""</f>
        <v/>
      </c>
      <c r="J1113" t="str">
        <f t="shared" si="453"/>
        <v>Elite</v>
      </c>
      <c r="K1113" t="str">
        <f t="shared" si="462"/>
        <v>Device</v>
      </c>
      <c r="L1113" t="str">
        <f t="shared" si="463"/>
        <v>777169730</v>
      </c>
      <c r="M1113" t="str">
        <f t="shared" si="464"/>
        <v>16428805</v>
      </c>
      <c r="N1113" t="str">
        <f t="shared" si="465"/>
        <v>5169-20</v>
      </c>
      <c r="O1113" t="str">
        <f t="shared" si="454"/>
        <v>TEXAS</v>
      </c>
      <c r="P1113" t="str">
        <f t="shared" si="455"/>
        <v>N A</v>
      </c>
      <c r="Q1113" t="str">
        <f t="shared" si="456"/>
        <v>N/A</v>
      </c>
      <c r="R1113" t="str">
        <f>"130 ARPTP 09 308"</f>
        <v>130 ARPTP 09 308</v>
      </c>
      <c r="S1113" t="str">
        <f>"12/19/2019 8:57:24 PM"</f>
        <v>12/19/2019 8:57:24 PM</v>
      </c>
      <c r="T1113" t="str">
        <f t="shared" si="466"/>
        <v>5</v>
      </c>
      <c r="U1113" t="str">
        <f t="shared" si="457"/>
        <v>N/A</v>
      </c>
      <c r="V1113" t="str">
        <f>"5.5500"</f>
        <v>5.5500</v>
      </c>
    </row>
    <row r="1114" spans="1:22" x14ac:dyDescent="0.25">
      <c r="A1114" s="1" t="str">
        <f t="shared" si="443"/>
        <v>5169-</v>
      </c>
      <c r="B1114" s="1" t="str">
        <f t="shared" si="458"/>
        <v>5169-</v>
      </c>
      <c r="C1114" s="1" t="s">
        <v>8891</v>
      </c>
      <c r="D1114" s="1" t="s">
        <v>91</v>
      </c>
      <c r="E1114" s="1" t="s">
        <v>1738</v>
      </c>
      <c r="F1114" s="1" t="s">
        <v>22</v>
      </c>
      <c r="G1114" s="1" t="e">
        <f>VLOOKUP(C1114,'Master truck list'!E:R,14,0)</f>
        <v>#N/A</v>
      </c>
      <c r="H1114" t="str">
        <f>"12/19/2019 7:00:35 AM"</f>
        <v>12/19/2019 7:00:35 AM</v>
      </c>
      <c r="I1114" t="str">
        <f>""</f>
        <v/>
      </c>
      <c r="J1114" t="str">
        <f t="shared" si="453"/>
        <v>Elite</v>
      </c>
      <c r="K1114" t="str">
        <f t="shared" si="462"/>
        <v>Device</v>
      </c>
      <c r="L1114" t="str">
        <f t="shared" si="463"/>
        <v>777169730</v>
      </c>
      <c r="M1114" t="str">
        <f t="shared" si="464"/>
        <v>16428805</v>
      </c>
      <c r="N1114" t="str">
        <f t="shared" si="465"/>
        <v>5169-20</v>
      </c>
      <c r="O1114" t="str">
        <f t="shared" si="454"/>
        <v>TEXAS</v>
      </c>
      <c r="P1114" t="str">
        <f t="shared" si="455"/>
        <v>N A</v>
      </c>
      <c r="Q1114" t="str">
        <f t="shared" si="456"/>
        <v>N/A</v>
      </c>
      <c r="R1114" t="str">
        <f>"130 ARPTP 09 308"</f>
        <v>130 ARPTP 09 308</v>
      </c>
      <c r="S1114" t="str">
        <f>"12/18/2019 5:06:39 PM"</f>
        <v>12/18/2019 5:06:39 PM</v>
      </c>
      <c r="T1114" t="str">
        <f t="shared" si="466"/>
        <v>5</v>
      </c>
      <c r="U1114" t="str">
        <f t="shared" si="457"/>
        <v>N/A</v>
      </c>
      <c r="V1114" t="str">
        <f>"5.5500"</f>
        <v>5.5500</v>
      </c>
    </row>
    <row r="1115" spans="1:22" x14ac:dyDescent="0.25">
      <c r="A1115" s="1" t="str">
        <f t="shared" si="443"/>
        <v>5169-</v>
      </c>
      <c r="B1115" s="1" t="str">
        <f t="shared" si="458"/>
        <v>5169-</v>
      </c>
      <c r="C1115" s="1" t="s">
        <v>8891</v>
      </c>
      <c r="D1115" s="1" t="s">
        <v>91</v>
      </c>
      <c r="E1115" s="1" t="s">
        <v>1738</v>
      </c>
      <c r="F1115" s="1" t="s">
        <v>22</v>
      </c>
      <c r="G1115" s="1" t="e">
        <f>VLOOKUP(C1115,'Master truck list'!E:R,14,0)</f>
        <v>#N/A</v>
      </c>
      <c r="H1115" t="str">
        <f t="shared" ref="H1115:H1122" si="467">"12/21/2019 7:00:28 AM"</f>
        <v>12/21/2019 7:00:28 AM</v>
      </c>
      <c r="I1115" t="str">
        <f>""</f>
        <v/>
      </c>
      <c r="J1115" t="str">
        <f t="shared" si="453"/>
        <v>Elite</v>
      </c>
      <c r="K1115" t="str">
        <f t="shared" si="462"/>
        <v>Device</v>
      </c>
      <c r="L1115" t="str">
        <f t="shared" si="463"/>
        <v>777169730</v>
      </c>
      <c r="M1115" t="str">
        <f t="shared" si="464"/>
        <v>16428805</v>
      </c>
      <c r="N1115" t="str">
        <f t="shared" si="465"/>
        <v>5169-20</v>
      </c>
      <c r="O1115" t="str">
        <f t="shared" si="454"/>
        <v>TEXAS</v>
      </c>
      <c r="P1115" t="str">
        <f t="shared" si="455"/>
        <v>N A</v>
      </c>
      <c r="Q1115" t="str">
        <f t="shared" si="456"/>
        <v>N/A</v>
      </c>
      <c r="R1115" t="str">
        <f>"130 DKCRP 06 307"</f>
        <v>130 DKCRP 06 307</v>
      </c>
      <c r="S1115" t="str">
        <f>"12/20/2019 2:42:41 PM"</f>
        <v>12/20/2019 2:42:41 PM</v>
      </c>
      <c r="T1115" t="str">
        <f t="shared" si="466"/>
        <v>5</v>
      </c>
      <c r="U1115" t="str">
        <f t="shared" si="457"/>
        <v>N/A</v>
      </c>
      <c r="V1115" t="str">
        <f>"5.5500"</f>
        <v>5.5500</v>
      </c>
    </row>
    <row r="1116" spans="1:22" x14ac:dyDescent="0.25">
      <c r="A1116" s="1" t="str">
        <f t="shared" si="443"/>
        <v>5169-</v>
      </c>
      <c r="B1116" s="1" t="str">
        <f t="shared" si="458"/>
        <v>5169-</v>
      </c>
      <c r="C1116" s="1" t="s">
        <v>8891</v>
      </c>
      <c r="D1116" s="1" t="s">
        <v>91</v>
      </c>
      <c r="E1116" s="1" t="s">
        <v>1738</v>
      </c>
      <c r="F1116" s="1" t="s">
        <v>22</v>
      </c>
      <c r="G1116" s="1" t="e">
        <f>VLOOKUP(C1116,'Master truck list'!E:R,14,0)</f>
        <v>#N/A</v>
      </c>
      <c r="H1116" t="str">
        <f t="shared" si="467"/>
        <v>12/21/2019 7:00:28 AM</v>
      </c>
      <c r="I1116" t="str">
        <f>""</f>
        <v/>
      </c>
      <c r="J1116" t="str">
        <f t="shared" si="453"/>
        <v>Elite</v>
      </c>
      <c r="K1116" t="str">
        <f t="shared" si="462"/>
        <v>Device</v>
      </c>
      <c r="L1116" t="str">
        <f t="shared" si="463"/>
        <v>777169730</v>
      </c>
      <c r="M1116" t="str">
        <f t="shared" si="464"/>
        <v>16428805</v>
      </c>
      <c r="N1116" t="str">
        <f t="shared" si="465"/>
        <v>5169-20</v>
      </c>
      <c r="O1116" t="str">
        <f t="shared" si="454"/>
        <v>TEXAS</v>
      </c>
      <c r="P1116" t="str">
        <f t="shared" si="455"/>
        <v>N A</v>
      </c>
      <c r="Q1116" t="str">
        <f t="shared" si="456"/>
        <v>N/A</v>
      </c>
      <c r="R1116" t="str">
        <f>"130 CMRNP 08 306"</f>
        <v>130 CMRNP 08 306</v>
      </c>
      <c r="S1116" t="str">
        <f>"12/20/2019 2:32:22 PM"</f>
        <v>12/20/2019 2:32:22 PM</v>
      </c>
      <c r="T1116" t="str">
        <f t="shared" si="466"/>
        <v>5</v>
      </c>
      <c r="U1116" t="str">
        <f t="shared" si="457"/>
        <v>N/A</v>
      </c>
      <c r="V1116" t="str">
        <f>"5.5500"</f>
        <v>5.5500</v>
      </c>
    </row>
    <row r="1117" spans="1:22" x14ac:dyDescent="0.25">
      <c r="A1117" s="1" t="str">
        <f t="shared" si="443"/>
        <v>5169-</v>
      </c>
      <c r="B1117" s="1" t="str">
        <f t="shared" si="458"/>
        <v>5169-</v>
      </c>
      <c r="C1117" s="1" t="s">
        <v>8891</v>
      </c>
      <c r="D1117" s="1" t="s">
        <v>91</v>
      </c>
      <c r="E1117" s="1" t="s">
        <v>1738</v>
      </c>
      <c r="F1117" s="1" t="s">
        <v>22</v>
      </c>
      <c r="G1117" s="1" t="e">
        <f>VLOOKUP(C1117,'Master truck list'!E:R,14,0)</f>
        <v>#N/A</v>
      </c>
      <c r="H1117" t="str">
        <f t="shared" si="467"/>
        <v>12/21/2019 7:00:28 AM</v>
      </c>
      <c r="I1117" t="str">
        <f>""</f>
        <v/>
      </c>
      <c r="J1117" t="str">
        <f t="shared" si="453"/>
        <v>Elite</v>
      </c>
      <c r="K1117" t="str">
        <f t="shared" si="462"/>
        <v>Device</v>
      </c>
      <c r="L1117" t="str">
        <f t="shared" si="463"/>
        <v>777169730</v>
      </c>
      <c r="M1117" t="str">
        <f t="shared" si="464"/>
        <v>16428805</v>
      </c>
      <c r="N1117" t="str">
        <f t="shared" si="465"/>
        <v>5169-20</v>
      </c>
      <c r="O1117" t="str">
        <f t="shared" si="454"/>
        <v>TEXAS</v>
      </c>
      <c r="P1117" t="str">
        <f t="shared" si="455"/>
        <v>N A</v>
      </c>
      <c r="Q1117" t="str">
        <f t="shared" si="456"/>
        <v>N/A</v>
      </c>
      <c r="R1117" t="str">
        <f>"45SE MLPWB 02 611"</f>
        <v>45SE MLPWB 02 611</v>
      </c>
      <c r="S1117" t="str">
        <f>"12/20/2019 3:00:24 PM"</f>
        <v>12/20/2019 3:00:24 PM</v>
      </c>
      <c r="T1117" t="str">
        <f t="shared" si="466"/>
        <v>5</v>
      </c>
      <c r="U1117" t="str">
        <f t="shared" si="457"/>
        <v>N/A</v>
      </c>
      <c r="V1117" t="str">
        <f>"3.3000"</f>
        <v>3.3000</v>
      </c>
    </row>
    <row r="1118" spans="1:22" x14ac:dyDescent="0.25">
      <c r="A1118" s="1" t="str">
        <f t="shared" si="443"/>
        <v>5169-</v>
      </c>
      <c r="B1118" s="1" t="str">
        <f t="shared" si="458"/>
        <v>5169-</v>
      </c>
      <c r="C1118" s="1" t="s">
        <v>8891</v>
      </c>
      <c r="D1118" s="1" t="s">
        <v>91</v>
      </c>
      <c r="E1118" s="1" t="s">
        <v>1738</v>
      </c>
      <c r="F1118" s="1" t="s">
        <v>22</v>
      </c>
      <c r="G1118" s="1" t="e">
        <f>VLOOKUP(C1118,'Master truck list'!E:R,14,0)</f>
        <v>#N/A</v>
      </c>
      <c r="H1118" t="str">
        <f t="shared" si="467"/>
        <v>12/21/2019 7:00:28 AM</v>
      </c>
      <c r="I1118" t="str">
        <f>""</f>
        <v/>
      </c>
      <c r="J1118" t="str">
        <f t="shared" si="453"/>
        <v>Elite</v>
      </c>
      <c r="K1118" t="str">
        <f t="shared" si="462"/>
        <v>Device</v>
      </c>
      <c r="L1118" t="str">
        <f t="shared" si="463"/>
        <v>777169730</v>
      </c>
      <c r="M1118" t="str">
        <f t="shared" si="464"/>
        <v>16428805</v>
      </c>
      <c r="N1118" t="str">
        <f t="shared" si="465"/>
        <v>5169-20</v>
      </c>
      <c r="O1118" t="str">
        <f t="shared" si="454"/>
        <v>TEXAS</v>
      </c>
      <c r="P1118" t="str">
        <f t="shared" si="455"/>
        <v>N A</v>
      </c>
      <c r="Q1118" t="str">
        <f t="shared" si="456"/>
        <v>N/A</v>
      </c>
      <c r="R1118" t="str">
        <f>"130 MGCRP 06 305"</f>
        <v>130 MGCRP 06 305</v>
      </c>
      <c r="S1118" t="str">
        <f>"12/20/2019 2:21:15 PM"</f>
        <v>12/20/2019 2:21:15 PM</v>
      </c>
      <c r="T1118" t="str">
        <f t="shared" si="466"/>
        <v>5</v>
      </c>
      <c r="U1118" t="str">
        <f t="shared" si="457"/>
        <v>N/A</v>
      </c>
      <c r="V1118" t="str">
        <f>"5.5500"</f>
        <v>5.5500</v>
      </c>
    </row>
    <row r="1119" spans="1:22" x14ac:dyDescent="0.25">
      <c r="A1119" s="1" t="str">
        <f t="shared" si="443"/>
        <v>5149-</v>
      </c>
      <c r="B1119" s="1" t="str">
        <f t="shared" si="458"/>
        <v>5149-</v>
      </c>
      <c r="C1119" s="1" t="s">
        <v>8887</v>
      </c>
      <c r="D1119" s="1" t="s">
        <v>91</v>
      </c>
      <c r="E1119" s="1" t="s">
        <v>1738</v>
      </c>
      <c r="F1119" s="1" t="s">
        <v>22</v>
      </c>
      <c r="G1119" s="1" t="e">
        <f>VLOOKUP(C1119,'Master truck list'!E:R,14,0)</f>
        <v>#N/A</v>
      </c>
      <c r="H1119" t="str">
        <f t="shared" si="467"/>
        <v>12/21/2019 7:00:28 AM</v>
      </c>
      <c r="I1119" t="str">
        <f>""</f>
        <v/>
      </c>
      <c r="J1119" t="str">
        <f t="shared" si="453"/>
        <v>Elite</v>
      </c>
      <c r="K1119" t="str">
        <f t="shared" si="462"/>
        <v>Device</v>
      </c>
      <c r="L1119" t="str">
        <f t="shared" ref="L1119:L1150" si="468">"777158879"</f>
        <v>777158879</v>
      </c>
      <c r="M1119" t="str">
        <f t="shared" ref="M1119:M1150" si="469">"16417954"</f>
        <v>16417954</v>
      </c>
      <c r="N1119" t="str">
        <f t="shared" ref="N1119:N1150" si="470">"5149-20"</f>
        <v>5149-20</v>
      </c>
      <c r="O1119" t="str">
        <f t="shared" si="454"/>
        <v>TEXAS</v>
      </c>
      <c r="P1119" t="str">
        <f t="shared" si="455"/>
        <v>N A</v>
      </c>
      <c r="Q1119" t="str">
        <f t="shared" si="456"/>
        <v>N/A</v>
      </c>
      <c r="R1119" t="str">
        <f>"130 MGCRP 06 305"</f>
        <v>130 MGCRP 06 305</v>
      </c>
      <c r="S1119" t="str">
        <f>"12/20/2019 9:07:48 AM"</f>
        <v>12/20/2019 9:07:48 AM</v>
      </c>
      <c r="T1119" t="str">
        <f t="shared" si="466"/>
        <v>5</v>
      </c>
      <c r="U1119" t="str">
        <f t="shared" si="457"/>
        <v>N/A</v>
      </c>
      <c r="V1119" t="str">
        <f>"5.5500"</f>
        <v>5.5500</v>
      </c>
    </row>
    <row r="1120" spans="1:22" x14ac:dyDescent="0.25">
      <c r="A1120" s="1" t="str">
        <f t="shared" si="443"/>
        <v>5149-</v>
      </c>
      <c r="B1120" s="1" t="str">
        <f t="shared" si="458"/>
        <v>5149-</v>
      </c>
      <c r="C1120" s="1" t="s">
        <v>8887</v>
      </c>
      <c r="D1120" s="1" t="s">
        <v>91</v>
      </c>
      <c r="E1120" s="1" t="s">
        <v>1738</v>
      </c>
      <c r="F1120" s="1" t="s">
        <v>22</v>
      </c>
      <c r="G1120" s="1" t="e">
        <f>VLOOKUP(C1120,'Master truck list'!E:R,14,0)</f>
        <v>#N/A</v>
      </c>
      <c r="H1120" t="str">
        <f t="shared" si="467"/>
        <v>12/21/2019 7:00:28 AM</v>
      </c>
      <c r="I1120" t="str">
        <f>""</f>
        <v/>
      </c>
      <c r="J1120" t="str">
        <f t="shared" si="453"/>
        <v>Elite</v>
      </c>
      <c r="K1120" t="str">
        <f t="shared" si="462"/>
        <v>Device</v>
      </c>
      <c r="L1120" t="str">
        <f t="shared" si="468"/>
        <v>777158879</v>
      </c>
      <c r="M1120" t="str">
        <f t="shared" si="469"/>
        <v>16417954</v>
      </c>
      <c r="N1120" t="str">
        <f t="shared" si="470"/>
        <v>5149-20</v>
      </c>
      <c r="O1120" t="str">
        <f t="shared" si="454"/>
        <v>TEXAS</v>
      </c>
      <c r="P1120" t="str">
        <f t="shared" si="455"/>
        <v>N A</v>
      </c>
      <c r="Q1120" t="str">
        <f t="shared" si="456"/>
        <v>N/A</v>
      </c>
      <c r="R1120" t="str">
        <f>"45SE MLPWB 01 611"</f>
        <v>45SE MLPWB 01 611</v>
      </c>
      <c r="S1120" t="str">
        <f>"12/20/2019 9:46:20 AM"</f>
        <v>12/20/2019 9:46:20 AM</v>
      </c>
      <c r="T1120" t="str">
        <f t="shared" si="466"/>
        <v>5</v>
      </c>
      <c r="U1120" t="str">
        <f t="shared" si="457"/>
        <v>N/A</v>
      </c>
      <c r="V1120" t="str">
        <f>"3.3000"</f>
        <v>3.3000</v>
      </c>
    </row>
    <row r="1121" spans="1:22" x14ac:dyDescent="0.25">
      <c r="A1121" s="1" t="str">
        <f t="shared" si="443"/>
        <v>5149-</v>
      </c>
      <c r="B1121" s="1" t="str">
        <f t="shared" si="458"/>
        <v>5149-</v>
      </c>
      <c r="C1121" s="1" t="s">
        <v>8887</v>
      </c>
      <c r="D1121" s="1" t="s">
        <v>91</v>
      </c>
      <c r="E1121" s="1" t="s">
        <v>1738</v>
      </c>
      <c r="F1121" s="1" t="s">
        <v>22</v>
      </c>
      <c r="G1121" s="1" t="e">
        <f>VLOOKUP(C1121,'Master truck list'!E:R,14,0)</f>
        <v>#N/A</v>
      </c>
      <c r="H1121" t="str">
        <f t="shared" si="467"/>
        <v>12/21/2019 7:00:28 AM</v>
      </c>
      <c r="I1121" t="str">
        <f>""</f>
        <v/>
      </c>
      <c r="J1121" t="str">
        <f t="shared" si="453"/>
        <v>Elite</v>
      </c>
      <c r="K1121" t="str">
        <f t="shared" si="462"/>
        <v>Device</v>
      </c>
      <c r="L1121" t="str">
        <f t="shared" si="468"/>
        <v>777158879</v>
      </c>
      <c r="M1121" t="str">
        <f t="shared" si="469"/>
        <v>16417954</v>
      </c>
      <c r="N1121" t="str">
        <f t="shared" si="470"/>
        <v>5149-20</v>
      </c>
      <c r="O1121" t="str">
        <f t="shared" si="454"/>
        <v>TEXAS</v>
      </c>
      <c r="P1121" t="str">
        <f t="shared" si="455"/>
        <v>N A</v>
      </c>
      <c r="Q1121" t="str">
        <f t="shared" si="456"/>
        <v>N/A</v>
      </c>
      <c r="R1121" t="str">
        <f>"130 CMRNP 08 306"</f>
        <v>130 CMRNP 08 306</v>
      </c>
      <c r="S1121" t="str">
        <f>"12/20/2019 9:18:47 AM"</f>
        <v>12/20/2019 9:18:47 AM</v>
      </c>
      <c r="T1121" t="str">
        <f t="shared" si="466"/>
        <v>5</v>
      </c>
      <c r="U1121" t="str">
        <f t="shared" si="457"/>
        <v>N/A</v>
      </c>
      <c r="V1121" t="str">
        <f>"5.5500"</f>
        <v>5.5500</v>
      </c>
    </row>
    <row r="1122" spans="1:22" x14ac:dyDescent="0.25">
      <c r="A1122" s="1" t="str">
        <f t="shared" si="443"/>
        <v>5149-</v>
      </c>
      <c r="B1122" s="1" t="str">
        <f t="shared" si="458"/>
        <v>5149-</v>
      </c>
      <c r="C1122" s="1" t="s">
        <v>8887</v>
      </c>
      <c r="D1122" s="1" t="s">
        <v>91</v>
      </c>
      <c r="E1122" s="1" t="s">
        <v>1738</v>
      </c>
      <c r="F1122" s="1" t="s">
        <v>22</v>
      </c>
      <c r="G1122" s="1" t="e">
        <f>VLOOKUP(C1122,'Master truck list'!E:R,14,0)</f>
        <v>#N/A</v>
      </c>
      <c r="H1122" t="str">
        <f t="shared" si="467"/>
        <v>12/21/2019 7:00:28 AM</v>
      </c>
      <c r="I1122" t="str">
        <f>""</f>
        <v/>
      </c>
      <c r="J1122" t="str">
        <f t="shared" si="453"/>
        <v>Elite</v>
      </c>
      <c r="K1122" t="str">
        <f t="shared" si="462"/>
        <v>Device</v>
      </c>
      <c r="L1122" t="str">
        <f t="shared" si="468"/>
        <v>777158879</v>
      </c>
      <c r="M1122" t="str">
        <f t="shared" si="469"/>
        <v>16417954</v>
      </c>
      <c r="N1122" t="str">
        <f t="shared" si="470"/>
        <v>5149-20</v>
      </c>
      <c r="O1122" t="str">
        <f t="shared" si="454"/>
        <v>TEXAS</v>
      </c>
      <c r="P1122" t="str">
        <f t="shared" si="455"/>
        <v>N A</v>
      </c>
      <c r="Q1122" t="str">
        <f t="shared" si="456"/>
        <v>N/A</v>
      </c>
      <c r="R1122" t="str">
        <f>"130 DKCRP 06 307"</f>
        <v>130 DKCRP 06 307</v>
      </c>
      <c r="S1122" t="str">
        <f>"12/20/2019 9:28:48 AM"</f>
        <v>12/20/2019 9:28:48 AM</v>
      </c>
      <c r="T1122" t="str">
        <f t="shared" si="466"/>
        <v>5</v>
      </c>
      <c r="U1122" t="str">
        <f t="shared" si="457"/>
        <v>N/A</v>
      </c>
      <c r="V1122" t="str">
        <f>"5.5500"</f>
        <v>5.5500</v>
      </c>
    </row>
    <row r="1123" spans="1:22" x14ac:dyDescent="0.25">
      <c r="A1123" s="1" t="str">
        <f t="shared" si="443"/>
        <v>5149-</v>
      </c>
      <c r="B1123" s="1" t="str">
        <f t="shared" si="458"/>
        <v>5149-</v>
      </c>
      <c r="C1123" s="1" t="s">
        <v>8887</v>
      </c>
      <c r="D1123" s="1" t="s">
        <v>91</v>
      </c>
      <c r="E1123" s="1" t="s">
        <v>1738</v>
      </c>
      <c r="F1123" s="1" t="s">
        <v>22</v>
      </c>
      <c r="G1123" s="1" t="e">
        <f>VLOOKUP(C1123,'Master truck list'!E:R,14,0)</f>
        <v>#N/A</v>
      </c>
      <c r="H1123" t="str">
        <f>"12/19/2019 7:00:35 AM"</f>
        <v>12/19/2019 7:00:35 AM</v>
      </c>
      <c r="I1123" t="str">
        <f>""</f>
        <v/>
      </c>
      <c r="J1123" t="str">
        <f t="shared" si="453"/>
        <v>Elite</v>
      </c>
      <c r="K1123" t="str">
        <f t="shared" si="462"/>
        <v>Device</v>
      </c>
      <c r="L1123" t="str">
        <f t="shared" si="468"/>
        <v>777158879</v>
      </c>
      <c r="M1123" t="str">
        <f t="shared" si="469"/>
        <v>16417954</v>
      </c>
      <c r="N1123" t="str">
        <f t="shared" si="470"/>
        <v>5149-20</v>
      </c>
      <c r="O1123" t="str">
        <f t="shared" si="454"/>
        <v>TEXAS</v>
      </c>
      <c r="P1123" t="str">
        <f t="shared" si="455"/>
        <v>N A</v>
      </c>
      <c r="Q1123" t="str">
        <f t="shared" si="456"/>
        <v>N/A</v>
      </c>
      <c r="R1123" t="str">
        <f>"130 CMRNP 08 306"</f>
        <v>130 CMRNP 08 306</v>
      </c>
      <c r="S1123" t="str">
        <f>"12/18/2019 1:29:14 PM"</f>
        <v>12/18/2019 1:29:14 PM</v>
      </c>
      <c r="T1123" t="str">
        <f t="shared" si="466"/>
        <v>5</v>
      </c>
      <c r="U1123" t="str">
        <f t="shared" si="457"/>
        <v>N/A</v>
      </c>
      <c r="V1123" t="str">
        <f>"5.5500"</f>
        <v>5.5500</v>
      </c>
    </row>
    <row r="1124" spans="1:22" x14ac:dyDescent="0.25">
      <c r="A1124" s="1" t="str">
        <f t="shared" si="443"/>
        <v>5149-</v>
      </c>
      <c r="B1124" s="1" t="str">
        <f t="shared" si="458"/>
        <v>5149-</v>
      </c>
      <c r="C1124" s="1" t="s">
        <v>8887</v>
      </c>
      <c r="D1124" s="1" t="s">
        <v>91</v>
      </c>
      <c r="E1124" s="1" t="s">
        <v>1738</v>
      </c>
      <c r="F1124" s="1" t="s">
        <v>22</v>
      </c>
      <c r="G1124" s="1" t="e">
        <f>VLOOKUP(C1124,'Master truck list'!E:R,14,0)</f>
        <v>#N/A</v>
      </c>
      <c r="H1124" t="str">
        <f>"12/19/2019 7:00:35 AM"</f>
        <v>12/19/2019 7:00:35 AM</v>
      </c>
      <c r="I1124" t="str">
        <f>""</f>
        <v/>
      </c>
      <c r="J1124" t="str">
        <f t="shared" si="453"/>
        <v>Elite</v>
      </c>
      <c r="K1124" t="str">
        <f t="shared" si="462"/>
        <v>Device</v>
      </c>
      <c r="L1124" t="str">
        <f t="shared" si="468"/>
        <v>777158879</v>
      </c>
      <c r="M1124" t="str">
        <f t="shared" si="469"/>
        <v>16417954</v>
      </c>
      <c r="N1124" t="str">
        <f t="shared" si="470"/>
        <v>5149-20</v>
      </c>
      <c r="O1124" t="str">
        <f t="shared" si="454"/>
        <v>TEXAS</v>
      </c>
      <c r="P1124" t="str">
        <f t="shared" si="455"/>
        <v>N A</v>
      </c>
      <c r="Q1124" t="str">
        <f t="shared" si="456"/>
        <v>N/A</v>
      </c>
      <c r="R1124" t="str">
        <f>"PGBW MLG12 08 MLG1"</f>
        <v>PGBW MLG12 08 MLG1</v>
      </c>
      <c r="S1124" t="str">
        <f>"12/18/2019 8:36:26 AM"</f>
        <v>12/18/2019 8:36:26 AM</v>
      </c>
      <c r="T1124" t="str">
        <f t="shared" si="466"/>
        <v>5</v>
      </c>
      <c r="U1124" t="str">
        <f t="shared" si="457"/>
        <v>N/A</v>
      </c>
      <c r="V1124" t="str">
        <f>"4.6400"</f>
        <v>4.6400</v>
      </c>
    </row>
    <row r="1125" spans="1:22" x14ac:dyDescent="0.25">
      <c r="A1125" s="1" t="str">
        <f t="shared" si="443"/>
        <v>5149-</v>
      </c>
      <c r="B1125" s="1" t="str">
        <f t="shared" si="458"/>
        <v>5149-</v>
      </c>
      <c r="C1125" s="1" t="s">
        <v>8887</v>
      </c>
      <c r="D1125" s="1" t="s">
        <v>91</v>
      </c>
      <c r="E1125" s="1" t="s">
        <v>1738</v>
      </c>
      <c r="F1125" s="1" t="s">
        <v>22</v>
      </c>
      <c r="G1125" s="1" t="e">
        <f>VLOOKUP(C1125,'Master truck list'!E:R,14,0)</f>
        <v>#N/A</v>
      </c>
      <c r="H1125" t="str">
        <f>"12/19/2019 7:00:35 AM"</f>
        <v>12/19/2019 7:00:35 AM</v>
      </c>
      <c r="I1125" t="str">
        <f>""</f>
        <v/>
      </c>
      <c r="J1125" t="str">
        <f t="shared" si="453"/>
        <v>Elite</v>
      </c>
      <c r="K1125" t="str">
        <f t="shared" si="462"/>
        <v>Device</v>
      </c>
      <c r="L1125" t="str">
        <f t="shared" si="468"/>
        <v>777158879</v>
      </c>
      <c r="M1125" t="str">
        <f t="shared" si="469"/>
        <v>16417954</v>
      </c>
      <c r="N1125" t="str">
        <f t="shared" si="470"/>
        <v>5149-20</v>
      </c>
      <c r="O1125" t="str">
        <f t="shared" si="454"/>
        <v>TEXAS</v>
      </c>
      <c r="P1125" t="str">
        <f t="shared" si="455"/>
        <v>N A</v>
      </c>
      <c r="Q1125" t="str">
        <f t="shared" si="456"/>
        <v>N/A</v>
      </c>
      <c r="R1125" t="str">
        <f>"130 ARPTP 04 308"</f>
        <v>130 ARPTP 04 308</v>
      </c>
      <c r="S1125" t="str">
        <f>"12/18/2019 1:46:14 PM"</f>
        <v>12/18/2019 1:46:14 PM</v>
      </c>
      <c r="T1125" t="str">
        <f t="shared" si="466"/>
        <v>5</v>
      </c>
      <c r="U1125" t="str">
        <f t="shared" si="457"/>
        <v>N/A</v>
      </c>
      <c r="V1125" t="str">
        <f>"5.5500"</f>
        <v>5.5500</v>
      </c>
    </row>
    <row r="1126" spans="1:22" x14ac:dyDescent="0.25">
      <c r="A1126" s="1" t="str">
        <f t="shared" si="443"/>
        <v>5149-</v>
      </c>
      <c r="B1126" s="1" t="str">
        <f t="shared" si="458"/>
        <v>5149-</v>
      </c>
      <c r="C1126" s="1" t="s">
        <v>8887</v>
      </c>
      <c r="D1126" s="1" t="s">
        <v>91</v>
      </c>
      <c r="E1126" s="1" t="s">
        <v>1738</v>
      </c>
      <c r="F1126" s="1" t="s">
        <v>22</v>
      </c>
      <c r="G1126" s="1" t="e">
        <f>VLOOKUP(C1126,'Master truck list'!E:R,14,0)</f>
        <v>#N/A</v>
      </c>
      <c r="H1126" t="str">
        <f t="shared" ref="H1126:H1132" si="471">"12/18/2019 7:00:28 AM"</f>
        <v>12/18/2019 7:00:28 AM</v>
      </c>
      <c r="I1126" t="str">
        <f>""</f>
        <v/>
      </c>
      <c r="J1126" t="str">
        <f t="shared" si="453"/>
        <v>Elite</v>
      </c>
      <c r="K1126" t="str">
        <f t="shared" si="462"/>
        <v>Device</v>
      </c>
      <c r="L1126" t="str">
        <f t="shared" si="468"/>
        <v>777158879</v>
      </c>
      <c r="M1126" t="str">
        <f t="shared" si="469"/>
        <v>16417954</v>
      </c>
      <c r="N1126" t="str">
        <f t="shared" si="470"/>
        <v>5149-20</v>
      </c>
      <c r="O1126" t="str">
        <f t="shared" si="454"/>
        <v>TEXAS</v>
      </c>
      <c r="P1126" t="str">
        <f t="shared" si="455"/>
        <v>N A</v>
      </c>
      <c r="Q1126" t="str">
        <f t="shared" si="456"/>
        <v>N/A</v>
      </c>
      <c r="R1126" t="str">
        <f>"130 ARPTP 09 308"</f>
        <v>130 ARPTP 09 308</v>
      </c>
      <c r="S1126" t="str">
        <f>"12/17/2019 6:46:22 PM"</f>
        <v>12/17/2019 6:46:22 PM</v>
      </c>
      <c r="T1126" t="str">
        <f t="shared" si="466"/>
        <v>5</v>
      </c>
      <c r="U1126" t="str">
        <f t="shared" si="457"/>
        <v>N/A</v>
      </c>
      <c r="V1126" t="str">
        <f>"5.5500"</f>
        <v>5.5500</v>
      </c>
    </row>
    <row r="1127" spans="1:22" x14ac:dyDescent="0.25">
      <c r="A1127" s="1" t="str">
        <f t="shared" si="443"/>
        <v>5149-</v>
      </c>
      <c r="B1127" s="1" t="str">
        <f t="shared" si="458"/>
        <v>5149-</v>
      </c>
      <c r="C1127" s="1" t="s">
        <v>8887</v>
      </c>
      <c r="D1127" s="1" t="s">
        <v>91</v>
      </c>
      <c r="E1127" s="1" t="s">
        <v>1738</v>
      </c>
      <c r="F1127" s="1" t="s">
        <v>22</v>
      </c>
      <c r="G1127" s="1" t="e">
        <f>VLOOKUP(C1127,'Master truck list'!E:R,14,0)</f>
        <v>#N/A</v>
      </c>
      <c r="H1127" t="str">
        <f t="shared" si="471"/>
        <v>12/18/2019 7:00:28 AM</v>
      </c>
      <c r="I1127" t="str">
        <f>""</f>
        <v/>
      </c>
      <c r="J1127" t="str">
        <f t="shared" si="453"/>
        <v>Elite</v>
      </c>
      <c r="K1127" t="str">
        <f t="shared" si="462"/>
        <v>Device</v>
      </c>
      <c r="L1127" t="str">
        <f t="shared" si="468"/>
        <v>777158879</v>
      </c>
      <c r="M1127" t="str">
        <f t="shared" si="469"/>
        <v>16417954</v>
      </c>
      <c r="N1127" t="str">
        <f t="shared" si="470"/>
        <v>5149-20</v>
      </c>
      <c r="O1127" t="str">
        <f t="shared" si="454"/>
        <v>TEXAS</v>
      </c>
      <c r="P1127" t="str">
        <f t="shared" si="455"/>
        <v>N A</v>
      </c>
      <c r="Q1127" t="str">
        <f t="shared" si="456"/>
        <v>N/A</v>
      </c>
      <c r="R1127" t="str">
        <f>"130 CMRNP 08 306"</f>
        <v>130 CMRNP 08 306</v>
      </c>
      <c r="S1127" t="str">
        <f>"12/17/2019 9:37:48 AM"</f>
        <v>12/17/2019 9:37:48 AM</v>
      </c>
      <c r="T1127" t="str">
        <f t="shared" si="466"/>
        <v>5</v>
      </c>
      <c r="U1127" t="str">
        <f t="shared" si="457"/>
        <v>N/A</v>
      </c>
      <c r="V1127" t="str">
        <f>"5.5500"</f>
        <v>5.5500</v>
      </c>
    </row>
    <row r="1128" spans="1:22" x14ac:dyDescent="0.25">
      <c r="A1128" s="1" t="str">
        <f t="shared" si="443"/>
        <v>5149-</v>
      </c>
      <c r="B1128" s="1" t="str">
        <f t="shared" si="458"/>
        <v>5149-</v>
      </c>
      <c r="C1128" s="1" t="s">
        <v>8887</v>
      </c>
      <c r="D1128" s="1" t="s">
        <v>91</v>
      </c>
      <c r="E1128" s="1" t="s">
        <v>1738</v>
      </c>
      <c r="F1128" s="1" t="s">
        <v>22</v>
      </c>
      <c r="G1128" s="1" t="e">
        <f>VLOOKUP(C1128,'Master truck list'!E:R,14,0)</f>
        <v>#N/A</v>
      </c>
      <c r="H1128" t="str">
        <f t="shared" si="471"/>
        <v>12/18/2019 7:00:28 AM</v>
      </c>
      <c r="I1128" t="str">
        <f>""</f>
        <v/>
      </c>
      <c r="J1128" t="str">
        <f t="shared" si="453"/>
        <v>Elite</v>
      </c>
      <c r="K1128" t="str">
        <f t="shared" si="462"/>
        <v>Device</v>
      </c>
      <c r="L1128" t="str">
        <f t="shared" si="468"/>
        <v>777158879</v>
      </c>
      <c r="M1128" t="str">
        <f t="shared" si="469"/>
        <v>16417954</v>
      </c>
      <c r="N1128" t="str">
        <f t="shared" si="470"/>
        <v>5149-20</v>
      </c>
      <c r="O1128" t="str">
        <f t="shared" si="454"/>
        <v>TEXAS</v>
      </c>
      <c r="P1128" t="str">
        <f t="shared" si="455"/>
        <v>N A</v>
      </c>
      <c r="Q1128" t="str">
        <f t="shared" si="456"/>
        <v>N/A</v>
      </c>
      <c r="R1128" t="str">
        <f>"130 MGCRP 11 305"</f>
        <v>130 MGCRP 11 305</v>
      </c>
      <c r="S1128" t="str">
        <f>"12/17/2019 7:14:28 PM"</f>
        <v>12/17/2019 7:14:28 PM</v>
      </c>
      <c r="T1128" t="str">
        <f t="shared" si="466"/>
        <v>5</v>
      </c>
      <c r="U1128" t="str">
        <f t="shared" si="457"/>
        <v>N/A</v>
      </c>
      <c r="V1128" t="str">
        <f>"5.5500"</f>
        <v>5.5500</v>
      </c>
    </row>
    <row r="1129" spans="1:22" x14ac:dyDescent="0.25">
      <c r="A1129" s="1" t="str">
        <f t="shared" si="443"/>
        <v>5149-</v>
      </c>
      <c r="B1129" s="1" t="str">
        <f t="shared" si="458"/>
        <v>5149-</v>
      </c>
      <c r="C1129" s="1" t="s">
        <v>8887</v>
      </c>
      <c r="D1129" s="1" t="s">
        <v>91</v>
      </c>
      <c r="E1129" s="1" t="s">
        <v>1738</v>
      </c>
      <c r="F1129" s="1" t="s">
        <v>22</v>
      </c>
      <c r="G1129" s="1" t="e">
        <f>VLOOKUP(C1129,'Master truck list'!E:R,14,0)</f>
        <v>#N/A</v>
      </c>
      <c r="H1129" t="str">
        <f t="shared" si="471"/>
        <v>12/18/2019 7:00:28 AM</v>
      </c>
      <c r="I1129" t="str">
        <f>""</f>
        <v/>
      </c>
      <c r="J1129" t="str">
        <f t="shared" si="453"/>
        <v>Elite</v>
      </c>
      <c r="K1129" t="str">
        <f t="shared" si="462"/>
        <v>Device</v>
      </c>
      <c r="L1129" t="str">
        <f t="shared" si="468"/>
        <v>777158879</v>
      </c>
      <c r="M1129" t="str">
        <f t="shared" si="469"/>
        <v>16417954</v>
      </c>
      <c r="N1129" t="str">
        <f t="shared" si="470"/>
        <v>5149-20</v>
      </c>
      <c r="O1129" t="str">
        <f t="shared" si="454"/>
        <v>TEXAS</v>
      </c>
      <c r="P1129" t="str">
        <f t="shared" si="455"/>
        <v>N A</v>
      </c>
      <c r="Q1129" t="str">
        <f t="shared" si="456"/>
        <v>N/A</v>
      </c>
      <c r="R1129" t="str">
        <f>"45SE MLPWB 01 611"</f>
        <v>45SE MLPWB 01 611</v>
      </c>
      <c r="S1129" t="str">
        <f>"12/17/2019 10:05:18 AM"</f>
        <v>12/17/2019 10:05:18 AM</v>
      </c>
      <c r="T1129" t="str">
        <f t="shared" si="466"/>
        <v>5</v>
      </c>
      <c r="U1129" t="str">
        <f t="shared" si="457"/>
        <v>N/A</v>
      </c>
      <c r="V1129" t="str">
        <f>"3.3000"</f>
        <v>3.3000</v>
      </c>
    </row>
    <row r="1130" spans="1:22" x14ac:dyDescent="0.25">
      <c r="A1130" s="1" t="str">
        <f t="shared" si="443"/>
        <v>5149-</v>
      </c>
      <c r="B1130" s="1" t="str">
        <f t="shared" si="458"/>
        <v>5149-</v>
      </c>
      <c r="C1130" s="1" t="s">
        <v>8887</v>
      </c>
      <c r="D1130" s="1" t="s">
        <v>91</v>
      </c>
      <c r="E1130" s="1" t="s">
        <v>1738</v>
      </c>
      <c r="F1130" s="1" t="s">
        <v>22</v>
      </c>
      <c r="G1130" s="1" t="e">
        <f>VLOOKUP(C1130,'Master truck list'!E:R,14,0)</f>
        <v>#N/A</v>
      </c>
      <c r="H1130" t="str">
        <f t="shared" si="471"/>
        <v>12/18/2019 7:00:28 AM</v>
      </c>
      <c r="I1130" t="str">
        <f>""</f>
        <v/>
      </c>
      <c r="J1130" t="str">
        <f t="shared" si="453"/>
        <v>Elite</v>
      </c>
      <c r="K1130" t="str">
        <f t="shared" si="462"/>
        <v>Device</v>
      </c>
      <c r="L1130" t="str">
        <f t="shared" si="468"/>
        <v>777158879</v>
      </c>
      <c r="M1130" t="str">
        <f t="shared" si="469"/>
        <v>16417954</v>
      </c>
      <c r="N1130" t="str">
        <f t="shared" si="470"/>
        <v>5149-20</v>
      </c>
      <c r="O1130" t="str">
        <f t="shared" si="454"/>
        <v>TEXAS</v>
      </c>
      <c r="P1130" t="str">
        <f t="shared" si="455"/>
        <v>N A</v>
      </c>
      <c r="Q1130" t="str">
        <f t="shared" si="456"/>
        <v>N/A</v>
      </c>
      <c r="R1130" t="str">
        <f>"130 MGCRP 06 305"</f>
        <v>130 MGCRP 06 305</v>
      </c>
      <c r="S1130" t="str">
        <f>"12/17/2019 9:26:48 AM"</f>
        <v>12/17/2019 9:26:48 AM</v>
      </c>
      <c r="T1130" t="str">
        <f t="shared" si="466"/>
        <v>5</v>
      </c>
      <c r="U1130" t="str">
        <f t="shared" si="457"/>
        <v>N/A</v>
      </c>
      <c r="V1130" t="str">
        <f>"5.5500"</f>
        <v>5.5500</v>
      </c>
    </row>
    <row r="1131" spans="1:22" x14ac:dyDescent="0.25">
      <c r="A1131" s="1" t="str">
        <f t="shared" si="443"/>
        <v>5149-</v>
      </c>
      <c r="B1131" s="1" t="str">
        <f t="shared" si="458"/>
        <v>5149-</v>
      </c>
      <c r="C1131" s="1" t="s">
        <v>8887</v>
      </c>
      <c r="D1131" s="1" t="s">
        <v>91</v>
      </c>
      <c r="E1131" s="1" t="s">
        <v>1738</v>
      </c>
      <c r="F1131" s="1" t="s">
        <v>22</v>
      </c>
      <c r="G1131" s="1" t="e">
        <f>VLOOKUP(C1131,'Master truck list'!E:R,14,0)</f>
        <v>#N/A</v>
      </c>
      <c r="H1131" t="str">
        <f t="shared" si="471"/>
        <v>12/18/2019 7:00:28 AM</v>
      </c>
      <c r="I1131" t="str">
        <f>""</f>
        <v/>
      </c>
      <c r="J1131" t="str">
        <f t="shared" si="453"/>
        <v>Elite</v>
      </c>
      <c r="K1131" t="str">
        <f t="shared" si="462"/>
        <v>Device</v>
      </c>
      <c r="L1131" t="str">
        <f t="shared" si="468"/>
        <v>777158879</v>
      </c>
      <c r="M1131" t="str">
        <f t="shared" si="469"/>
        <v>16417954</v>
      </c>
      <c r="N1131" t="str">
        <f t="shared" si="470"/>
        <v>5149-20</v>
      </c>
      <c r="O1131" t="str">
        <f t="shared" si="454"/>
        <v>TEXAS</v>
      </c>
      <c r="P1131" t="str">
        <f t="shared" si="455"/>
        <v>N A</v>
      </c>
      <c r="Q1131" t="str">
        <f t="shared" si="456"/>
        <v>N/A</v>
      </c>
      <c r="R1131" t="str">
        <f>"45SE MLPEB 02 611"</f>
        <v>45SE MLPEB 02 611</v>
      </c>
      <c r="S1131" t="str">
        <f>"12/17/2019 6:35:48 PM"</f>
        <v>12/17/2019 6:35:48 PM</v>
      </c>
      <c r="T1131" t="str">
        <f t="shared" si="466"/>
        <v>5</v>
      </c>
      <c r="U1131" t="str">
        <f t="shared" si="457"/>
        <v>N/A</v>
      </c>
      <c r="V1131" t="str">
        <f>"3.3000"</f>
        <v>3.3000</v>
      </c>
    </row>
    <row r="1132" spans="1:22" x14ac:dyDescent="0.25">
      <c r="A1132" s="1" t="str">
        <f t="shared" si="443"/>
        <v>5149-</v>
      </c>
      <c r="B1132" s="1" t="str">
        <f t="shared" si="458"/>
        <v>5149-</v>
      </c>
      <c r="C1132" s="1" t="s">
        <v>8887</v>
      </c>
      <c r="D1132" s="1" t="s">
        <v>91</v>
      </c>
      <c r="E1132" s="1" t="s">
        <v>1738</v>
      </c>
      <c r="F1132" s="1" t="s">
        <v>22</v>
      </c>
      <c r="G1132" s="1" t="e">
        <f>VLOOKUP(C1132,'Master truck list'!E:R,14,0)</f>
        <v>#N/A</v>
      </c>
      <c r="H1132" t="str">
        <f t="shared" si="471"/>
        <v>12/18/2019 7:00:28 AM</v>
      </c>
      <c r="I1132" t="str">
        <f>""</f>
        <v/>
      </c>
      <c r="J1132" t="str">
        <f t="shared" si="453"/>
        <v>Elite</v>
      </c>
      <c r="K1132" t="str">
        <f t="shared" si="462"/>
        <v>Device</v>
      </c>
      <c r="L1132" t="str">
        <f t="shared" si="468"/>
        <v>777158879</v>
      </c>
      <c r="M1132" t="str">
        <f t="shared" si="469"/>
        <v>16417954</v>
      </c>
      <c r="N1132" t="str">
        <f t="shared" si="470"/>
        <v>5149-20</v>
      </c>
      <c r="O1132" t="str">
        <f t="shared" si="454"/>
        <v>TEXAS</v>
      </c>
      <c r="P1132" t="str">
        <f t="shared" si="455"/>
        <v>N A</v>
      </c>
      <c r="Q1132" t="str">
        <f t="shared" si="456"/>
        <v>N/A</v>
      </c>
      <c r="R1132" t="str">
        <f>"130 DKCRP 06 307"</f>
        <v>130 DKCRP 06 307</v>
      </c>
      <c r="S1132" t="str">
        <f>"12/17/2019 9:47:47 AM"</f>
        <v>12/17/2019 9:47:47 AM</v>
      </c>
      <c r="T1132" t="str">
        <f t="shared" si="466"/>
        <v>5</v>
      </c>
      <c r="U1132" t="str">
        <f t="shared" si="457"/>
        <v>N/A</v>
      </c>
      <c r="V1132" t="str">
        <f>"5.5500"</f>
        <v>5.5500</v>
      </c>
    </row>
    <row r="1133" spans="1:22" x14ac:dyDescent="0.25">
      <c r="A1133" s="1" t="str">
        <f t="shared" si="443"/>
        <v>5149-</v>
      </c>
      <c r="B1133" s="1" t="str">
        <f t="shared" si="458"/>
        <v>5149-</v>
      </c>
      <c r="C1133" s="1" t="s">
        <v>8887</v>
      </c>
      <c r="D1133" s="1" t="s">
        <v>91</v>
      </c>
      <c r="E1133" s="1" t="s">
        <v>1738</v>
      </c>
      <c r="F1133" s="1" t="s">
        <v>22</v>
      </c>
      <c r="G1133" s="1" t="e">
        <f>VLOOKUP(C1133,'Master truck list'!E:R,14,0)</f>
        <v>#N/A</v>
      </c>
      <c r="H1133" t="str">
        <f>"12/17/2019 7:00:33 AM"</f>
        <v>12/17/2019 7:00:33 AM</v>
      </c>
      <c r="I1133" t="str">
        <f>""</f>
        <v/>
      </c>
      <c r="J1133" t="str">
        <f t="shared" si="453"/>
        <v>Elite</v>
      </c>
      <c r="K1133" t="str">
        <f t="shared" si="462"/>
        <v>Device</v>
      </c>
      <c r="L1133" t="str">
        <f t="shared" si="468"/>
        <v>777158879</v>
      </c>
      <c r="M1133" t="str">
        <f t="shared" si="469"/>
        <v>16417954</v>
      </c>
      <c r="N1133" t="str">
        <f t="shared" si="470"/>
        <v>5149-20</v>
      </c>
      <c r="O1133" t="str">
        <f t="shared" si="454"/>
        <v>TEXAS</v>
      </c>
      <c r="P1133" t="str">
        <f t="shared" si="455"/>
        <v>N A</v>
      </c>
      <c r="Q1133" t="str">
        <f t="shared" si="456"/>
        <v>N/A</v>
      </c>
      <c r="R1133" t="str">
        <f>"45SE MLPEB 02 611"</f>
        <v>45SE MLPEB 02 611</v>
      </c>
      <c r="S1133" t="str">
        <f>"12/16/2019 2:44:20 PM"</f>
        <v>12/16/2019 2:44:20 PM</v>
      </c>
      <c r="T1133" t="str">
        <f t="shared" si="466"/>
        <v>5</v>
      </c>
      <c r="U1133" t="str">
        <f t="shared" si="457"/>
        <v>N/A</v>
      </c>
      <c r="V1133" t="str">
        <f>"3.3000"</f>
        <v>3.3000</v>
      </c>
    </row>
    <row r="1134" spans="1:22" x14ac:dyDescent="0.25">
      <c r="A1134" s="1" t="str">
        <f t="shared" ref="A1134:A1197" si="472">LEFT(N1134,5)</f>
        <v>5149-</v>
      </c>
      <c r="B1134" s="1" t="str">
        <f t="shared" si="458"/>
        <v>5149-</v>
      </c>
      <c r="C1134" s="1" t="s">
        <v>8887</v>
      </c>
      <c r="D1134" s="1" t="s">
        <v>91</v>
      </c>
      <c r="E1134" s="1" t="s">
        <v>1738</v>
      </c>
      <c r="F1134" s="1" t="s">
        <v>22</v>
      </c>
      <c r="G1134" s="1" t="e">
        <f>VLOOKUP(C1134,'Master truck list'!E:R,14,0)</f>
        <v>#N/A</v>
      </c>
      <c r="H1134" t="str">
        <f>"12/17/2019 7:00:33 AM"</f>
        <v>12/17/2019 7:00:33 AM</v>
      </c>
      <c r="I1134" t="str">
        <f>""</f>
        <v/>
      </c>
      <c r="J1134" t="str">
        <f t="shared" si="453"/>
        <v>Elite</v>
      </c>
      <c r="K1134" t="str">
        <f t="shared" si="462"/>
        <v>Device</v>
      </c>
      <c r="L1134" t="str">
        <f t="shared" si="468"/>
        <v>777158879</v>
      </c>
      <c r="M1134" t="str">
        <f t="shared" si="469"/>
        <v>16417954</v>
      </c>
      <c r="N1134" t="str">
        <f t="shared" si="470"/>
        <v>5149-20</v>
      </c>
      <c r="O1134" t="str">
        <f t="shared" si="454"/>
        <v>TEXAS</v>
      </c>
      <c r="P1134" t="str">
        <f t="shared" si="455"/>
        <v>N A</v>
      </c>
      <c r="Q1134" t="str">
        <f t="shared" si="456"/>
        <v>N/A</v>
      </c>
      <c r="R1134" t="str">
        <f>"130 MGCRP 11 305"</f>
        <v>130 MGCRP 11 305</v>
      </c>
      <c r="S1134" t="str">
        <f>"12/16/2019 3:22:56 PM"</f>
        <v>12/16/2019 3:22:56 PM</v>
      </c>
      <c r="T1134" t="str">
        <f t="shared" si="466"/>
        <v>5</v>
      </c>
      <c r="U1134" t="str">
        <f t="shared" si="457"/>
        <v>N/A</v>
      </c>
      <c r="V1134" t="str">
        <f t="shared" ref="V1134:V1139" si="473">"5.5500"</f>
        <v>5.5500</v>
      </c>
    </row>
    <row r="1135" spans="1:22" x14ac:dyDescent="0.25">
      <c r="A1135" s="1" t="str">
        <f t="shared" si="472"/>
        <v>5149-</v>
      </c>
      <c r="B1135" s="1" t="str">
        <f t="shared" si="458"/>
        <v>5149-</v>
      </c>
      <c r="C1135" s="1" t="s">
        <v>8887</v>
      </c>
      <c r="D1135" s="1" t="s">
        <v>91</v>
      </c>
      <c r="E1135" s="1" t="s">
        <v>1738</v>
      </c>
      <c r="F1135" s="1" t="s">
        <v>22</v>
      </c>
      <c r="G1135" s="1" t="e">
        <f>VLOOKUP(C1135,'Master truck list'!E:R,14,0)</f>
        <v>#N/A</v>
      </c>
      <c r="H1135" t="str">
        <f>"12/17/2019 7:00:33 AM"</f>
        <v>12/17/2019 7:00:33 AM</v>
      </c>
      <c r="I1135" t="str">
        <f>""</f>
        <v/>
      </c>
      <c r="J1135" t="str">
        <f t="shared" si="453"/>
        <v>Elite</v>
      </c>
      <c r="K1135" t="str">
        <f t="shared" si="462"/>
        <v>Device</v>
      </c>
      <c r="L1135" t="str">
        <f t="shared" si="468"/>
        <v>777158879</v>
      </c>
      <c r="M1135" t="str">
        <f t="shared" si="469"/>
        <v>16417954</v>
      </c>
      <c r="N1135" t="str">
        <f t="shared" si="470"/>
        <v>5149-20</v>
      </c>
      <c r="O1135" t="str">
        <f t="shared" si="454"/>
        <v>TEXAS</v>
      </c>
      <c r="P1135" t="str">
        <f t="shared" si="455"/>
        <v>N A</v>
      </c>
      <c r="Q1135" t="str">
        <f t="shared" si="456"/>
        <v>N/A</v>
      </c>
      <c r="R1135" t="str">
        <f>"130 ARPTP 09 308"</f>
        <v>130 ARPTP 09 308</v>
      </c>
      <c r="S1135" t="str">
        <f>"12/16/2019 2:54:55 PM"</f>
        <v>12/16/2019 2:54:55 PM</v>
      </c>
      <c r="T1135" t="str">
        <f t="shared" si="466"/>
        <v>5</v>
      </c>
      <c r="U1135" t="str">
        <f t="shared" si="457"/>
        <v>N/A</v>
      </c>
      <c r="V1135" t="str">
        <f t="shared" si="473"/>
        <v>5.5500</v>
      </c>
    </row>
    <row r="1136" spans="1:22" x14ac:dyDescent="0.25">
      <c r="A1136" s="1" t="str">
        <f t="shared" si="472"/>
        <v>5149-</v>
      </c>
      <c r="B1136" s="1" t="str">
        <f t="shared" si="458"/>
        <v>5149-</v>
      </c>
      <c r="C1136" s="1" t="s">
        <v>8887</v>
      </c>
      <c r="D1136" s="1" t="s">
        <v>91</v>
      </c>
      <c r="E1136" s="1" t="s">
        <v>1738</v>
      </c>
      <c r="F1136" s="1" t="s">
        <v>22</v>
      </c>
      <c r="G1136" s="1" t="e">
        <f>VLOOKUP(C1136,'Master truck list'!E:R,14,0)</f>
        <v>#N/A</v>
      </c>
      <c r="H1136" t="str">
        <f>"12/17/2019 7:00:33 AM"</f>
        <v>12/17/2019 7:00:33 AM</v>
      </c>
      <c r="I1136" t="str">
        <f>""</f>
        <v/>
      </c>
      <c r="J1136" t="str">
        <f t="shared" si="453"/>
        <v>Elite</v>
      </c>
      <c r="K1136" t="str">
        <f t="shared" si="462"/>
        <v>Device</v>
      </c>
      <c r="L1136" t="str">
        <f t="shared" si="468"/>
        <v>777158879</v>
      </c>
      <c r="M1136" t="str">
        <f t="shared" si="469"/>
        <v>16417954</v>
      </c>
      <c r="N1136" t="str">
        <f t="shared" si="470"/>
        <v>5149-20</v>
      </c>
      <c r="O1136" t="str">
        <f t="shared" si="454"/>
        <v>TEXAS</v>
      </c>
      <c r="P1136" t="str">
        <f t="shared" si="455"/>
        <v>N A</v>
      </c>
      <c r="Q1136" t="str">
        <f t="shared" si="456"/>
        <v>N/A</v>
      </c>
      <c r="R1136" t="str">
        <f>"130 CMRNP 13 306"</f>
        <v>130 CMRNP 13 306</v>
      </c>
      <c r="S1136" t="str">
        <f>"12/16/2019 3:11:55 PM"</f>
        <v>12/16/2019 3:11:55 PM</v>
      </c>
      <c r="T1136" t="str">
        <f t="shared" si="466"/>
        <v>5</v>
      </c>
      <c r="U1136" t="str">
        <f t="shared" si="457"/>
        <v>N/A</v>
      </c>
      <c r="V1136" t="str">
        <f t="shared" si="473"/>
        <v>5.5500</v>
      </c>
    </row>
    <row r="1137" spans="1:22" x14ac:dyDescent="0.25">
      <c r="A1137" s="1" t="str">
        <f t="shared" si="472"/>
        <v>5149-</v>
      </c>
      <c r="B1137" s="1" t="str">
        <f t="shared" si="458"/>
        <v>5149-</v>
      </c>
      <c r="C1137" s="1" t="s">
        <v>8887</v>
      </c>
      <c r="D1137" s="1" t="s">
        <v>91</v>
      </c>
      <c r="E1137" s="1" t="s">
        <v>1738</v>
      </c>
      <c r="F1137" s="1" t="s">
        <v>22</v>
      </c>
      <c r="G1137" s="1" t="e">
        <f>VLOOKUP(C1137,'Master truck list'!E:R,14,0)</f>
        <v>#N/A</v>
      </c>
      <c r="H1137" t="str">
        <f>"12/17/2019 7:00:33 AM"</f>
        <v>12/17/2019 7:00:33 AM</v>
      </c>
      <c r="I1137" t="str">
        <f>""</f>
        <v/>
      </c>
      <c r="J1137" t="str">
        <f t="shared" si="453"/>
        <v>Elite</v>
      </c>
      <c r="K1137" t="str">
        <f t="shared" si="462"/>
        <v>Device</v>
      </c>
      <c r="L1137" t="str">
        <f t="shared" si="468"/>
        <v>777158879</v>
      </c>
      <c r="M1137" t="str">
        <f t="shared" si="469"/>
        <v>16417954</v>
      </c>
      <c r="N1137" t="str">
        <f t="shared" si="470"/>
        <v>5149-20</v>
      </c>
      <c r="O1137" t="str">
        <f t="shared" si="454"/>
        <v>TEXAS</v>
      </c>
      <c r="P1137" t="str">
        <f t="shared" si="455"/>
        <v>N A</v>
      </c>
      <c r="Q1137" t="str">
        <f t="shared" si="456"/>
        <v>N/A</v>
      </c>
      <c r="R1137" t="str">
        <f>"130 DKCRP 11 307"</f>
        <v>130 DKCRP 11 307</v>
      </c>
      <c r="S1137" t="str">
        <f>"12/16/2019 3:01:51 PM"</f>
        <v>12/16/2019 3:01:51 PM</v>
      </c>
      <c r="T1137" t="str">
        <f t="shared" si="466"/>
        <v>5</v>
      </c>
      <c r="U1137" t="str">
        <f t="shared" si="457"/>
        <v>N/A</v>
      </c>
      <c r="V1137" t="str">
        <f t="shared" si="473"/>
        <v>5.5500</v>
      </c>
    </row>
    <row r="1138" spans="1:22" x14ac:dyDescent="0.25">
      <c r="A1138" s="1" t="str">
        <f t="shared" si="472"/>
        <v>5149-</v>
      </c>
      <c r="B1138" s="1" t="str">
        <f t="shared" si="458"/>
        <v>5149-</v>
      </c>
      <c r="C1138" s="1" t="s">
        <v>8887</v>
      </c>
      <c r="D1138" s="1" t="s">
        <v>91</v>
      </c>
      <c r="E1138" s="1" t="s">
        <v>1738</v>
      </c>
      <c r="F1138" s="1" t="s">
        <v>22</v>
      </c>
      <c r="G1138" s="1" t="e">
        <f>VLOOKUP(C1138,'Master truck list'!E:R,14,0)</f>
        <v>#N/A</v>
      </c>
      <c r="H1138" t="str">
        <f>"12/18/2019 7:00:28 AM"</f>
        <v>12/18/2019 7:00:28 AM</v>
      </c>
      <c r="I1138" t="str">
        <f>""</f>
        <v/>
      </c>
      <c r="J1138" t="str">
        <f t="shared" si="453"/>
        <v>Elite</v>
      </c>
      <c r="K1138" t="str">
        <f t="shared" si="462"/>
        <v>Device</v>
      </c>
      <c r="L1138" t="str">
        <f t="shared" si="468"/>
        <v>777158879</v>
      </c>
      <c r="M1138" t="str">
        <f t="shared" si="469"/>
        <v>16417954</v>
      </c>
      <c r="N1138" t="str">
        <f t="shared" si="470"/>
        <v>5149-20</v>
      </c>
      <c r="O1138" t="str">
        <f t="shared" si="454"/>
        <v>TEXAS</v>
      </c>
      <c r="P1138" t="str">
        <f t="shared" si="455"/>
        <v>N A</v>
      </c>
      <c r="Q1138" t="str">
        <f t="shared" si="456"/>
        <v>N/A</v>
      </c>
      <c r="R1138" t="str">
        <f>"130 DKCRP 10 307"</f>
        <v>130 DKCRP 10 307</v>
      </c>
      <c r="S1138" t="str">
        <f>"12/17/2019 6:53:21 PM"</f>
        <v>12/17/2019 6:53:21 PM</v>
      </c>
      <c r="T1138" t="str">
        <f t="shared" si="466"/>
        <v>5</v>
      </c>
      <c r="U1138" t="str">
        <f t="shared" si="457"/>
        <v>N/A</v>
      </c>
      <c r="V1138" t="str">
        <f t="shared" si="473"/>
        <v>5.5500</v>
      </c>
    </row>
    <row r="1139" spans="1:22" x14ac:dyDescent="0.25">
      <c r="A1139" s="1" t="str">
        <f t="shared" si="472"/>
        <v>5149-</v>
      </c>
      <c r="B1139" s="1" t="str">
        <f t="shared" si="458"/>
        <v>5149-</v>
      </c>
      <c r="C1139" s="1" t="s">
        <v>8887</v>
      </c>
      <c r="D1139" s="1" t="s">
        <v>91</v>
      </c>
      <c r="E1139" s="1" t="s">
        <v>1738</v>
      </c>
      <c r="F1139" s="1" t="s">
        <v>22</v>
      </c>
      <c r="G1139" s="1" t="e">
        <f>VLOOKUP(C1139,'Master truck list'!E:R,14,0)</f>
        <v>#N/A</v>
      </c>
      <c r="H1139" t="str">
        <f>"12/18/2019 7:00:28 AM"</f>
        <v>12/18/2019 7:00:28 AM</v>
      </c>
      <c r="I1139" t="str">
        <f>""</f>
        <v/>
      </c>
      <c r="J1139" t="str">
        <f t="shared" si="453"/>
        <v>Elite</v>
      </c>
      <c r="K1139" t="str">
        <f t="shared" si="462"/>
        <v>Device</v>
      </c>
      <c r="L1139" t="str">
        <f t="shared" si="468"/>
        <v>777158879</v>
      </c>
      <c r="M1139" t="str">
        <f t="shared" si="469"/>
        <v>16417954</v>
      </c>
      <c r="N1139" t="str">
        <f t="shared" si="470"/>
        <v>5149-20</v>
      </c>
      <c r="O1139" t="str">
        <f t="shared" si="454"/>
        <v>TEXAS</v>
      </c>
      <c r="P1139" t="str">
        <f t="shared" si="455"/>
        <v>N A</v>
      </c>
      <c r="Q1139" t="str">
        <f t="shared" si="456"/>
        <v>N/A</v>
      </c>
      <c r="R1139" t="str">
        <f>"130 ARPTP 04 308"</f>
        <v>130 ARPTP 04 308</v>
      </c>
      <c r="S1139" t="str">
        <f>"12/17/2019 9:54:44 AM"</f>
        <v>12/17/2019 9:54:44 AM</v>
      </c>
      <c r="T1139" t="str">
        <f t="shared" si="466"/>
        <v>5</v>
      </c>
      <c r="U1139" t="str">
        <f t="shared" si="457"/>
        <v>N/A</v>
      </c>
      <c r="V1139" t="str">
        <f t="shared" si="473"/>
        <v>5.5500</v>
      </c>
    </row>
    <row r="1140" spans="1:22" x14ac:dyDescent="0.25">
      <c r="A1140" s="1" t="str">
        <f t="shared" si="472"/>
        <v>5149-</v>
      </c>
      <c r="B1140" s="1" t="str">
        <f t="shared" si="458"/>
        <v>5149-</v>
      </c>
      <c r="C1140" s="1" t="s">
        <v>8887</v>
      </c>
      <c r="D1140" s="1" t="s">
        <v>91</v>
      </c>
      <c r="E1140" s="1" t="s">
        <v>1738</v>
      </c>
      <c r="F1140" s="1" t="s">
        <v>22</v>
      </c>
      <c r="G1140" s="1" t="e">
        <f>VLOOKUP(C1140,'Master truck list'!E:R,14,0)</f>
        <v>#N/A</v>
      </c>
      <c r="H1140" t="str">
        <f>"12/18/2019 7:00:28 AM"</f>
        <v>12/18/2019 7:00:28 AM</v>
      </c>
      <c r="I1140" t="str">
        <f>""</f>
        <v/>
      </c>
      <c r="J1140" t="str">
        <f t="shared" si="453"/>
        <v>Elite</v>
      </c>
      <c r="K1140" t="str">
        <f t="shared" si="462"/>
        <v>Device</v>
      </c>
      <c r="L1140" t="str">
        <f t="shared" si="468"/>
        <v>777158879</v>
      </c>
      <c r="M1140" t="str">
        <f t="shared" si="469"/>
        <v>16417954</v>
      </c>
      <c r="N1140" t="str">
        <f t="shared" si="470"/>
        <v>5149-20</v>
      </c>
      <c r="O1140" t="str">
        <f t="shared" si="454"/>
        <v>TEXAS</v>
      </c>
      <c r="P1140" t="str">
        <f t="shared" si="455"/>
        <v>N A</v>
      </c>
      <c r="Q1140" t="str">
        <f t="shared" si="456"/>
        <v>N/A</v>
      </c>
      <c r="R1140" t="str">
        <f>"130 CMRNP 13 306"</f>
        <v>130 CMRNP 13 306</v>
      </c>
      <c r="S1140" t="str">
        <f>"12/17/2019 7:03:32 PM"</f>
        <v>12/17/2019 7:03:32 PM</v>
      </c>
      <c r="T1140" t="str">
        <f>"2"</f>
        <v>2</v>
      </c>
      <c r="U1140" t="str">
        <f t="shared" si="457"/>
        <v>N/A</v>
      </c>
      <c r="V1140" t="str">
        <f>"1.8500"</f>
        <v>1.8500</v>
      </c>
    </row>
    <row r="1141" spans="1:22" x14ac:dyDescent="0.25">
      <c r="A1141" s="1" t="str">
        <f t="shared" si="472"/>
        <v>5149-</v>
      </c>
      <c r="B1141" s="1" t="str">
        <f t="shared" si="458"/>
        <v>5149-</v>
      </c>
      <c r="C1141" s="1" t="s">
        <v>8887</v>
      </c>
      <c r="D1141" s="1" t="s">
        <v>91</v>
      </c>
      <c r="E1141" s="1" t="s">
        <v>1738</v>
      </c>
      <c r="F1141" s="1" t="s">
        <v>22</v>
      </c>
      <c r="G1141" s="1" t="e">
        <f>VLOOKUP(C1141,'Master truck list'!E:R,14,0)</f>
        <v>#N/A</v>
      </c>
      <c r="H1141" t="str">
        <f>"12/20/2019 7:00:30 AM"</f>
        <v>12/20/2019 7:00:30 AM</v>
      </c>
      <c r="I1141" t="str">
        <f>""</f>
        <v/>
      </c>
      <c r="J1141" t="str">
        <f t="shared" si="453"/>
        <v>Elite</v>
      </c>
      <c r="K1141" t="str">
        <f t="shared" si="462"/>
        <v>Device</v>
      </c>
      <c r="L1141" t="str">
        <f t="shared" si="468"/>
        <v>777158879</v>
      </c>
      <c r="M1141" t="str">
        <f t="shared" si="469"/>
        <v>16417954</v>
      </c>
      <c r="N1141" t="str">
        <f t="shared" si="470"/>
        <v>5149-20</v>
      </c>
      <c r="O1141" t="str">
        <f t="shared" si="454"/>
        <v>TEXAS</v>
      </c>
      <c r="P1141" t="str">
        <f t="shared" si="455"/>
        <v>N A</v>
      </c>
      <c r="Q1141" t="str">
        <f t="shared" si="456"/>
        <v>N/A</v>
      </c>
      <c r="R1141" t="str">
        <f>"130 ARPTP 09 308"</f>
        <v>130 ARPTP 09 308</v>
      </c>
      <c r="S1141" t="str">
        <f>"12/19/2019 4:10:05 PM"</f>
        <v>12/19/2019 4:10:05 PM</v>
      </c>
      <c r="T1141" t="str">
        <f t="shared" ref="T1141:T1176" si="474">"5"</f>
        <v>5</v>
      </c>
      <c r="U1141" t="str">
        <f t="shared" si="457"/>
        <v>N/A</v>
      </c>
      <c r="V1141" t="str">
        <f>"5.5500"</f>
        <v>5.5500</v>
      </c>
    </row>
    <row r="1142" spans="1:22" x14ac:dyDescent="0.25">
      <c r="A1142" s="1" t="str">
        <f t="shared" si="472"/>
        <v>5149-</v>
      </c>
      <c r="B1142" s="1" t="str">
        <f t="shared" si="458"/>
        <v>5149-</v>
      </c>
      <c r="C1142" s="1" t="s">
        <v>8887</v>
      </c>
      <c r="D1142" s="1" t="s">
        <v>91</v>
      </c>
      <c r="E1142" s="1" t="s">
        <v>1738</v>
      </c>
      <c r="F1142" s="1" t="s">
        <v>22</v>
      </c>
      <c r="G1142" s="1" t="e">
        <f>VLOOKUP(C1142,'Master truck list'!E:R,14,0)</f>
        <v>#N/A</v>
      </c>
      <c r="H1142" t="str">
        <f>"12/20/2019 7:00:30 AM"</f>
        <v>12/20/2019 7:00:30 AM</v>
      </c>
      <c r="I1142" t="str">
        <f>""</f>
        <v/>
      </c>
      <c r="J1142" t="str">
        <f t="shared" si="453"/>
        <v>Elite</v>
      </c>
      <c r="K1142" t="str">
        <f t="shared" si="462"/>
        <v>Device</v>
      </c>
      <c r="L1142" t="str">
        <f t="shared" si="468"/>
        <v>777158879</v>
      </c>
      <c r="M1142" t="str">
        <f t="shared" si="469"/>
        <v>16417954</v>
      </c>
      <c r="N1142" t="str">
        <f t="shared" si="470"/>
        <v>5149-20</v>
      </c>
      <c r="O1142" t="str">
        <f t="shared" si="454"/>
        <v>TEXAS</v>
      </c>
      <c r="P1142" t="str">
        <f t="shared" si="455"/>
        <v>N A</v>
      </c>
      <c r="Q1142" t="str">
        <f t="shared" si="456"/>
        <v>N/A</v>
      </c>
      <c r="R1142" t="str">
        <f>"PGBW MLG12 09 MLG1"</f>
        <v>PGBW MLG12 09 MLG1</v>
      </c>
      <c r="S1142" t="str">
        <f>"12/19/2019 7:38:38 PM"</f>
        <v>12/19/2019 7:38:38 PM</v>
      </c>
      <c r="T1142" t="str">
        <f t="shared" si="474"/>
        <v>5</v>
      </c>
      <c r="U1142" t="str">
        <f t="shared" si="457"/>
        <v>N/A</v>
      </c>
      <c r="V1142" t="str">
        <f>"4.6400"</f>
        <v>4.6400</v>
      </c>
    </row>
    <row r="1143" spans="1:22" x14ac:dyDescent="0.25">
      <c r="A1143" s="1" t="str">
        <f t="shared" si="472"/>
        <v>5149-</v>
      </c>
      <c r="B1143" s="1" t="str">
        <f t="shared" si="458"/>
        <v>5149-</v>
      </c>
      <c r="C1143" s="1" t="s">
        <v>8887</v>
      </c>
      <c r="D1143" s="1" t="s">
        <v>91</v>
      </c>
      <c r="E1143" s="1" t="s">
        <v>1738</v>
      </c>
      <c r="F1143" s="1" t="s">
        <v>22</v>
      </c>
      <c r="G1143" s="1" t="e">
        <f>VLOOKUP(C1143,'Master truck list'!E:R,14,0)</f>
        <v>#N/A</v>
      </c>
      <c r="H1143" t="str">
        <f>"12/19/2019 7:00:35 AM"</f>
        <v>12/19/2019 7:00:35 AM</v>
      </c>
      <c r="I1143" t="str">
        <f>""</f>
        <v/>
      </c>
      <c r="J1143" t="str">
        <f t="shared" si="453"/>
        <v>Elite</v>
      </c>
      <c r="K1143" t="str">
        <f t="shared" si="462"/>
        <v>Device</v>
      </c>
      <c r="L1143" t="str">
        <f t="shared" si="468"/>
        <v>777158879</v>
      </c>
      <c r="M1143" t="str">
        <f t="shared" si="469"/>
        <v>16417954</v>
      </c>
      <c r="N1143" t="str">
        <f t="shared" si="470"/>
        <v>5149-20</v>
      </c>
      <c r="O1143" t="str">
        <f t="shared" si="454"/>
        <v>TEXAS</v>
      </c>
      <c r="P1143" t="str">
        <f t="shared" si="455"/>
        <v>N A</v>
      </c>
      <c r="Q1143" t="str">
        <f t="shared" si="456"/>
        <v>N/A</v>
      </c>
      <c r="R1143" t="str">
        <f>"45SE MLPWB 01 611"</f>
        <v>45SE MLPWB 01 611</v>
      </c>
      <c r="S1143" t="str">
        <f>"12/18/2019 1:56:47 PM"</f>
        <v>12/18/2019 1:56:47 PM</v>
      </c>
      <c r="T1143" t="str">
        <f t="shared" si="474"/>
        <v>5</v>
      </c>
      <c r="U1143" t="str">
        <f t="shared" si="457"/>
        <v>N/A</v>
      </c>
      <c r="V1143" t="str">
        <f>"3.3000"</f>
        <v>3.3000</v>
      </c>
    </row>
    <row r="1144" spans="1:22" x14ac:dyDescent="0.25">
      <c r="A1144" s="1" t="str">
        <f t="shared" si="472"/>
        <v>5149-</v>
      </c>
      <c r="B1144" s="1" t="str">
        <f t="shared" si="458"/>
        <v>5149-</v>
      </c>
      <c r="C1144" s="1" t="s">
        <v>8887</v>
      </c>
      <c r="D1144" s="1" t="s">
        <v>91</v>
      </c>
      <c r="E1144" s="1" t="s">
        <v>1738</v>
      </c>
      <c r="F1144" s="1" t="s">
        <v>22</v>
      </c>
      <c r="G1144" s="1" t="e">
        <f>VLOOKUP(C1144,'Master truck list'!E:R,14,0)</f>
        <v>#N/A</v>
      </c>
      <c r="H1144" t="str">
        <f>"12/19/2019 7:00:35 AM"</f>
        <v>12/19/2019 7:00:35 AM</v>
      </c>
      <c r="I1144" t="str">
        <f>""</f>
        <v/>
      </c>
      <c r="J1144" t="str">
        <f t="shared" si="453"/>
        <v>Elite</v>
      </c>
      <c r="K1144" t="str">
        <f t="shared" si="462"/>
        <v>Device</v>
      </c>
      <c r="L1144" t="str">
        <f t="shared" si="468"/>
        <v>777158879</v>
      </c>
      <c r="M1144" t="str">
        <f t="shared" si="469"/>
        <v>16417954</v>
      </c>
      <c r="N1144" t="str">
        <f t="shared" si="470"/>
        <v>5149-20</v>
      </c>
      <c r="O1144" t="str">
        <f t="shared" si="454"/>
        <v>TEXAS</v>
      </c>
      <c r="P1144" t="str">
        <f t="shared" si="455"/>
        <v>N A</v>
      </c>
      <c r="Q1144" t="str">
        <f t="shared" si="456"/>
        <v>N/A</v>
      </c>
      <c r="R1144" t="str">
        <f>"130 MGCRP 06 305"</f>
        <v>130 MGCRP 06 305</v>
      </c>
      <c r="S1144" t="str">
        <f>"12/18/2019 1:18:15 PM"</f>
        <v>12/18/2019 1:18:15 PM</v>
      </c>
      <c r="T1144" t="str">
        <f t="shared" si="474"/>
        <v>5</v>
      </c>
      <c r="U1144" t="str">
        <f t="shared" si="457"/>
        <v>N/A</v>
      </c>
      <c r="V1144" t="str">
        <f>"5.5500"</f>
        <v>5.5500</v>
      </c>
    </row>
    <row r="1145" spans="1:22" x14ac:dyDescent="0.25">
      <c r="A1145" s="1" t="str">
        <f t="shared" si="472"/>
        <v>5149-</v>
      </c>
      <c r="B1145" s="1" t="str">
        <f t="shared" si="458"/>
        <v>5149-</v>
      </c>
      <c r="C1145" s="1" t="s">
        <v>8887</v>
      </c>
      <c r="D1145" s="1" t="s">
        <v>91</v>
      </c>
      <c r="E1145" s="1" t="s">
        <v>1738</v>
      </c>
      <c r="F1145" s="1" t="s">
        <v>22</v>
      </c>
      <c r="G1145" s="1" t="e">
        <f>VLOOKUP(C1145,'Master truck list'!E:R,14,0)</f>
        <v>#N/A</v>
      </c>
      <c r="H1145" t="str">
        <f>"12/19/2019 7:00:35 AM"</f>
        <v>12/19/2019 7:00:35 AM</v>
      </c>
      <c r="I1145" t="str">
        <f>""</f>
        <v/>
      </c>
      <c r="J1145" t="str">
        <f t="shared" si="453"/>
        <v>Elite</v>
      </c>
      <c r="K1145" t="str">
        <f t="shared" si="462"/>
        <v>Device</v>
      </c>
      <c r="L1145" t="str">
        <f t="shared" si="468"/>
        <v>777158879</v>
      </c>
      <c r="M1145" t="str">
        <f t="shared" si="469"/>
        <v>16417954</v>
      </c>
      <c r="N1145" t="str">
        <f t="shared" si="470"/>
        <v>5149-20</v>
      </c>
      <c r="O1145" t="str">
        <f t="shared" si="454"/>
        <v>TEXAS</v>
      </c>
      <c r="P1145" t="str">
        <f t="shared" si="455"/>
        <v>N A</v>
      </c>
      <c r="Q1145" t="str">
        <f t="shared" si="456"/>
        <v>N/A</v>
      </c>
      <c r="R1145" t="str">
        <f>"130 DKCRP 06 307"</f>
        <v>130 DKCRP 06 307</v>
      </c>
      <c r="S1145" t="str">
        <f>"12/18/2019 1:39:17 PM"</f>
        <v>12/18/2019 1:39:17 PM</v>
      </c>
      <c r="T1145" t="str">
        <f t="shared" si="474"/>
        <v>5</v>
      </c>
      <c r="U1145" t="str">
        <f t="shared" si="457"/>
        <v>N/A</v>
      </c>
      <c r="V1145" t="str">
        <f>"5.5500"</f>
        <v>5.5500</v>
      </c>
    </row>
    <row r="1146" spans="1:22" x14ac:dyDescent="0.25">
      <c r="A1146" s="1" t="str">
        <f t="shared" si="472"/>
        <v>5149-</v>
      </c>
      <c r="B1146" s="1" t="str">
        <f t="shared" si="458"/>
        <v>5149-</v>
      </c>
      <c r="C1146" s="1" t="s">
        <v>8887</v>
      </c>
      <c r="D1146" s="1" t="s">
        <v>91</v>
      </c>
      <c r="E1146" s="1" t="s">
        <v>1738</v>
      </c>
      <c r="F1146" s="1" t="s">
        <v>22</v>
      </c>
      <c r="G1146" s="1" t="e">
        <f>VLOOKUP(C1146,'Master truck list'!E:R,14,0)</f>
        <v>#N/A</v>
      </c>
      <c r="H1146" t="str">
        <f>"12/20/2019 7:00:30 AM"</f>
        <v>12/20/2019 7:00:30 AM</v>
      </c>
      <c r="I1146" t="str">
        <f>""</f>
        <v/>
      </c>
      <c r="J1146" t="str">
        <f t="shared" si="453"/>
        <v>Elite</v>
      </c>
      <c r="K1146" t="str">
        <f t="shared" si="462"/>
        <v>Device</v>
      </c>
      <c r="L1146" t="str">
        <f t="shared" si="468"/>
        <v>777158879</v>
      </c>
      <c r="M1146" t="str">
        <f t="shared" si="469"/>
        <v>16417954</v>
      </c>
      <c r="N1146" t="str">
        <f t="shared" si="470"/>
        <v>5149-20</v>
      </c>
      <c r="O1146" t="str">
        <f t="shared" si="454"/>
        <v>TEXAS</v>
      </c>
      <c r="P1146" t="str">
        <f t="shared" si="455"/>
        <v>N A</v>
      </c>
      <c r="Q1146" t="str">
        <f t="shared" si="456"/>
        <v>N/A</v>
      </c>
      <c r="R1146" t="str">
        <f>"45SE MLPEB 02 611"</f>
        <v>45SE MLPEB 02 611</v>
      </c>
      <c r="S1146" t="str">
        <f>"12/19/2019 3:59:31 PM"</f>
        <v>12/19/2019 3:59:31 PM</v>
      </c>
      <c r="T1146" t="str">
        <f t="shared" si="474"/>
        <v>5</v>
      </c>
      <c r="U1146" t="str">
        <f t="shared" si="457"/>
        <v>N/A</v>
      </c>
      <c r="V1146" t="str">
        <f>"3.3000"</f>
        <v>3.3000</v>
      </c>
    </row>
    <row r="1147" spans="1:22" x14ac:dyDescent="0.25">
      <c r="A1147" s="1" t="str">
        <f t="shared" si="472"/>
        <v>5149-</v>
      </c>
      <c r="B1147" s="1" t="str">
        <f t="shared" si="458"/>
        <v>5149-</v>
      </c>
      <c r="C1147" s="1" t="s">
        <v>8887</v>
      </c>
      <c r="D1147" s="1" t="s">
        <v>91</v>
      </c>
      <c r="E1147" s="1" t="s">
        <v>1738</v>
      </c>
      <c r="F1147" s="1" t="s">
        <v>22</v>
      </c>
      <c r="G1147" s="1" t="e">
        <f>VLOOKUP(C1147,'Master truck list'!E:R,14,0)</f>
        <v>#N/A</v>
      </c>
      <c r="H1147" t="str">
        <f>"12/20/2019 7:00:30 AM"</f>
        <v>12/20/2019 7:00:30 AM</v>
      </c>
      <c r="I1147" t="str">
        <f>""</f>
        <v/>
      </c>
      <c r="J1147" t="str">
        <f t="shared" si="453"/>
        <v>Elite</v>
      </c>
      <c r="K1147" t="str">
        <f t="shared" si="462"/>
        <v>Device</v>
      </c>
      <c r="L1147" t="str">
        <f t="shared" si="468"/>
        <v>777158879</v>
      </c>
      <c r="M1147" t="str">
        <f t="shared" si="469"/>
        <v>16417954</v>
      </c>
      <c r="N1147" t="str">
        <f t="shared" si="470"/>
        <v>5149-20</v>
      </c>
      <c r="O1147" t="str">
        <f t="shared" si="454"/>
        <v>TEXAS</v>
      </c>
      <c r="P1147" t="str">
        <f t="shared" si="455"/>
        <v>N A</v>
      </c>
      <c r="Q1147" t="str">
        <f t="shared" si="456"/>
        <v>N/A</v>
      </c>
      <c r="R1147" t="str">
        <f>"130 DKCRP 11 307"</f>
        <v>130 DKCRP 11 307</v>
      </c>
      <c r="S1147" t="str">
        <f>"12/19/2019 4:21:08 PM"</f>
        <v>12/19/2019 4:21:08 PM</v>
      </c>
      <c r="T1147" t="str">
        <f t="shared" si="474"/>
        <v>5</v>
      </c>
      <c r="U1147" t="str">
        <f t="shared" si="457"/>
        <v>N/A</v>
      </c>
      <c r="V1147" t="str">
        <f>"5.5500"</f>
        <v>5.5500</v>
      </c>
    </row>
    <row r="1148" spans="1:22" x14ac:dyDescent="0.25">
      <c r="A1148" s="1" t="str">
        <f t="shared" si="472"/>
        <v>5149-</v>
      </c>
      <c r="B1148" s="1" t="str">
        <f t="shared" si="458"/>
        <v>5149-</v>
      </c>
      <c r="C1148" s="1" t="s">
        <v>8887</v>
      </c>
      <c r="D1148" s="1" t="s">
        <v>91</v>
      </c>
      <c r="E1148" s="1" t="s">
        <v>1738</v>
      </c>
      <c r="F1148" s="1" t="s">
        <v>22</v>
      </c>
      <c r="G1148" s="1" t="e">
        <f>VLOOKUP(C1148,'Master truck list'!E:R,14,0)</f>
        <v>#N/A</v>
      </c>
      <c r="H1148" t="str">
        <f>"12/20/2019 7:00:30 AM"</f>
        <v>12/20/2019 7:00:30 AM</v>
      </c>
      <c r="I1148" t="str">
        <f>""</f>
        <v/>
      </c>
      <c r="J1148" t="str">
        <f t="shared" si="453"/>
        <v>Elite</v>
      </c>
      <c r="K1148" t="str">
        <f t="shared" si="462"/>
        <v>Device</v>
      </c>
      <c r="L1148" t="str">
        <f t="shared" si="468"/>
        <v>777158879</v>
      </c>
      <c r="M1148" t="str">
        <f t="shared" si="469"/>
        <v>16417954</v>
      </c>
      <c r="N1148" t="str">
        <f t="shared" si="470"/>
        <v>5149-20</v>
      </c>
      <c r="O1148" t="str">
        <f t="shared" si="454"/>
        <v>TEXAS</v>
      </c>
      <c r="P1148" t="str">
        <f t="shared" si="455"/>
        <v>N A</v>
      </c>
      <c r="Q1148" t="str">
        <f t="shared" si="456"/>
        <v>N/A</v>
      </c>
      <c r="R1148" t="str">
        <f>"130 MGCRP 11 305"</f>
        <v>130 MGCRP 11 305</v>
      </c>
      <c r="S1148" t="str">
        <f>"12/19/2019 4:57:58 PM"</f>
        <v>12/19/2019 4:57:58 PM</v>
      </c>
      <c r="T1148" t="str">
        <f t="shared" si="474"/>
        <v>5</v>
      </c>
      <c r="U1148" t="str">
        <f t="shared" si="457"/>
        <v>N/A</v>
      </c>
      <c r="V1148" t="str">
        <f>"5.5500"</f>
        <v>5.5500</v>
      </c>
    </row>
    <row r="1149" spans="1:22" x14ac:dyDescent="0.25">
      <c r="A1149" s="1" t="str">
        <f t="shared" si="472"/>
        <v>5149-</v>
      </c>
      <c r="B1149" s="1" t="str">
        <f t="shared" si="458"/>
        <v>5149-</v>
      </c>
      <c r="C1149" s="1" t="s">
        <v>8887</v>
      </c>
      <c r="D1149" s="1" t="s">
        <v>91</v>
      </c>
      <c r="E1149" s="1" t="s">
        <v>1738</v>
      </c>
      <c r="F1149" s="1" t="s">
        <v>22</v>
      </c>
      <c r="G1149" s="1" t="e">
        <f>VLOOKUP(C1149,'Master truck list'!E:R,14,0)</f>
        <v>#N/A</v>
      </c>
      <c r="H1149" t="str">
        <f>"12/20/2019 7:00:30 AM"</f>
        <v>12/20/2019 7:00:30 AM</v>
      </c>
      <c r="I1149" t="str">
        <f>""</f>
        <v/>
      </c>
      <c r="J1149" t="str">
        <f t="shared" si="453"/>
        <v>Elite</v>
      </c>
      <c r="K1149" t="str">
        <f t="shared" si="462"/>
        <v>Device</v>
      </c>
      <c r="L1149" t="str">
        <f t="shared" si="468"/>
        <v>777158879</v>
      </c>
      <c r="M1149" t="str">
        <f t="shared" si="469"/>
        <v>16417954</v>
      </c>
      <c r="N1149" t="str">
        <f t="shared" si="470"/>
        <v>5149-20</v>
      </c>
      <c r="O1149" t="str">
        <f t="shared" si="454"/>
        <v>TEXAS</v>
      </c>
      <c r="P1149" t="str">
        <f t="shared" si="455"/>
        <v>N A</v>
      </c>
      <c r="Q1149" t="str">
        <f t="shared" si="456"/>
        <v>N/A</v>
      </c>
      <c r="R1149" t="str">
        <f>"130 CMRNP 12 306"</f>
        <v>130 CMRNP 12 306</v>
      </c>
      <c r="S1149" t="str">
        <f>"12/19/2019 4:45:31 PM"</f>
        <v>12/19/2019 4:45:31 PM</v>
      </c>
      <c r="T1149" t="str">
        <f t="shared" si="474"/>
        <v>5</v>
      </c>
      <c r="U1149" t="str">
        <f t="shared" si="457"/>
        <v>N/A</v>
      </c>
      <c r="V1149" t="str">
        <f>"5.5500"</f>
        <v>5.5500</v>
      </c>
    </row>
    <row r="1150" spans="1:22" x14ac:dyDescent="0.25">
      <c r="A1150" s="1" t="str">
        <f t="shared" si="472"/>
        <v>5149-</v>
      </c>
      <c r="B1150" s="1" t="str">
        <f t="shared" si="458"/>
        <v>5149-</v>
      </c>
      <c r="C1150" s="1" t="s">
        <v>8887</v>
      </c>
      <c r="D1150" s="1" t="s">
        <v>91</v>
      </c>
      <c r="E1150" s="1" t="s">
        <v>1738</v>
      </c>
      <c r="F1150" s="1" t="s">
        <v>22</v>
      </c>
      <c r="G1150" s="1" t="e">
        <f>VLOOKUP(C1150,'Master truck list'!E:R,14,0)</f>
        <v>#N/A</v>
      </c>
      <c r="H1150" t="str">
        <f>"12/21/2019 7:00:28 AM"</f>
        <v>12/21/2019 7:00:28 AM</v>
      </c>
      <c r="I1150" t="str">
        <f>""</f>
        <v/>
      </c>
      <c r="J1150" t="str">
        <f t="shared" si="453"/>
        <v>Elite</v>
      </c>
      <c r="K1150" t="str">
        <f t="shared" si="462"/>
        <v>Device</v>
      </c>
      <c r="L1150" t="str">
        <f t="shared" si="468"/>
        <v>777158879</v>
      </c>
      <c r="M1150" t="str">
        <f t="shared" si="469"/>
        <v>16417954</v>
      </c>
      <c r="N1150" t="str">
        <f t="shared" si="470"/>
        <v>5149-20</v>
      </c>
      <c r="O1150" t="str">
        <f t="shared" si="454"/>
        <v>TEXAS</v>
      </c>
      <c r="P1150" t="str">
        <f t="shared" si="455"/>
        <v>N A</v>
      </c>
      <c r="Q1150" t="str">
        <f t="shared" si="456"/>
        <v>N/A</v>
      </c>
      <c r="R1150" t="str">
        <f>"130 ARPTP 04 308"</f>
        <v>130 ARPTP 04 308</v>
      </c>
      <c r="S1150" t="str">
        <f>"12/20/2019 9:35:48 AM"</f>
        <v>12/20/2019 9:35:48 AM</v>
      </c>
      <c r="T1150" t="str">
        <f t="shared" si="474"/>
        <v>5</v>
      </c>
      <c r="U1150" t="str">
        <f t="shared" si="457"/>
        <v>N/A</v>
      </c>
      <c r="V1150" t="str">
        <f>"5.5500"</f>
        <v>5.5500</v>
      </c>
    </row>
    <row r="1151" spans="1:22" x14ac:dyDescent="0.25">
      <c r="A1151" s="1" t="str">
        <f t="shared" si="472"/>
        <v>5172-</v>
      </c>
      <c r="B1151" s="1" t="str">
        <f t="shared" si="458"/>
        <v>5172-</v>
      </c>
      <c r="C1151" s="1" t="s">
        <v>8928</v>
      </c>
      <c r="D1151" s="1" t="s">
        <v>91</v>
      </c>
      <c r="E1151" s="1" t="s">
        <v>1738</v>
      </c>
      <c r="F1151" s="1" t="s">
        <v>22</v>
      </c>
      <c r="G1151" s="1" t="e">
        <f>VLOOKUP(C1151,'Master truck list'!E:R,14,0)</f>
        <v>#N/A</v>
      </c>
      <c r="H1151" t="str">
        <f>"12/19/2019 7:00:35 AM"</f>
        <v>12/19/2019 7:00:35 AM</v>
      </c>
      <c r="I1151" t="str">
        <f>""</f>
        <v/>
      </c>
      <c r="J1151" t="str">
        <f t="shared" si="453"/>
        <v>Elite</v>
      </c>
      <c r="K1151" t="str">
        <f t="shared" si="462"/>
        <v>Device</v>
      </c>
      <c r="L1151" t="str">
        <f>"777211601"</f>
        <v>777211601</v>
      </c>
      <c r="M1151" t="str">
        <f>"16546723"</f>
        <v>16546723</v>
      </c>
      <c r="N1151" t="str">
        <f>"5172-20"</f>
        <v>5172-20</v>
      </c>
      <c r="O1151" t="str">
        <f t="shared" si="454"/>
        <v>TEXAS</v>
      </c>
      <c r="P1151" t="str">
        <f t="shared" si="455"/>
        <v>N A</v>
      </c>
      <c r="Q1151" t="str">
        <f t="shared" si="456"/>
        <v>N/A</v>
      </c>
      <c r="R1151" t="str">
        <f>"130 MGCRP 06 305"</f>
        <v>130 MGCRP 06 305</v>
      </c>
      <c r="S1151" t="str">
        <f>"12/18/2019 3:23:45 PM"</f>
        <v>12/18/2019 3:23:45 PM</v>
      </c>
      <c r="T1151" t="str">
        <f t="shared" si="474"/>
        <v>5</v>
      </c>
      <c r="U1151" t="str">
        <f t="shared" si="457"/>
        <v>N/A</v>
      </c>
      <c r="V1151" t="str">
        <f>"5.5500"</f>
        <v>5.5500</v>
      </c>
    </row>
    <row r="1152" spans="1:22" x14ac:dyDescent="0.25">
      <c r="A1152" s="1" t="str">
        <f t="shared" si="472"/>
        <v>5172-</v>
      </c>
      <c r="B1152" s="1" t="str">
        <f t="shared" si="458"/>
        <v>5172-</v>
      </c>
      <c r="C1152" s="1" t="s">
        <v>8928</v>
      </c>
      <c r="D1152" s="1" t="s">
        <v>91</v>
      </c>
      <c r="E1152" s="1" t="s">
        <v>1738</v>
      </c>
      <c r="F1152" s="1" t="s">
        <v>22</v>
      </c>
      <c r="G1152" s="1" t="e">
        <f>VLOOKUP(C1152,'Master truck list'!E:R,14,0)</f>
        <v>#N/A</v>
      </c>
      <c r="H1152" t="str">
        <f>"12/19/2019 7:00:35 AM"</f>
        <v>12/19/2019 7:00:35 AM</v>
      </c>
      <c r="I1152" t="str">
        <f>""</f>
        <v/>
      </c>
      <c r="J1152" t="str">
        <f t="shared" si="453"/>
        <v>Elite</v>
      </c>
      <c r="K1152" t="str">
        <f t="shared" si="462"/>
        <v>Device</v>
      </c>
      <c r="L1152" t="str">
        <f>"777211601"</f>
        <v>777211601</v>
      </c>
      <c r="M1152" t="str">
        <f>"16546723"</f>
        <v>16546723</v>
      </c>
      <c r="N1152" t="str">
        <f>"5172-20"</f>
        <v>5172-20</v>
      </c>
      <c r="O1152" t="str">
        <f t="shared" si="454"/>
        <v>TEXAS</v>
      </c>
      <c r="P1152" t="str">
        <f t="shared" si="455"/>
        <v>N A</v>
      </c>
      <c r="Q1152" t="str">
        <f t="shared" si="456"/>
        <v>N/A</v>
      </c>
      <c r="R1152" t="str">
        <f>"45SE MLPWB 01 611"</f>
        <v>45SE MLPWB 01 611</v>
      </c>
      <c r="S1152" t="str">
        <f>"12/18/2019 4:03:06 PM"</f>
        <v>12/18/2019 4:03:06 PM</v>
      </c>
      <c r="T1152" t="str">
        <f t="shared" si="474"/>
        <v>5</v>
      </c>
      <c r="U1152" t="str">
        <f t="shared" si="457"/>
        <v>N/A</v>
      </c>
      <c r="V1152" t="str">
        <f>"3.3000"</f>
        <v>3.3000</v>
      </c>
    </row>
    <row r="1153" spans="1:22" x14ac:dyDescent="0.25">
      <c r="A1153" s="1" t="str">
        <f t="shared" si="472"/>
        <v>5172-</v>
      </c>
      <c r="B1153" s="1" t="str">
        <f t="shared" si="458"/>
        <v>5172-</v>
      </c>
      <c r="C1153" s="1" t="s">
        <v>8928</v>
      </c>
      <c r="D1153" s="1" t="s">
        <v>91</v>
      </c>
      <c r="E1153" s="1" t="s">
        <v>1738</v>
      </c>
      <c r="F1153" s="1" t="s">
        <v>22</v>
      </c>
      <c r="G1153" s="1" t="e">
        <f>VLOOKUP(C1153,'Master truck list'!E:R,14,0)</f>
        <v>#N/A</v>
      </c>
      <c r="H1153" t="str">
        <f>"12/19/2019 7:00:35 AM"</f>
        <v>12/19/2019 7:00:35 AM</v>
      </c>
      <c r="I1153" t="str">
        <f>""</f>
        <v/>
      </c>
      <c r="J1153" t="str">
        <f t="shared" si="453"/>
        <v>Elite</v>
      </c>
      <c r="K1153" t="str">
        <f t="shared" si="462"/>
        <v>Device</v>
      </c>
      <c r="L1153" t="str">
        <f>"777211601"</f>
        <v>777211601</v>
      </c>
      <c r="M1153" t="str">
        <f>"16546723"</f>
        <v>16546723</v>
      </c>
      <c r="N1153" t="str">
        <f>"5172-20"</f>
        <v>5172-20</v>
      </c>
      <c r="O1153" t="str">
        <f t="shared" si="454"/>
        <v>TEXAS</v>
      </c>
      <c r="P1153" t="str">
        <f t="shared" si="455"/>
        <v>N A</v>
      </c>
      <c r="Q1153" t="str">
        <f t="shared" si="456"/>
        <v>N/A</v>
      </c>
      <c r="R1153" t="str">
        <f>"130 DKCRP 06 307"</f>
        <v>130 DKCRP 06 307</v>
      </c>
      <c r="S1153" t="str">
        <f>"12/18/2019 3:44:51 PM"</f>
        <v>12/18/2019 3:44:51 PM</v>
      </c>
      <c r="T1153" t="str">
        <f t="shared" si="474"/>
        <v>5</v>
      </c>
      <c r="U1153" t="str">
        <f t="shared" si="457"/>
        <v>N/A</v>
      </c>
      <c r="V1153" t="str">
        <f>"5.5500"</f>
        <v>5.5500</v>
      </c>
    </row>
    <row r="1154" spans="1:22" x14ac:dyDescent="0.25">
      <c r="A1154" s="1" t="str">
        <f t="shared" si="472"/>
        <v>5172-</v>
      </c>
      <c r="B1154" s="1" t="str">
        <f t="shared" si="458"/>
        <v>5172-</v>
      </c>
      <c r="C1154" s="1" t="s">
        <v>8928</v>
      </c>
      <c r="D1154" s="1" t="s">
        <v>91</v>
      </c>
      <c r="E1154" s="1" t="s">
        <v>1738</v>
      </c>
      <c r="F1154" s="1" t="s">
        <v>22</v>
      </c>
      <c r="G1154" s="1" t="e">
        <f>VLOOKUP(C1154,'Master truck list'!E:R,14,0)</f>
        <v>#N/A</v>
      </c>
      <c r="H1154" t="str">
        <f>"12/19/2019 7:00:35 AM"</f>
        <v>12/19/2019 7:00:35 AM</v>
      </c>
      <c r="I1154" t="str">
        <f>""</f>
        <v/>
      </c>
      <c r="J1154" t="str">
        <f t="shared" ref="J1154:J1217" si="475">"Elite"</f>
        <v>Elite</v>
      </c>
      <c r="K1154" t="str">
        <f t="shared" si="462"/>
        <v>Device</v>
      </c>
      <c r="L1154" t="str">
        <f>"777211601"</f>
        <v>777211601</v>
      </c>
      <c r="M1154" t="str">
        <f>"16546723"</f>
        <v>16546723</v>
      </c>
      <c r="N1154" t="str">
        <f>"5172-20"</f>
        <v>5172-20</v>
      </c>
      <c r="O1154" t="str">
        <f t="shared" ref="O1154:O1217" si="476">"TEXAS"</f>
        <v>TEXAS</v>
      </c>
      <c r="P1154" t="str">
        <f t="shared" ref="P1154:P1217" si="477">"N A"</f>
        <v>N A</v>
      </c>
      <c r="Q1154" t="str">
        <f t="shared" ref="Q1154:Q1217" si="478">"N/A"</f>
        <v>N/A</v>
      </c>
      <c r="R1154" t="str">
        <f>"130 ARPTP 04 308"</f>
        <v>130 ARPTP 04 308</v>
      </c>
      <c r="S1154" t="str">
        <f>"12/18/2019 3:52:23 PM"</f>
        <v>12/18/2019 3:52:23 PM</v>
      </c>
      <c r="T1154" t="str">
        <f t="shared" si="474"/>
        <v>5</v>
      </c>
      <c r="U1154" t="str">
        <f t="shared" ref="U1154:U1217" si="479">"N/A"</f>
        <v>N/A</v>
      </c>
      <c r="V1154" t="str">
        <f>"5.5500"</f>
        <v>5.5500</v>
      </c>
    </row>
    <row r="1155" spans="1:22" x14ac:dyDescent="0.25">
      <c r="A1155" s="1" t="str">
        <f t="shared" si="472"/>
        <v>5172-</v>
      </c>
      <c r="B1155" s="1" t="str">
        <f t="shared" ref="B1155:B1218" si="480">SUBSTITUTE(A1155," ","")</f>
        <v>5172-</v>
      </c>
      <c r="C1155" s="1" t="s">
        <v>8928</v>
      </c>
      <c r="D1155" s="1" t="s">
        <v>91</v>
      </c>
      <c r="E1155" s="1" t="s">
        <v>1738</v>
      </c>
      <c r="F1155" s="1" t="s">
        <v>22</v>
      </c>
      <c r="G1155" s="1" t="e">
        <f>VLOOKUP(C1155,'Master truck list'!E:R,14,0)</f>
        <v>#N/A</v>
      </c>
      <c r="H1155" t="str">
        <f>"12/19/2019 7:00:35 AM"</f>
        <v>12/19/2019 7:00:35 AM</v>
      </c>
      <c r="I1155" t="str">
        <f>""</f>
        <v/>
      </c>
      <c r="J1155" t="str">
        <f t="shared" si="475"/>
        <v>Elite</v>
      </c>
      <c r="K1155" t="str">
        <f t="shared" si="462"/>
        <v>Device</v>
      </c>
      <c r="L1155" t="str">
        <f>"777211601"</f>
        <v>777211601</v>
      </c>
      <c r="M1155" t="str">
        <f>"16546723"</f>
        <v>16546723</v>
      </c>
      <c r="N1155" t="str">
        <f>"5172-20"</f>
        <v>5172-20</v>
      </c>
      <c r="O1155" t="str">
        <f t="shared" si="476"/>
        <v>TEXAS</v>
      </c>
      <c r="P1155" t="str">
        <f t="shared" si="477"/>
        <v>N A</v>
      </c>
      <c r="Q1155" t="str">
        <f t="shared" si="478"/>
        <v>N/A</v>
      </c>
      <c r="R1155" t="str">
        <f>"130 CMRNP 08 306"</f>
        <v>130 CMRNP 08 306</v>
      </c>
      <c r="S1155" t="str">
        <f>"12/18/2019 3:34:44 PM"</f>
        <v>12/18/2019 3:34:44 PM</v>
      </c>
      <c r="T1155" t="str">
        <f t="shared" si="474"/>
        <v>5</v>
      </c>
      <c r="U1155" t="str">
        <f t="shared" si="479"/>
        <v>N/A</v>
      </c>
      <c r="V1155" t="str">
        <f>"5.5500"</f>
        <v>5.5500</v>
      </c>
    </row>
    <row r="1156" spans="1:22" x14ac:dyDescent="0.25">
      <c r="A1156" s="1" t="str">
        <f t="shared" si="472"/>
        <v>5162-</v>
      </c>
      <c r="B1156" s="1" t="str">
        <f t="shared" si="480"/>
        <v>5162-</v>
      </c>
      <c r="C1156" s="1" t="s">
        <v>8888</v>
      </c>
      <c r="D1156" s="1" t="s">
        <v>91</v>
      </c>
      <c r="E1156" s="1" t="s">
        <v>1738</v>
      </c>
      <c r="F1156" s="1" t="s">
        <v>22</v>
      </c>
      <c r="G1156" s="1" t="e">
        <f>VLOOKUP(C1156,'Master truck list'!E:R,14,0)</f>
        <v>#N/A</v>
      </c>
      <c r="H1156" t="str">
        <f>"12/18/2019 7:00:28 AM"</f>
        <v>12/18/2019 7:00:28 AM</v>
      </c>
      <c r="I1156" t="str">
        <f>""</f>
        <v/>
      </c>
      <c r="J1156" t="str">
        <f t="shared" si="475"/>
        <v>Elite</v>
      </c>
      <c r="K1156" t="str">
        <f t="shared" si="462"/>
        <v>Device</v>
      </c>
      <c r="L1156" t="str">
        <f t="shared" ref="L1156:L1165" si="481">"777158866"</f>
        <v>777158866</v>
      </c>
      <c r="M1156" t="str">
        <f t="shared" ref="M1156:M1165" si="482">"16417941"</f>
        <v>16417941</v>
      </c>
      <c r="N1156" t="str">
        <f t="shared" ref="N1156:N1165" si="483">"5162-20"</f>
        <v>5162-20</v>
      </c>
      <c r="O1156" t="str">
        <f t="shared" si="476"/>
        <v>TEXAS</v>
      </c>
      <c r="P1156" t="str">
        <f t="shared" si="477"/>
        <v>N A</v>
      </c>
      <c r="Q1156" t="str">
        <f t="shared" si="478"/>
        <v>N/A</v>
      </c>
      <c r="R1156" t="str">
        <f>"130 DKCRP 11 307"</f>
        <v>130 DKCRP 11 307</v>
      </c>
      <c r="S1156" t="str">
        <f>"12/17/2019 2:34:49 PM"</f>
        <v>12/17/2019 2:34:49 PM</v>
      </c>
      <c r="T1156" t="str">
        <f t="shared" si="474"/>
        <v>5</v>
      </c>
      <c r="U1156" t="str">
        <f t="shared" si="479"/>
        <v>N/A</v>
      </c>
      <c r="V1156" t="str">
        <f>"5.5500"</f>
        <v>5.5500</v>
      </c>
    </row>
    <row r="1157" spans="1:22" x14ac:dyDescent="0.25">
      <c r="A1157" s="1" t="str">
        <f t="shared" si="472"/>
        <v>5162-</v>
      </c>
      <c r="B1157" s="1" t="str">
        <f t="shared" si="480"/>
        <v>5162-</v>
      </c>
      <c r="C1157" s="1" t="s">
        <v>8888</v>
      </c>
      <c r="D1157" s="1" t="s">
        <v>91</v>
      </c>
      <c r="E1157" s="1" t="s">
        <v>1738</v>
      </c>
      <c r="F1157" s="1" t="s">
        <v>22</v>
      </c>
      <c r="G1157" s="1" t="e">
        <f>VLOOKUP(C1157,'Master truck list'!E:R,14,0)</f>
        <v>#N/A</v>
      </c>
      <c r="H1157" t="str">
        <f>"12/18/2019 7:00:28 AM"</f>
        <v>12/18/2019 7:00:28 AM</v>
      </c>
      <c r="I1157" t="str">
        <f>""</f>
        <v/>
      </c>
      <c r="J1157" t="str">
        <f t="shared" si="475"/>
        <v>Elite</v>
      </c>
      <c r="K1157" t="str">
        <f t="shared" si="462"/>
        <v>Device</v>
      </c>
      <c r="L1157" t="str">
        <f t="shared" si="481"/>
        <v>777158866</v>
      </c>
      <c r="M1157" t="str">
        <f t="shared" si="482"/>
        <v>16417941</v>
      </c>
      <c r="N1157" t="str">
        <f t="shared" si="483"/>
        <v>5162-20</v>
      </c>
      <c r="O1157" t="str">
        <f t="shared" si="476"/>
        <v>TEXAS</v>
      </c>
      <c r="P1157" t="str">
        <f t="shared" si="477"/>
        <v>N A</v>
      </c>
      <c r="Q1157" t="str">
        <f t="shared" si="478"/>
        <v>N/A</v>
      </c>
      <c r="R1157" t="str">
        <f>"45SE MLPEB 02 611"</f>
        <v>45SE MLPEB 02 611</v>
      </c>
      <c r="S1157" t="str">
        <f>"12/17/2019 2:17:07 PM"</f>
        <v>12/17/2019 2:17:07 PM</v>
      </c>
      <c r="T1157" t="str">
        <f t="shared" si="474"/>
        <v>5</v>
      </c>
      <c r="U1157" t="str">
        <f t="shared" si="479"/>
        <v>N/A</v>
      </c>
      <c r="V1157" t="str">
        <f>"3.3000"</f>
        <v>3.3000</v>
      </c>
    </row>
    <row r="1158" spans="1:22" x14ac:dyDescent="0.25">
      <c r="A1158" s="1" t="str">
        <f t="shared" si="472"/>
        <v>5162-</v>
      </c>
      <c r="B1158" s="1" t="str">
        <f t="shared" si="480"/>
        <v>5162-</v>
      </c>
      <c r="C1158" s="1" t="s">
        <v>8888</v>
      </c>
      <c r="D1158" s="1" t="s">
        <v>91</v>
      </c>
      <c r="E1158" s="1" t="s">
        <v>1738</v>
      </c>
      <c r="F1158" s="1" t="s">
        <v>22</v>
      </c>
      <c r="G1158" s="1" t="e">
        <f>VLOOKUP(C1158,'Master truck list'!E:R,14,0)</f>
        <v>#N/A</v>
      </c>
      <c r="H1158" t="str">
        <f>"12/18/2019 7:00:28 AM"</f>
        <v>12/18/2019 7:00:28 AM</v>
      </c>
      <c r="I1158" t="str">
        <f>""</f>
        <v/>
      </c>
      <c r="J1158" t="str">
        <f t="shared" si="475"/>
        <v>Elite</v>
      </c>
      <c r="K1158" t="str">
        <f t="shared" si="462"/>
        <v>Device</v>
      </c>
      <c r="L1158" t="str">
        <f t="shared" si="481"/>
        <v>777158866</v>
      </c>
      <c r="M1158" t="str">
        <f t="shared" si="482"/>
        <v>16417941</v>
      </c>
      <c r="N1158" t="str">
        <f t="shared" si="483"/>
        <v>5162-20</v>
      </c>
      <c r="O1158" t="str">
        <f t="shared" si="476"/>
        <v>TEXAS</v>
      </c>
      <c r="P1158" t="str">
        <f t="shared" si="477"/>
        <v>N A</v>
      </c>
      <c r="Q1158" t="str">
        <f t="shared" si="478"/>
        <v>N/A</v>
      </c>
      <c r="R1158" t="str">
        <f>"130 MGCRP 11 305"</f>
        <v>130 MGCRP 11 305</v>
      </c>
      <c r="S1158" t="str">
        <f>"12/17/2019 2:56:16 PM"</f>
        <v>12/17/2019 2:56:16 PM</v>
      </c>
      <c r="T1158" t="str">
        <f t="shared" si="474"/>
        <v>5</v>
      </c>
      <c r="U1158" t="str">
        <f t="shared" si="479"/>
        <v>N/A</v>
      </c>
      <c r="V1158" t="str">
        <f t="shared" ref="V1158:V1163" si="484">"5.5500"</f>
        <v>5.5500</v>
      </c>
    </row>
    <row r="1159" spans="1:22" x14ac:dyDescent="0.25">
      <c r="A1159" s="1" t="str">
        <f t="shared" si="472"/>
        <v>5162-</v>
      </c>
      <c r="B1159" s="1" t="str">
        <f t="shared" si="480"/>
        <v>5162-</v>
      </c>
      <c r="C1159" s="1" t="s">
        <v>8888</v>
      </c>
      <c r="D1159" s="1" t="s">
        <v>91</v>
      </c>
      <c r="E1159" s="1" t="s">
        <v>1738</v>
      </c>
      <c r="F1159" s="1" t="s">
        <v>22</v>
      </c>
      <c r="G1159" s="1" t="e">
        <f>VLOOKUP(C1159,'Master truck list'!E:R,14,0)</f>
        <v>#N/A</v>
      </c>
      <c r="H1159" t="str">
        <f>"12/18/2019 7:00:28 AM"</f>
        <v>12/18/2019 7:00:28 AM</v>
      </c>
      <c r="I1159" t="str">
        <f>""</f>
        <v/>
      </c>
      <c r="J1159" t="str">
        <f t="shared" si="475"/>
        <v>Elite</v>
      </c>
      <c r="K1159" t="str">
        <f t="shared" si="462"/>
        <v>Device</v>
      </c>
      <c r="L1159" t="str">
        <f t="shared" si="481"/>
        <v>777158866</v>
      </c>
      <c r="M1159" t="str">
        <f t="shared" si="482"/>
        <v>16417941</v>
      </c>
      <c r="N1159" t="str">
        <f t="shared" si="483"/>
        <v>5162-20</v>
      </c>
      <c r="O1159" t="str">
        <f t="shared" si="476"/>
        <v>TEXAS</v>
      </c>
      <c r="P1159" t="str">
        <f t="shared" si="477"/>
        <v>N A</v>
      </c>
      <c r="Q1159" t="str">
        <f t="shared" si="478"/>
        <v>N/A</v>
      </c>
      <c r="R1159" t="str">
        <f>"130 ARPTP 09 308"</f>
        <v>130 ARPTP 09 308</v>
      </c>
      <c r="S1159" t="str">
        <f>"12/17/2019 2:27:45 PM"</f>
        <v>12/17/2019 2:27:45 PM</v>
      </c>
      <c r="T1159" t="str">
        <f t="shared" si="474"/>
        <v>5</v>
      </c>
      <c r="U1159" t="str">
        <f t="shared" si="479"/>
        <v>N/A</v>
      </c>
      <c r="V1159" t="str">
        <f t="shared" si="484"/>
        <v>5.5500</v>
      </c>
    </row>
    <row r="1160" spans="1:22" x14ac:dyDescent="0.25">
      <c r="A1160" s="1" t="str">
        <f t="shared" si="472"/>
        <v>5162-</v>
      </c>
      <c r="B1160" s="1" t="str">
        <f t="shared" si="480"/>
        <v>5162-</v>
      </c>
      <c r="C1160" s="1" t="s">
        <v>8888</v>
      </c>
      <c r="D1160" s="1" t="s">
        <v>91</v>
      </c>
      <c r="E1160" s="1" t="s">
        <v>1738</v>
      </c>
      <c r="F1160" s="1" t="s">
        <v>22</v>
      </c>
      <c r="G1160" s="1" t="e">
        <f>VLOOKUP(C1160,'Master truck list'!E:R,14,0)</f>
        <v>#N/A</v>
      </c>
      <c r="H1160" t="str">
        <f>"12/18/2019 7:00:28 AM"</f>
        <v>12/18/2019 7:00:28 AM</v>
      </c>
      <c r="I1160" t="str">
        <f>""</f>
        <v/>
      </c>
      <c r="J1160" t="str">
        <f t="shared" si="475"/>
        <v>Elite</v>
      </c>
      <c r="K1160" t="str">
        <f t="shared" si="462"/>
        <v>Device</v>
      </c>
      <c r="L1160" t="str">
        <f t="shared" si="481"/>
        <v>777158866</v>
      </c>
      <c r="M1160" t="str">
        <f t="shared" si="482"/>
        <v>16417941</v>
      </c>
      <c r="N1160" t="str">
        <f t="shared" si="483"/>
        <v>5162-20</v>
      </c>
      <c r="O1160" t="str">
        <f t="shared" si="476"/>
        <v>TEXAS</v>
      </c>
      <c r="P1160" t="str">
        <f t="shared" si="477"/>
        <v>N A</v>
      </c>
      <c r="Q1160" t="str">
        <f t="shared" si="478"/>
        <v>N/A</v>
      </c>
      <c r="R1160" t="str">
        <f>"130 CMRNP 13 306"</f>
        <v>130 CMRNP 13 306</v>
      </c>
      <c r="S1160" t="str">
        <f>"12/17/2019 2:44:57 PM"</f>
        <v>12/17/2019 2:44:57 PM</v>
      </c>
      <c r="T1160" t="str">
        <f t="shared" si="474"/>
        <v>5</v>
      </c>
      <c r="U1160" t="str">
        <f t="shared" si="479"/>
        <v>N/A</v>
      </c>
      <c r="V1160" t="str">
        <f t="shared" si="484"/>
        <v>5.5500</v>
      </c>
    </row>
    <row r="1161" spans="1:22" x14ac:dyDescent="0.25">
      <c r="A1161" s="1" t="str">
        <f t="shared" si="472"/>
        <v>5162-</v>
      </c>
      <c r="B1161" s="1" t="str">
        <f t="shared" si="480"/>
        <v>5162-</v>
      </c>
      <c r="C1161" s="1" t="s">
        <v>8888</v>
      </c>
      <c r="D1161" s="1" t="s">
        <v>91</v>
      </c>
      <c r="E1161" s="1" t="s">
        <v>1738</v>
      </c>
      <c r="F1161" s="1" t="s">
        <v>22</v>
      </c>
      <c r="G1161" s="1" t="e">
        <f>VLOOKUP(C1161,'Master truck list'!E:R,14,0)</f>
        <v>#N/A</v>
      </c>
      <c r="H1161" t="str">
        <f>"12/17/2019 7:00:33 AM"</f>
        <v>12/17/2019 7:00:33 AM</v>
      </c>
      <c r="I1161" t="str">
        <f>""</f>
        <v/>
      </c>
      <c r="J1161" t="str">
        <f t="shared" si="475"/>
        <v>Elite</v>
      </c>
      <c r="K1161" t="str">
        <f t="shared" si="462"/>
        <v>Device</v>
      </c>
      <c r="L1161" t="str">
        <f t="shared" si="481"/>
        <v>777158866</v>
      </c>
      <c r="M1161" t="str">
        <f t="shared" si="482"/>
        <v>16417941</v>
      </c>
      <c r="N1161" t="str">
        <f t="shared" si="483"/>
        <v>5162-20</v>
      </c>
      <c r="O1161" t="str">
        <f t="shared" si="476"/>
        <v>TEXAS</v>
      </c>
      <c r="P1161" t="str">
        <f t="shared" si="477"/>
        <v>N A</v>
      </c>
      <c r="Q1161" t="str">
        <f t="shared" si="478"/>
        <v>N/A</v>
      </c>
      <c r="R1161" t="str">
        <f>"130 DKCRP 06 307"</f>
        <v>130 DKCRP 06 307</v>
      </c>
      <c r="S1161" t="str">
        <f>"12/16/2019 2:11:38 PM"</f>
        <v>12/16/2019 2:11:38 PM</v>
      </c>
      <c r="T1161" t="str">
        <f t="shared" si="474"/>
        <v>5</v>
      </c>
      <c r="U1161" t="str">
        <f t="shared" si="479"/>
        <v>N/A</v>
      </c>
      <c r="V1161" t="str">
        <f t="shared" si="484"/>
        <v>5.5500</v>
      </c>
    </row>
    <row r="1162" spans="1:22" x14ac:dyDescent="0.25">
      <c r="A1162" s="1" t="str">
        <f t="shared" si="472"/>
        <v>5162-</v>
      </c>
      <c r="B1162" s="1" t="str">
        <f t="shared" si="480"/>
        <v>5162-</v>
      </c>
      <c r="C1162" s="1" t="s">
        <v>8888</v>
      </c>
      <c r="D1162" s="1" t="s">
        <v>91</v>
      </c>
      <c r="E1162" s="1" t="s">
        <v>1738</v>
      </c>
      <c r="F1162" s="1" t="s">
        <v>22</v>
      </c>
      <c r="G1162" s="1" t="e">
        <f>VLOOKUP(C1162,'Master truck list'!E:R,14,0)</f>
        <v>#N/A</v>
      </c>
      <c r="H1162" t="str">
        <f>"12/17/2019 7:00:33 AM"</f>
        <v>12/17/2019 7:00:33 AM</v>
      </c>
      <c r="I1162" t="str">
        <f>""</f>
        <v/>
      </c>
      <c r="J1162" t="str">
        <f t="shared" si="475"/>
        <v>Elite</v>
      </c>
      <c r="K1162" t="str">
        <f t="shared" si="462"/>
        <v>Device</v>
      </c>
      <c r="L1162" t="str">
        <f t="shared" si="481"/>
        <v>777158866</v>
      </c>
      <c r="M1162" t="str">
        <f t="shared" si="482"/>
        <v>16417941</v>
      </c>
      <c r="N1162" t="str">
        <f t="shared" si="483"/>
        <v>5162-20</v>
      </c>
      <c r="O1162" t="str">
        <f t="shared" si="476"/>
        <v>TEXAS</v>
      </c>
      <c r="P1162" t="str">
        <f t="shared" si="477"/>
        <v>N A</v>
      </c>
      <c r="Q1162" t="str">
        <f t="shared" si="478"/>
        <v>N/A</v>
      </c>
      <c r="R1162" t="str">
        <f>"130 MGCRP 06 305"</f>
        <v>130 MGCRP 06 305</v>
      </c>
      <c r="S1162" t="str">
        <f>"12/16/2019 1:50:40 PM"</f>
        <v>12/16/2019 1:50:40 PM</v>
      </c>
      <c r="T1162" t="str">
        <f t="shared" si="474"/>
        <v>5</v>
      </c>
      <c r="U1162" t="str">
        <f t="shared" si="479"/>
        <v>N/A</v>
      </c>
      <c r="V1162" t="str">
        <f t="shared" si="484"/>
        <v>5.5500</v>
      </c>
    </row>
    <row r="1163" spans="1:22" x14ac:dyDescent="0.25">
      <c r="A1163" s="1" t="str">
        <f t="shared" si="472"/>
        <v>5162-</v>
      </c>
      <c r="B1163" s="1" t="str">
        <f t="shared" si="480"/>
        <v>5162-</v>
      </c>
      <c r="C1163" s="1" t="s">
        <v>8888</v>
      </c>
      <c r="D1163" s="1" t="s">
        <v>91</v>
      </c>
      <c r="E1163" s="1" t="s">
        <v>1738</v>
      </c>
      <c r="F1163" s="1" t="s">
        <v>22</v>
      </c>
      <c r="G1163" s="1" t="e">
        <f>VLOOKUP(C1163,'Master truck list'!E:R,14,0)</f>
        <v>#N/A</v>
      </c>
      <c r="H1163" t="str">
        <f>"12/17/2019 7:00:33 AM"</f>
        <v>12/17/2019 7:00:33 AM</v>
      </c>
      <c r="I1163" t="str">
        <f>""</f>
        <v/>
      </c>
      <c r="J1163" t="str">
        <f t="shared" si="475"/>
        <v>Elite</v>
      </c>
      <c r="K1163" t="str">
        <f t="shared" si="462"/>
        <v>Device</v>
      </c>
      <c r="L1163" t="str">
        <f t="shared" si="481"/>
        <v>777158866</v>
      </c>
      <c r="M1163" t="str">
        <f t="shared" si="482"/>
        <v>16417941</v>
      </c>
      <c r="N1163" t="str">
        <f t="shared" si="483"/>
        <v>5162-20</v>
      </c>
      <c r="O1163" t="str">
        <f t="shared" si="476"/>
        <v>TEXAS</v>
      </c>
      <c r="P1163" t="str">
        <f t="shared" si="477"/>
        <v>N A</v>
      </c>
      <c r="Q1163" t="str">
        <f t="shared" si="478"/>
        <v>N/A</v>
      </c>
      <c r="R1163" t="str">
        <f>"130 ARPTP 04 308"</f>
        <v>130 ARPTP 04 308</v>
      </c>
      <c r="S1163" t="str">
        <f>"12/16/2019 2:18:33 PM"</f>
        <v>12/16/2019 2:18:33 PM</v>
      </c>
      <c r="T1163" t="str">
        <f t="shared" si="474"/>
        <v>5</v>
      </c>
      <c r="U1163" t="str">
        <f t="shared" si="479"/>
        <v>N/A</v>
      </c>
      <c r="V1163" t="str">
        <f t="shared" si="484"/>
        <v>5.5500</v>
      </c>
    </row>
    <row r="1164" spans="1:22" x14ac:dyDescent="0.25">
      <c r="A1164" s="1" t="str">
        <f t="shared" si="472"/>
        <v>5162-</v>
      </c>
      <c r="B1164" s="1" t="str">
        <f t="shared" si="480"/>
        <v>5162-</v>
      </c>
      <c r="C1164" s="1" t="s">
        <v>8888</v>
      </c>
      <c r="D1164" s="1" t="s">
        <v>91</v>
      </c>
      <c r="E1164" s="1" t="s">
        <v>1738</v>
      </c>
      <c r="F1164" s="1" t="s">
        <v>22</v>
      </c>
      <c r="G1164" s="1" t="e">
        <f>VLOOKUP(C1164,'Master truck list'!E:R,14,0)</f>
        <v>#N/A</v>
      </c>
      <c r="H1164" t="str">
        <f>"12/17/2019 7:00:33 AM"</f>
        <v>12/17/2019 7:00:33 AM</v>
      </c>
      <c r="I1164" t="str">
        <f>""</f>
        <v/>
      </c>
      <c r="J1164" t="str">
        <f t="shared" si="475"/>
        <v>Elite</v>
      </c>
      <c r="K1164" t="str">
        <f t="shared" si="462"/>
        <v>Device</v>
      </c>
      <c r="L1164" t="str">
        <f t="shared" si="481"/>
        <v>777158866</v>
      </c>
      <c r="M1164" t="str">
        <f t="shared" si="482"/>
        <v>16417941</v>
      </c>
      <c r="N1164" t="str">
        <f t="shared" si="483"/>
        <v>5162-20</v>
      </c>
      <c r="O1164" t="str">
        <f t="shared" si="476"/>
        <v>TEXAS</v>
      </c>
      <c r="P1164" t="str">
        <f t="shared" si="477"/>
        <v>N A</v>
      </c>
      <c r="Q1164" t="str">
        <f t="shared" si="478"/>
        <v>N/A</v>
      </c>
      <c r="R1164" t="str">
        <f>"45SE MLPWB 01 611"</f>
        <v>45SE MLPWB 01 611</v>
      </c>
      <c r="S1164" t="str">
        <f>"12/16/2019 2:29:04 PM"</f>
        <v>12/16/2019 2:29:04 PM</v>
      </c>
      <c r="T1164" t="str">
        <f t="shared" si="474"/>
        <v>5</v>
      </c>
      <c r="U1164" t="str">
        <f t="shared" si="479"/>
        <v>N/A</v>
      </c>
      <c r="V1164" t="str">
        <f>"3.3000"</f>
        <v>3.3000</v>
      </c>
    </row>
    <row r="1165" spans="1:22" x14ac:dyDescent="0.25">
      <c r="A1165" s="1" t="str">
        <f t="shared" si="472"/>
        <v>5162-</v>
      </c>
      <c r="B1165" s="1" t="str">
        <f t="shared" si="480"/>
        <v>5162-</v>
      </c>
      <c r="C1165" s="1" t="s">
        <v>8888</v>
      </c>
      <c r="D1165" s="1" t="s">
        <v>91</v>
      </c>
      <c r="E1165" s="1" t="s">
        <v>1738</v>
      </c>
      <c r="F1165" s="1" t="s">
        <v>22</v>
      </c>
      <c r="G1165" s="1" t="e">
        <f>VLOOKUP(C1165,'Master truck list'!E:R,14,0)</f>
        <v>#N/A</v>
      </c>
      <c r="H1165" t="str">
        <f>"12/17/2019 7:00:33 AM"</f>
        <v>12/17/2019 7:00:33 AM</v>
      </c>
      <c r="I1165" t="str">
        <f>""</f>
        <v/>
      </c>
      <c r="J1165" t="str">
        <f t="shared" si="475"/>
        <v>Elite</v>
      </c>
      <c r="K1165" t="str">
        <f t="shared" si="462"/>
        <v>Device</v>
      </c>
      <c r="L1165" t="str">
        <f t="shared" si="481"/>
        <v>777158866</v>
      </c>
      <c r="M1165" t="str">
        <f t="shared" si="482"/>
        <v>16417941</v>
      </c>
      <c r="N1165" t="str">
        <f t="shared" si="483"/>
        <v>5162-20</v>
      </c>
      <c r="O1165" t="str">
        <f t="shared" si="476"/>
        <v>TEXAS</v>
      </c>
      <c r="P1165" t="str">
        <f t="shared" si="477"/>
        <v>N A</v>
      </c>
      <c r="Q1165" t="str">
        <f t="shared" si="478"/>
        <v>N/A</v>
      </c>
      <c r="R1165" t="str">
        <f>"130 CMRNP 08 306"</f>
        <v>130 CMRNP 08 306</v>
      </c>
      <c r="S1165" t="str">
        <f>"12/16/2019 2:01:37 PM"</f>
        <v>12/16/2019 2:01:37 PM</v>
      </c>
      <c r="T1165" t="str">
        <f t="shared" si="474"/>
        <v>5</v>
      </c>
      <c r="U1165" t="str">
        <f t="shared" si="479"/>
        <v>N/A</v>
      </c>
      <c r="V1165" t="str">
        <f>"5.5500"</f>
        <v>5.5500</v>
      </c>
    </row>
    <row r="1166" spans="1:22" x14ac:dyDescent="0.25">
      <c r="A1166" s="1" t="str">
        <f t="shared" si="472"/>
        <v>5175-</v>
      </c>
      <c r="B1166" s="1" t="str">
        <f t="shared" si="480"/>
        <v>5175-</v>
      </c>
      <c r="C1166" s="1" t="s">
        <v>8924</v>
      </c>
      <c r="D1166" s="1" t="s">
        <v>91</v>
      </c>
      <c r="E1166" s="1" t="s">
        <v>1738</v>
      </c>
      <c r="F1166" s="1" t="s">
        <v>22</v>
      </c>
      <c r="G1166" s="1" t="e">
        <f>VLOOKUP(C1166,'Master truck list'!E:R,14,0)</f>
        <v>#N/A</v>
      </c>
      <c r="H1166" t="str">
        <f t="shared" ref="H1166:H1171" si="485">"12/20/2019 7:00:30 AM"</f>
        <v>12/20/2019 7:00:30 AM</v>
      </c>
      <c r="I1166" t="str">
        <f>""</f>
        <v/>
      </c>
      <c r="J1166" t="str">
        <f t="shared" si="475"/>
        <v>Elite</v>
      </c>
      <c r="K1166" t="str">
        <f t="shared" si="462"/>
        <v>Device</v>
      </c>
      <c r="L1166" t="str">
        <f t="shared" ref="L1166:L1171" si="486">"777211717"</f>
        <v>777211717</v>
      </c>
      <c r="M1166" t="str">
        <f t="shared" ref="M1166:M1171" si="487">"16546839"</f>
        <v>16546839</v>
      </c>
      <c r="N1166" t="str">
        <f t="shared" ref="N1166:N1171" si="488">"5175-20"</f>
        <v>5175-20</v>
      </c>
      <c r="O1166" t="str">
        <f t="shared" si="476"/>
        <v>TEXAS</v>
      </c>
      <c r="P1166" t="str">
        <f t="shared" si="477"/>
        <v>N A</v>
      </c>
      <c r="Q1166" t="str">
        <f t="shared" si="478"/>
        <v>N/A</v>
      </c>
      <c r="R1166" t="str">
        <f>"PGBW MLG12 09 MLG1"</f>
        <v>PGBW MLG12 09 MLG1</v>
      </c>
      <c r="S1166" t="str">
        <f>"12/19/2019 9:09:20 AM"</f>
        <v>12/19/2019 9:09:20 AM</v>
      </c>
      <c r="T1166" t="str">
        <f t="shared" si="474"/>
        <v>5</v>
      </c>
      <c r="U1166" t="str">
        <f t="shared" si="479"/>
        <v>N/A</v>
      </c>
      <c r="V1166" t="str">
        <f>"4.6400"</f>
        <v>4.6400</v>
      </c>
    </row>
    <row r="1167" spans="1:22" x14ac:dyDescent="0.25">
      <c r="A1167" s="1" t="str">
        <f t="shared" si="472"/>
        <v>5175-</v>
      </c>
      <c r="B1167" s="1" t="str">
        <f t="shared" si="480"/>
        <v>5175-</v>
      </c>
      <c r="C1167" s="1" t="s">
        <v>8924</v>
      </c>
      <c r="D1167" s="1" t="s">
        <v>91</v>
      </c>
      <c r="E1167" s="1" t="s">
        <v>1738</v>
      </c>
      <c r="F1167" s="1" t="s">
        <v>22</v>
      </c>
      <c r="G1167" s="1" t="e">
        <f>VLOOKUP(C1167,'Master truck list'!E:R,14,0)</f>
        <v>#N/A</v>
      </c>
      <c r="H1167" t="str">
        <f t="shared" si="485"/>
        <v>12/20/2019 7:00:30 AM</v>
      </c>
      <c r="I1167" t="str">
        <f>""</f>
        <v/>
      </c>
      <c r="J1167" t="str">
        <f t="shared" si="475"/>
        <v>Elite</v>
      </c>
      <c r="K1167" t="str">
        <f t="shared" ref="K1167:K1175" si="489">"Device"</f>
        <v>Device</v>
      </c>
      <c r="L1167" t="str">
        <f t="shared" si="486"/>
        <v>777211717</v>
      </c>
      <c r="M1167" t="str">
        <f t="shared" si="487"/>
        <v>16546839</v>
      </c>
      <c r="N1167" t="str">
        <f t="shared" si="488"/>
        <v>5175-20</v>
      </c>
      <c r="O1167" t="str">
        <f t="shared" si="476"/>
        <v>TEXAS</v>
      </c>
      <c r="P1167" t="str">
        <f t="shared" si="477"/>
        <v>N A</v>
      </c>
      <c r="Q1167" t="str">
        <f t="shared" si="478"/>
        <v>N/A</v>
      </c>
      <c r="R1167" t="str">
        <f>"130 ARPTP 04 308"</f>
        <v>130 ARPTP 04 308</v>
      </c>
      <c r="S1167" t="str">
        <f>"12/19/2019 4:45:11 PM"</f>
        <v>12/19/2019 4:45:11 PM</v>
      </c>
      <c r="T1167" t="str">
        <f t="shared" si="474"/>
        <v>5</v>
      </c>
      <c r="U1167" t="str">
        <f t="shared" si="479"/>
        <v>N/A</v>
      </c>
      <c r="V1167" t="str">
        <f>"5.5500"</f>
        <v>5.5500</v>
      </c>
    </row>
    <row r="1168" spans="1:22" x14ac:dyDescent="0.25">
      <c r="A1168" s="1" t="str">
        <f t="shared" si="472"/>
        <v>5175-</v>
      </c>
      <c r="B1168" s="1" t="str">
        <f t="shared" si="480"/>
        <v>5175-</v>
      </c>
      <c r="C1168" s="1" t="s">
        <v>8924</v>
      </c>
      <c r="D1168" s="1" t="s">
        <v>91</v>
      </c>
      <c r="E1168" s="1" t="s">
        <v>1738</v>
      </c>
      <c r="F1168" s="1" t="s">
        <v>22</v>
      </c>
      <c r="G1168" s="1" t="e">
        <f>VLOOKUP(C1168,'Master truck list'!E:R,14,0)</f>
        <v>#N/A</v>
      </c>
      <c r="H1168" t="str">
        <f t="shared" si="485"/>
        <v>12/20/2019 7:00:30 AM</v>
      </c>
      <c r="I1168" t="str">
        <f>""</f>
        <v/>
      </c>
      <c r="J1168" t="str">
        <f t="shared" si="475"/>
        <v>Elite</v>
      </c>
      <c r="K1168" t="str">
        <f t="shared" si="489"/>
        <v>Device</v>
      </c>
      <c r="L1168" t="str">
        <f t="shared" si="486"/>
        <v>777211717</v>
      </c>
      <c r="M1168" t="str">
        <f t="shared" si="487"/>
        <v>16546839</v>
      </c>
      <c r="N1168" t="str">
        <f t="shared" si="488"/>
        <v>5175-20</v>
      </c>
      <c r="O1168" t="str">
        <f t="shared" si="476"/>
        <v>TEXAS</v>
      </c>
      <c r="P1168" t="str">
        <f t="shared" si="477"/>
        <v>N A</v>
      </c>
      <c r="Q1168" t="str">
        <f t="shared" si="478"/>
        <v>N/A</v>
      </c>
      <c r="R1168" t="str">
        <f>"130 DKCRP 06 307"</f>
        <v>130 DKCRP 06 307</v>
      </c>
      <c r="S1168" t="str">
        <f>"12/19/2019 4:37:45 PM"</f>
        <v>12/19/2019 4:37:45 PM</v>
      </c>
      <c r="T1168" t="str">
        <f t="shared" si="474"/>
        <v>5</v>
      </c>
      <c r="U1168" t="str">
        <f t="shared" si="479"/>
        <v>N/A</v>
      </c>
      <c r="V1168" t="str">
        <f>"5.5500"</f>
        <v>5.5500</v>
      </c>
    </row>
    <row r="1169" spans="1:22" x14ac:dyDescent="0.25">
      <c r="A1169" s="1" t="str">
        <f t="shared" si="472"/>
        <v>5175-</v>
      </c>
      <c r="B1169" s="1" t="str">
        <f t="shared" si="480"/>
        <v>5175-</v>
      </c>
      <c r="C1169" s="1" t="s">
        <v>8924</v>
      </c>
      <c r="D1169" s="1" t="s">
        <v>91</v>
      </c>
      <c r="E1169" s="1" t="s">
        <v>1738</v>
      </c>
      <c r="F1169" s="1" t="s">
        <v>22</v>
      </c>
      <c r="G1169" s="1" t="e">
        <f>VLOOKUP(C1169,'Master truck list'!E:R,14,0)</f>
        <v>#N/A</v>
      </c>
      <c r="H1169" t="str">
        <f t="shared" si="485"/>
        <v>12/20/2019 7:00:30 AM</v>
      </c>
      <c r="I1169" t="str">
        <f>""</f>
        <v/>
      </c>
      <c r="J1169" t="str">
        <f t="shared" si="475"/>
        <v>Elite</v>
      </c>
      <c r="K1169" t="str">
        <f t="shared" si="489"/>
        <v>Device</v>
      </c>
      <c r="L1169" t="str">
        <f t="shared" si="486"/>
        <v>777211717</v>
      </c>
      <c r="M1169" t="str">
        <f t="shared" si="487"/>
        <v>16546839</v>
      </c>
      <c r="N1169" t="str">
        <f t="shared" si="488"/>
        <v>5175-20</v>
      </c>
      <c r="O1169" t="str">
        <f t="shared" si="476"/>
        <v>TEXAS</v>
      </c>
      <c r="P1169" t="str">
        <f t="shared" si="477"/>
        <v>N A</v>
      </c>
      <c r="Q1169" t="str">
        <f t="shared" si="478"/>
        <v>N/A</v>
      </c>
      <c r="R1169" t="str">
        <f>"130 CMRNP 08 306"</f>
        <v>130 CMRNP 08 306</v>
      </c>
      <c r="S1169" t="str">
        <f>"12/19/2019 4:26:26 PM"</f>
        <v>12/19/2019 4:26:26 PM</v>
      </c>
      <c r="T1169" t="str">
        <f t="shared" si="474"/>
        <v>5</v>
      </c>
      <c r="U1169" t="str">
        <f t="shared" si="479"/>
        <v>N/A</v>
      </c>
      <c r="V1169" t="str">
        <f>"5.5500"</f>
        <v>5.5500</v>
      </c>
    </row>
    <row r="1170" spans="1:22" x14ac:dyDescent="0.25">
      <c r="A1170" s="1" t="str">
        <f t="shared" si="472"/>
        <v>5175-</v>
      </c>
      <c r="B1170" s="1" t="str">
        <f t="shared" si="480"/>
        <v>5175-</v>
      </c>
      <c r="C1170" s="1" t="s">
        <v>8924</v>
      </c>
      <c r="D1170" s="1" t="s">
        <v>91</v>
      </c>
      <c r="E1170" s="1" t="s">
        <v>1738</v>
      </c>
      <c r="F1170" s="1" t="s">
        <v>22</v>
      </c>
      <c r="G1170" s="1" t="e">
        <f>VLOOKUP(C1170,'Master truck list'!E:R,14,0)</f>
        <v>#N/A</v>
      </c>
      <c r="H1170" t="str">
        <f t="shared" si="485"/>
        <v>12/20/2019 7:00:30 AM</v>
      </c>
      <c r="I1170" t="str">
        <f>""</f>
        <v/>
      </c>
      <c r="J1170" t="str">
        <f t="shared" si="475"/>
        <v>Elite</v>
      </c>
      <c r="K1170" t="str">
        <f t="shared" si="489"/>
        <v>Device</v>
      </c>
      <c r="L1170" t="str">
        <f t="shared" si="486"/>
        <v>777211717</v>
      </c>
      <c r="M1170" t="str">
        <f t="shared" si="487"/>
        <v>16546839</v>
      </c>
      <c r="N1170" t="str">
        <f t="shared" si="488"/>
        <v>5175-20</v>
      </c>
      <c r="O1170" t="str">
        <f t="shared" si="476"/>
        <v>TEXAS</v>
      </c>
      <c r="P1170" t="str">
        <f t="shared" si="477"/>
        <v>N A</v>
      </c>
      <c r="Q1170" t="str">
        <f t="shared" si="478"/>
        <v>N/A</v>
      </c>
      <c r="R1170" t="str">
        <f>"45SE MLPWB 01 611"</f>
        <v>45SE MLPWB 01 611</v>
      </c>
      <c r="S1170" t="str">
        <f>"12/19/2019 4:56:10 PM"</f>
        <v>12/19/2019 4:56:10 PM</v>
      </c>
      <c r="T1170" t="str">
        <f t="shared" si="474"/>
        <v>5</v>
      </c>
      <c r="U1170" t="str">
        <f t="shared" si="479"/>
        <v>N/A</v>
      </c>
      <c r="V1170" t="str">
        <f>"3.3000"</f>
        <v>3.3000</v>
      </c>
    </row>
    <row r="1171" spans="1:22" x14ac:dyDescent="0.25">
      <c r="A1171" s="1" t="str">
        <f t="shared" si="472"/>
        <v>5175-</v>
      </c>
      <c r="B1171" s="1" t="str">
        <f t="shared" si="480"/>
        <v>5175-</v>
      </c>
      <c r="C1171" s="1" t="s">
        <v>8924</v>
      </c>
      <c r="D1171" s="1" t="s">
        <v>91</v>
      </c>
      <c r="E1171" s="1" t="s">
        <v>1738</v>
      </c>
      <c r="F1171" s="1" t="s">
        <v>22</v>
      </c>
      <c r="G1171" s="1" t="e">
        <f>VLOOKUP(C1171,'Master truck list'!E:R,14,0)</f>
        <v>#N/A</v>
      </c>
      <c r="H1171" t="str">
        <f t="shared" si="485"/>
        <v>12/20/2019 7:00:30 AM</v>
      </c>
      <c r="I1171" t="str">
        <f>""</f>
        <v/>
      </c>
      <c r="J1171" t="str">
        <f t="shared" si="475"/>
        <v>Elite</v>
      </c>
      <c r="K1171" t="str">
        <f t="shared" si="489"/>
        <v>Device</v>
      </c>
      <c r="L1171" t="str">
        <f t="shared" si="486"/>
        <v>777211717</v>
      </c>
      <c r="M1171" t="str">
        <f t="shared" si="487"/>
        <v>16546839</v>
      </c>
      <c r="N1171" t="str">
        <f t="shared" si="488"/>
        <v>5175-20</v>
      </c>
      <c r="O1171" t="str">
        <f t="shared" si="476"/>
        <v>TEXAS</v>
      </c>
      <c r="P1171" t="str">
        <f t="shared" si="477"/>
        <v>N A</v>
      </c>
      <c r="Q1171" t="str">
        <f t="shared" si="478"/>
        <v>N/A</v>
      </c>
      <c r="R1171" t="str">
        <f>"130 MGCRP 06 305"</f>
        <v>130 MGCRP 06 305</v>
      </c>
      <c r="S1171" t="str">
        <f>"12/19/2019 4:15:26 PM"</f>
        <v>12/19/2019 4:15:26 PM</v>
      </c>
      <c r="T1171" t="str">
        <f t="shared" si="474"/>
        <v>5</v>
      </c>
      <c r="U1171" t="str">
        <f t="shared" si="479"/>
        <v>N/A</v>
      </c>
      <c r="V1171" t="str">
        <f>"5.5500"</f>
        <v>5.5500</v>
      </c>
    </row>
    <row r="1172" spans="1:22" x14ac:dyDescent="0.25">
      <c r="A1172" s="1" t="str">
        <f t="shared" si="472"/>
        <v>5151-</v>
      </c>
      <c r="B1172" s="1" t="str">
        <f t="shared" si="480"/>
        <v>5151-</v>
      </c>
      <c r="C1172" s="1" t="s">
        <v>8925</v>
      </c>
      <c r="D1172" s="1" t="s">
        <v>91</v>
      </c>
      <c r="E1172" s="1" t="s">
        <v>1738</v>
      </c>
      <c r="F1172" s="1" t="s">
        <v>22</v>
      </c>
      <c r="G1172" s="1" t="e">
        <f>VLOOKUP(C1172,'Master truck list'!E:R,14,0)</f>
        <v>#N/A</v>
      </c>
      <c r="H1172" t="str">
        <f>"12/17/2019 7:00:33 AM"</f>
        <v>12/17/2019 7:00:33 AM</v>
      </c>
      <c r="I1172" t="str">
        <f>""</f>
        <v/>
      </c>
      <c r="J1172" t="str">
        <f t="shared" si="475"/>
        <v>Elite</v>
      </c>
      <c r="K1172" t="str">
        <f t="shared" si="489"/>
        <v>Device</v>
      </c>
      <c r="L1172" t="str">
        <f>"777211609"</f>
        <v>777211609</v>
      </c>
      <c r="M1172" t="str">
        <f>"16546731"</f>
        <v>16546731</v>
      </c>
      <c r="N1172" t="str">
        <f>"5151-20"</f>
        <v>5151-20</v>
      </c>
      <c r="O1172" t="str">
        <f t="shared" si="476"/>
        <v>TEXAS</v>
      </c>
      <c r="P1172" t="str">
        <f t="shared" si="477"/>
        <v>N A</v>
      </c>
      <c r="Q1172" t="str">
        <f t="shared" si="478"/>
        <v>N/A</v>
      </c>
      <c r="R1172" t="str">
        <f>"130 ARPTP 04 308"</f>
        <v>130 ARPTP 04 308</v>
      </c>
      <c r="S1172" t="str">
        <f>"12/16/2019 2:05:34 PM"</f>
        <v>12/16/2019 2:05:34 PM</v>
      </c>
      <c r="T1172" t="str">
        <f t="shared" si="474"/>
        <v>5</v>
      </c>
      <c r="U1172" t="str">
        <f t="shared" si="479"/>
        <v>N/A</v>
      </c>
      <c r="V1172" t="str">
        <f>"5.5500"</f>
        <v>5.5500</v>
      </c>
    </row>
    <row r="1173" spans="1:22" x14ac:dyDescent="0.25">
      <c r="A1173" s="1" t="str">
        <f t="shared" si="472"/>
        <v>5151-</v>
      </c>
      <c r="B1173" s="1" t="str">
        <f t="shared" si="480"/>
        <v>5151-</v>
      </c>
      <c r="C1173" s="1" t="s">
        <v>8925</v>
      </c>
      <c r="D1173" s="1" t="s">
        <v>91</v>
      </c>
      <c r="E1173" s="1" t="s">
        <v>1738</v>
      </c>
      <c r="F1173" s="1" t="s">
        <v>22</v>
      </c>
      <c r="G1173" s="1" t="e">
        <f>VLOOKUP(C1173,'Master truck list'!E:R,14,0)</f>
        <v>#N/A</v>
      </c>
      <c r="H1173" t="str">
        <f>"12/17/2019 7:00:33 AM"</f>
        <v>12/17/2019 7:00:33 AM</v>
      </c>
      <c r="I1173" t="str">
        <f>""</f>
        <v/>
      </c>
      <c r="J1173" t="str">
        <f t="shared" si="475"/>
        <v>Elite</v>
      </c>
      <c r="K1173" t="str">
        <f t="shared" si="489"/>
        <v>Device</v>
      </c>
      <c r="L1173" t="str">
        <f>"777211609"</f>
        <v>777211609</v>
      </c>
      <c r="M1173" t="str">
        <f>"16546731"</f>
        <v>16546731</v>
      </c>
      <c r="N1173" t="str">
        <f>"5151-20"</f>
        <v>5151-20</v>
      </c>
      <c r="O1173" t="str">
        <f t="shared" si="476"/>
        <v>TEXAS</v>
      </c>
      <c r="P1173" t="str">
        <f t="shared" si="477"/>
        <v>N A</v>
      </c>
      <c r="Q1173" t="str">
        <f t="shared" si="478"/>
        <v>N/A</v>
      </c>
      <c r="R1173" t="str">
        <f>"130 CMRNP 08 306"</f>
        <v>130 CMRNP 08 306</v>
      </c>
      <c r="S1173" t="str">
        <f>"12/16/2019 1:48:30 PM"</f>
        <v>12/16/2019 1:48:30 PM</v>
      </c>
      <c r="T1173" t="str">
        <f t="shared" si="474"/>
        <v>5</v>
      </c>
      <c r="U1173" t="str">
        <f t="shared" si="479"/>
        <v>N/A</v>
      </c>
      <c r="V1173" t="str">
        <f>"5.5500"</f>
        <v>5.5500</v>
      </c>
    </row>
    <row r="1174" spans="1:22" x14ac:dyDescent="0.25">
      <c r="A1174" s="1" t="str">
        <f t="shared" si="472"/>
        <v>5151-</v>
      </c>
      <c r="B1174" s="1" t="str">
        <f t="shared" si="480"/>
        <v>5151-</v>
      </c>
      <c r="C1174" s="1" t="s">
        <v>8925</v>
      </c>
      <c r="D1174" s="1" t="s">
        <v>91</v>
      </c>
      <c r="E1174" s="1" t="s">
        <v>1738</v>
      </c>
      <c r="F1174" s="1" t="s">
        <v>22</v>
      </c>
      <c r="G1174" s="1" t="e">
        <f>VLOOKUP(C1174,'Master truck list'!E:R,14,0)</f>
        <v>#N/A</v>
      </c>
      <c r="H1174" t="str">
        <f>"12/17/2019 7:00:33 AM"</f>
        <v>12/17/2019 7:00:33 AM</v>
      </c>
      <c r="I1174" t="str">
        <f>""</f>
        <v/>
      </c>
      <c r="J1174" t="str">
        <f t="shared" si="475"/>
        <v>Elite</v>
      </c>
      <c r="K1174" t="str">
        <f t="shared" si="489"/>
        <v>Device</v>
      </c>
      <c r="L1174" t="str">
        <f>"777211609"</f>
        <v>777211609</v>
      </c>
      <c r="M1174" t="str">
        <f>"16546731"</f>
        <v>16546731</v>
      </c>
      <c r="N1174" t="str">
        <f>"5151-20"</f>
        <v>5151-20</v>
      </c>
      <c r="O1174" t="str">
        <f t="shared" si="476"/>
        <v>TEXAS</v>
      </c>
      <c r="P1174" t="str">
        <f t="shared" si="477"/>
        <v>N A</v>
      </c>
      <c r="Q1174" t="str">
        <f t="shared" si="478"/>
        <v>N/A</v>
      </c>
      <c r="R1174" t="str">
        <f>"130 MGCRP 06 305"</f>
        <v>130 MGCRP 06 305</v>
      </c>
      <c r="S1174" t="str">
        <f>"12/16/2019 1:37:33 PM"</f>
        <v>12/16/2019 1:37:33 PM</v>
      </c>
      <c r="T1174" t="str">
        <f t="shared" si="474"/>
        <v>5</v>
      </c>
      <c r="U1174" t="str">
        <f t="shared" si="479"/>
        <v>N/A</v>
      </c>
      <c r="V1174" t="str">
        <f>"5.5500"</f>
        <v>5.5500</v>
      </c>
    </row>
    <row r="1175" spans="1:22" x14ac:dyDescent="0.25">
      <c r="A1175" s="1" t="str">
        <f t="shared" si="472"/>
        <v>5151-</v>
      </c>
      <c r="B1175" s="1" t="str">
        <f t="shared" si="480"/>
        <v>5151-</v>
      </c>
      <c r="C1175" s="1" t="s">
        <v>8925</v>
      </c>
      <c r="D1175" s="1" t="s">
        <v>91</v>
      </c>
      <c r="E1175" s="1" t="s">
        <v>1738</v>
      </c>
      <c r="F1175" s="1" t="s">
        <v>22</v>
      </c>
      <c r="G1175" s="1" t="e">
        <f>VLOOKUP(C1175,'Master truck list'!E:R,14,0)</f>
        <v>#N/A</v>
      </c>
      <c r="H1175" t="str">
        <f>"12/17/2019 7:00:33 AM"</f>
        <v>12/17/2019 7:00:33 AM</v>
      </c>
      <c r="I1175" t="str">
        <f>""</f>
        <v/>
      </c>
      <c r="J1175" t="str">
        <f t="shared" si="475"/>
        <v>Elite</v>
      </c>
      <c r="K1175" t="str">
        <f t="shared" si="489"/>
        <v>Device</v>
      </c>
      <c r="L1175" t="str">
        <f>"777211609"</f>
        <v>777211609</v>
      </c>
      <c r="M1175" t="str">
        <f>"16546731"</f>
        <v>16546731</v>
      </c>
      <c r="N1175" t="str">
        <f>"5151-20"</f>
        <v>5151-20</v>
      </c>
      <c r="O1175" t="str">
        <f t="shared" si="476"/>
        <v>TEXAS</v>
      </c>
      <c r="P1175" t="str">
        <f t="shared" si="477"/>
        <v>N A</v>
      </c>
      <c r="Q1175" t="str">
        <f t="shared" si="478"/>
        <v>N/A</v>
      </c>
      <c r="R1175" t="str">
        <f>"130 DKCRP 06 307"</f>
        <v>130 DKCRP 06 307</v>
      </c>
      <c r="S1175" t="str">
        <f>"12/16/2019 1:58:34 PM"</f>
        <v>12/16/2019 1:58:34 PM</v>
      </c>
      <c r="T1175" t="str">
        <f t="shared" si="474"/>
        <v>5</v>
      </c>
      <c r="U1175" t="str">
        <f t="shared" si="479"/>
        <v>N/A</v>
      </c>
      <c r="V1175" t="str">
        <f>"5.5500"</f>
        <v>5.5500</v>
      </c>
    </row>
    <row r="1176" spans="1:22" x14ac:dyDescent="0.25">
      <c r="A1176" s="1" t="str">
        <f t="shared" si="472"/>
        <v>5151-</v>
      </c>
      <c r="B1176" s="1" t="str">
        <f t="shared" si="480"/>
        <v>5151-</v>
      </c>
      <c r="C1176" s="1" t="s">
        <v>8925</v>
      </c>
      <c r="D1176" s="1" t="s">
        <v>91</v>
      </c>
      <c r="E1176" s="1" t="s">
        <v>1738</v>
      </c>
      <c r="F1176" s="1" t="s">
        <v>22</v>
      </c>
      <c r="G1176" s="1" t="e">
        <f>VLOOKUP(C1176,'Master truck list'!E:R,14,0)</f>
        <v>#N/A</v>
      </c>
      <c r="H1176" t="str">
        <f>"12/21/2019 7:00:28 AM"</f>
        <v>12/21/2019 7:00:28 AM</v>
      </c>
      <c r="I1176" t="str">
        <f>""</f>
        <v/>
      </c>
      <c r="J1176" t="str">
        <f t="shared" si="475"/>
        <v>Elite</v>
      </c>
      <c r="K1176" t="str">
        <f>"Plate"</f>
        <v>Plate</v>
      </c>
      <c r="L1176" t="str">
        <f>"777211609"</f>
        <v>777211609</v>
      </c>
      <c r="M1176" t="str">
        <f>"IN-2895801"</f>
        <v>IN-2895801</v>
      </c>
      <c r="N1176" t="str">
        <f>"5151-20"</f>
        <v>5151-20</v>
      </c>
      <c r="O1176" t="str">
        <f t="shared" si="476"/>
        <v>TEXAS</v>
      </c>
      <c r="P1176" t="str">
        <f t="shared" si="477"/>
        <v>N A</v>
      </c>
      <c r="Q1176" t="str">
        <f t="shared" si="478"/>
        <v>N/A</v>
      </c>
      <c r="R1176" t="str">
        <f>"45SE MLPWB 01 611"</f>
        <v>45SE MLPWB 01 611</v>
      </c>
      <c r="S1176" t="str">
        <f>"12/16/2019 2:16:05 PM"</f>
        <v>12/16/2019 2:16:05 PM</v>
      </c>
      <c r="T1176" t="str">
        <f t="shared" si="474"/>
        <v>5</v>
      </c>
      <c r="U1176" t="str">
        <f t="shared" si="479"/>
        <v>N/A</v>
      </c>
      <c r="V1176" t="str">
        <f>"4.3900"</f>
        <v>4.3900</v>
      </c>
    </row>
    <row r="1177" spans="1:22" x14ac:dyDescent="0.25">
      <c r="A1177" s="1" t="str">
        <f t="shared" si="472"/>
        <v>5165-</v>
      </c>
      <c r="B1177" s="1" t="str">
        <f t="shared" si="480"/>
        <v>5165-</v>
      </c>
      <c r="C1177" s="1" t="s">
        <v>8905</v>
      </c>
      <c r="D1177" s="1" t="s">
        <v>91</v>
      </c>
      <c r="E1177" s="1" t="s">
        <v>1738</v>
      </c>
      <c r="F1177" s="1" t="s">
        <v>22</v>
      </c>
      <c r="G1177" s="1" t="e">
        <f>VLOOKUP(C1177,'Master truck list'!E:R,14,0)</f>
        <v>#N/A</v>
      </c>
      <c r="H1177" t="str">
        <f>"12/18/2019 7:00:28 AM"</f>
        <v>12/18/2019 7:00:28 AM</v>
      </c>
      <c r="I1177" t="str">
        <f>""</f>
        <v/>
      </c>
      <c r="J1177" t="str">
        <f t="shared" si="475"/>
        <v>Elite</v>
      </c>
      <c r="K1177" t="str">
        <f t="shared" ref="K1177:K1240" si="490">"Device"</f>
        <v>Device</v>
      </c>
      <c r="L1177" t="str">
        <f>"777167642"</f>
        <v>777167642</v>
      </c>
      <c r="M1177" t="str">
        <f>"16426717"</f>
        <v>16426717</v>
      </c>
      <c r="N1177" t="str">
        <f>"5165-20"</f>
        <v>5165-20</v>
      </c>
      <c r="O1177" t="str">
        <f t="shared" si="476"/>
        <v>TEXAS</v>
      </c>
      <c r="P1177" t="str">
        <f t="shared" si="477"/>
        <v>N A</v>
      </c>
      <c r="Q1177" t="str">
        <f t="shared" si="478"/>
        <v>N/A</v>
      </c>
      <c r="R1177" t="str">
        <f>"I35WN 820 24 820"</f>
        <v>I35WN 820 24 820</v>
      </c>
      <c r="S1177" t="str">
        <f>"12/17/2019 7:51:44 AM"</f>
        <v>12/17/2019 7:51:44 AM</v>
      </c>
      <c r="T1177" t="str">
        <f>"2"</f>
        <v>2</v>
      </c>
      <c r="U1177" t="str">
        <f t="shared" si="479"/>
        <v>N/A</v>
      </c>
      <c r="V1177" t="str">
        <f>"10.0000"</f>
        <v>10.0000</v>
      </c>
    </row>
    <row r="1178" spans="1:22" x14ac:dyDescent="0.25">
      <c r="A1178" s="1" t="str">
        <f t="shared" si="472"/>
        <v>5165-</v>
      </c>
      <c r="B1178" s="1" t="str">
        <f t="shared" si="480"/>
        <v>5165-</v>
      </c>
      <c r="C1178" s="1" t="s">
        <v>8905</v>
      </c>
      <c r="D1178" s="1" t="s">
        <v>91</v>
      </c>
      <c r="E1178" s="1" t="s">
        <v>1738</v>
      </c>
      <c r="F1178" s="1" t="s">
        <v>22</v>
      </c>
      <c r="G1178" s="1" t="e">
        <f>VLOOKUP(C1178,'Master truck list'!E:R,14,0)</f>
        <v>#N/A</v>
      </c>
      <c r="H1178" t="str">
        <f>"12/18/2019 7:00:28 AM"</f>
        <v>12/18/2019 7:00:28 AM</v>
      </c>
      <c r="I1178" t="str">
        <f>""</f>
        <v/>
      </c>
      <c r="J1178" t="str">
        <f t="shared" si="475"/>
        <v>Elite</v>
      </c>
      <c r="K1178" t="str">
        <f t="shared" si="490"/>
        <v>Device</v>
      </c>
      <c r="L1178" t="str">
        <f>"777167642"</f>
        <v>777167642</v>
      </c>
      <c r="M1178" t="str">
        <f>"16426717"</f>
        <v>16426717</v>
      </c>
      <c r="N1178" t="str">
        <f>"5165-20"</f>
        <v>5165-20</v>
      </c>
      <c r="O1178" t="str">
        <f t="shared" si="476"/>
        <v>TEXAS</v>
      </c>
      <c r="P1178" t="str">
        <f t="shared" si="477"/>
        <v>N A</v>
      </c>
      <c r="Q1178" t="str">
        <f t="shared" si="478"/>
        <v>N/A</v>
      </c>
      <c r="R1178" t="str">
        <f>"I35W I35WI30EAST 37 I35W"</f>
        <v>I35W I35WI30EAST 37 I35W</v>
      </c>
      <c r="S1178" t="str">
        <f>"12/17/2019 7:45:09 AM"</f>
        <v>12/17/2019 7:45:09 AM</v>
      </c>
      <c r="T1178" t="str">
        <f>"2"</f>
        <v>2</v>
      </c>
      <c r="U1178" t="str">
        <f t="shared" si="479"/>
        <v>N/A</v>
      </c>
      <c r="V1178" t="str">
        <f>"15.2000"</f>
        <v>15.2000</v>
      </c>
    </row>
    <row r="1179" spans="1:22" x14ac:dyDescent="0.25">
      <c r="A1179" s="1" t="str">
        <f t="shared" si="472"/>
        <v>5165-</v>
      </c>
      <c r="B1179" s="1" t="str">
        <f t="shared" si="480"/>
        <v>5165-</v>
      </c>
      <c r="C1179" s="1" t="s">
        <v>8905</v>
      </c>
      <c r="D1179" s="1" t="s">
        <v>91</v>
      </c>
      <c r="E1179" s="1" t="s">
        <v>1738</v>
      </c>
      <c r="F1179" s="1" t="s">
        <v>22</v>
      </c>
      <c r="G1179" s="1" t="e">
        <f>VLOOKUP(C1179,'Master truck list'!E:R,14,0)</f>
        <v>#N/A</v>
      </c>
      <c r="H1179" t="str">
        <f>"12/21/2019 7:00:28 AM"</f>
        <v>12/21/2019 7:00:28 AM</v>
      </c>
      <c r="I1179" t="str">
        <f>""</f>
        <v/>
      </c>
      <c r="J1179" t="str">
        <f t="shared" si="475"/>
        <v>Elite</v>
      </c>
      <c r="K1179" t="str">
        <f t="shared" si="490"/>
        <v>Device</v>
      </c>
      <c r="L1179" t="str">
        <f>"777167642"</f>
        <v>777167642</v>
      </c>
      <c r="M1179" t="str">
        <f>"16426717"</f>
        <v>16426717</v>
      </c>
      <c r="N1179" t="str">
        <f>"5165-20"</f>
        <v>5165-20</v>
      </c>
      <c r="O1179" t="str">
        <f t="shared" si="476"/>
        <v>TEXAS</v>
      </c>
      <c r="P1179" t="str">
        <f t="shared" si="477"/>
        <v>N A</v>
      </c>
      <c r="Q1179" t="str">
        <f t="shared" si="478"/>
        <v>N/A</v>
      </c>
      <c r="R1179" t="str">
        <f>"I35WS US287S 22 US28"</f>
        <v>I35WS US287S 22 US28</v>
      </c>
      <c r="S1179" t="str">
        <f>"12/19/2019 8:59:40 AM"</f>
        <v>12/19/2019 8:59:40 AM</v>
      </c>
      <c r="T1179" t="str">
        <f>"2"</f>
        <v>2</v>
      </c>
      <c r="U1179" t="str">
        <f t="shared" si="479"/>
        <v>N/A</v>
      </c>
      <c r="V1179" t="str">
        <f>"12.0000"</f>
        <v>12.0000</v>
      </c>
    </row>
    <row r="1180" spans="1:22" x14ac:dyDescent="0.25">
      <c r="A1180" s="1" t="str">
        <f t="shared" si="472"/>
        <v>5165-</v>
      </c>
      <c r="B1180" s="1" t="str">
        <f t="shared" si="480"/>
        <v>5165-</v>
      </c>
      <c r="C1180" s="1" t="s">
        <v>8905</v>
      </c>
      <c r="D1180" s="1" t="s">
        <v>91</v>
      </c>
      <c r="E1180" s="1" t="s">
        <v>1738</v>
      </c>
      <c r="F1180" s="1" t="s">
        <v>22</v>
      </c>
      <c r="G1180" s="1" t="e">
        <f>VLOOKUP(C1180,'Master truck list'!E:R,14,0)</f>
        <v>#N/A</v>
      </c>
      <c r="H1180" t="str">
        <f>"12/21/2019 7:00:28 AM"</f>
        <v>12/21/2019 7:00:28 AM</v>
      </c>
      <c r="I1180" t="str">
        <f>""</f>
        <v/>
      </c>
      <c r="J1180" t="str">
        <f t="shared" si="475"/>
        <v>Elite</v>
      </c>
      <c r="K1180" t="str">
        <f t="shared" si="490"/>
        <v>Device</v>
      </c>
      <c r="L1180" t="str">
        <f>"777167642"</f>
        <v>777167642</v>
      </c>
      <c r="M1180" t="str">
        <f>"16426717"</f>
        <v>16426717</v>
      </c>
      <c r="N1180" t="str">
        <f>"5165-20"</f>
        <v>5165-20</v>
      </c>
      <c r="O1180" t="str">
        <f t="shared" si="476"/>
        <v>TEXAS</v>
      </c>
      <c r="P1180" t="str">
        <f t="shared" si="477"/>
        <v>N A</v>
      </c>
      <c r="Q1180" t="str">
        <f t="shared" si="478"/>
        <v>N/A</v>
      </c>
      <c r="R1180" t="str">
        <f>"I35WS 820 31 820"</f>
        <v>I35WS 820 31 820</v>
      </c>
      <c r="S1180" t="str">
        <f>"12/19/2019 9:02:37 AM"</f>
        <v>12/19/2019 9:02:37 AM</v>
      </c>
      <c r="T1180" t="str">
        <f>"2"</f>
        <v>2</v>
      </c>
      <c r="U1180" t="str">
        <f t="shared" si="479"/>
        <v>N/A</v>
      </c>
      <c r="V1180" t="str">
        <f>"18.8000"</f>
        <v>18.8000</v>
      </c>
    </row>
    <row r="1181" spans="1:22" x14ac:dyDescent="0.25">
      <c r="A1181" s="1" t="str">
        <f t="shared" si="472"/>
        <v>5154-</v>
      </c>
      <c r="B1181" s="1" t="str">
        <f t="shared" si="480"/>
        <v>5154-</v>
      </c>
      <c r="C1181" s="1" t="s">
        <v>8886</v>
      </c>
      <c r="D1181" s="1" t="s">
        <v>91</v>
      </c>
      <c r="E1181" s="1" t="s">
        <v>1738</v>
      </c>
      <c r="F1181" s="1" t="s">
        <v>22</v>
      </c>
      <c r="G1181" s="1" t="e">
        <f>VLOOKUP(C1181,'Master truck list'!E:R,14,0)</f>
        <v>#N/A</v>
      </c>
      <c r="H1181" t="str">
        <f>"12/20/2019 7:00:30 AM"</f>
        <v>12/20/2019 7:00:30 AM</v>
      </c>
      <c r="I1181" t="str">
        <f>""</f>
        <v/>
      </c>
      <c r="J1181" t="str">
        <f t="shared" si="475"/>
        <v>Elite</v>
      </c>
      <c r="K1181" t="str">
        <f t="shared" si="490"/>
        <v>Device</v>
      </c>
      <c r="L1181" t="str">
        <f t="shared" ref="L1181:L1190" si="491">"777167497"</f>
        <v>777167497</v>
      </c>
      <c r="M1181" t="str">
        <f t="shared" ref="M1181:M1190" si="492">"16426572"</f>
        <v>16426572</v>
      </c>
      <c r="N1181" t="str">
        <f t="shared" ref="N1181:N1190" si="493">"5154-20"</f>
        <v>5154-20</v>
      </c>
      <c r="O1181" t="str">
        <f t="shared" si="476"/>
        <v>TEXAS</v>
      </c>
      <c r="P1181" t="str">
        <f t="shared" si="477"/>
        <v>N A</v>
      </c>
      <c r="Q1181" t="str">
        <f t="shared" si="478"/>
        <v>N/A</v>
      </c>
      <c r="R1181" t="str">
        <f>"130 DKCRP 06 307"</f>
        <v>130 DKCRP 06 307</v>
      </c>
      <c r="S1181" t="str">
        <f>"12/19/2019 5:50:48 PM"</f>
        <v>12/19/2019 5:50:48 PM</v>
      </c>
      <c r="T1181" t="str">
        <f t="shared" ref="T1181:T1194" si="494">"5"</f>
        <v>5</v>
      </c>
      <c r="U1181" t="str">
        <f t="shared" si="479"/>
        <v>N/A</v>
      </c>
      <c r="V1181" t="str">
        <f>"5.5500"</f>
        <v>5.5500</v>
      </c>
    </row>
    <row r="1182" spans="1:22" x14ac:dyDescent="0.25">
      <c r="A1182" s="1" t="str">
        <f t="shared" si="472"/>
        <v>5154-</v>
      </c>
      <c r="B1182" s="1" t="str">
        <f t="shared" si="480"/>
        <v>5154-</v>
      </c>
      <c r="C1182" s="1" t="s">
        <v>8886</v>
      </c>
      <c r="D1182" s="1" t="s">
        <v>91</v>
      </c>
      <c r="E1182" s="1" t="s">
        <v>1738</v>
      </c>
      <c r="F1182" s="1" t="s">
        <v>22</v>
      </c>
      <c r="G1182" s="1" t="e">
        <f>VLOOKUP(C1182,'Master truck list'!E:R,14,0)</f>
        <v>#N/A</v>
      </c>
      <c r="H1182" t="str">
        <f>"12/20/2019 7:00:30 AM"</f>
        <v>12/20/2019 7:00:30 AM</v>
      </c>
      <c r="I1182" t="str">
        <f>""</f>
        <v/>
      </c>
      <c r="J1182" t="str">
        <f t="shared" si="475"/>
        <v>Elite</v>
      </c>
      <c r="K1182" t="str">
        <f t="shared" si="490"/>
        <v>Device</v>
      </c>
      <c r="L1182" t="str">
        <f t="shared" si="491"/>
        <v>777167497</v>
      </c>
      <c r="M1182" t="str">
        <f t="shared" si="492"/>
        <v>16426572</v>
      </c>
      <c r="N1182" t="str">
        <f t="shared" si="493"/>
        <v>5154-20</v>
      </c>
      <c r="O1182" t="str">
        <f t="shared" si="476"/>
        <v>TEXAS</v>
      </c>
      <c r="P1182" t="str">
        <f t="shared" si="477"/>
        <v>N A</v>
      </c>
      <c r="Q1182" t="str">
        <f t="shared" si="478"/>
        <v>N/A</v>
      </c>
      <c r="R1182" t="str">
        <f>"130 MGCRP 06 305"</f>
        <v>130 MGCRP 06 305</v>
      </c>
      <c r="S1182" t="str">
        <f>"12/19/2019 5:25:13 PM"</f>
        <v>12/19/2019 5:25:13 PM</v>
      </c>
      <c r="T1182" t="str">
        <f t="shared" si="494"/>
        <v>5</v>
      </c>
      <c r="U1182" t="str">
        <f t="shared" si="479"/>
        <v>N/A</v>
      </c>
      <c r="V1182" t="str">
        <f>"5.5500"</f>
        <v>5.5500</v>
      </c>
    </row>
    <row r="1183" spans="1:22" x14ac:dyDescent="0.25">
      <c r="A1183" s="1" t="str">
        <f t="shared" si="472"/>
        <v>5154-</v>
      </c>
      <c r="B1183" s="1" t="str">
        <f t="shared" si="480"/>
        <v>5154-</v>
      </c>
      <c r="C1183" s="1" t="s">
        <v>8886</v>
      </c>
      <c r="D1183" s="1" t="s">
        <v>91</v>
      </c>
      <c r="E1183" s="1" t="s">
        <v>1738</v>
      </c>
      <c r="F1183" s="1" t="s">
        <v>22</v>
      </c>
      <c r="G1183" s="1" t="e">
        <f>VLOOKUP(C1183,'Master truck list'!E:R,14,0)</f>
        <v>#N/A</v>
      </c>
      <c r="H1183" t="str">
        <f>"12/20/2019 7:00:30 AM"</f>
        <v>12/20/2019 7:00:30 AM</v>
      </c>
      <c r="I1183" t="str">
        <f>""</f>
        <v/>
      </c>
      <c r="J1183" t="str">
        <f t="shared" si="475"/>
        <v>Elite</v>
      </c>
      <c r="K1183" t="str">
        <f t="shared" si="490"/>
        <v>Device</v>
      </c>
      <c r="L1183" t="str">
        <f t="shared" si="491"/>
        <v>777167497</v>
      </c>
      <c r="M1183" t="str">
        <f t="shared" si="492"/>
        <v>16426572</v>
      </c>
      <c r="N1183" t="str">
        <f t="shared" si="493"/>
        <v>5154-20</v>
      </c>
      <c r="O1183" t="str">
        <f t="shared" si="476"/>
        <v>TEXAS</v>
      </c>
      <c r="P1183" t="str">
        <f t="shared" si="477"/>
        <v>N A</v>
      </c>
      <c r="Q1183" t="str">
        <f t="shared" si="478"/>
        <v>N/A</v>
      </c>
      <c r="R1183" t="str">
        <f>"130 CMRNP 08 306"</f>
        <v>130 CMRNP 08 306</v>
      </c>
      <c r="S1183" t="str">
        <f>"12/19/2019 5:36:13 PM"</f>
        <v>12/19/2019 5:36:13 PM</v>
      </c>
      <c r="T1183" t="str">
        <f t="shared" si="494"/>
        <v>5</v>
      </c>
      <c r="U1183" t="str">
        <f t="shared" si="479"/>
        <v>N/A</v>
      </c>
      <c r="V1183" t="str">
        <f>"5.5500"</f>
        <v>5.5500</v>
      </c>
    </row>
    <row r="1184" spans="1:22" x14ac:dyDescent="0.25">
      <c r="A1184" s="1" t="str">
        <f t="shared" si="472"/>
        <v>5154-</v>
      </c>
      <c r="B1184" s="1" t="str">
        <f t="shared" si="480"/>
        <v>5154-</v>
      </c>
      <c r="C1184" s="1" t="s">
        <v>8886</v>
      </c>
      <c r="D1184" s="1" t="s">
        <v>91</v>
      </c>
      <c r="E1184" s="1" t="s">
        <v>1738</v>
      </c>
      <c r="F1184" s="1" t="s">
        <v>22</v>
      </c>
      <c r="G1184" s="1" t="e">
        <f>VLOOKUP(C1184,'Master truck list'!E:R,14,0)</f>
        <v>#N/A</v>
      </c>
      <c r="H1184" t="str">
        <f>"12/20/2019 7:00:30 AM"</f>
        <v>12/20/2019 7:00:30 AM</v>
      </c>
      <c r="I1184" t="str">
        <f>""</f>
        <v/>
      </c>
      <c r="J1184" t="str">
        <f t="shared" si="475"/>
        <v>Elite</v>
      </c>
      <c r="K1184" t="str">
        <f t="shared" si="490"/>
        <v>Device</v>
      </c>
      <c r="L1184" t="str">
        <f t="shared" si="491"/>
        <v>777167497</v>
      </c>
      <c r="M1184" t="str">
        <f t="shared" si="492"/>
        <v>16426572</v>
      </c>
      <c r="N1184" t="str">
        <f t="shared" si="493"/>
        <v>5154-20</v>
      </c>
      <c r="O1184" t="str">
        <f t="shared" si="476"/>
        <v>TEXAS</v>
      </c>
      <c r="P1184" t="str">
        <f t="shared" si="477"/>
        <v>N A</v>
      </c>
      <c r="Q1184" t="str">
        <f t="shared" si="478"/>
        <v>N/A</v>
      </c>
      <c r="R1184" t="str">
        <f>"45SE MLPWB 01 611"</f>
        <v>45SE MLPWB 01 611</v>
      </c>
      <c r="S1184" t="str">
        <f>"12/19/2019 6:10:59 PM"</f>
        <v>12/19/2019 6:10:59 PM</v>
      </c>
      <c r="T1184" t="str">
        <f t="shared" si="494"/>
        <v>5</v>
      </c>
      <c r="U1184" t="str">
        <f t="shared" si="479"/>
        <v>N/A</v>
      </c>
      <c r="V1184" t="str">
        <f>"3.3000"</f>
        <v>3.3000</v>
      </c>
    </row>
    <row r="1185" spans="1:22" x14ac:dyDescent="0.25">
      <c r="A1185" s="1" t="str">
        <f t="shared" si="472"/>
        <v>5154-</v>
      </c>
      <c r="B1185" s="1" t="str">
        <f t="shared" si="480"/>
        <v>5154-</v>
      </c>
      <c r="C1185" s="1" t="s">
        <v>8886</v>
      </c>
      <c r="D1185" s="1" t="s">
        <v>91</v>
      </c>
      <c r="E1185" s="1" t="s">
        <v>1738</v>
      </c>
      <c r="F1185" s="1" t="s">
        <v>22</v>
      </c>
      <c r="G1185" s="1" t="e">
        <f>VLOOKUP(C1185,'Master truck list'!E:R,14,0)</f>
        <v>#N/A</v>
      </c>
      <c r="H1185" t="str">
        <f>"12/20/2019 7:00:30 AM"</f>
        <v>12/20/2019 7:00:30 AM</v>
      </c>
      <c r="I1185" t="str">
        <f>""</f>
        <v/>
      </c>
      <c r="J1185" t="str">
        <f t="shared" si="475"/>
        <v>Elite</v>
      </c>
      <c r="K1185" t="str">
        <f t="shared" si="490"/>
        <v>Device</v>
      </c>
      <c r="L1185" t="str">
        <f t="shared" si="491"/>
        <v>777167497</v>
      </c>
      <c r="M1185" t="str">
        <f t="shared" si="492"/>
        <v>16426572</v>
      </c>
      <c r="N1185" t="str">
        <f t="shared" si="493"/>
        <v>5154-20</v>
      </c>
      <c r="O1185" t="str">
        <f t="shared" si="476"/>
        <v>TEXAS</v>
      </c>
      <c r="P1185" t="str">
        <f t="shared" si="477"/>
        <v>N A</v>
      </c>
      <c r="Q1185" t="str">
        <f t="shared" si="478"/>
        <v>N/A</v>
      </c>
      <c r="R1185" t="str">
        <f>"130 ARPTP 04 308"</f>
        <v>130 ARPTP 04 308</v>
      </c>
      <c r="S1185" t="str">
        <f>"12/19/2019 6:00:08 PM"</f>
        <v>12/19/2019 6:00:08 PM</v>
      </c>
      <c r="T1185" t="str">
        <f t="shared" si="494"/>
        <v>5</v>
      </c>
      <c r="U1185" t="str">
        <f t="shared" si="479"/>
        <v>N/A</v>
      </c>
      <c r="V1185" t="str">
        <f>"5.5500"</f>
        <v>5.5500</v>
      </c>
    </row>
    <row r="1186" spans="1:22" x14ac:dyDescent="0.25">
      <c r="A1186" s="1" t="str">
        <f t="shared" si="472"/>
        <v>5154-</v>
      </c>
      <c r="B1186" s="1" t="str">
        <f t="shared" si="480"/>
        <v>5154-</v>
      </c>
      <c r="C1186" s="1" t="s">
        <v>8886</v>
      </c>
      <c r="D1186" s="1" t="s">
        <v>91</v>
      </c>
      <c r="E1186" s="1" t="s">
        <v>1738</v>
      </c>
      <c r="F1186" s="1" t="s">
        <v>22</v>
      </c>
      <c r="G1186" s="1" t="e">
        <f>VLOOKUP(C1186,'Master truck list'!E:R,14,0)</f>
        <v>#N/A</v>
      </c>
      <c r="H1186" t="str">
        <f>"12/18/2019 7:00:28 AM"</f>
        <v>12/18/2019 7:00:28 AM</v>
      </c>
      <c r="I1186" t="str">
        <f>""</f>
        <v/>
      </c>
      <c r="J1186" t="str">
        <f t="shared" si="475"/>
        <v>Elite</v>
      </c>
      <c r="K1186" t="str">
        <f t="shared" si="490"/>
        <v>Device</v>
      </c>
      <c r="L1186" t="str">
        <f t="shared" si="491"/>
        <v>777167497</v>
      </c>
      <c r="M1186" t="str">
        <f t="shared" si="492"/>
        <v>16426572</v>
      </c>
      <c r="N1186" t="str">
        <f t="shared" si="493"/>
        <v>5154-20</v>
      </c>
      <c r="O1186" t="str">
        <f t="shared" si="476"/>
        <v>TEXAS</v>
      </c>
      <c r="P1186" t="str">
        <f t="shared" si="477"/>
        <v>N A</v>
      </c>
      <c r="Q1186" t="str">
        <f t="shared" si="478"/>
        <v>N/A</v>
      </c>
      <c r="R1186" t="str">
        <f>"130 ARPTP 04 308"</f>
        <v>130 ARPTP 04 308</v>
      </c>
      <c r="S1186" t="str">
        <f>"12/17/2019 4:16:55 PM"</f>
        <v>12/17/2019 4:16:55 PM</v>
      </c>
      <c r="T1186" t="str">
        <f t="shared" si="494"/>
        <v>5</v>
      </c>
      <c r="U1186" t="str">
        <f t="shared" si="479"/>
        <v>N/A</v>
      </c>
      <c r="V1186" t="str">
        <f>"5.5500"</f>
        <v>5.5500</v>
      </c>
    </row>
    <row r="1187" spans="1:22" x14ac:dyDescent="0.25">
      <c r="A1187" s="1" t="str">
        <f t="shared" si="472"/>
        <v>5154-</v>
      </c>
      <c r="B1187" s="1" t="str">
        <f t="shared" si="480"/>
        <v>5154-</v>
      </c>
      <c r="C1187" s="1" t="s">
        <v>8886</v>
      </c>
      <c r="D1187" s="1" t="s">
        <v>91</v>
      </c>
      <c r="E1187" s="1" t="s">
        <v>1738</v>
      </c>
      <c r="F1187" s="1" t="s">
        <v>22</v>
      </c>
      <c r="G1187" s="1" t="e">
        <f>VLOOKUP(C1187,'Master truck list'!E:R,14,0)</f>
        <v>#N/A</v>
      </c>
      <c r="H1187" t="str">
        <f>"12/18/2019 7:00:28 AM"</f>
        <v>12/18/2019 7:00:28 AM</v>
      </c>
      <c r="I1187" t="str">
        <f>""</f>
        <v/>
      </c>
      <c r="J1187" t="str">
        <f t="shared" si="475"/>
        <v>Elite</v>
      </c>
      <c r="K1187" t="str">
        <f t="shared" si="490"/>
        <v>Device</v>
      </c>
      <c r="L1187" t="str">
        <f t="shared" si="491"/>
        <v>777167497</v>
      </c>
      <c r="M1187" t="str">
        <f t="shared" si="492"/>
        <v>16426572</v>
      </c>
      <c r="N1187" t="str">
        <f t="shared" si="493"/>
        <v>5154-20</v>
      </c>
      <c r="O1187" t="str">
        <f t="shared" si="476"/>
        <v>TEXAS</v>
      </c>
      <c r="P1187" t="str">
        <f t="shared" si="477"/>
        <v>N A</v>
      </c>
      <c r="Q1187" t="str">
        <f t="shared" si="478"/>
        <v>N/A</v>
      </c>
      <c r="R1187" t="str">
        <f>"130 CMRNP 08 306"</f>
        <v>130 CMRNP 08 306</v>
      </c>
      <c r="S1187" t="str">
        <f>"12/17/2019 3:59:52 PM"</f>
        <v>12/17/2019 3:59:52 PM</v>
      </c>
      <c r="T1187" t="str">
        <f t="shared" si="494"/>
        <v>5</v>
      </c>
      <c r="U1187" t="str">
        <f t="shared" si="479"/>
        <v>N/A</v>
      </c>
      <c r="V1187" t="str">
        <f>"5.5500"</f>
        <v>5.5500</v>
      </c>
    </row>
    <row r="1188" spans="1:22" x14ac:dyDescent="0.25">
      <c r="A1188" s="1" t="str">
        <f t="shared" si="472"/>
        <v>5154-</v>
      </c>
      <c r="B1188" s="1" t="str">
        <f t="shared" si="480"/>
        <v>5154-</v>
      </c>
      <c r="C1188" s="1" t="s">
        <v>8886</v>
      </c>
      <c r="D1188" s="1" t="s">
        <v>91</v>
      </c>
      <c r="E1188" s="1" t="s">
        <v>1738</v>
      </c>
      <c r="F1188" s="1" t="s">
        <v>22</v>
      </c>
      <c r="G1188" s="1" t="e">
        <f>VLOOKUP(C1188,'Master truck list'!E:R,14,0)</f>
        <v>#N/A</v>
      </c>
      <c r="H1188" t="str">
        <f>"12/18/2019 7:00:28 AM"</f>
        <v>12/18/2019 7:00:28 AM</v>
      </c>
      <c r="I1188" t="str">
        <f>""</f>
        <v/>
      </c>
      <c r="J1188" t="str">
        <f t="shared" si="475"/>
        <v>Elite</v>
      </c>
      <c r="K1188" t="str">
        <f t="shared" si="490"/>
        <v>Device</v>
      </c>
      <c r="L1188" t="str">
        <f t="shared" si="491"/>
        <v>777167497</v>
      </c>
      <c r="M1188" t="str">
        <f t="shared" si="492"/>
        <v>16426572</v>
      </c>
      <c r="N1188" t="str">
        <f t="shared" si="493"/>
        <v>5154-20</v>
      </c>
      <c r="O1188" t="str">
        <f t="shared" si="476"/>
        <v>TEXAS</v>
      </c>
      <c r="P1188" t="str">
        <f t="shared" si="477"/>
        <v>N A</v>
      </c>
      <c r="Q1188" t="str">
        <f t="shared" si="478"/>
        <v>N/A</v>
      </c>
      <c r="R1188" t="str">
        <f>"45SE MLPWB 02 611"</f>
        <v>45SE MLPWB 02 611</v>
      </c>
      <c r="S1188" t="str">
        <f>"12/17/2019 4:27:28 PM"</f>
        <v>12/17/2019 4:27:28 PM</v>
      </c>
      <c r="T1188" t="str">
        <f t="shared" si="494"/>
        <v>5</v>
      </c>
      <c r="U1188" t="str">
        <f t="shared" si="479"/>
        <v>N/A</v>
      </c>
      <c r="V1188" t="str">
        <f>"3.3000"</f>
        <v>3.3000</v>
      </c>
    </row>
    <row r="1189" spans="1:22" x14ac:dyDescent="0.25">
      <c r="A1189" s="1" t="str">
        <f t="shared" si="472"/>
        <v>5154-</v>
      </c>
      <c r="B1189" s="1" t="str">
        <f t="shared" si="480"/>
        <v>5154-</v>
      </c>
      <c r="C1189" s="1" t="s">
        <v>8886</v>
      </c>
      <c r="D1189" s="1" t="s">
        <v>91</v>
      </c>
      <c r="E1189" s="1" t="s">
        <v>1738</v>
      </c>
      <c r="F1189" s="1" t="s">
        <v>22</v>
      </c>
      <c r="G1189" s="1" t="e">
        <f>VLOOKUP(C1189,'Master truck list'!E:R,14,0)</f>
        <v>#N/A</v>
      </c>
      <c r="H1189" t="str">
        <f>"12/18/2019 7:00:28 AM"</f>
        <v>12/18/2019 7:00:28 AM</v>
      </c>
      <c r="I1189" t="str">
        <f>""</f>
        <v/>
      </c>
      <c r="J1189" t="str">
        <f t="shared" si="475"/>
        <v>Elite</v>
      </c>
      <c r="K1189" t="str">
        <f t="shared" si="490"/>
        <v>Device</v>
      </c>
      <c r="L1189" t="str">
        <f t="shared" si="491"/>
        <v>777167497</v>
      </c>
      <c r="M1189" t="str">
        <f t="shared" si="492"/>
        <v>16426572</v>
      </c>
      <c r="N1189" t="str">
        <f t="shared" si="493"/>
        <v>5154-20</v>
      </c>
      <c r="O1189" t="str">
        <f t="shared" si="476"/>
        <v>TEXAS</v>
      </c>
      <c r="P1189" t="str">
        <f t="shared" si="477"/>
        <v>N A</v>
      </c>
      <c r="Q1189" t="str">
        <f t="shared" si="478"/>
        <v>N/A</v>
      </c>
      <c r="R1189" t="str">
        <f>"130 MGCRP 06 305"</f>
        <v>130 MGCRP 06 305</v>
      </c>
      <c r="S1189" t="str">
        <f>"12/17/2019 3:48:55 PM"</f>
        <v>12/17/2019 3:48:55 PM</v>
      </c>
      <c r="T1189" t="str">
        <f t="shared" si="494"/>
        <v>5</v>
      </c>
      <c r="U1189" t="str">
        <f t="shared" si="479"/>
        <v>N/A</v>
      </c>
      <c r="V1189" t="str">
        <f t="shared" ref="V1189:V1194" si="495">"5.5500"</f>
        <v>5.5500</v>
      </c>
    </row>
    <row r="1190" spans="1:22" x14ac:dyDescent="0.25">
      <c r="A1190" s="1" t="str">
        <f t="shared" si="472"/>
        <v>5154-</v>
      </c>
      <c r="B1190" s="1" t="str">
        <f t="shared" si="480"/>
        <v>5154-</v>
      </c>
      <c r="C1190" s="1" t="s">
        <v>8886</v>
      </c>
      <c r="D1190" s="1" t="s">
        <v>91</v>
      </c>
      <c r="E1190" s="1" t="s">
        <v>1738</v>
      </c>
      <c r="F1190" s="1" t="s">
        <v>22</v>
      </c>
      <c r="G1190" s="1" t="e">
        <f>VLOOKUP(C1190,'Master truck list'!E:R,14,0)</f>
        <v>#N/A</v>
      </c>
      <c r="H1190" t="str">
        <f>"12/18/2019 7:00:28 AM"</f>
        <v>12/18/2019 7:00:28 AM</v>
      </c>
      <c r="I1190" t="str">
        <f>""</f>
        <v/>
      </c>
      <c r="J1190" t="str">
        <f t="shared" si="475"/>
        <v>Elite</v>
      </c>
      <c r="K1190" t="str">
        <f t="shared" si="490"/>
        <v>Device</v>
      </c>
      <c r="L1190" t="str">
        <f t="shared" si="491"/>
        <v>777167497</v>
      </c>
      <c r="M1190" t="str">
        <f t="shared" si="492"/>
        <v>16426572</v>
      </c>
      <c r="N1190" t="str">
        <f t="shared" si="493"/>
        <v>5154-20</v>
      </c>
      <c r="O1190" t="str">
        <f t="shared" si="476"/>
        <v>TEXAS</v>
      </c>
      <c r="P1190" t="str">
        <f t="shared" si="477"/>
        <v>N A</v>
      </c>
      <c r="Q1190" t="str">
        <f t="shared" si="478"/>
        <v>N/A</v>
      </c>
      <c r="R1190" t="str">
        <f>"130 DKCRP 06 307"</f>
        <v>130 DKCRP 06 307</v>
      </c>
      <c r="S1190" t="str">
        <f>"12/17/2019 4:09:51 PM"</f>
        <v>12/17/2019 4:09:51 PM</v>
      </c>
      <c r="T1190" t="str">
        <f t="shared" si="494"/>
        <v>5</v>
      </c>
      <c r="U1190" t="str">
        <f t="shared" si="479"/>
        <v>N/A</v>
      </c>
      <c r="V1190" t="str">
        <f t="shared" si="495"/>
        <v>5.5500</v>
      </c>
    </row>
    <row r="1191" spans="1:22" x14ac:dyDescent="0.25">
      <c r="A1191" s="1" t="str">
        <f t="shared" si="472"/>
        <v>2618-</v>
      </c>
      <c r="B1191" s="1" t="str">
        <f t="shared" si="480"/>
        <v>2618-</v>
      </c>
      <c r="C1191" s="1" t="s">
        <v>8895</v>
      </c>
      <c r="D1191" s="1" t="s">
        <v>91</v>
      </c>
      <c r="E1191" s="1" t="s">
        <v>154</v>
      </c>
      <c r="F1191" s="1" t="s">
        <v>22</v>
      </c>
      <c r="G1191" s="1" t="e">
        <f>VLOOKUP(C1191,'Master truck list'!E:R,14,0)</f>
        <v>#N/A</v>
      </c>
      <c r="H1191" t="str">
        <f>"12/17/2019 7:00:33 AM"</f>
        <v>12/17/2019 7:00:33 AM</v>
      </c>
      <c r="I1191" t="str">
        <f>""</f>
        <v/>
      </c>
      <c r="J1191" t="str">
        <f t="shared" si="475"/>
        <v>Elite</v>
      </c>
      <c r="K1191" t="str">
        <f t="shared" si="490"/>
        <v>Device</v>
      </c>
      <c r="L1191" t="str">
        <f t="shared" ref="L1191:L1209" si="496">"777260593"</f>
        <v>777260593</v>
      </c>
      <c r="M1191" t="str">
        <f t="shared" ref="M1191:M1209" si="497">"16758750"</f>
        <v>16758750</v>
      </c>
      <c r="N1191" t="str">
        <f t="shared" ref="N1191:N1209" si="498">"2618-20"</f>
        <v>2618-20</v>
      </c>
      <c r="O1191" t="str">
        <f t="shared" si="476"/>
        <v>TEXAS</v>
      </c>
      <c r="P1191" t="str">
        <f t="shared" si="477"/>
        <v>N A</v>
      </c>
      <c r="Q1191" t="str">
        <f t="shared" si="478"/>
        <v>N/A</v>
      </c>
      <c r="R1191" t="str">
        <f>"130 ARPTP 04 308"</f>
        <v>130 ARPTP 04 308</v>
      </c>
      <c r="S1191" t="str">
        <f>"12/16/2019 7:07:35 AM"</f>
        <v>12/16/2019 7:07:35 AM</v>
      </c>
      <c r="T1191" t="str">
        <f t="shared" si="494"/>
        <v>5</v>
      </c>
      <c r="U1191" t="str">
        <f t="shared" si="479"/>
        <v>N/A</v>
      </c>
      <c r="V1191" t="str">
        <f t="shared" si="495"/>
        <v>5.5500</v>
      </c>
    </row>
    <row r="1192" spans="1:22" x14ac:dyDescent="0.25">
      <c r="A1192" s="1" t="str">
        <f t="shared" si="472"/>
        <v>2618-</v>
      </c>
      <c r="B1192" s="1" t="str">
        <f t="shared" si="480"/>
        <v>2618-</v>
      </c>
      <c r="C1192" s="1" t="s">
        <v>8895</v>
      </c>
      <c r="D1192" s="1" t="s">
        <v>91</v>
      </c>
      <c r="E1192" s="1" t="s">
        <v>154</v>
      </c>
      <c r="F1192" s="1" t="s">
        <v>22</v>
      </c>
      <c r="G1192" s="1" t="e">
        <f>VLOOKUP(C1192,'Master truck list'!E:R,14,0)</f>
        <v>#N/A</v>
      </c>
      <c r="H1192" t="str">
        <f>"12/17/2019 7:00:33 AM"</f>
        <v>12/17/2019 7:00:33 AM</v>
      </c>
      <c r="I1192" t="str">
        <f>""</f>
        <v/>
      </c>
      <c r="J1192" t="str">
        <f t="shared" si="475"/>
        <v>Elite</v>
      </c>
      <c r="K1192" t="str">
        <f t="shared" si="490"/>
        <v>Device</v>
      </c>
      <c r="L1192" t="str">
        <f t="shared" si="496"/>
        <v>777260593</v>
      </c>
      <c r="M1192" t="str">
        <f t="shared" si="497"/>
        <v>16758750</v>
      </c>
      <c r="N1192" t="str">
        <f t="shared" si="498"/>
        <v>2618-20</v>
      </c>
      <c r="O1192" t="str">
        <f t="shared" si="476"/>
        <v>TEXAS</v>
      </c>
      <c r="P1192" t="str">
        <f t="shared" si="477"/>
        <v>N A</v>
      </c>
      <c r="Q1192" t="str">
        <f t="shared" si="478"/>
        <v>N/A</v>
      </c>
      <c r="R1192" t="str">
        <f>"130 CMRNP 08 306"</f>
        <v>130 CMRNP 08 306</v>
      </c>
      <c r="S1192" t="str">
        <f>"12/16/2019 6:50:42 AM"</f>
        <v>12/16/2019 6:50:42 AM</v>
      </c>
      <c r="T1192" t="str">
        <f t="shared" si="494"/>
        <v>5</v>
      </c>
      <c r="U1192" t="str">
        <f t="shared" si="479"/>
        <v>N/A</v>
      </c>
      <c r="V1192" t="str">
        <f t="shared" si="495"/>
        <v>5.5500</v>
      </c>
    </row>
    <row r="1193" spans="1:22" x14ac:dyDescent="0.25">
      <c r="A1193" s="1" t="str">
        <f t="shared" si="472"/>
        <v>2618-</v>
      </c>
      <c r="B1193" s="1" t="str">
        <f t="shared" si="480"/>
        <v>2618-</v>
      </c>
      <c r="C1193" s="1" t="s">
        <v>8895</v>
      </c>
      <c r="D1193" s="1" t="s">
        <v>91</v>
      </c>
      <c r="E1193" s="1" t="s">
        <v>154</v>
      </c>
      <c r="F1193" s="1" t="s">
        <v>22</v>
      </c>
      <c r="G1193" s="1" t="e">
        <f>VLOOKUP(C1193,'Master truck list'!E:R,14,0)</f>
        <v>#N/A</v>
      </c>
      <c r="H1193" t="str">
        <f>"12/17/2019 7:00:33 AM"</f>
        <v>12/17/2019 7:00:33 AM</v>
      </c>
      <c r="I1193" t="str">
        <f>""</f>
        <v/>
      </c>
      <c r="J1193" t="str">
        <f t="shared" si="475"/>
        <v>Elite</v>
      </c>
      <c r="K1193" t="str">
        <f t="shared" si="490"/>
        <v>Device</v>
      </c>
      <c r="L1193" t="str">
        <f t="shared" si="496"/>
        <v>777260593</v>
      </c>
      <c r="M1193" t="str">
        <f t="shared" si="497"/>
        <v>16758750</v>
      </c>
      <c r="N1193" t="str">
        <f t="shared" si="498"/>
        <v>2618-20</v>
      </c>
      <c r="O1193" t="str">
        <f t="shared" si="476"/>
        <v>TEXAS</v>
      </c>
      <c r="P1193" t="str">
        <f t="shared" si="477"/>
        <v>N A</v>
      </c>
      <c r="Q1193" t="str">
        <f t="shared" si="478"/>
        <v>N/A</v>
      </c>
      <c r="R1193" t="str">
        <f>"130 MGCRP 06 305"</f>
        <v>130 MGCRP 06 305</v>
      </c>
      <c r="S1193" t="str">
        <f>"12/16/2019 6:39:46 AM"</f>
        <v>12/16/2019 6:39:46 AM</v>
      </c>
      <c r="T1193" t="str">
        <f t="shared" si="494"/>
        <v>5</v>
      </c>
      <c r="U1193" t="str">
        <f t="shared" si="479"/>
        <v>N/A</v>
      </c>
      <c r="V1193" t="str">
        <f t="shared" si="495"/>
        <v>5.5500</v>
      </c>
    </row>
    <row r="1194" spans="1:22" x14ac:dyDescent="0.25">
      <c r="A1194" s="1" t="str">
        <f t="shared" si="472"/>
        <v>2618-</v>
      </c>
      <c r="B1194" s="1" t="str">
        <f t="shared" si="480"/>
        <v>2618-</v>
      </c>
      <c r="C1194" s="1" t="s">
        <v>8895</v>
      </c>
      <c r="D1194" s="1" t="s">
        <v>91</v>
      </c>
      <c r="E1194" s="1" t="s">
        <v>154</v>
      </c>
      <c r="F1194" s="1" t="s">
        <v>22</v>
      </c>
      <c r="G1194" s="1" t="e">
        <f>VLOOKUP(C1194,'Master truck list'!E:R,14,0)</f>
        <v>#N/A</v>
      </c>
      <c r="H1194" t="str">
        <f>"12/17/2019 7:00:33 AM"</f>
        <v>12/17/2019 7:00:33 AM</v>
      </c>
      <c r="I1194" t="str">
        <f>""</f>
        <v/>
      </c>
      <c r="J1194" t="str">
        <f t="shared" si="475"/>
        <v>Elite</v>
      </c>
      <c r="K1194" t="str">
        <f t="shared" si="490"/>
        <v>Device</v>
      </c>
      <c r="L1194" t="str">
        <f t="shared" si="496"/>
        <v>777260593</v>
      </c>
      <c r="M1194" t="str">
        <f t="shared" si="497"/>
        <v>16758750</v>
      </c>
      <c r="N1194" t="str">
        <f t="shared" si="498"/>
        <v>2618-20</v>
      </c>
      <c r="O1194" t="str">
        <f t="shared" si="476"/>
        <v>TEXAS</v>
      </c>
      <c r="P1194" t="str">
        <f t="shared" si="477"/>
        <v>N A</v>
      </c>
      <c r="Q1194" t="str">
        <f t="shared" si="478"/>
        <v>N/A</v>
      </c>
      <c r="R1194" t="str">
        <f>"130 DKCRP 06 307"</f>
        <v>130 DKCRP 06 307</v>
      </c>
      <c r="S1194" t="str">
        <f>"12/16/2019 7:00:39 AM"</f>
        <v>12/16/2019 7:00:39 AM</v>
      </c>
      <c r="T1194" t="str">
        <f t="shared" si="494"/>
        <v>5</v>
      </c>
      <c r="U1194" t="str">
        <f t="shared" si="479"/>
        <v>N/A</v>
      </c>
      <c r="V1194" t="str">
        <f t="shared" si="495"/>
        <v>5.5500</v>
      </c>
    </row>
    <row r="1195" spans="1:22" x14ac:dyDescent="0.25">
      <c r="A1195" s="1" t="str">
        <f t="shared" si="472"/>
        <v>2618-</v>
      </c>
      <c r="B1195" s="1" t="str">
        <f t="shared" si="480"/>
        <v>2618-</v>
      </c>
      <c r="C1195" s="1" t="s">
        <v>8895</v>
      </c>
      <c r="D1195" s="1" t="s">
        <v>91</v>
      </c>
      <c r="E1195" s="1" t="s">
        <v>154</v>
      </c>
      <c r="F1195" s="1" t="s">
        <v>22</v>
      </c>
      <c r="G1195" s="1" t="e">
        <f>VLOOKUP(C1195,'Master truck list'!E:R,14,0)</f>
        <v>#N/A</v>
      </c>
      <c r="H1195" t="str">
        <f>"12/20/2019 7:00:30 AM"</f>
        <v>12/20/2019 7:00:30 AM</v>
      </c>
      <c r="I1195" t="str">
        <f>""</f>
        <v/>
      </c>
      <c r="J1195" t="str">
        <f t="shared" si="475"/>
        <v>Elite</v>
      </c>
      <c r="K1195" t="str">
        <f t="shared" si="490"/>
        <v>Device</v>
      </c>
      <c r="L1195" t="str">
        <f t="shared" si="496"/>
        <v>777260593</v>
      </c>
      <c r="M1195" t="str">
        <f t="shared" si="497"/>
        <v>16758750</v>
      </c>
      <c r="N1195" t="str">
        <f t="shared" si="498"/>
        <v>2618-20</v>
      </c>
      <c r="O1195" t="str">
        <f t="shared" si="476"/>
        <v>TEXAS</v>
      </c>
      <c r="P1195" t="str">
        <f t="shared" si="477"/>
        <v>N A</v>
      </c>
      <c r="Q1195" t="str">
        <f t="shared" si="478"/>
        <v>N/A</v>
      </c>
      <c r="R1195" t="str">
        <f>"130 CMRNP 13 306"</f>
        <v>130 CMRNP 13 306</v>
      </c>
      <c r="S1195" t="str">
        <f>"12/19/2019 2:58:30 PM"</f>
        <v>12/19/2019 2:58:30 PM</v>
      </c>
      <c r="T1195" t="str">
        <f>"2"</f>
        <v>2</v>
      </c>
      <c r="U1195" t="str">
        <f t="shared" si="479"/>
        <v>N/A</v>
      </c>
      <c r="V1195" t="str">
        <f>"1.8500"</f>
        <v>1.8500</v>
      </c>
    </row>
    <row r="1196" spans="1:22" x14ac:dyDescent="0.25">
      <c r="A1196" s="1" t="str">
        <f t="shared" si="472"/>
        <v>2618-</v>
      </c>
      <c r="B1196" s="1" t="str">
        <f t="shared" si="480"/>
        <v>2618-</v>
      </c>
      <c r="C1196" s="1" t="s">
        <v>8895</v>
      </c>
      <c r="D1196" s="1" t="s">
        <v>91</v>
      </c>
      <c r="E1196" s="1" t="s">
        <v>154</v>
      </c>
      <c r="F1196" s="1" t="s">
        <v>22</v>
      </c>
      <c r="G1196" s="1" t="e">
        <f>VLOOKUP(C1196,'Master truck list'!E:R,14,0)</f>
        <v>#N/A</v>
      </c>
      <c r="H1196" t="str">
        <f>"12/20/2019 7:00:30 AM"</f>
        <v>12/20/2019 7:00:30 AM</v>
      </c>
      <c r="I1196" t="str">
        <f>""</f>
        <v/>
      </c>
      <c r="J1196" t="str">
        <f t="shared" si="475"/>
        <v>Elite</v>
      </c>
      <c r="K1196" t="str">
        <f t="shared" si="490"/>
        <v>Device</v>
      </c>
      <c r="L1196" t="str">
        <f t="shared" si="496"/>
        <v>777260593</v>
      </c>
      <c r="M1196" t="str">
        <f t="shared" si="497"/>
        <v>16758750</v>
      </c>
      <c r="N1196" t="str">
        <f t="shared" si="498"/>
        <v>2618-20</v>
      </c>
      <c r="O1196" t="str">
        <f t="shared" si="476"/>
        <v>TEXAS</v>
      </c>
      <c r="P1196" t="str">
        <f t="shared" si="477"/>
        <v>N A</v>
      </c>
      <c r="Q1196" t="str">
        <f t="shared" si="478"/>
        <v>N/A</v>
      </c>
      <c r="R1196" t="str">
        <f>"130 ARPTP 09 308"</f>
        <v>130 ARPTP 09 308</v>
      </c>
      <c r="S1196" t="str">
        <f>"12/19/2019 2:39:13 PM"</f>
        <v>12/19/2019 2:39:13 PM</v>
      </c>
      <c r="T1196" t="str">
        <f t="shared" ref="T1196:T1259" si="499">"5"</f>
        <v>5</v>
      </c>
      <c r="U1196" t="str">
        <f t="shared" si="479"/>
        <v>N/A</v>
      </c>
      <c r="V1196" t="str">
        <f>"5.5500"</f>
        <v>5.5500</v>
      </c>
    </row>
    <row r="1197" spans="1:22" x14ac:dyDescent="0.25">
      <c r="A1197" s="1" t="str">
        <f t="shared" si="472"/>
        <v>2618-</v>
      </c>
      <c r="B1197" s="1" t="str">
        <f t="shared" si="480"/>
        <v>2618-</v>
      </c>
      <c r="C1197" s="1" t="s">
        <v>8895</v>
      </c>
      <c r="D1197" s="1" t="s">
        <v>91</v>
      </c>
      <c r="E1197" s="1" t="s">
        <v>154</v>
      </c>
      <c r="F1197" s="1" t="s">
        <v>22</v>
      </c>
      <c r="G1197" s="1" t="e">
        <f>VLOOKUP(C1197,'Master truck list'!E:R,14,0)</f>
        <v>#N/A</v>
      </c>
      <c r="H1197" t="str">
        <f>"12/20/2019 7:00:30 AM"</f>
        <v>12/20/2019 7:00:30 AM</v>
      </c>
      <c r="I1197" t="str">
        <f>""</f>
        <v/>
      </c>
      <c r="J1197" t="str">
        <f t="shared" si="475"/>
        <v>Elite</v>
      </c>
      <c r="K1197" t="str">
        <f t="shared" si="490"/>
        <v>Device</v>
      </c>
      <c r="L1197" t="str">
        <f t="shared" si="496"/>
        <v>777260593</v>
      </c>
      <c r="M1197" t="str">
        <f t="shared" si="497"/>
        <v>16758750</v>
      </c>
      <c r="N1197" t="str">
        <f t="shared" si="498"/>
        <v>2618-20</v>
      </c>
      <c r="O1197" t="str">
        <f t="shared" si="476"/>
        <v>TEXAS</v>
      </c>
      <c r="P1197" t="str">
        <f t="shared" si="477"/>
        <v>N A</v>
      </c>
      <c r="Q1197" t="str">
        <f t="shared" si="478"/>
        <v>N/A</v>
      </c>
      <c r="R1197" t="str">
        <f>"130 MGCRP 11 305"</f>
        <v>130 MGCRP 11 305</v>
      </c>
      <c r="S1197" t="str">
        <f>"12/19/2019 3:09:30 PM"</f>
        <v>12/19/2019 3:09:30 PM</v>
      </c>
      <c r="T1197" t="str">
        <f t="shared" si="499"/>
        <v>5</v>
      </c>
      <c r="U1197" t="str">
        <f t="shared" si="479"/>
        <v>N/A</v>
      </c>
      <c r="V1197" t="str">
        <f>"5.5500"</f>
        <v>5.5500</v>
      </c>
    </row>
    <row r="1198" spans="1:22" x14ac:dyDescent="0.25">
      <c r="A1198" s="1" t="str">
        <f t="shared" ref="A1198:A1261" si="500">LEFT(N1198,5)</f>
        <v>2618-</v>
      </c>
      <c r="B1198" s="1" t="str">
        <f t="shared" si="480"/>
        <v>2618-</v>
      </c>
      <c r="C1198" s="1" t="s">
        <v>8895</v>
      </c>
      <c r="D1198" s="1" t="s">
        <v>91</v>
      </c>
      <c r="E1198" s="1" t="s">
        <v>154</v>
      </c>
      <c r="F1198" s="1" t="s">
        <v>22</v>
      </c>
      <c r="G1198" s="1" t="e">
        <f>VLOOKUP(C1198,'Master truck list'!E:R,14,0)</f>
        <v>#N/A</v>
      </c>
      <c r="H1198" t="str">
        <f>"12/20/2019 7:00:30 AM"</f>
        <v>12/20/2019 7:00:30 AM</v>
      </c>
      <c r="I1198" t="str">
        <f>""</f>
        <v/>
      </c>
      <c r="J1198" t="str">
        <f t="shared" si="475"/>
        <v>Elite</v>
      </c>
      <c r="K1198" t="str">
        <f t="shared" si="490"/>
        <v>Device</v>
      </c>
      <c r="L1198" t="str">
        <f t="shared" si="496"/>
        <v>777260593</v>
      </c>
      <c r="M1198" t="str">
        <f t="shared" si="497"/>
        <v>16758750</v>
      </c>
      <c r="N1198" t="str">
        <f t="shared" si="498"/>
        <v>2618-20</v>
      </c>
      <c r="O1198" t="str">
        <f t="shared" si="476"/>
        <v>TEXAS</v>
      </c>
      <c r="P1198" t="str">
        <f t="shared" si="477"/>
        <v>N A</v>
      </c>
      <c r="Q1198" t="str">
        <f t="shared" si="478"/>
        <v>N/A</v>
      </c>
      <c r="R1198" t="str">
        <f>"45SE MLPEB 02 611"</f>
        <v>45SE MLPEB 02 611</v>
      </c>
      <c r="S1198" t="str">
        <f>"12/19/2019 2:28:40 PM"</f>
        <v>12/19/2019 2:28:40 PM</v>
      </c>
      <c r="T1198" t="str">
        <f t="shared" si="499"/>
        <v>5</v>
      </c>
      <c r="U1198" t="str">
        <f t="shared" si="479"/>
        <v>N/A</v>
      </c>
      <c r="V1198" t="str">
        <f>"3.3000"</f>
        <v>3.3000</v>
      </c>
    </row>
    <row r="1199" spans="1:22" x14ac:dyDescent="0.25">
      <c r="A1199" s="1" t="str">
        <f t="shared" si="500"/>
        <v>2618-</v>
      </c>
      <c r="B1199" s="1" t="str">
        <f t="shared" si="480"/>
        <v>2618-</v>
      </c>
      <c r="C1199" s="1" t="s">
        <v>8895</v>
      </c>
      <c r="D1199" s="1" t="s">
        <v>91</v>
      </c>
      <c r="E1199" s="1" t="s">
        <v>154</v>
      </c>
      <c r="F1199" s="1" t="s">
        <v>22</v>
      </c>
      <c r="G1199" s="1" t="e">
        <f>VLOOKUP(C1199,'Master truck list'!E:R,14,0)</f>
        <v>#N/A</v>
      </c>
      <c r="H1199" t="str">
        <f>"12/20/2019 7:00:30 AM"</f>
        <v>12/20/2019 7:00:30 AM</v>
      </c>
      <c r="I1199" t="str">
        <f>""</f>
        <v/>
      </c>
      <c r="J1199" t="str">
        <f t="shared" si="475"/>
        <v>Elite</v>
      </c>
      <c r="K1199" t="str">
        <f t="shared" si="490"/>
        <v>Device</v>
      </c>
      <c r="L1199" t="str">
        <f t="shared" si="496"/>
        <v>777260593</v>
      </c>
      <c r="M1199" t="str">
        <f t="shared" si="497"/>
        <v>16758750</v>
      </c>
      <c r="N1199" t="str">
        <f t="shared" si="498"/>
        <v>2618-20</v>
      </c>
      <c r="O1199" t="str">
        <f t="shared" si="476"/>
        <v>TEXAS</v>
      </c>
      <c r="P1199" t="str">
        <f t="shared" si="477"/>
        <v>N A</v>
      </c>
      <c r="Q1199" t="str">
        <f t="shared" si="478"/>
        <v>N/A</v>
      </c>
      <c r="R1199" t="str">
        <f>"130 DKCRP 11 307"</f>
        <v>130 DKCRP 11 307</v>
      </c>
      <c r="S1199" t="str">
        <f>"12/19/2019 2:46:10 PM"</f>
        <v>12/19/2019 2:46:10 PM</v>
      </c>
      <c r="T1199" t="str">
        <f t="shared" si="499"/>
        <v>5</v>
      </c>
      <c r="U1199" t="str">
        <f t="shared" si="479"/>
        <v>N/A</v>
      </c>
      <c r="V1199" t="str">
        <f t="shared" ref="V1199:V1204" si="501">"5.5500"</f>
        <v>5.5500</v>
      </c>
    </row>
    <row r="1200" spans="1:22" x14ac:dyDescent="0.25">
      <c r="A1200" s="1" t="str">
        <f t="shared" si="500"/>
        <v>2618-</v>
      </c>
      <c r="B1200" s="1" t="str">
        <f t="shared" si="480"/>
        <v>2618-</v>
      </c>
      <c r="C1200" s="1" t="s">
        <v>8895</v>
      </c>
      <c r="D1200" s="1" t="s">
        <v>91</v>
      </c>
      <c r="E1200" s="1" t="s">
        <v>154</v>
      </c>
      <c r="F1200" s="1" t="s">
        <v>22</v>
      </c>
      <c r="G1200" s="1" t="e">
        <f>VLOOKUP(C1200,'Master truck list'!E:R,14,0)</f>
        <v>#N/A</v>
      </c>
      <c r="H1200" t="str">
        <f t="shared" ref="H1200:H1217" si="502">"12/21/2019 7:00:28 AM"</f>
        <v>12/21/2019 7:00:28 AM</v>
      </c>
      <c r="I1200" t="str">
        <f>""</f>
        <v/>
      </c>
      <c r="J1200" t="str">
        <f t="shared" si="475"/>
        <v>Elite</v>
      </c>
      <c r="K1200" t="str">
        <f t="shared" si="490"/>
        <v>Device</v>
      </c>
      <c r="L1200" t="str">
        <f t="shared" si="496"/>
        <v>777260593</v>
      </c>
      <c r="M1200" t="str">
        <f t="shared" si="497"/>
        <v>16758750</v>
      </c>
      <c r="N1200" t="str">
        <f t="shared" si="498"/>
        <v>2618-20</v>
      </c>
      <c r="O1200" t="str">
        <f t="shared" si="476"/>
        <v>TEXAS</v>
      </c>
      <c r="P1200" t="str">
        <f t="shared" si="477"/>
        <v>N A</v>
      </c>
      <c r="Q1200" t="str">
        <f t="shared" si="478"/>
        <v>N/A</v>
      </c>
      <c r="R1200" t="str">
        <f>"130 ARPTP 04 308"</f>
        <v>130 ARPTP 04 308</v>
      </c>
      <c r="S1200" t="str">
        <f>"12/20/2019 9:43:31 AM"</f>
        <v>12/20/2019 9:43:31 AM</v>
      </c>
      <c r="T1200" t="str">
        <f t="shared" si="499"/>
        <v>5</v>
      </c>
      <c r="U1200" t="str">
        <f t="shared" si="479"/>
        <v>N/A</v>
      </c>
      <c r="V1200" t="str">
        <f t="shared" si="501"/>
        <v>5.5500</v>
      </c>
    </row>
    <row r="1201" spans="1:22" x14ac:dyDescent="0.25">
      <c r="A1201" s="1" t="str">
        <f t="shared" si="500"/>
        <v>2618-</v>
      </c>
      <c r="B1201" s="1" t="str">
        <f t="shared" si="480"/>
        <v>2618-</v>
      </c>
      <c r="C1201" s="1" t="s">
        <v>8895</v>
      </c>
      <c r="D1201" s="1" t="s">
        <v>91</v>
      </c>
      <c r="E1201" s="1" t="s">
        <v>154</v>
      </c>
      <c r="F1201" s="1" t="s">
        <v>22</v>
      </c>
      <c r="G1201" s="1" t="e">
        <f>VLOOKUP(C1201,'Master truck list'!E:R,14,0)</f>
        <v>#N/A</v>
      </c>
      <c r="H1201" t="str">
        <f t="shared" si="502"/>
        <v>12/21/2019 7:00:28 AM</v>
      </c>
      <c r="I1201" t="str">
        <f>""</f>
        <v/>
      </c>
      <c r="J1201" t="str">
        <f t="shared" si="475"/>
        <v>Elite</v>
      </c>
      <c r="K1201" t="str">
        <f t="shared" si="490"/>
        <v>Device</v>
      </c>
      <c r="L1201" t="str">
        <f t="shared" si="496"/>
        <v>777260593</v>
      </c>
      <c r="M1201" t="str">
        <f t="shared" si="497"/>
        <v>16758750</v>
      </c>
      <c r="N1201" t="str">
        <f t="shared" si="498"/>
        <v>2618-20</v>
      </c>
      <c r="O1201" t="str">
        <f t="shared" si="476"/>
        <v>TEXAS</v>
      </c>
      <c r="P1201" t="str">
        <f t="shared" si="477"/>
        <v>N A</v>
      </c>
      <c r="Q1201" t="str">
        <f t="shared" si="478"/>
        <v>N/A</v>
      </c>
      <c r="R1201" t="str">
        <f>"130 DKCRP 10 307"</f>
        <v>130 DKCRP 10 307</v>
      </c>
      <c r="S1201" t="str">
        <f>"12/20/2019 7:09:21 PM"</f>
        <v>12/20/2019 7:09:21 PM</v>
      </c>
      <c r="T1201" t="str">
        <f t="shared" si="499"/>
        <v>5</v>
      </c>
      <c r="U1201" t="str">
        <f t="shared" si="479"/>
        <v>N/A</v>
      </c>
      <c r="V1201" t="str">
        <f t="shared" si="501"/>
        <v>5.5500</v>
      </c>
    </row>
    <row r="1202" spans="1:22" x14ac:dyDescent="0.25">
      <c r="A1202" s="1" t="str">
        <f t="shared" si="500"/>
        <v>2618-</v>
      </c>
      <c r="B1202" s="1" t="str">
        <f t="shared" si="480"/>
        <v>2618-</v>
      </c>
      <c r="C1202" s="1" t="s">
        <v>8895</v>
      </c>
      <c r="D1202" s="1" t="s">
        <v>91</v>
      </c>
      <c r="E1202" s="1" t="s">
        <v>154</v>
      </c>
      <c r="F1202" s="1" t="s">
        <v>22</v>
      </c>
      <c r="G1202" s="1" t="e">
        <f>VLOOKUP(C1202,'Master truck list'!E:R,14,0)</f>
        <v>#N/A</v>
      </c>
      <c r="H1202" t="str">
        <f t="shared" si="502"/>
        <v>12/21/2019 7:00:28 AM</v>
      </c>
      <c r="I1202" t="str">
        <f>""</f>
        <v/>
      </c>
      <c r="J1202" t="str">
        <f t="shared" si="475"/>
        <v>Elite</v>
      </c>
      <c r="K1202" t="str">
        <f t="shared" si="490"/>
        <v>Device</v>
      </c>
      <c r="L1202" t="str">
        <f t="shared" si="496"/>
        <v>777260593</v>
      </c>
      <c r="M1202" t="str">
        <f t="shared" si="497"/>
        <v>16758750</v>
      </c>
      <c r="N1202" t="str">
        <f t="shared" si="498"/>
        <v>2618-20</v>
      </c>
      <c r="O1202" t="str">
        <f t="shared" si="476"/>
        <v>TEXAS</v>
      </c>
      <c r="P1202" t="str">
        <f t="shared" si="477"/>
        <v>N A</v>
      </c>
      <c r="Q1202" t="str">
        <f t="shared" si="478"/>
        <v>N/A</v>
      </c>
      <c r="R1202" t="str">
        <f>"130 CMRNP 13 306"</f>
        <v>130 CMRNP 13 306</v>
      </c>
      <c r="S1202" t="str">
        <f>"12/20/2019 7:19:55 PM"</f>
        <v>12/20/2019 7:19:55 PM</v>
      </c>
      <c r="T1202" t="str">
        <f t="shared" si="499"/>
        <v>5</v>
      </c>
      <c r="U1202" t="str">
        <f t="shared" si="479"/>
        <v>N/A</v>
      </c>
      <c r="V1202" t="str">
        <f t="shared" si="501"/>
        <v>5.5500</v>
      </c>
    </row>
    <row r="1203" spans="1:22" x14ac:dyDescent="0.25">
      <c r="A1203" s="1" t="str">
        <f t="shared" si="500"/>
        <v>2618-</v>
      </c>
      <c r="B1203" s="1" t="str">
        <f t="shared" si="480"/>
        <v>2618-</v>
      </c>
      <c r="C1203" s="1" t="s">
        <v>8895</v>
      </c>
      <c r="D1203" s="1" t="s">
        <v>91</v>
      </c>
      <c r="E1203" s="1" t="s">
        <v>154</v>
      </c>
      <c r="F1203" s="1" t="s">
        <v>22</v>
      </c>
      <c r="G1203" s="1" t="e">
        <f>VLOOKUP(C1203,'Master truck list'!E:R,14,0)</f>
        <v>#N/A</v>
      </c>
      <c r="H1203" t="str">
        <f t="shared" si="502"/>
        <v>12/21/2019 7:00:28 AM</v>
      </c>
      <c r="I1203" t="str">
        <f>""</f>
        <v/>
      </c>
      <c r="J1203" t="str">
        <f t="shared" si="475"/>
        <v>Elite</v>
      </c>
      <c r="K1203" t="str">
        <f t="shared" si="490"/>
        <v>Device</v>
      </c>
      <c r="L1203" t="str">
        <f t="shared" si="496"/>
        <v>777260593</v>
      </c>
      <c r="M1203" t="str">
        <f t="shared" si="497"/>
        <v>16758750</v>
      </c>
      <c r="N1203" t="str">
        <f t="shared" si="498"/>
        <v>2618-20</v>
      </c>
      <c r="O1203" t="str">
        <f t="shared" si="476"/>
        <v>TEXAS</v>
      </c>
      <c r="P1203" t="str">
        <f t="shared" si="477"/>
        <v>N A</v>
      </c>
      <c r="Q1203" t="str">
        <f t="shared" si="478"/>
        <v>N/A</v>
      </c>
      <c r="R1203" t="str">
        <f>"130 ARPTP 09 308"</f>
        <v>130 ARPTP 09 308</v>
      </c>
      <c r="S1203" t="str">
        <f>"12/20/2019 7:02:10 PM"</f>
        <v>12/20/2019 7:02:10 PM</v>
      </c>
      <c r="T1203" t="str">
        <f t="shared" si="499"/>
        <v>5</v>
      </c>
      <c r="U1203" t="str">
        <f t="shared" si="479"/>
        <v>N/A</v>
      </c>
      <c r="V1203" t="str">
        <f t="shared" si="501"/>
        <v>5.5500</v>
      </c>
    </row>
    <row r="1204" spans="1:22" x14ac:dyDescent="0.25">
      <c r="A1204" s="1" t="str">
        <f t="shared" si="500"/>
        <v>2618-</v>
      </c>
      <c r="B1204" s="1" t="str">
        <f t="shared" si="480"/>
        <v>2618-</v>
      </c>
      <c r="C1204" s="1" t="s">
        <v>8895</v>
      </c>
      <c r="D1204" s="1" t="s">
        <v>91</v>
      </c>
      <c r="E1204" s="1" t="s">
        <v>154</v>
      </c>
      <c r="F1204" s="1" t="s">
        <v>22</v>
      </c>
      <c r="G1204" s="1" t="e">
        <f>VLOOKUP(C1204,'Master truck list'!E:R,14,0)</f>
        <v>#N/A</v>
      </c>
      <c r="H1204" t="str">
        <f t="shared" si="502"/>
        <v>12/21/2019 7:00:28 AM</v>
      </c>
      <c r="I1204" t="str">
        <f>""</f>
        <v/>
      </c>
      <c r="J1204" t="str">
        <f t="shared" si="475"/>
        <v>Elite</v>
      </c>
      <c r="K1204" t="str">
        <f t="shared" si="490"/>
        <v>Device</v>
      </c>
      <c r="L1204" t="str">
        <f t="shared" si="496"/>
        <v>777260593</v>
      </c>
      <c r="M1204" t="str">
        <f t="shared" si="497"/>
        <v>16758750</v>
      </c>
      <c r="N1204" t="str">
        <f t="shared" si="498"/>
        <v>2618-20</v>
      </c>
      <c r="O1204" t="str">
        <f t="shared" si="476"/>
        <v>TEXAS</v>
      </c>
      <c r="P1204" t="str">
        <f t="shared" si="477"/>
        <v>N A</v>
      </c>
      <c r="Q1204" t="str">
        <f t="shared" si="478"/>
        <v>N/A</v>
      </c>
      <c r="R1204" t="str">
        <f>"130 CMRNP 08 306"</f>
        <v>130 CMRNP 08 306</v>
      </c>
      <c r="S1204" t="str">
        <f>"12/20/2019 9:26:36 AM"</f>
        <v>12/20/2019 9:26:36 AM</v>
      </c>
      <c r="T1204" t="str">
        <f t="shared" si="499"/>
        <v>5</v>
      </c>
      <c r="U1204" t="str">
        <f t="shared" si="479"/>
        <v>N/A</v>
      </c>
      <c r="V1204" t="str">
        <f t="shared" si="501"/>
        <v>5.5500</v>
      </c>
    </row>
    <row r="1205" spans="1:22" x14ac:dyDescent="0.25">
      <c r="A1205" s="1" t="str">
        <f t="shared" si="500"/>
        <v>2618-</v>
      </c>
      <c r="B1205" s="1" t="str">
        <f t="shared" si="480"/>
        <v>2618-</v>
      </c>
      <c r="C1205" s="1" t="s">
        <v>8895</v>
      </c>
      <c r="D1205" s="1" t="s">
        <v>91</v>
      </c>
      <c r="E1205" s="1" t="s">
        <v>154</v>
      </c>
      <c r="F1205" s="1" t="s">
        <v>22</v>
      </c>
      <c r="G1205" s="1" t="e">
        <f>VLOOKUP(C1205,'Master truck list'!E:R,14,0)</f>
        <v>#N/A</v>
      </c>
      <c r="H1205" t="str">
        <f t="shared" si="502"/>
        <v>12/21/2019 7:00:28 AM</v>
      </c>
      <c r="I1205" t="str">
        <f>""</f>
        <v/>
      </c>
      <c r="J1205" t="str">
        <f t="shared" si="475"/>
        <v>Elite</v>
      </c>
      <c r="K1205" t="str">
        <f t="shared" si="490"/>
        <v>Device</v>
      </c>
      <c r="L1205" t="str">
        <f t="shared" si="496"/>
        <v>777260593</v>
      </c>
      <c r="M1205" t="str">
        <f t="shared" si="497"/>
        <v>16758750</v>
      </c>
      <c r="N1205" t="str">
        <f t="shared" si="498"/>
        <v>2618-20</v>
      </c>
      <c r="O1205" t="str">
        <f t="shared" si="476"/>
        <v>TEXAS</v>
      </c>
      <c r="P1205" t="str">
        <f t="shared" si="477"/>
        <v>N A</v>
      </c>
      <c r="Q1205" t="str">
        <f t="shared" si="478"/>
        <v>N/A</v>
      </c>
      <c r="R1205" t="str">
        <f>"45SE MLPWB 01 611"</f>
        <v>45SE MLPWB 01 611</v>
      </c>
      <c r="S1205" t="str">
        <f>"12/20/2019 9:54:01 AM"</f>
        <v>12/20/2019 9:54:01 AM</v>
      </c>
      <c r="T1205" t="str">
        <f t="shared" si="499"/>
        <v>5</v>
      </c>
      <c r="U1205" t="str">
        <f t="shared" si="479"/>
        <v>N/A</v>
      </c>
      <c r="V1205" t="str">
        <f>"3.3000"</f>
        <v>3.3000</v>
      </c>
    </row>
    <row r="1206" spans="1:22" x14ac:dyDescent="0.25">
      <c r="A1206" s="1" t="str">
        <f t="shared" si="500"/>
        <v>2618-</v>
      </c>
      <c r="B1206" s="1" t="str">
        <f t="shared" si="480"/>
        <v>2618-</v>
      </c>
      <c r="C1206" s="1" t="s">
        <v>8895</v>
      </c>
      <c r="D1206" s="1" t="s">
        <v>91</v>
      </c>
      <c r="E1206" s="1" t="s">
        <v>154</v>
      </c>
      <c r="F1206" s="1" t="s">
        <v>22</v>
      </c>
      <c r="G1206" s="1" t="e">
        <f>VLOOKUP(C1206,'Master truck list'!E:R,14,0)</f>
        <v>#N/A</v>
      </c>
      <c r="H1206" t="str">
        <f t="shared" si="502"/>
        <v>12/21/2019 7:00:28 AM</v>
      </c>
      <c r="I1206" t="str">
        <f>""</f>
        <v/>
      </c>
      <c r="J1206" t="str">
        <f t="shared" si="475"/>
        <v>Elite</v>
      </c>
      <c r="K1206" t="str">
        <f t="shared" si="490"/>
        <v>Device</v>
      </c>
      <c r="L1206" t="str">
        <f t="shared" si="496"/>
        <v>777260593</v>
      </c>
      <c r="M1206" t="str">
        <f t="shared" si="497"/>
        <v>16758750</v>
      </c>
      <c r="N1206" t="str">
        <f t="shared" si="498"/>
        <v>2618-20</v>
      </c>
      <c r="O1206" t="str">
        <f t="shared" si="476"/>
        <v>TEXAS</v>
      </c>
      <c r="P1206" t="str">
        <f t="shared" si="477"/>
        <v>N A</v>
      </c>
      <c r="Q1206" t="str">
        <f t="shared" si="478"/>
        <v>N/A</v>
      </c>
      <c r="R1206" t="str">
        <f>"130 MGCRP 11 305"</f>
        <v>130 MGCRP 11 305</v>
      </c>
      <c r="S1206" t="str">
        <f>"12/20/2019 7:31:50 PM"</f>
        <v>12/20/2019 7:31:50 PM</v>
      </c>
      <c r="T1206" t="str">
        <f t="shared" si="499"/>
        <v>5</v>
      </c>
      <c r="U1206" t="str">
        <f t="shared" si="479"/>
        <v>N/A</v>
      </c>
      <c r="V1206" t="str">
        <f>"5.5500"</f>
        <v>5.5500</v>
      </c>
    </row>
    <row r="1207" spans="1:22" x14ac:dyDescent="0.25">
      <c r="A1207" s="1" t="str">
        <f t="shared" si="500"/>
        <v>2618-</v>
      </c>
      <c r="B1207" s="1" t="str">
        <f t="shared" si="480"/>
        <v>2618-</v>
      </c>
      <c r="C1207" s="1" t="s">
        <v>8895</v>
      </c>
      <c r="D1207" s="1" t="s">
        <v>91</v>
      </c>
      <c r="E1207" s="1" t="s">
        <v>154</v>
      </c>
      <c r="F1207" s="1" t="s">
        <v>22</v>
      </c>
      <c r="G1207" s="1" t="e">
        <f>VLOOKUP(C1207,'Master truck list'!E:R,14,0)</f>
        <v>#N/A</v>
      </c>
      <c r="H1207" t="str">
        <f t="shared" si="502"/>
        <v>12/21/2019 7:00:28 AM</v>
      </c>
      <c r="I1207" t="str">
        <f>""</f>
        <v/>
      </c>
      <c r="J1207" t="str">
        <f t="shared" si="475"/>
        <v>Elite</v>
      </c>
      <c r="K1207" t="str">
        <f t="shared" si="490"/>
        <v>Device</v>
      </c>
      <c r="L1207" t="str">
        <f t="shared" si="496"/>
        <v>777260593</v>
      </c>
      <c r="M1207" t="str">
        <f t="shared" si="497"/>
        <v>16758750</v>
      </c>
      <c r="N1207" t="str">
        <f t="shared" si="498"/>
        <v>2618-20</v>
      </c>
      <c r="O1207" t="str">
        <f t="shared" si="476"/>
        <v>TEXAS</v>
      </c>
      <c r="P1207" t="str">
        <f t="shared" si="477"/>
        <v>N A</v>
      </c>
      <c r="Q1207" t="str">
        <f t="shared" si="478"/>
        <v>N/A</v>
      </c>
      <c r="R1207" t="str">
        <f>"45SE MLPEB 02 611"</f>
        <v>45SE MLPEB 02 611</v>
      </c>
      <c r="S1207" t="str">
        <f>"12/20/2019 6:51:22 PM"</f>
        <v>12/20/2019 6:51:22 PM</v>
      </c>
      <c r="T1207" t="str">
        <f t="shared" si="499"/>
        <v>5</v>
      </c>
      <c r="U1207" t="str">
        <f t="shared" si="479"/>
        <v>N/A</v>
      </c>
      <c r="V1207" t="str">
        <f>"3.3000"</f>
        <v>3.3000</v>
      </c>
    </row>
    <row r="1208" spans="1:22" x14ac:dyDescent="0.25">
      <c r="A1208" s="1" t="str">
        <f t="shared" si="500"/>
        <v>2618-</v>
      </c>
      <c r="B1208" s="1" t="str">
        <f t="shared" si="480"/>
        <v>2618-</v>
      </c>
      <c r="C1208" s="1" t="s">
        <v>8895</v>
      </c>
      <c r="D1208" s="1" t="s">
        <v>91</v>
      </c>
      <c r="E1208" s="1" t="s">
        <v>154</v>
      </c>
      <c r="F1208" s="1" t="s">
        <v>22</v>
      </c>
      <c r="G1208" s="1" t="e">
        <f>VLOOKUP(C1208,'Master truck list'!E:R,14,0)</f>
        <v>#N/A</v>
      </c>
      <c r="H1208" t="str">
        <f t="shared" si="502"/>
        <v>12/21/2019 7:00:28 AM</v>
      </c>
      <c r="I1208" t="str">
        <f>""</f>
        <v/>
      </c>
      <c r="J1208" t="str">
        <f t="shared" si="475"/>
        <v>Elite</v>
      </c>
      <c r="K1208" t="str">
        <f t="shared" si="490"/>
        <v>Device</v>
      </c>
      <c r="L1208" t="str">
        <f t="shared" si="496"/>
        <v>777260593</v>
      </c>
      <c r="M1208" t="str">
        <f t="shared" si="497"/>
        <v>16758750</v>
      </c>
      <c r="N1208" t="str">
        <f t="shared" si="498"/>
        <v>2618-20</v>
      </c>
      <c r="O1208" t="str">
        <f t="shared" si="476"/>
        <v>TEXAS</v>
      </c>
      <c r="P1208" t="str">
        <f t="shared" si="477"/>
        <v>N A</v>
      </c>
      <c r="Q1208" t="str">
        <f t="shared" si="478"/>
        <v>N/A</v>
      </c>
      <c r="R1208" t="str">
        <f>"130 MGCRP 06 305"</f>
        <v>130 MGCRP 06 305</v>
      </c>
      <c r="S1208" t="str">
        <f>"12/20/2019 9:15:39 AM"</f>
        <v>12/20/2019 9:15:39 AM</v>
      </c>
      <c r="T1208" t="str">
        <f t="shared" si="499"/>
        <v>5</v>
      </c>
      <c r="U1208" t="str">
        <f t="shared" si="479"/>
        <v>N/A</v>
      </c>
      <c r="V1208" t="str">
        <f t="shared" ref="V1208:V1215" si="503">"5.5500"</f>
        <v>5.5500</v>
      </c>
    </row>
    <row r="1209" spans="1:22" x14ac:dyDescent="0.25">
      <c r="A1209" s="1" t="str">
        <f t="shared" si="500"/>
        <v>2618-</v>
      </c>
      <c r="B1209" s="1" t="str">
        <f t="shared" si="480"/>
        <v>2618-</v>
      </c>
      <c r="C1209" s="1" t="s">
        <v>8895</v>
      </c>
      <c r="D1209" s="1" t="s">
        <v>91</v>
      </c>
      <c r="E1209" s="1" t="s">
        <v>154</v>
      </c>
      <c r="F1209" s="1" t="s">
        <v>22</v>
      </c>
      <c r="G1209" s="1" t="e">
        <f>VLOOKUP(C1209,'Master truck list'!E:R,14,0)</f>
        <v>#N/A</v>
      </c>
      <c r="H1209" t="str">
        <f t="shared" si="502"/>
        <v>12/21/2019 7:00:28 AM</v>
      </c>
      <c r="I1209" t="str">
        <f>""</f>
        <v/>
      </c>
      <c r="J1209" t="str">
        <f t="shared" si="475"/>
        <v>Elite</v>
      </c>
      <c r="K1209" t="str">
        <f t="shared" si="490"/>
        <v>Device</v>
      </c>
      <c r="L1209" t="str">
        <f t="shared" si="496"/>
        <v>777260593</v>
      </c>
      <c r="M1209" t="str">
        <f t="shared" si="497"/>
        <v>16758750</v>
      </c>
      <c r="N1209" t="str">
        <f t="shared" si="498"/>
        <v>2618-20</v>
      </c>
      <c r="O1209" t="str">
        <f t="shared" si="476"/>
        <v>TEXAS</v>
      </c>
      <c r="P1209" t="str">
        <f t="shared" si="477"/>
        <v>N A</v>
      </c>
      <c r="Q1209" t="str">
        <f t="shared" si="478"/>
        <v>N/A</v>
      </c>
      <c r="R1209" t="str">
        <f>"130 DKCRP 06 307"</f>
        <v>130 DKCRP 06 307</v>
      </c>
      <c r="S1209" t="str">
        <f>"12/20/2019 9:36:31 AM"</f>
        <v>12/20/2019 9:36:31 AM</v>
      </c>
      <c r="T1209" t="str">
        <f t="shared" si="499"/>
        <v>5</v>
      </c>
      <c r="U1209" t="str">
        <f t="shared" si="479"/>
        <v>N/A</v>
      </c>
      <c r="V1209" t="str">
        <f t="shared" si="503"/>
        <v>5.5500</v>
      </c>
    </row>
    <row r="1210" spans="1:22" x14ac:dyDescent="0.25">
      <c r="A1210" s="1" t="str">
        <f t="shared" si="500"/>
        <v>2604-</v>
      </c>
      <c r="B1210" s="1" t="str">
        <f t="shared" si="480"/>
        <v>2604-</v>
      </c>
      <c r="C1210" s="1" t="s">
        <v>8926</v>
      </c>
      <c r="D1210" s="1" t="s">
        <v>91</v>
      </c>
      <c r="E1210" s="1" t="s">
        <v>154</v>
      </c>
      <c r="F1210" s="1" t="s">
        <v>22</v>
      </c>
      <c r="G1210" s="1" t="e">
        <f>VLOOKUP(C1210,'Master truck list'!E:R,14,0)</f>
        <v>#N/A</v>
      </c>
      <c r="H1210" t="str">
        <f t="shared" si="502"/>
        <v>12/21/2019 7:00:28 AM</v>
      </c>
      <c r="I1210" t="str">
        <f>""</f>
        <v/>
      </c>
      <c r="J1210" t="str">
        <f t="shared" si="475"/>
        <v>Elite</v>
      </c>
      <c r="K1210" t="str">
        <f t="shared" si="490"/>
        <v>Device</v>
      </c>
      <c r="L1210" t="str">
        <f>"777260327"</f>
        <v>777260327</v>
      </c>
      <c r="M1210" t="str">
        <f>"16758484"</f>
        <v>16758484</v>
      </c>
      <c r="N1210" t="str">
        <f>"2604-20"</f>
        <v>2604-20</v>
      </c>
      <c r="O1210" t="str">
        <f t="shared" si="476"/>
        <v>TEXAS</v>
      </c>
      <c r="P1210" t="str">
        <f t="shared" si="477"/>
        <v>N A</v>
      </c>
      <c r="Q1210" t="str">
        <f t="shared" si="478"/>
        <v>N/A</v>
      </c>
      <c r="R1210" t="str">
        <f>"130 DKCRP 06 307"</f>
        <v>130 DKCRP 06 307</v>
      </c>
      <c r="S1210" t="str">
        <f>"12/20/2019 1:12:26 PM"</f>
        <v>12/20/2019 1:12:26 PM</v>
      </c>
      <c r="T1210" t="str">
        <f t="shared" si="499"/>
        <v>5</v>
      </c>
      <c r="U1210" t="str">
        <f t="shared" si="479"/>
        <v>N/A</v>
      </c>
      <c r="V1210" t="str">
        <f t="shared" si="503"/>
        <v>5.5500</v>
      </c>
    </row>
    <row r="1211" spans="1:22" x14ac:dyDescent="0.25">
      <c r="A1211" s="1" t="str">
        <f t="shared" si="500"/>
        <v>2604-</v>
      </c>
      <c r="B1211" s="1" t="str">
        <f t="shared" si="480"/>
        <v>2604-</v>
      </c>
      <c r="C1211" s="1" t="s">
        <v>8926</v>
      </c>
      <c r="D1211" s="1" t="s">
        <v>91</v>
      </c>
      <c r="E1211" s="1" t="s">
        <v>154</v>
      </c>
      <c r="F1211" s="1" t="s">
        <v>22</v>
      </c>
      <c r="G1211" s="1" t="e">
        <f>VLOOKUP(C1211,'Master truck list'!E:R,14,0)</f>
        <v>#N/A</v>
      </c>
      <c r="H1211" t="str">
        <f t="shared" si="502"/>
        <v>12/21/2019 7:00:28 AM</v>
      </c>
      <c r="I1211" t="str">
        <f>""</f>
        <v/>
      </c>
      <c r="J1211" t="str">
        <f t="shared" si="475"/>
        <v>Elite</v>
      </c>
      <c r="K1211" t="str">
        <f t="shared" si="490"/>
        <v>Device</v>
      </c>
      <c r="L1211" t="str">
        <f>"777260327"</f>
        <v>777260327</v>
      </c>
      <c r="M1211" t="str">
        <f>"16758484"</f>
        <v>16758484</v>
      </c>
      <c r="N1211" t="str">
        <f>"2604-20"</f>
        <v>2604-20</v>
      </c>
      <c r="O1211" t="str">
        <f t="shared" si="476"/>
        <v>TEXAS</v>
      </c>
      <c r="P1211" t="str">
        <f t="shared" si="477"/>
        <v>N A</v>
      </c>
      <c r="Q1211" t="str">
        <f t="shared" si="478"/>
        <v>N/A</v>
      </c>
      <c r="R1211" t="str">
        <f>"130 MGCRP 07 305"</f>
        <v>130 MGCRP 07 305</v>
      </c>
      <c r="S1211" t="str">
        <f>"12/20/2019 12:51:00 PM"</f>
        <v>12/20/2019 12:51:00 PM</v>
      </c>
      <c r="T1211" t="str">
        <f t="shared" si="499"/>
        <v>5</v>
      </c>
      <c r="U1211" t="str">
        <f t="shared" si="479"/>
        <v>N/A</v>
      </c>
      <c r="V1211" t="str">
        <f t="shared" si="503"/>
        <v>5.5500</v>
      </c>
    </row>
    <row r="1212" spans="1:22" x14ac:dyDescent="0.25">
      <c r="A1212" s="1" t="str">
        <f t="shared" si="500"/>
        <v>2604-</v>
      </c>
      <c r="B1212" s="1" t="str">
        <f t="shared" si="480"/>
        <v>2604-</v>
      </c>
      <c r="C1212" s="1" t="s">
        <v>8926</v>
      </c>
      <c r="D1212" s="1" t="s">
        <v>91</v>
      </c>
      <c r="E1212" s="1" t="s">
        <v>154</v>
      </c>
      <c r="F1212" s="1" t="s">
        <v>22</v>
      </c>
      <c r="G1212" s="1" t="e">
        <f>VLOOKUP(C1212,'Master truck list'!E:R,14,0)</f>
        <v>#N/A</v>
      </c>
      <c r="H1212" t="str">
        <f t="shared" si="502"/>
        <v>12/21/2019 7:00:28 AM</v>
      </c>
      <c r="I1212" t="str">
        <f>""</f>
        <v/>
      </c>
      <c r="J1212" t="str">
        <f t="shared" si="475"/>
        <v>Elite</v>
      </c>
      <c r="K1212" t="str">
        <f t="shared" si="490"/>
        <v>Device</v>
      </c>
      <c r="L1212" t="str">
        <f>"777260327"</f>
        <v>777260327</v>
      </c>
      <c r="M1212" t="str">
        <f>"16758484"</f>
        <v>16758484</v>
      </c>
      <c r="N1212" t="str">
        <f>"2604-20"</f>
        <v>2604-20</v>
      </c>
      <c r="O1212" t="str">
        <f t="shared" si="476"/>
        <v>TEXAS</v>
      </c>
      <c r="P1212" t="str">
        <f t="shared" si="477"/>
        <v>N A</v>
      </c>
      <c r="Q1212" t="str">
        <f t="shared" si="478"/>
        <v>N/A</v>
      </c>
      <c r="R1212" t="str">
        <f>"130 CMRNP 08 306"</f>
        <v>130 CMRNP 08 306</v>
      </c>
      <c r="S1212" t="str">
        <f>"12/20/2019 1:02:21 PM"</f>
        <v>12/20/2019 1:02:21 PM</v>
      </c>
      <c r="T1212" t="str">
        <f t="shared" si="499"/>
        <v>5</v>
      </c>
      <c r="U1212" t="str">
        <f t="shared" si="479"/>
        <v>N/A</v>
      </c>
      <c r="V1212" t="str">
        <f t="shared" si="503"/>
        <v>5.5500</v>
      </c>
    </row>
    <row r="1213" spans="1:22" x14ac:dyDescent="0.25">
      <c r="A1213" s="1" t="str">
        <f t="shared" si="500"/>
        <v>2604-</v>
      </c>
      <c r="B1213" s="1" t="str">
        <f t="shared" si="480"/>
        <v>2604-</v>
      </c>
      <c r="C1213" s="1" t="s">
        <v>8926</v>
      </c>
      <c r="D1213" s="1" t="s">
        <v>91</v>
      </c>
      <c r="E1213" s="1" t="s">
        <v>154</v>
      </c>
      <c r="F1213" s="1" t="s">
        <v>22</v>
      </c>
      <c r="G1213" s="1" t="e">
        <f>VLOOKUP(C1213,'Master truck list'!E:R,14,0)</f>
        <v>#N/A</v>
      </c>
      <c r="H1213" t="str">
        <f t="shared" si="502"/>
        <v>12/21/2019 7:00:28 AM</v>
      </c>
      <c r="I1213" t="str">
        <f>""</f>
        <v/>
      </c>
      <c r="J1213" t="str">
        <f t="shared" si="475"/>
        <v>Elite</v>
      </c>
      <c r="K1213" t="str">
        <f t="shared" si="490"/>
        <v>Device</v>
      </c>
      <c r="L1213" t="str">
        <f>"777260327"</f>
        <v>777260327</v>
      </c>
      <c r="M1213" t="str">
        <f>"16758484"</f>
        <v>16758484</v>
      </c>
      <c r="N1213" t="str">
        <f>"2604-20"</f>
        <v>2604-20</v>
      </c>
      <c r="O1213" t="str">
        <f t="shared" si="476"/>
        <v>TEXAS</v>
      </c>
      <c r="P1213" t="str">
        <f t="shared" si="477"/>
        <v>N A</v>
      </c>
      <c r="Q1213" t="str">
        <f t="shared" si="478"/>
        <v>N/A</v>
      </c>
      <c r="R1213" t="str">
        <f>"130 ARPTP 04 308"</f>
        <v>130 ARPTP 04 308</v>
      </c>
      <c r="S1213" t="str">
        <f>"12/20/2019 1:19:27 PM"</f>
        <v>12/20/2019 1:19:27 PM</v>
      </c>
      <c r="T1213" t="str">
        <f t="shared" si="499"/>
        <v>5</v>
      </c>
      <c r="U1213" t="str">
        <f t="shared" si="479"/>
        <v>N/A</v>
      </c>
      <c r="V1213" t="str">
        <f t="shared" si="503"/>
        <v>5.5500</v>
      </c>
    </row>
    <row r="1214" spans="1:22" x14ac:dyDescent="0.25">
      <c r="A1214" s="1" t="str">
        <f t="shared" si="500"/>
        <v>5178-</v>
      </c>
      <c r="B1214" s="1" t="str">
        <f t="shared" si="480"/>
        <v>5178-</v>
      </c>
      <c r="C1214" s="1" t="s">
        <v>8917</v>
      </c>
      <c r="D1214" s="1" t="s">
        <v>91</v>
      </c>
      <c r="E1214" s="1" t="s">
        <v>1738</v>
      </c>
      <c r="F1214" s="1" t="s">
        <v>22</v>
      </c>
      <c r="G1214" s="1" t="e">
        <f>VLOOKUP(C1214,'Master truck list'!E:R,14,0)</f>
        <v>#N/A</v>
      </c>
      <c r="H1214" t="str">
        <f t="shared" si="502"/>
        <v>12/21/2019 7:00:28 AM</v>
      </c>
      <c r="I1214" t="str">
        <f>""</f>
        <v/>
      </c>
      <c r="J1214" t="str">
        <f t="shared" si="475"/>
        <v>Elite</v>
      </c>
      <c r="K1214" t="str">
        <f t="shared" si="490"/>
        <v>Device</v>
      </c>
      <c r="L1214" t="str">
        <f t="shared" ref="L1214:L1223" si="504">"777260313"</f>
        <v>777260313</v>
      </c>
      <c r="M1214" t="str">
        <f t="shared" ref="M1214:M1223" si="505">"16758470"</f>
        <v>16758470</v>
      </c>
      <c r="N1214" t="str">
        <f t="shared" ref="N1214:N1223" si="506">"5178-20"</f>
        <v>5178-20</v>
      </c>
      <c r="O1214" t="str">
        <f t="shared" si="476"/>
        <v>TEXAS</v>
      </c>
      <c r="P1214" t="str">
        <f t="shared" si="477"/>
        <v>N A</v>
      </c>
      <c r="Q1214" t="str">
        <f t="shared" si="478"/>
        <v>N/A</v>
      </c>
      <c r="R1214" t="str">
        <f>"130 DKCRP 06 307"</f>
        <v>130 DKCRP 06 307</v>
      </c>
      <c r="S1214" t="str">
        <f>"12/20/2019 8:42:10 AM"</f>
        <v>12/20/2019 8:42:10 AM</v>
      </c>
      <c r="T1214" t="str">
        <f t="shared" si="499"/>
        <v>5</v>
      </c>
      <c r="U1214" t="str">
        <f t="shared" si="479"/>
        <v>N/A</v>
      </c>
      <c r="V1214" t="str">
        <f t="shared" si="503"/>
        <v>5.5500</v>
      </c>
    </row>
    <row r="1215" spans="1:22" x14ac:dyDescent="0.25">
      <c r="A1215" s="1" t="str">
        <f t="shared" si="500"/>
        <v>5178-</v>
      </c>
      <c r="B1215" s="1" t="str">
        <f t="shared" si="480"/>
        <v>5178-</v>
      </c>
      <c r="C1215" s="1" t="s">
        <v>8917</v>
      </c>
      <c r="D1215" s="1" t="s">
        <v>91</v>
      </c>
      <c r="E1215" s="1" t="s">
        <v>1738</v>
      </c>
      <c r="F1215" s="1" t="s">
        <v>22</v>
      </c>
      <c r="G1215" s="1" t="e">
        <f>VLOOKUP(C1215,'Master truck list'!E:R,14,0)</f>
        <v>#N/A</v>
      </c>
      <c r="H1215" t="str">
        <f t="shared" si="502"/>
        <v>12/21/2019 7:00:28 AM</v>
      </c>
      <c r="I1215" t="str">
        <f>""</f>
        <v/>
      </c>
      <c r="J1215" t="str">
        <f t="shared" si="475"/>
        <v>Elite</v>
      </c>
      <c r="K1215" t="str">
        <f t="shared" si="490"/>
        <v>Device</v>
      </c>
      <c r="L1215" t="str">
        <f t="shared" si="504"/>
        <v>777260313</v>
      </c>
      <c r="M1215" t="str">
        <f t="shared" si="505"/>
        <v>16758470</v>
      </c>
      <c r="N1215" t="str">
        <f t="shared" si="506"/>
        <v>5178-20</v>
      </c>
      <c r="O1215" t="str">
        <f t="shared" si="476"/>
        <v>TEXAS</v>
      </c>
      <c r="P1215" t="str">
        <f t="shared" si="477"/>
        <v>N A</v>
      </c>
      <c r="Q1215" t="str">
        <f t="shared" si="478"/>
        <v>N/A</v>
      </c>
      <c r="R1215" t="str">
        <f>"130 CMRNP 08 306"</f>
        <v>130 CMRNP 08 306</v>
      </c>
      <c r="S1215" t="str">
        <f>"12/20/2019 8:32:12 AM"</f>
        <v>12/20/2019 8:32:12 AM</v>
      </c>
      <c r="T1215" t="str">
        <f t="shared" si="499"/>
        <v>5</v>
      </c>
      <c r="U1215" t="str">
        <f t="shared" si="479"/>
        <v>N/A</v>
      </c>
      <c r="V1215" t="str">
        <f t="shared" si="503"/>
        <v>5.5500</v>
      </c>
    </row>
    <row r="1216" spans="1:22" x14ac:dyDescent="0.25">
      <c r="A1216" s="1" t="str">
        <f t="shared" si="500"/>
        <v>5178-</v>
      </c>
      <c r="B1216" s="1" t="str">
        <f t="shared" si="480"/>
        <v>5178-</v>
      </c>
      <c r="C1216" s="1" t="s">
        <v>8917</v>
      </c>
      <c r="D1216" s="1" t="s">
        <v>91</v>
      </c>
      <c r="E1216" s="1" t="s">
        <v>1738</v>
      </c>
      <c r="F1216" s="1" t="s">
        <v>22</v>
      </c>
      <c r="G1216" s="1" t="e">
        <f>VLOOKUP(C1216,'Master truck list'!E:R,14,0)</f>
        <v>#N/A</v>
      </c>
      <c r="H1216" t="str">
        <f t="shared" si="502"/>
        <v>12/21/2019 7:00:28 AM</v>
      </c>
      <c r="I1216" t="str">
        <f>""</f>
        <v/>
      </c>
      <c r="J1216" t="str">
        <f t="shared" si="475"/>
        <v>Elite</v>
      </c>
      <c r="K1216" t="str">
        <f t="shared" si="490"/>
        <v>Device</v>
      </c>
      <c r="L1216" t="str">
        <f t="shared" si="504"/>
        <v>777260313</v>
      </c>
      <c r="M1216" t="str">
        <f t="shared" si="505"/>
        <v>16758470</v>
      </c>
      <c r="N1216" t="str">
        <f t="shared" si="506"/>
        <v>5178-20</v>
      </c>
      <c r="O1216" t="str">
        <f t="shared" si="476"/>
        <v>TEXAS</v>
      </c>
      <c r="P1216" t="str">
        <f t="shared" si="477"/>
        <v>N A</v>
      </c>
      <c r="Q1216" t="str">
        <f t="shared" si="478"/>
        <v>N/A</v>
      </c>
      <c r="R1216" t="str">
        <f>"45SE MLPWB 01 611"</f>
        <v>45SE MLPWB 01 611</v>
      </c>
      <c r="S1216" t="str">
        <f>"12/20/2019 8:59:45 AM"</f>
        <v>12/20/2019 8:59:45 AM</v>
      </c>
      <c r="T1216" t="str">
        <f t="shared" si="499"/>
        <v>5</v>
      </c>
      <c r="U1216" t="str">
        <f t="shared" si="479"/>
        <v>N/A</v>
      </c>
      <c r="V1216" t="str">
        <f>"3.3000"</f>
        <v>3.3000</v>
      </c>
    </row>
    <row r="1217" spans="1:22" x14ac:dyDescent="0.25">
      <c r="A1217" s="1" t="str">
        <f t="shared" si="500"/>
        <v>5178-</v>
      </c>
      <c r="B1217" s="1" t="str">
        <f t="shared" si="480"/>
        <v>5178-</v>
      </c>
      <c r="C1217" s="1" t="s">
        <v>8917</v>
      </c>
      <c r="D1217" s="1" t="s">
        <v>91</v>
      </c>
      <c r="E1217" s="1" t="s">
        <v>1738</v>
      </c>
      <c r="F1217" s="1" t="s">
        <v>22</v>
      </c>
      <c r="G1217" s="1" t="e">
        <f>VLOOKUP(C1217,'Master truck list'!E:R,14,0)</f>
        <v>#N/A</v>
      </c>
      <c r="H1217" t="str">
        <f t="shared" si="502"/>
        <v>12/21/2019 7:00:28 AM</v>
      </c>
      <c r="I1217" t="str">
        <f>""</f>
        <v/>
      </c>
      <c r="J1217" t="str">
        <f t="shared" si="475"/>
        <v>Elite</v>
      </c>
      <c r="K1217" t="str">
        <f t="shared" si="490"/>
        <v>Device</v>
      </c>
      <c r="L1217" t="str">
        <f t="shared" si="504"/>
        <v>777260313</v>
      </c>
      <c r="M1217" t="str">
        <f t="shared" si="505"/>
        <v>16758470</v>
      </c>
      <c r="N1217" t="str">
        <f t="shared" si="506"/>
        <v>5178-20</v>
      </c>
      <c r="O1217" t="str">
        <f t="shared" si="476"/>
        <v>TEXAS</v>
      </c>
      <c r="P1217" t="str">
        <f t="shared" si="477"/>
        <v>N A</v>
      </c>
      <c r="Q1217" t="str">
        <f t="shared" si="478"/>
        <v>N/A</v>
      </c>
      <c r="R1217" t="str">
        <f>"130 MGCRP 06 305"</f>
        <v>130 MGCRP 06 305</v>
      </c>
      <c r="S1217" t="str">
        <f>"12/20/2019 8:21:13 AM"</f>
        <v>12/20/2019 8:21:13 AM</v>
      </c>
      <c r="T1217" t="str">
        <f t="shared" si="499"/>
        <v>5</v>
      </c>
      <c r="U1217" t="str">
        <f t="shared" si="479"/>
        <v>N/A</v>
      </c>
      <c r="V1217" t="str">
        <f>"5.5500"</f>
        <v>5.5500</v>
      </c>
    </row>
    <row r="1218" spans="1:22" x14ac:dyDescent="0.25">
      <c r="A1218" s="1" t="str">
        <f t="shared" si="500"/>
        <v>5178-</v>
      </c>
      <c r="B1218" s="1" t="str">
        <f t="shared" si="480"/>
        <v>5178-</v>
      </c>
      <c r="C1218" s="1" t="s">
        <v>8917</v>
      </c>
      <c r="D1218" s="1" t="s">
        <v>91</v>
      </c>
      <c r="E1218" s="1" t="s">
        <v>1738</v>
      </c>
      <c r="F1218" s="1" t="s">
        <v>22</v>
      </c>
      <c r="G1218" s="1" t="e">
        <f>VLOOKUP(C1218,'Master truck list'!E:R,14,0)</f>
        <v>#N/A</v>
      </c>
      <c r="H1218" t="str">
        <f>"12/18/2019 7:00:28 AM"</f>
        <v>12/18/2019 7:00:28 AM</v>
      </c>
      <c r="I1218" t="str">
        <f>""</f>
        <v/>
      </c>
      <c r="J1218" t="str">
        <f t="shared" ref="J1218:J1281" si="507">"Elite"</f>
        <v>Elite</v>
      </c>
      <c r="K1218" t="str">
        <f t="shared" si="490"/>
        <v>Device</v>
      </c>
      <c r="L1218" t="str">
        <f t="shared" si="504"/>
        <v>777260313</v>
      </c>
      <c r="M1218" t="str">
        <f t="shared" si="505"/>
        <v>16758470</v>
      </c>
      <c r="N1218" t="str">
        <f t="shared" si="506"/>
        <v>5178-20</v>
      </c>
      <c r="O1218" t="str">
        <f t="shared" ref="O1218:O1281" si="508">"TEXAS"</f>
        <v>TEXAS</v>
      </c>
      <c r="P1218" t="str">
        <f t="shared" ref="P1218:P1281" si="509">"N A"</f>
        <v>N A</v>
      </c>
      <c r="Q1218" t="str">
        <f t="shared" ref="Q1218:Q1281" si="510">"N/A"</f>
        <v>N/A</v>
      </c>
      <c r="R1218" t="str">
        <f>"45SE MLPEB 02 611"</f>
        <v>45SE MLPEB 02 611</v>
      </c>
      <c r="S1218" t="str">
        <f>"12/17/2019 2:48:58 PM"</f>
        <v>12/17/2019 2:48:58 PM</v>
      </c>
      <c r="T1218" t="str">
        <f t="shared" si="499"/>
        <v>5</v>
      </c>
      <c r="U1218" t="str">
        <f t="shared" ref="U1218:U1281" si="511">"N/A"</f>
        <v>N/A</v>
      </c>
      <c r="V1218" t="str">
        <f>"3.3000"</f>
        <v>3.3000</v>
      </c>
    </row>
    <row r="1219" spans="1:22" x14ac:dyDescent="0.25">
      <c r="A1219" s="1" t="str">
        <f t="shared" si="500"/>
        <v>5178-</v>
      </c>
      <c r="B1219" s="1" t="str">
        <f t="shared" ref="B1219:B1282" si="512">SUBSTITUTE(A1219," ","")</f>
        <v>5178-</v>
      </c>
      <c r="C1219" s="1" t="s">
        <v>8917</v>
      </c>
      <c r="D1219" s="1" t="s">
        <v>91</v>
      </c>
      <c r="E1219" s="1" t="s">
        <v>1738</v>
      </c>
      <c r="F1219" s="1" t="s">
        <v>22</v>
      </c>
      <c r="G1219" s="1" t="e">
        <f>VLOOKUP(C1219,'Master truck list'!E:R,14,0)</f>
        <v>#N/A</v>
      </c>
      <c r="H1219" t="str">
        <f>"12/18/2019 7:00:28 AM"</f>
        <v>12/18/2019 7:00:28 AM</v>
      </c>
      <c r="I1219" t="str">
        <f>""</f>
        <v/>
      </c>
      <c r="J1219" t="str">
        <f t="shared" si="507"/>
        <v>Elite</v>
      </c>
      <c r="K1219" t="str">
        <f t="shared" si="490"/>
        <v>Device</v>
      </c>
      <c r="L1219" t="str">
        <f t="shared" si="504"/>
        <v>777260313</v>
      </c>
      <c r="M1219" t="str">
        <f t="shared" si="505"/>
        <v>16758470</v>
      </c>
      <c r="N1219" t="str">
        <f t="shared" si="506"/>
        <v>5178-20</v>
      </c>
      <c r="O1219" t="str">
        <f t="shared" si="508"/>
        <v>TEXAS</v>
      </c>
      <c r="P1219" t="str">
        <f t="shared" si="509"/>
        <v>N A</v>
      </c>
      <c r="Q1219" t="str">
        <f t="shared" si="510"/>
        <v>N/A</v>
      </c>
      <c r="R1219" t="str">
        <f>"130 DKCRP 11 307"</f>
        <v>130 DKCRP 11 307</v>
      </c>
      <c r="S1219" t="str">
        <f>"12/17/2019 3:06:31 PM"</f>
        <v>12/17/2019 3:06:31 PM</v>
      </c>
      <c r="T1219" t="str">
        <f t="shared" si="499"/>
        <v>5</v>
      </c>
      <c r="U1219" t="str">
        <f t="shared" si="511"/>
        <v>N/A</v>
      </c>
      <c r="V1219" t="str">
        <f t="shared" ref="V1219:V1224" si="513">"5.5500"</f>
        <v>5.5500</v>
      </c>
    </row>
    <row r="1220" spans="1:22" x14ac:dyDescent="0.25">
      <c r="A1220" s="1" t="str">
        <f t="shared" si="500"/>
        <v>5178-</v>
      </c>
      <c r="B1220" s="1" t="str">
        <f t="shared" si="512"/>
        <v>5178-</v>
      </c>
      <c r="C1220" s="1" t="s">
        <v>8917</v>
      </c>
      <c r="D1220" s="1" t="s">
        <v>91</v>
      </c>
      <c r="E1220" s="1" t="s">
        <v>1738</v>
      </c>
      <c r="F1220" s="1" t="s">
        <v>22</v>
      </c>
      <c r="G1220" s="1" t="e">
        <f>VLOOKUP(C1220,'Master truck list'!E:R,14,0)</f>
        <v>#N/A</v>
      </c>
      <c r="H1220" t="str">
        <f>"12/18/2019 7:00:28 AM"</f>
        <v>12/18/2019 7:00:28 AM</v>
      </c>
      <c r="I1220" t="str">
        <f>""</f>
        <v/>
      </c>
      <c r="J1220" t="str">
        <f t="shared" si="507"/>
        <v>Elite</v>
      </c>
      <c r="K1220" t="str">
        <f t="shared" si="490"/>
        <v>Device</v>
      </c>
      <c r="L1220" t="str">
        <f t="shared" si="504"/>
        <v>777260313</v>
      </c>
      <c r="M1220" t="str">
        <f t="shared" si="505"/>
        <v>16758470</v>
      </c>
      <c r="N1220" t="str">
        <f t="shared" si="506"/>
        <v>5178-20</v>
      </c>
      <c r="O1220" t="str">
        <f t="shared" si="508"/>
        <v>TEXAS</v>
      </c>
      <c r="P1220" t="str">
        <f t="shared" si="509"/>
        <v>N A</v>
      </c>
      <c r="Q1220" t="str">
        <f t="shared" si="510"/>
        <v>N/A</v>
      </c>
      <c r="R1220" t="str">
        <f>"130 ARPTP 09 308"</f>
        <v>130 ARPTP 09 308</v>
      </c>
      <c r="S1220" t="str">
        <f>"12/17/2019 2:59:32 PM"</f>
        <v>12/17/2019 2:59:32 PM</v>
      </c>
      <c r="T1220" t="str">
        <f t="shared" si="499"/>
        <v>5</v>
      </c>
      <c r="U1220" t="str">
        <f t="shared" si="511"/>
        <v>N/A</v>
      </c>
      <c r="V1220" t="str">
        <f t="shared" si="513"/>
        <v>5.5500</v>
      </c>
    </row>
    <row r="1221" spans="1:22" x14ac:dyDescent="0.25">
      <c r="A1221" s="1" t="str">
        <f t="shared" si="500"/>
        <v>5178-</v>
      </c>
      <c r="B1221" s="1" t="str">
        <f t="shared" si="512"/>
        <v>5178-</v>
      </c>
      <c r="C1221" s="1" t="s">
        <v>8917</v>
      </c>
      <c r="D1221" s="1" t="s">
        <v>91</v>
      </c>
      <c r="E1221" s="1" t="s">
        <v>1738</v>
      </c>
      <c r="F1221" s="1" t="s">
        <v>22</v>
      </c>
      <c r="G1221" s="1" t="e">
        <f>VLOOKUP(C1221,'Master truck list'!E:R,14,0)</f>
        <v>#N/A</v>
      </c>
      <c r="H1221" t="str">
        <f>"12/18/2019 7:00:28 AM"</f>
        <v>12/18/2019 7:00:28 AM</v>
      </c>
      <c r="I1221" t="str">
        <f>""</f>
        <v/>
      </c>
      <c r="J1221" t="str">
        <f t="shared" si="507"/>
        <v>Elite</v>
      </c>
      <c r="K1221" t="str">
        <f t="shared" si="490"/>
        <v>Device</v>
      </c>
      <c r="L1221" t="str">
        <f t="shared" si="504"/>
        <v>777260313</v>
      </c>
      <c r="M1221" t="str">
        <f t="shared" si="505"/>
        <v>16758470</v>
      </c>
      <c r="N1221" t="str">
        <f t="shared" si="506"/>
        <v>5178-20</v>
      </c>
      <c r="O1221" t="str">
        <f t="shared" si="508"/>
        <v>TEXAS</v>
      </c>
      <c r="P1221" t="str">
        <f t="shared" si="509"/>
        <v>N A</v>
      </c>
      <c r="Q1221" t="str">
        <f t="shared" si="510"/>
        <v>N/A</v>
      </c>
      <c r="R1221" t="str">
        <f>"130 MGCRP 11 305"</f>
        <v>130 MGCRP 11 305</v>
      </c>
      <c r="S1221" t="str">
        <f>"12/17/2019 3:27:49 PM"</f>
        <v>12/17/2019 3:27:49 PM</v>
      </c>
      <c r="T1221" t="str">
        <f t="shared" si="499"/>
        <v>5</v>
      </c>
      <c r="U1221" t="str">
        <f t="shared" si="511"/>
        <v>N/A</v>
      </c>
      <c r="V1221" t="str">
        <f t="shared" si="513"/>
        <v>5.5500</v>
      </c>
    </row>
    <row r="1222" spans="1:22" x14ac:dyDescent="0.25">
      <c r="A1222" s="1" t="str">
        <f t="shared" si="500"/>
        <v>5178-</v>
      </c>
      <c r="B1222" s="1" t="str">
        <f t="shared" si="512"/>
        <v>5178-</v>
      </c>
      <c r="C1222" s="1" t="s">
        <v>8917</v>
      </c>
      <c r="D1222" s="1" t="s">
        <v>91</v>
      </c>
      <c r="E1222" s="1" t="s">
        <v>1738</v>
      </c>
      <c r="F1222" s="1" t="s">
        <v>22</v>
      </c>
      <c r="G1222" s="1" t="e">
        <f>VLOOKUP(C1222,'Master truck list'!E:R,14,0)</f>
        <v>#N/A</v>
      </c>
      <c r="H1222" t="str">
        <f>"12/18/2019 7:00:28 AM"</f>
        <v>12/18/2019 7:00:28 AM</v>
      </c>
      <c r="I1222" t="str">
        <f>""</f>
        <v/>
      </c>
      <c r="J1222" t="str">
        <f t="shared" si="507"/>
        <v>Elite</v>
      </c>
      <c r="K1222" t="str">
        <f t="shared" si="490"/>
        <v>Device</v>
      </c>
      <c r="L1222" t="str">
        <f t="shared" si="504"/>
        <v>777260313</v>
      </c>
      <c r="M1222" t="str">
        <f t="shared" si="505"/>
        <v>16758470</v>
      </c>
      <c r="N1222" t="str">
        <f t="shared" si="506"/>
        <v>5178-20</v>
      </c>
      <c r="O1222" t="str">
        <f t="shared" si="508"/>
        <v>TEXAS</v>
      </c>
      <c r="P1222" t="str">
        <f t="shared" si="509"/>
        <v>N A</v>
      </c>
      <c r="Q1222" t="str">
        <f t="shared" si="510"/>
        <v>N/A</v>
      </c>
      <c r="R1222" t="str">
        <f>"130 CMRNP 13 306"</f>
        <v>130 CMRNP 13 306</v>
      </c>
      <c r="S1222" t="str">
        <f>"12/17/2019 3:16:42 PM"</f>
        <v>12/17/2019 3:16:42 PM</v>
      </c>
      <c r="T1222" t="str">
        <f t="shared" si="499"/>
        <v>5</v>
      </c>
      <c r="U1222" t="str">
        <f t="shared" si="511"/>
        <v>N/A</v>
      </c>
      <c r="V1222" t="str">
        <f t="shared" si="513"/>
        <v>5.5500</v>
      </c>
    </row>
    <row r="1223" spans="1:22" x14ac:dyDescent="0.25">
      <c r="A1223" s="1" t="str">
        <f t="shared" si="500"/>
        <v>5178-</v>
      </c>
      <c r="B1223" s="1" t="str">
        <f t="shared" si="512"/>
        <v>5178-</v>
      </c>
      <c r="C1223" s="1" t="s">
        <v>8917</v>
      </c>
      <c r="D1223" s="1" t="s">
        <v>91</v>
      </c>
      <c r="E1223" s="1" t="s">
        <v>1738</v>
      </c>
      <c r="F1223" s="1" t="s">
        <v>22</v>
      </c>
      <c r="G1223" s="1" t="e">
        <f>VLOOKUP(C1223,'Master truck list'!E:R,14,0)</f>
        <v>#N/A</v>
      </c>
      <c r="H1223" t="str">
        <f>"12/21/2019 7:00:28 AM"</f>
        <v>12/21/2019 7:00:28 AM</v>
      </c>
      <c r="I1223" t="str">
        <f>""</f>
        <v/>
      </c>
      <c r="J1223" t="str">
        <f t="shared" si="507"/>
        <v>Elite</v>
      </c>
      <c r="K1223" t="str">
        <f t="shared" si="490"/>
        <v>Device</v>
      </c>
      <c r="L1223" t="str">
        <f t="shared" si="504"/>
        <v>777260313</v>
      </c>
      <c r="M1223" t="str">
        <f t="shared" si="505"/>
        <v>16758470</v>
      </c>
      <c r="N1223" t="str">
        <f t="shared" si="506"/>
        <v>5178-20</v>
      </c>
      <c r="O1223" t="str">
        <f t="shared" si="508"/>
        <v>TEXAS</v>
      </c>
      <c r="P1223" t="str">
        <f t="shared" si="509"/>
        <v>N A</v>
      </c>
      <c r="Q1223" t="str">
        <f t="shared" si="510"/>
        <v>N/A</v>
      </c>
      <c r="R1223" t="str">
        <f>"130 ARPTP 04 308"</f>
        <v>130 ARPTP 04 308</v>
      </c>
      <c r="S1223" t="str">
        <f>"12/20/2019 8:49:11 AM"</f>
        <v>12/20/2019 8:49:11 AM</v>
      </c>
      <c r="T1223" t="str">
        <f t="shared" si="499"/>
        <v>5</v>
      </c>
      <c r="U1223" t="str">
        <f t="shared" si="511"/>
        <v>N/A</v>
      </c>
      <c r="V1223" t="str">
        <f t="shared" si="513"/>
        <v>5.5500</v>
      </c>
    </row>
    <row r="1224" spans="1:22" x14ac:dyDescent="0.25">
      <c r="A1224" s="1" t="str">
        <f t="shared" si="500"/>
        <v>2608-</v>
      </c>
      <c r="B1224" s="1" t="str">
        <f t="shared" si="512"/>
        <v>2608-</v>
      </c>
      <c r="C1224" s="1" t="s">
        <v>8921</v>
      </c>
      <c r="D1224" s="1" t="s">
        <v>91</v>
      </c>
      <c r="E1224" s="1" t="s">
        <v>154</v>
      </c>
      <c r="F1224" s="1" t="s">
        <v>22</v>
      </c>
      <c r="G1224" s="1" t="e">
        <f>VLOOKUP(C1224,'Master truck list'!E:R,14,0)</f>
        <v>#N/A</v>
      </c>
      <c r="H1224" t="str">
        <f t="shared" ref="H1224:H1229" si="514">"12/17/2019 7:00:33 AM"</f>
        <v>12/17/2019 7:00:33 AM</v>
      </c>
      <c r="I1224" t="str">
        <f>""</f>
        <v/>
      </c>
      <c r="J1224" t="str">
        <f t="shared" si="507"/>
        <v>Elite</v>
      </c>
      <c r="K1224" t="str">
        <f t="shared" si="490"/>
        <v>Device</v>
      </c>
      <c r="L1224" t="str">
        <f t="shared" ref="L1224:L1234" si="515">"777260225"</f>
        <v>777260225</v>
      </c>
      <c r="M1224" t="str">
        <f t="shared" ref="M1224:M1234" si="516">"16758382"</f>
        <v>16758382</v>
      </c>
      <c r="N1224" t="str">
        <f t="shared" ref="N1224:N1234" si="517">"2608-20"</f>
        <v>2608-20</v>
      </c>
      <c r="O1224" t="str">
        <f t="shared" si="508"/>
        <v>TEXAS</v>
      </c>
      <c r="P1224" t="str">
        <f t="shared" si="509"/>
        <v>N A</v>
      </c>
      <c r="Q1224" t="str">
        <f t="shared" si="510"/>
        <v>N/A</v>
      </c>
      <c r="R1224" t="str">
        <f>"130 CMRNP 08 306"</f>
        <v>130 CMRNP 08 306</v>
      </c>
      <c r="S1224" t="str">
        <f>"12/16/2019 3:12:11 PM"</f>
        <v>12/16/2019 3:12:11 PM</v>
      </c>
      <c r="T1224" t="str">
        <f t="shared" si="499"/>
        <v>5</v>
      </c>
      <c r="U1224" t="str">
        <f t="shared" si="511"/>
        <v>N/A</v>
      </c>
      <c r="V1224" t="str">
        <f t="shared" si="513"/>
        <v>5.5500</v>
      </c>
    </row>
    <row r="1225" spans="1:22" x14ac:dyDescent="0.25">
      <c r="A1225" s="1" t="str">
        <f t="shared" si="500"/>
        <v>2608-</v>
      </c>
      <c r="B1225" s="1" t="str">
        <f t="shared" si="512"/>
        <v>2608-</v>
      </c>
      <c r="C1225" s="1" t="s">
        <v>8921</v>
      </c>
      <c r="D1225" s="1" t="s">
        <v>91</v>
      </c>
      <c r="E1225" s="1" t="s">
        <v>154</v>
      </c>
      <c r="F1225" s="1" t="s">
        <v>22</v>
      </c>
      <c r="G1225" s="1" t="e">
        <f>VLOOKUP(C1225,'Master truck list'!E:R,14,0)</f>
        <v>#N/A</v>
      </c>
      <c r="H1225" t="str">
        <f t="shared" si="514"/>
        <v>12/17/2019 7:00:33 AM</v>
      </c>
      <c r="I1225" t="str">
        <f>""</f>
        <v/>
      </c>
      <c r="J1225" t="str">
        <f t="shared" si="507"/>
        <v>Elite</v>
      </c>
      <c r="K1225" t="str">
        <f t="shared" si="490"/>
        <v>Device</v>
      </c>
      <c r="L1225" t="str">
        <f t="shared" si="515"/>
        <v>777260225</v>
      </c>
      <c r="M1225" t="str">
        <f t="shared" si="516"/>
        <v>16758382</v>
      </c>
      <c r="N1225" t="str">
        <f t="shared" si="517"/>
        <v>2608-20</v>
      </c>
      <c r="O1225" t="str">
        <f t="shared" si="508"/>
        <v>TEXAS</v>
      </c>
      <c r="P1225" t="str">
        <f t="shared" si="509"/>
        <v>N A</v>
      </c>
      <c r="Q1225" t="str">
        <f t="shared" si="510"/>
        <v>N/A</v>
      </c>
      <c r="R1225" t="str">
        <f>"45SE MLPWB 02 611"</f>
        <v>45SE MLPWB 02 611</v>
      </c>
      <c r="S1225" t="str">
        <f>"12/16/2019 3:39:44 PM"</f>
        <v>12/16/2019 3:39:44 PM</v>
      </c>
      <c r="T1225" t="str">
        <f t="shared" si="499"/>
        <v>5</v>
      </c>
      <c r="U1225" t="str">
        <f t="shared" si="511"/>
        <v>N/A</v>
      </c>
      <c r="V1225" t="str">
        <f>"3.3000"</f>
        <v>3.3000</v>
      </c>
    </row>
    <row r="1226" spans="1:22" x14ac:dyDescent="0.25">
      <c r="A1226" s="1" t="str">
        <f t="shared" si="500"/>
        <v>2608-</v>
      </c>
      <c r="B1226" s="1" t="str">
        <f t="shared" si="512"/>
        <v>2608-</v>
      </c>
      <c r="C1226" s="1" t="s">
        <v>8921</v>
      </c>
      <c r="D1226" s="1" t="s">
        <v>91</v>
      </c>
      <c r="E1226" s="1" t="s">
        <v>154</v>
      </c>
      <c r="F1226" s="1" t="s">
        <v>22</v>
      </c>
      <c r="G1226" s="1" t="e">
        <f>VLOOKUP(C1226,'Master truck list'!E:R,14,0)</f>
        <v>#N/A</v>
      </c>
      <c r="H1226" t="str">
        <f t="shared" si="514"/>
        <v>12/17/2019 7:00:33 AM</v>
      </c>
      <c r="I1226" t="str">
        <f>""</f>
        <v/>
      </c>
      <c r="J1226" t="str">
        <f t="shared" si="507"/>
        <v>Elite</v>
      </c>
      <c r="K1226" t="str">
        <f t="shared" si="490"/>
        <v>Device</v>
      </c>
      <c r="L1226" t="str">
        <f t="shared" si="515"/>
        <v>777260225</v>
      </c>
      <c r="M1226" t="str">
        <f t="shared" si="516"/>
        <v>16758382</v>
      </c>
      <c r="N1226" t="str">
        <f t="shared" si="517"/>
        <v>2608-20</v>
      </c>
      <c r="O1226" t="str">
        <f t="shared" si="508"/>
        <v>TEXAS</v>
      </c>
      <c r="P1226" t="str">
        <f t="shared" si="509"/>
        <v>N A</v>
      </c>
      <c r="Q1226" t="str">
        <f t="shared" si="510"/>
        <v>N/A</v>
      </c>
      <c r="R1226" t="str">
        <f>"130 ARPTP 04 308"</f>
        <v>130 ARPTP 04 308</v>
      </c>
      <c r="S1226" t="str">
        <f>"12/16/2019 3:29:05 PM"</f>
        <v>12/16/2019 3:29:05 PM</v>
      </c>
      <c r="T1226" t="str">
        <f t="shared" si="499"/>
        <v>5</v>
      </c>
      <c r="U1226" t="str">
        <f t="shared" si="511"/>
        <v>N/A</v>
      </c>
      <c r="V1226" t="str">
        <f>"5.5500"</f>
        <v>5.5500</v>
      </c>
    </row>
    <row r="1227" spans="1:22" x14ac:dyDescent="0.25">
      <c r="A1227" s="1" t="str">
        <f t="shared" si="500"/>
        <v>2608-</v>
      </c>
      <c r="B1227" s="1" t="str">
        <f t="shared" si="512"/>
        <v>2608-</v>
      </c>
      <c r="C1227" s="1" t="s">
        <v>8921</v>
      </c>
      <c r="D1227" s="1" t="s">
        <v>91</v>
      </c>
      <c r="E1227" s="1" t="s">
        <v>154</v>
      </c>
      <c r="F1227" s="1" t="s">
        <v>22</v>
      </c>
      <c r="G1227" s="1" t="e">
        <f>VLOOKUP(C1227,'Master truck list'!E:R,14,0)</f>
        <v>#N/A</v>
      </c>
      <c r="H1227" t="str">
        <f t="shared" si="514"/>
        <v>12/17/2019 7:00:33 AM</v>
      </c>
      <c r="I1227" t="str">
        <f>""</f>
        <v/>
      </c>
      <c r="J1227" t="str">
        <f t="shared" si="507"/>
        <v>Elite</v>
      </c>
      <c r="K1227" t="str">
        <f t="shared" si="490"/>
        <v>Device</v>
      </c>
      <c r="L1227" t="str">
        <f t="shared" si="515"/>
        <v>777260225</v>
      </c>
      <c r="M1227" t="str">
        <f t="shared" si="516"/>
        <v>16758382</v>
      </c>
      <c r="N1227" t="str">
        <f t="shared" si="517"/>
        <v>2608-20</v>
      </c>
      <c r="O1227" t="str">
        <f t="shared" si="508"/>
        <v>TEXAS</v>
      </c>
      <c r="P1227" t="str">
        <f t="shared" si="509"/>
        <v>N A</v>
      </c>
      <c r="Q1227" t="str">
        <f t="shared" si="510"/>
        <v>N/A</v>
      </c>
      <c r="R1227" t="str">
        <f>"PGBW MLG12 02 MLG1"</f>
        <v>PGBW MLG12 02 MLG1</v>
      </c>
      <c r="S1227" t="str">
        <f>"12/16/2019 8:37:55 AM"</f>
        <v>12/16/2019 8:37:55 AM</v>
      </c>
      <c r="T1227" t="str">
        <f t="shared" si="499"/>
        <v>5</v>
      </c>
      <c r="U1227" t="str">
        <f t="shared" si="511"/>
        <v>N/A</v>
      </c>
      <c r="V1227" t="str">
        <f>"4.6400"</f>
        <v>4.6400</v>
      </c>
    </row>
    <row r="1228" spans="1:22" x14ac:dyDescent="0.25">
      <c r="A1228" s="1" t="str">
        <f t="shared" si="500"/>
        <v>2608-</v>
      </c>
      <c r="B1228" s="1" t="str">
        <f t="shared" si="512"/>
        <v>2608-</v>
      </c>
      <c r="C1228" s="1" t="s">
        <v>8921</v>
      </c>
      <c r="D1228" s="1" t="s">
        <v>91</v>
      </c>
      <c r="E1228" s="1" t="s">
        <v>154</v>
      </c>
      <c r="F1228" s="1" t="s">
        <v>22</v>
      </c>
      <c r="G1228" s="1" t="e">
        <f>VLOOKUP(C1228,'Master truck list'!E:R,14,0)</f>
        <v>#N/A</v>
      </c>
      <c r="H1228" t="str">
        <f t="shared" si="514"/>
        <v>12/17/2019 7:00:33 AM</v>
      </c>
      <c r="I1228" t="str">
        <f>""</f>
        <v/>
      </c>
      <c r="J1228" t="str">
        <f t="shared" si="507"/>
        <v>Elite</v>
      </c>
      <c r="K1228" t="str">
        <f t="shared" si="490"/>
        <v>Device</v>
      </c>
      <c r="L1228" t="str">
        <f t="shared" si="515"/>
        <v>777260225</v>
      </c>
      <c r="M1228" t="str">
        <f t="shared" si="516"/>
        <v>16758382</v>
      </c>
      <c r="N1228" t="str">
        <f t="shared" si="517"/>
        <v>2608-20</v>
      </c>
      <c r="O1228" t="str">
        <f t="shared" si="508"/>
        <v>TEXAS</v>
      </c>
      <c r="P1228" t="str">
        <f t="shared" si="509"/>
        <v>N A</v>
      </c>
      <c r="Q1228" t="str">
        <f t="shared" si="510"/>
        <v>N/A</v>
      </c>
      <c r="R1228" t="str">
        <f>"130 DKCRP 06 307"</f>
        <v>130 DKCRP 06 307</v>
      </c>
      <c r="S1228" t="str">
        <f>"12/16/2019 3:22:07 PM"</f>
        <v>12/16/2019 3:22:07 PM</v>
      </c>
      <c r="T1228" t="str">
        <f t="shared" si="499"/>
        <v>5</v>
      </c>
      <c r="U1228" t="str">
        <f t="shared" si="511"/>
        <v>N/A</v>
      </c>
      <c r="V1228" t="str">
        <f>"5.5500"</f>
        <v>5.5500</v>
      </c>
    </row>
    <row r="1229" spans="1:22" x14ac:dyDescent="0.25">
      <c r="A1229" s="1" t="str">
        <f t="shared" si="500"/>
        <v>2608-</v>
      </c>
      <c r="B1229" s="1" t="str">
        <f t="shared" si="512"/>
        <v>2608-</v>
      </c>
      <c r="C1229" s="1" t="s">
        <v>8921</v>
      </c>
      <c r="D1229" s="1" t="s">
        <v>91</v>
      </c>
      <c r="E1229" s="1" t="s">
        <v>154</v>
      </c>
      <c r="F1229" s="1" t="s">
        <v>22</v>
      </c>
      <c r="G1229" s="1" t="e">
        <f>VLOOKUP(C1229,'Master truck list'!E:R,14,0)</f>
        <v>#N/A</v>
      </c>
      <c r="H1229" t="str">
        <f t="shared" si="514"/>
        <v>12/17/2019 7:00:33 AM</v>
      </c>
      <c r="I1229" t="str">
        <f>""</f>
        <v/>
      </c>
      <c r="J1229" t="str">
        <f t="shared" si="507"/>
        <v>Elite</v>
      </c>
      <c r="K1229" t="str">
        <f t="shared" si="490"/>
        <v>Device</v>
      </c>
      <c r="L1229" t="str">
        <f t="shared" si="515"/>
        <v>777260225</v>
      </c>
      <c r="M1229" t="str">
        <f t="shared" si="516"/>
        <v>16758382</v>
      </c>
      <c r="N1229" t="str">
        <f t="shared" si="517"/>
        <v>2608-20</v>
      </c>
      <c r="O1229" t="str">
        <f t="shared" si="508"/>
        <v>TEXAS</v>
      </c>
      <c r="P1229" t="str">
        <f t="shared" si="509"/>
        <v>N A</v>
      </c>
      <c r="Q1229" t="str">
        <f t="shared" si="510"/>
        <v>N/A</v>
      </c>
      <c r="R1229" t="str">
        <f>"130 MGCRP 06 305"</f>
        <v>130 MGCRP 06 305</v>
      </c>
      <c r="S1229" t="str">
        <f>"12/16/2019 3:01:10 PM"</f>
        <v>12/16/2019 3:01:10 PM</v>
      </c>
      <c r="T1229" t="str">
        <f t="shared" si="499"/>
        <v>5</v>
      </c>
      <c r="U1229" t="str">
        <f t="shared" si="511"/>
        <v>N/A</v>
      </c>
      <c r="V1229" t="str">
        <f>"5.5500"</f>
        <v>5.5500</v>
      </c>
    </row>
    <row r="1230" spans="1:22" x14ac:dyDescent="0.25">
      <c r="A1230" s="1" t="str">
        <f t="shared" si="500"/>
        <v>2608-</v>
      </c>
      <c r="B1230" s="1" t="str">
        <f t="shared" si="512"/>
        <v>2608-</v>
      </c>
      <c r="C1230" s="1" t="s">
        <v>8921</v>
      </c>
      <c r="D1230" s="1" t="s">
        <v>91</v>
      </c>
      <c r="E1230" s="1" t="s">
        <v>154</v>
      </c>
      <c r="F1230" s="1" t="s">
        <v>22</v>
      </c>
      <c r="G1230" s="1" t="e">
        <f>VLOOKUP(C1230,'Master truck list'!E:R,14,0)</f>
        <v>#N/A</v>
      </c>
      <c r="H1230" t="str">
        <f>"12/20/2019 7:00:30 AM"</f>
        <v>12/20/2019 7:00:30 AM</v>
      </c>
      <c r="I1230" t="str">
        <f>""</f>
        <v/>
      </c>
      <c r="J1230" t="str">
        <f t="shared" si="507"/>
        <v>Elite</v>
      </c>
      <c r="K1230" t="str">
        <f t="shared" si="490"/>
        <v>Device</v>
      </c>
      <c r="L1230" t="str">
        <f t="shared" si="515"/>
        <v>777260225</v>
      </c>
      <c r="M1230" t="str">
        <f t="shared" si="516"/>
        <v>16758382</v>
      </c>
      <c r="N1230" t="str">
        <f t="shared" si="517"/>
        <v>2608-20</v>
      </c>
      <c r="O1230" t="str">
        <f t="shared" si="508"/>
        <v>TEXAS</v>
      </c>
      <c r="P1230" t="str">
        <f t="shared" si="509"/>
        <v>N A</v>
      </c>
      <c r="Q1230" t="str">
        <f t="shared" si="510"/>
        <v>N/A</v>
      </c>
      <c r="R1230" t="str">
        <f>"130 DKCRP 06 307"</f>
        <v>130 DKCRP 06 307</v>
      </c>
      <c r="S1230" t="str">
        <f>"12/19/2019 5:19:15 PM"</f>
        <v>12/19/2019 5:19:15 PM</v>
      </c>
      <c r="T1230" t="str">
        <f t="shared" si="499"/>
        <v>5</v>
      </c>
      <c r="U1230" t="str">
        <f t="shared" si="511"/>
        <v>N/A</v>
      </c>
      <c r="V1230" t="str">
        <f>"5.5500"</f>
        <v>5.5500</v>
      </c>
    </row>
    <row r="1231" spans="1:22" x14ac:dyDescent="0.25">
      <c r="A1231" s="1" t="str">
        <f t="shared" si="500"/>
        <v>2608-</v>
      </c>
      <c r="B1231" s="1" t="str">
        <f t="shared" si="512"/>
        <v>2608-</v>
      </c>
      <c r="C1231" s="1" t="s">
        <v>8921</v>
      </c>
      <c r="D1231" s="1" t="s">
        <v>91</v>
      </c>
      <c r="E1231" s="1" t="s">
        <v>154</v>
      </c>
      <c r="F1231" s="1" t="s">
        <v>22</v>
      </c>
      <c r="G1231" s="1" t="e">
        <f>VLOOKUP(C1231,'Master truck list'!E:R,14,0)</f>
        <v>#N/A</v>
      </c>
      <c r="H1231" t="str">
        <f>"12/20/2019 7:00:30 AM"</f>
        <v>12/20/2019 7:00:30 AM</v>
      </c>
      <c r="I1231" t="str">
        <f>""</f>
        <v/>
      </c>
      <c r="J1231" t="str">
        <f t="shared" si="507"/>
        <v>Elite</v>
      </c>
      <c r="K1231" t="str">
        <f t="shared" si="490"/>
        <v>Device</v>
      </c>
      <c r="L1231" t="str">
        <f t="shared" si="515"/>
        <v>777260225</v>
      </c>
      <c r="M1231" t="str">
        <f t="shared" si="516"/>
        <v>16758382</v>
      </c>
      <c r="N1231" t="str">
        <f t="shared" si="517"/>
        <v>2608-20</v>
      </c>
      <c r="O1231" t="str">
        <f t="shared" si="508"/>
        <v>TEXAS</v>
      </c>
      <c r="P1231" t="str">
        <f t="shared" si="509"/>
        <v>N A</v>
      </c>
      <c r="Q1231" t="str">
        <f t="shared" si="510"/>
        <v>N/A</v>
      </c>
      <c r="R1231" t="str">
        <f>"130 MGCRP 06 305"</f>
        <v>130 MGCRP 06 305</v>
      </c>
      <c r="S1231" t="str">
        <f>"12/19/2019 4:57:05 PM"</f>
        <v>12/19/2019 4:57:05 PM</v>
      </c>
      <c r="T1231" t="str">
        <f t="shared" si="499"/>
        <v>5</v>
      </c>
      <c r="U1231" t="str">
        <f t="shared" si="511"/>
        <v>N/A</v>
      </c>
      <c r="V1231" t="str">
        <f>"5.5500"</f>
        <v>5.5500</v>
      </c>
    </row>
    <row r="1232" spans="1:22" x14ac:dyDescent="0.25">
      <c r="A1232" s="1" t="str">
        <f t="shared" si="500"/>
        <v>2608-</v>
      </c>
      <c r="B1232" s="1" t="str">
        <f t="shared" si="512"/>
        <v>2608-</v>
      </c>
      <c r="C1232" s="1" t="s">
        <v>8921</v>
      </c>
      <c r="D1232" s="1" t="s">
        <v>91</v>
      </c>
      <c r="E1232" s="1" t="s">
        <v>154</v>
      </c>
      <c r="F1232" s="1" t="s">
        <v>22</v>
      </c>
      <c r="G1232" s="1" t="e">
        <f>VLOOKUP(C1232,'Master truck list'!E:R,14,0)</f>
        <v>#N/A</v>
      </c>
      <c r="H1232" t="str">
        <f>"12/20/2019 7:00:30 AM"</f>
        <v>12/20/2019 7:00:30 AM</v>
      </c>
      <c r="I1232" t="str">
        <f>""</f>
        <v/>
      </c>
      <c r="J1232" t="str">
        <f t="shared" si="507"/>
        <v>Elite</v>
      </c>
      <c r="K1232" t="str">
        <f t="shared" si="490"/>
        <v>Device</v>
      </c>
      <c r="L1232" t="str">
        <f t="shared" si="515"/>
        <v>777260225</v>
      </c>
      <c r="M1232" t="str">
        <f t="shared" si="516"/>
        <v>16758382</v>
      </c>
      <c r="N1232" t="str">
        <f t="shared" si="517"/>
        <v>2608-20</v>
      </c>
      <c r="O1232" t="str">
        <f t="shared" si="508"/>
        <v>TEXAS</v>
      </c>
      <c r="P1232" t="str">
        <f t="shared" si="509"/>
        <v>N A</v>
      </c>
      <c r="Q1232" t="str">
        <f t="shared" si="510"/>
        <v>N/A</v>
      </c>
      <c r="R1232" t="str">
        <f>"45SE MLPWB 01 611"</f>
        <v>45SE MLPWB 01 611</v>
      </c>
      <c r="S1232" t="str">
        <f>"12/19/2019 5:39:14 PM"</f>
        <v>12/19/2019 5:39:14 PM</v>
      </c>
      <c r="T1232" t="str">
        <f t="shared" si="499"/>
        <v>5</v>
      </c>
      <c r="U1232" t="str">
        <f t="shared" si="511"/>
        <v>N/A</v>
      </c>
      <c r="V1232" t="str">
        <f>"3.3000"</f>
        <v>3.3000</v>
      </c>
    </row>
    <row r="1233" spans="1:22" x14ac:dyDescent="0.25">
      <c r="A1233" s="1" t="str">
        <f t="shared" si="500"/>
        <v>2608-</v>
      </c>
      <c r="B1233" s="1" t="str">
        <f t="shared" si="512"/>
        <v>2608-</v>
      </c>
      <c r="C1233" s="1" t="s">
        <v>8921</v>
      </c>
      <c r="D1233" s="1" t="s">
        <v>91</v>
      </c>
      <c r="E1233" s="1" t="s">
        <v>154</v>
      </c>
      <c r="F1233" s="1" t="s">
        <v>22</v>
      </c>
      <c r="G1233" s="1" t="e">
        <f>VLOOKUP(C1233,'Master truck list'!E:R,14,0)</f>
        <v>#N/A</v>
      </c>
      <c r="H1233" t="str">
        <f>"12/20/2019 7:00:30 AM"</f>
        <v>12/20/2019 7:00:30 AM</v>
      </c>
      <c r="I1233" t="str">
        <f>""</f>
        <v/>
      </c>
      <c r="J1233" t="str">
        <f t="shared" si="507"/>
        <v>Elite</v>
      </c>
      <c r="K1233" t="str">
        <f t="shared" si="490"/>
        <v>Device</v>
      </c>
      <c r="L1233" t="str">
        <f t="shared" si="515"/>
        <v>777260225</v>
      </c>
      <c r="M1233" t="str">
        <f t="shared" si="516"/>
        <v>16758382</v>
      </c>
      <c r="N1233" t="str">
        <f t="shared" si="517"/>
        <v>2608-20</v>
      </c>
      <c r="O1233" t="str">
        <f t="shared" si="508"/>
        <v>TEXAS</v>
      </c>
      <c r="P1233" t="str">
        <f t="shared" si="509"/>
        <v>N A</v>
      </c>
      <c r="Q1233" t="str">
        <f t="shared" si="510"/>
        <v>N/A</v>
      </c>
      <c r="R1233" t="str">
        <f>"130 CMRNP 08 306"</f>
        <v>130 CMRNP 08 306</v>
      </c>
      <c r="S1233" t="str">
        <f>"12/19/2019 5:08:07 PM"</f>
        <v>12/19/2019 5:08:07 PM</v>
      </c>
      <c r="T1233" t="str">
        <f t="shared" si="499"/>
        <v>5</v>
      </c>
      <c r="U1233" t="str">
        <f t="shared" si="511"/>
        <v>N/A</v>
      </c>
      <c r="V1233" t="str">
        <f>"5.5500"</f>
        <v>5.5500</v>
      </c>
    </row>
    <row r="1234" spans="1:22" x14ac:dyDescent="0.25">
      <c r="A1234" s="1" t="str">
        <f t="shared" si="500"/>
        <v>2608-</v>
      </c>
      <c r="B1234" s="1" t="str">
        <f t="shared" si="512"/>
        <v>2608-</v>
      </c>
      <c r="C1234" s="1" t="s">
        <v>8921</v>
      </c>
      <c r="D1234" s="1" t="s">
        <v>91</v>
      </c>
      <c r="E1234" s="1" t="s">
        <v>154</v>
      </c>
      <c r="F1234" s="1" t="s">
        <v>22</v>
      </c>
      <c r="G1234" s="1" t="e">
        <f>VLOOKUP(C1234,'Master truck list'!E:R,14,0)</f>
        <v>#N/A</v>
      </c>
      <c r="H1234" t="str">
        <f>"12/20/2019 7:00:30 AM"</f>
        <v>12/20/2019 7:00:30 AM</v>
      </c>
      <c r="I1234" t="str">
        <f>""</f>
        <v/>
      </c>
      <c r="J1234" t="str">
        <f t="shared" si="507"/>
        <v>Elite</v>
      </c>
      <c r="K1234" t="str">
        <f t="shared" si="490"/>
        <v>Device</v>
      </c>
      <c r="L1234" t="str">
        <f t="shared" si="515"/>
        <v>777260225</v>
      </c>
      <c r="M1234" t="str">
        <f t="shared" si="516"/>
        <v>16758382</v>
      </c>
      <c r="N1234" t="str">
        <f t="shared" si="517"/>
        <v>2608-20</v>
      </c>
      <c r="O1234" t="str">
        <f t="shared" si="508"/>
        <v>TEXAS</v>
      </c>
      <c r="P1234" t="str">
        <f t="shared" si="509"/>
        <v>N A</v>
      </c>
      <c r="Q1234" t="str">
        <f t="shared" si="510"/>
        <v>N/A</v>
      </c>
      <c r="R1234" t="str">
        <f>"130 ARPTP 04 308"</f>
        <v>130 ARPTP 04 308</v>
      </c>
      <c r="S1234" t="str">
        <f>"12/19/2019 5:28:36 PM"</f>
        <v>12/19/2019 5:28:36 PM</v>
      </c>
      <c r="T1234" t="str">
        <f t="shared" si="499"/>
        <v>5</v>
      </c>
      <c r="U1234" t="str">
        <f t="shared" si="511"/>
        <v>N/A</v>
      </c>
      <c r="V1234" t="str">
        <f>"5.5500"</f>
        <v>5.5500</v>
      </c>
    </row>
    <row r="1235" spans="1:22" x14ac:dyDescent="0.25">
      <c r="A1235" s="1" t="str">
        <f t="shared" si="500"/>
        <v>2619-</v>
      </c>
      <c r="B1235" s="1" t="str">
        <f t="shared" si="512"/>
        <v>2619-</v>
      </c>
      <c r="C1235" s="1" t="s">
        <v>8903</v>
      </c>
      <c r="D1235" s="1" t="s">
        <v>91</v>
      </c>
      <c r="E1235" s="1" t="s">
        <v>154</v>
      </c>
      <c r="F1235" s="1" t="s">
        <v>22</v>
      </c>
      <c r="G1235" s="1" t="e">
        <f>VLOOKUP(C1235,'Master truck list'!E:R,14,0)</f>
        <v>#N/A</v>
      </c>
      <c r="H1235" t="str">
        <f>"12/18/2019 7:00:28 AM"</f>
        <v>12/18/2019 7:00:28 AM</v>
      </c>
      <c r="I1235" t="str">
        <f>""</f>
        <v/>
      </c>
      <c r="J1235" t="str">
        <f t="shared" si="507"/>
        <v>Elite</v>
      </c>
      <c r="K1235" t="str">
        <f t="shared" si="490"/>
        <v>Device</v>
      </c>
      <c r="L1235" t="str">
        <f>"777260591"</f>
        <v>777260591</v>
      </c>
      <c r="M1235" t="str">
        <f>"16758748"</f>
        <v>16758748</v>
      </c>
      <c r="N1235" t="str">
        <f>"2619-20"</f>
        <v>2619-20</v>
      </c>
      <c r="O1235" t="str">
        <f t="shared" si="508"/>
        <v>TEXAS</v>
      </c>
      <c r="P1235" t="str">
        <f t="shared" si="509"/>
        <v>N A</v>
      </c>
      <c r="Q1235" t="str">
        <f t="shared" si="510"/>
        <v>N/A</v>
      </c>
      <c r="R1235" t="str">
        <f>"130 ARPTP 04 308"</f>
        <v>130 ARPTP 04 308</v>
      </c>
      <c r="S1235" t="str">
        <f>"12/17/2019 4:32:55 PM"</f>
        <v>12/17/2019 4:32:55 PM</v>
      </c>
      <c r="T1235" t="str">
        <f t="shared" si="499"/>
        <v>5</v>
      </c>
      <c r="U1235" t="str">
        <f t="shared" si="511"/>
        <v>N/A</v>
      </c>
      <c r="V1235" t="str">
        <f>"5.5500"</f>
        <v>5.5500</v>
      </c>
    </row>
    <row r="1236" spans="1:22" x14ac:dyDescent="0.25">
      <c r="A1236" s="1" t="str">
        <f t="shared" si="500"/>
        <v>2619-</v>
      </c>
      <c r="B1236" s="1" t="str">
        <f t="shared" si="512"/>
        <v>2619-</v>
      </c>
      <c r="C1236" s="1" t="s">
        <v>8903</v>
      </c>
      <c r="D1236" s="1" t="s">
        <v>91</v>
      </c>
      <c r="E1236" s="1" t="s">
        <v>154</v>
      </c>
      <c r="F1236" s="1" t="s">
        <v>22</v>
      </c>
      <c r="G1236" s="1" t="e">
        <f>VLOOKUP(C1236,'Master truck list'!E:R,14,0)</f>
        <v>#N/A</v>
      </c>
      <c r="H1236" t="str">
        <f>"12/18/2019 7:00:28 AM"</f>
        <v>12/18/2019 7:00:28 AM</v>
      </c>
      <c r="I1236" t="str">
        <f>""</f>
        <v/>
      </c>
      <c r="J1236" t="str">
        <f t="shared" si="507"/>
        <v>Elite</v>
      </c>
      <c r="K1236" t="str">
        <f t="shared" si="490"/>
        <v>Device</v>
      </c>
      <c r="L1236" t="str">
        <f>"777260591"</f>
        <v>777260591</v>
      </c>
      <c r="M1236" t="str">
        <f>"16758748"</f>
        <v>16758748</v>
      </c>
      <c r="N1236" t="str">
        <f>"2619-20"</f>
        <v>2619-20</v>
      </c>
      <c r="O1236" t="str">
        <f t="shared" si="508"/>
        <v>TEXAS</v>
      </c>
      <c r="P1236" t="str">
        <f t="shared" si="509"/>
        <v>N A</v>
      </c>
      <c r="Q1236" t="str">
        <f t="shared" si="510"/>
        <v>N/A</v>
      </c>
      <c r="R1236" t="str">
        <f>"45SE MLPWB 01 611"</f>
        <v>45SE MLPWB 01 611</v>
      </c>
      <c r="S1236" t="str">
        <f>"12/17/2019 4:44:03 PM"</f>
        <v>12/17/2019 4:44:03 PM</v>
      </c>
      <c r="T1236" t="str">
        <f t="shared" si="499"/>
        <v>5</v>
      </c>
      <c r="U1236" t="str">
        <f t="shared" si="511"/>
        <v>N/A</v>
      </c>
      <c r="V1236" t="str">
        <f>"3.3000"</f>
        <v>3.3000</v>
      </c>
    </row>
    <row r="1237" spans="1:22" x14ac:dyDescent="0.25">
      <c r="A1237" s="1" t="str">
        <f t="shared" si="500"/>
        <v>2619-</v>
      </c>
      <c r="B1237" s="1" t="str">
        <f t="shared" si="512"/>
        <v>2619-</v>
      </c>
      <c r="C1237" s="1" t="s">
        <v>8903</v>
      </c>
      <c r="D1237" s="1" t="s">
        <v>91</v>
      </c>
      <c r="E1237" s="1" t="s">
        <v>154</v>
      </c>
      <c r="F1237" s="1" t="s">
        <v>22</v>
      </c>
      <c r="G1237" s="1" t="e">
        <f>VLOOKUP(C1237,'Master truck list'!E:R,14,0)</f>
        <v>#N/A</v>
      </c>
      <c r="H1237" t="str">
        <f>"12/18/2019 7:00:28 AM"</f>
        <v>12/18/2019 7:00:28 AM</v>
      </c>
      <c r="I1237" t="str">
        <f>""</f>
        <v/>
      </c>
      <c r="J1237" t="str">
        <f t="shared" si="507"/>
        <v>Elite</v>
      </c>
      <c r="K1237" t="str">
        <f t="shared" si="490"/>
        <v>Device</v>
      </c>
      <c r="L1237" t="str">
        <f>"777260591"</f>
        <v>777260591</v>
      </c>
      <c r="M1237" t="str">
        <f>"16758748"</f>
        <v>16758748</v>
      </c>
      <c r="N1237" t="str">
        <f>"2619-20"</f>
        <v>2619-20</v>
      </c>
      <c r="O1237" t="str">
        <f t="shared" si="508"/>
        <v>TEXAS</v>
      </c>
      <c r="P1237" t="str">
        <f t="shared" si="509"/>
        <v>N A</v>
      </c>
      <c r="Q1237" t="str">
        <f t="shared" si="510"/>
        <v>N/A</v>
      </c>
      <c r="R1237" t="str">
        <f>"130 CMRNP 08 306"</f>
        <v>130 CMRNP 08 306</v>
      </c>
      <c r="S1237" t="str">
        <f>"12/17/2019 4:14:56 PM"</f>
        <v>12/17/2019 4:14:56 PM</v>
      </c>
      <c r="T1237" t="str">
        <f t="shared" si="499"/>
        <v>5</v>
      </c>
      <c r="U1237" t="str">
        <f t="shared" si="511"/>
        <v>N/A</v>
      </c>
      <c r="V1237" t="str">
        <f t="shared" ref="V1237:V1243" si="518">"5.5500"</f>
        <v>5.5500</v>
      </c>
    </row>
    <row r="1238" spans="1:22" x14ac:dyDescent="0.25">
      <c r="A1238" s="1" t="str">
        <f t="shared" si="500"/>
        <v>2619-</v>
      </c>
      <c r="B1238" s="1" t="str">
        <f t="shared" si="512"/>
        <v>2619-</v>
      </c>
      <c r="C1238" s="1" t="s">
        <v>8903</v>
      </c>
      <c r="D1238" s="1" t="s">
        <v>91</v>
      </c>
      <c r="E1238" s="1" t="s">
        <v>154</v>
      </c>
      <c r="F1238" s="1" t="s">
        <v>22</v>
      </c>
      <c r="G1238" s="1" t="e">
        <f>VLOOKUP(C1238,'Master truck list'!E:R,14,0)</f>
        <v>#N/A</v>
      </c>
      <c r="H1238" t="str">
        <f>"12/18/2019 7:00:28 AM"</f>
        <v>12/18/2019 7:00:28 AM</v>
      </c>
      <c r="I1238" t="str">
        <f>""</f>
        <v/>
      </c>
      <c r="J1238" t="str">
        <f t="shared" si="507"/>
        <v>Elite</v>
      </c>
      <c r="K1238" t="str">
        <f t="shared" si="490"/>
        <v>Device</v>
      </c>
      <c r="L1238" t="str">
        <f>"777260591"</f>
        <v>777260591</v>
      </c>
      <c r="M1238" t="str">
        <f>"16758748"</f>
        <v>16758748</v>
      </c>
      <c r="N1238" t="str">
        <f>"2619-20"</f>
        <v>2619-20</v>
      </c>
      <c r="O1238" t="str">
        <f t="shared" si="508"/>
        <v>TEXAS</v>
      </c>
      <c r="P1238" t="str">
        <f t="shared" si="509"/>
        <v>N A</v>
      </c>
      <c r="Q1238" t="str">
        <f t="shared" si="510"/>
        <v>N/A</v>
      </c>
      <c r="R1238" t="str">
        <f>"130 MGCRP 06 305"</f>
        <v>130 MGCRP 06 305</v>
      </c>
      <c r="S1238" t="str">
        <f>"12/17/2019 4:03:51 PM"</f>
        <v>12/17/2019 4:03:51 PM</v>
      </c>
      <c r="T1238" t="str">
        <f t="shared" si="499"/>
        <v>5</v>
      </c>
      <c r="U1238" t="str">
        <f t="shared" si="511"/>
        <v>N/A</v>
      </c>
      <c r="V1238" t="str">
        <f t="shared" si="518"/>
        <v>5.5500</v>
      </c>
    </row>
    <row r="1239" spans="1:22" x14ac:dyDescent="0.25">
      <c r="A1239" s="1" t="str">
        <f t="shared" si="500"/>
        <v>2619-</v>
      </c>
      <c r="B1239" s="1" t="str">
        <f t="shared" si="512"/>
        <v>2619-</v>
      </c>
      <c r="C1239" s="1" t="s">
        <v>8903</v>
      </c>
      <c r="D1239" s="1" t="s">
        <v>91</v>
      </c>
      <c r="E1239" s="1" t="s">
        <v>154</v>
      </c>
      <c r="F1239" s="1" t="s">
        <v>22</v>
      </c>
      <c r="G1239" s="1" t="e">
        <f>VLOOKUP(C1239,'Master truck list'!E:R,14,0)</f>
        <v>#N/A</v>
      </c>
      <c r="H1239" t="str">
        <f>"12/18/2019 7:00:28 AM"</f>
        <v>12/18/2019 7:00:28 AM</v>
      </c>
      <c r="I1239" t="str">
        <f>""</f>
        <v/>
      </c>
      <c r="J1239" t="str">
        <f t="shared" si="507"/>
        <v>Elite</v>
      </c>
      <c r="K1239" t="str">
        <f t="shared" si="490"/>
        <v>Device</v>
      </c>
      <c r="L1239" t="str">
        <f>"777260591"</f>
        <v>777260591</v>
      </c>
      <c r="M1239" t="str">
        <f>"16758748"</f>
        <v>16758748</v>
      </c>
      <c r="N1239" t="str">
        <f>"2619-20"</f>
        <v>2619-20</v>
      </c>
      <c r="O1239" t="str">
        <f t="shared" si="508"/>
        <v>TEXAS</v>
      </c>
      <c r="P1239" t="str">
        <f t="shared" si="509"/>
        <v>N A</v>
      </c>
      <c r="Q1239" t="str">
        <f t="shared" si="510"/>
        <v>N/A</v>
      </c>
      <c r="R1239" t="str">
        <f>"130 DKCRP 06 307"</f>
        <v>130 DKCRP 06 307</v>
      </c>
      <c r="S1239" t="str">
        <f>"12/17/2019 4:25:38 PM"</f>
        <v>12/17/2019 4:25:38 PM</v>
      </c>
      <c r="T1239" t="str">
        <f t="shared" si="499"/>
        <v>5</v>
      </c>
      <c r="U1239" t="str">
        <f t="shared" si="511"/>
        <v>N/A</v>
      </c>
      <c r="V1239" t="str">
        <f t="shared" si="518"/>
        <v>5.5500</v>
      </c>
    </row>
    <row r="1240" spans="1:22" x14ac:dyDescent="0.25">
      <c r="A1240" s="1" t="str">
        <f t="shared" si="500"/>
        <v>5177-</v>
      </c>
      <c r="B1240" s="1" t="str">
        <f t="shared" si="512"/>
        <v>5177-</v>
      </c>
      <c r="C1240" s="1" t="s">
        <v>8918</v>
      </c>
      <c r="D1240" s="1" t="s">
        <v>91</v>
      </c>
      <c r="E1240" s="1" t="s">
        <v>1738</v>
      </c>
      <c r="F1240" s="1" t="s">
        <v>22</v>
      </c>
      <c r="G1240" s="1" t="e">
        <f>VLOOKUP(C1240,'Master truck list'!E:R,14,0)</f>
        <v>#N/A</v>
      </c>
      <c r="H1240" t="str">
        <f>"12/17/2019 7:00:33 AM"</f>
        <v>12/17/2019 7:00:33 AM</v>
      </c>
      <c r="I1240" t="str">
        <f>""</f>
        <v/>
      </c>
      <c r="J1240" t="str">
        <f t="shared" si="507"/>
        <v>Elite</v>
      </c>
      <c r="K1240" t="str">
        <f t="shared" si="490"/>
        <v>Device</v>
      </c>
      <c r="L1240" t="str">
        <f>"777260311"</f>
        <v>777260311</v>
      </c>
      <c r="M1240" t="str">
        <f>"16758468"</f>
        <v>16758468</v>
      </c>
      <c r="N1240" t="str">
        <f>"5177-20"</f>
        <v>5177-20</v>
      </c>
      <c r="O1240" t="str">
        <f t="shared" si="508"/>
        <v>TEXAS</v>
      </c>
      <c r="P1240" t="str">
        <f t="shared" si="509"/>
        <v>N A</v>
      </c>
      <c r="Q1240" t="str">
        <f t="shared" si="510"/>
        <v>N/A</v>
      </c>
      <c r="R1240" t="str">
        <f>"130 DKCRP 11 307"</f>
        <v>130 DKCRP 11 307</v>
      </c>
      <c r="S1240" t="str">
        <f>"12/16/2019 6:02:48 PM"</f>
        <v>12/16/2019 6:02:48 PM</v>
      </c>
      <c r="T1240" t="str">
        <f t="shared" si="499"/>
        <v>5</v>
      </c>
      <c r="U1240" t="str">
        <f t="shared" si="511"/>
        <v>N/A</v>
      </c>
      <c r="V1240" t="str">
        <f t="shared" si="518"/>
        <v>5.5500</v>
      </c>
    </row>
    <row r="1241" spans="1:22" x14ac:dyDescent="0.25">
      <c r="A1241" s="1" t="str">
        <f t="shared" si="500"/>
        <v>5177-</v>
      </c>
      <c r="B1241" s="1" t="str">
        <f t="shared" si="512"/>
        <v>5177-</v>
      </c>
      <c r="C1241" s="1" t="s">
        <v>8918</v>
      </c>
      <c r="D1241" s="1" t="s">
        <v>91</v>
      </c>
      <c r="E1241" s="1" t="s">
        <v>1738</v>
      </c>
      <c r="F1241" s="1" t="s">
        <v>22</v>
      </c>
      <c r="G1241" s="1" t="e">
        <f>VLOOKUP(C1241,'Master truck list'!E:R,14,0)</f>
        <v>#N/A</v>
      </c>
      <c r="H1241" t="str">
        <f>"12/17/2019 7:00:33 AM"</f>
        <v>12/17/2019 7:00:33 AM</v>
      </c>
      <c r="I1241" t="str">
        <f>""</f>
        <v/>
      </c>
      <c r="J1241" t="str">
        <f t="shared" si="507"/>
        <v>Elite</v>
      </c>
      <c r="K1241" t="str">
        <f t="shared" ref="K1241:K1304" si="519">"Device"</f>
        <v>Device</v>
      </c>
      <c r="L1241" t="str">
        <f>"777260311"</f>
        <v>777260311</v>
      </c>
      <c r="M1241" t="str">
        <f>"16758468"</f>
        <v>16758468</v>
      </c>
      <c r="N1241" t="str">
        <f>"5177-20"</f>
        <v>5177-20</v>
      </c>
      <c r="O1241" t="str">
        <f t="shared" si="508"/>
        <v>TEXAS</v>
      </c>
      <c r="P1241" t="str">
        <f t="shared" si="509"/>
        <v>N A</v>
      </c>
      <c r="Q1241" t="str">
        <f t="shared" si="510"/>
        <v>N/A</v>
      </c>
      <c r="R1241" t="str">
        <f>"130 ARPTP 09 308"</f>
        <v>130 ARPTP 09 308</v>
      </c>
      <c r="S1241" t="str">
        <f>"12/16/2019 5:55:31 PM"</f>
        <v>12/16/2019 5:55:31 PM</v>
      </c>
      <c r="T1241" t="str">
        <f t="shared" si="499"/>
        <v>5</v>
      </c>
      <c r="U1241" t="str">
        <f t="shared" si="511"/>
        <v>N/A</v>
      </c>
      <c r="V1241" t="str">
        <f t="shared" si="518"/>
        <v>5.5500</v>
      </c>
    </row>
    <row r="1242" spans="1:22" x14ac:dyDescent="0.25">
      <c r="A1242" s="1" t="str">
        <f t="shared" si="500"/>
        <v>5177-</v>
      </c>
      <c r="B1242" s="1" t="str">
        <f t="shared" si="512"/>
        <v>5177-</v>
      </c>
      <c r="C1242" s="1" t="s">
        <v>8918</v>
      </c>
      <c r="D1242" s="1" t="s">
        <v>91</v>
      </c>
      <c r="E1242" s="1" t="s">
        <v>1738</v>
      </c>
      <c r="F1242" s="1" t="s">
        <v>22</v>
      </c>
      <c r="G1242" s="1" t="e">
        <f>VLOOKUP(C1242,'Master truck list'!E:R,14,0)</f>
        <v>#N/A</v>
      </c>
      <c r="H1242" t="str">
        <f>"12/17/2019 7:00:33 AM"</f>
        <v>12/17/2019 7:00:33 AM</v>
      </c>
      <c r="I1242" t="str">
        <f>""</f>
        <v/>
      </c>
      <c r="J1242" t="str">
        <f t="shared" si="507"/>
        <v>Elite</v>
      </c>
      <c r="K1242" t="str">
        <f t="shared" si="519"/>
        <v>Device</v>
      </c>
      <c r="L1242" t="str">
        <f>"777260311"</f>
        <v>777260311</v>
      </c>
      <c r="M1242" t="str">
        <f>"16758468"</f>
        <v>16758468</v>
      </c>
      <c r="N1242" t="str">
        <f>"5177-20"</f>
        <v>5177-20</v>
      </c>
      <c r="O1242" t="str">
        <f t="shared" si="508"/>
        <v>TEXAS</v>
      </c>
      <c r="P1242" t="str">
        <f t="shared" si="509"/>
        <v>N A</v>
      </c>
      <c r="Q1242" t="str">
        <f t="shared" si="510"/>
        <v>N/A</v>
      </c>
      <c r="R1242" t="str">
        <f>"130 CMRNP 12 306"</f>
        <v>130 CMRNP 12 306</v>
      </c>
      <c r="S1242" t="str">
        <f>"12/16/2019 6:14:12 PM"</f>
        <v>12/16/2019 6:14:12 PM</v>
      </c>
      <c r="T1242" t="str">
        <f t="shared" si="499"/>
        <v>5</v>
      </c>
      <c r="U1242" t="str">
        <f t="shared" si="511"/>
        <v>N/A</v>
      </c>
      <c r="V1242" t="str">
        <f t="shared" si="518"/>
        <v>5.5500</v>
      </c>
    </row>
    <row r="1243" spans="1:22" x14ac:dyDescent="0.25">
      <c r="A1243" s="1" t="str">
        <f t="shared" si="500"/>
        <v>5177-</v>
      </c>
      <c r="B1243" s="1" t="str">
        <f t="shared" si="512"/>
        <v>5177-</v>
      </c>
      <c r="C1243" s="1" t="s">
        <v>8918</v>
      </c>
      <c r="D1243" s="1" t="s">
        <v>91</v>
      </c>
      <c r="E1243" s="1" t="s">
        <v>1738</v>
      </c>
      <c r="F1243" s="1" t="s">
        <v>22</v>
      </c>
      <c r="G1243" s="1" t="e">
        <f>VLOOKUP(C1243,'Master truck list'!E:R,14,0)</f>
        <v>#N/A</v>
      </c>
      <c r="H1243" t="str">
        <f>"12/17/2019 7:00:33 AM"</f>
        <v>12/17/2019 7:00:33 AM</v>
      </c>
      <c r="I1243" t="str">
        <f>""</f>
        <v/>
      </c>
      <c r="J1243" t="str">
        <f t="shared" si="507"/>
        <v>Elite</v>
      </c>
      <c r="K1243" t="str">
        <f t="shared" si="519"/>
        <v>Device</v>
      </c>
      <c r="L1243" t="str">
        <f>"777260311"</f>
        <v>777260311</v>
      </c>
      <c r="M1243" t="str">
        <f>"16758468"</f>
        <v>16758468</v>
      </c>
      <c r="N1243" t="str">
        <f>"5177-20"</f>
        <v>5177-20</v>
      </c>
      <c r="O1243" t="str">
        <f t="shared" si="508"/>
        <v>TEXAS</v>
      </c>
      <c r="P1243" t="str">
        <f t="shared" si="509"/>
        <v>N A</v>
      </c>
      <c r="Q1243" t="str">
        <f t="shared" si="510"/>
        <v>N/A</v>
      </c>
      <c r="R1243" t="str">
        <f>"130 MGCRP 11 305"</f>
        <v>130 MGCRP 11 305</v>
      </c>
      <c r="S1243" t="str">
        <f>"12/16/2019 6:25:33 PM"</f>
        <v>12/16/2019 6:25:33 PM</v>
      </c>
      <c r="T1243" t="str">
        <f t="shared" si="499"/>
        <v>5</v>
      </c>
      <c r="U1243" t="str">
        <f t="shared" si="511"/>
        <v>N/A</v>
      </c>
      <c r="V1243" t="str">
        <f t="shared" si="518"/>
        <v>5.5500</v>
      </c>
    </row>
    <row r="1244" spans="1:22" x14ac:dyDescent="0.25">
      <c r="A1244" s="1" t="str">
        <f t="shared" si="500"/>
        <v>5177-</v>
      </c>
      <c r="B1244" s="1" t="str">
        <f t="shared" si="512"/>
        <v>5177-</v>
      </c>
      <c r="C1244" s="1" t="s">
        <v>8918</v>
      </c>
      <c r="D1244" s="1" t="s">
        <v>91</v>
      </c>
      <c r="E1244" s="1" t="s">
        <v>1738</v>
      </c>
      <c r="F1244" s="1" t="s">
        <v>22</v>
      </c>
      <c r="G1244" s="1" t="e">
        <f>VLOOKUP(C1244,'Master truck list'!E:R,14,0)</f>
        <v>#N/A</v>
      </c>
      <c r="H1244" t="str">
        <f>"12/17/2019 7:00:33 AM"</f>
        <v>12/17/2019 7:00:33 AM</v>
      </c>
      <c r="I1244" t="str">
        <f>""</f>
        <v/>
      </c>
      <c r="J1244" t="str">
        <f t="shared" si="507"/>
        <v>Elite</v>
      </c>
      <c r="K1244" t="str">
        <f t="shared" si="519"/>
        <v>Device</v>
      </c>
      <c r="L1244" t="str">
        <f>"777260311"</f>
        <v>777260311</v>
      </c>
      <c r="M1244" t="str">
        <f>"16758468"</f>
        <v>16758468</v>
      </c>
      <c r="N1244" t="str">
        <f>"5177-20"</f>
        <v>5177-20</v>
      </c>
      <c r="O1244" t="str">
        <f t="shared" si="508"/>
        <v>TEXAS</v>
      </c>
      <c r="P1244" t="str">
        <f t="shared" si="509"/>
        <v>N A</v>
      </c>
      <c r="Q1244" t="str">
        <f t="shared" si="510"/>
        <v>N/A</v>
      </c>
      <c r="R1244" t="str">
        <f>"45SE MLPEB 02 611"</f>
        <v>45SE MLPEB 02 611</v>
      </c>
      <c r="S1244" t="str">
        <f>"12/16/2019 5:44:53 PM"</f>
        <v>12/16/2019 5:44:53 PM</v>
      </c>
      <c r="T1244" t="str">
        <f t="shared" si="499"/>
        <v>5</v>
      </c>
      <c r="U1244" t="str">
        <f t="shared" si="511"/>
        <v>N/A</v>
      </c>
      <c r="V1244" t="str">
        <f>"3.3000"</f>
        <v>3.3000</v>
      </c>
    </row>
    <row r="1245" spans="1:22" x14ac:dyDescent="0.25">
      <c r="A1245" s="1" t="str">
        <f t="shared" si="500"/>
        <v>2612-</v>
      </c>
      <c r="B1245" s="1" t="str">
        <f t="shared" si="512"/>
        <v>2612-</v>
      </c>
      <c r="C1245" s="1" t="s">
        <v>8898</v>
      </c>
      <c r="D1245" s="1" t="s">
        <v>91</v>
      </c>
      <c r="E1245" s="1" t="s">
        <v>8916</v>
      </c>
      <c r="F1245" s="1" t="s">
        <v>22</v>
      </c>
      <c r="G1245" s="1" t="e">
        <f>VLOOKUP(C1245,'Master truck list'!E:R,14,0)</f>
        <v>#N/A</v>
      </c>
      <c r="H1245" t="str">
        <f>"12/18/2019 7:00:28 AM"</f>
        <v>12/18/2019 7:00:28 AM</v>
      </c>
      <c r="I1245" t="str">
        <f>""</f>
        <v/>
      </c>
      <c r="J1245" t="str">
        <f t="shared" si="507"/>
        <v>Elite</v>
      </c>
      <c r="K1245" t="str">
        <f t="shared" si="519"/>
        <v>Device</v>
      </c>
      <c r="L1245" t="str">
        <f t="shared" ref="L1245:L1265" si="520">"777260218"</f>
        <v>777260218</v>
      </c>
      <c r="M1245" t="str">
        <f t="shared" ref="M1245:M1265" si="521">"16758375"</f>
        <v>16758375</v>
      </c>
      <c r="N1245" t="str">
        <f t="shared" ref="N1245:N1265" si="522">"2612-20"</f>
        <v>2612-20</v>
      </c>
      <c r="O1245" t="str">
        <f t="shared" si="508"/>
        <v>TEXAS</v>
      </c>
      <c r="P1245" t="str">
        <f t="shared" si="509"/>
        <v>N A</v>
      </c>
      <c r="Q1245" t="str">
        <f t="shared" si="510"/>
        <v>N/A</v>
      </c>
      <c r="R1245" t="str">
        <f>"130 MGCRP 06 305"</f>
        <v>130 MGCRP 06 305</v>
      </c>
      <c r="S1245" t="str">
        <f>"12/17/2019 9:56:14 AM"</f>
        <v>12/17/2019 9:56:14 AM</v>
      </c>
      <c r="T1245" t="str">
        <f t="shared" si="499"/>
        <v>5</v>
      </c>
      <c r="U1245" t="str">
        <f t="shared" si="511"/>
        <v>N/A</v>
      </c>
      <c r="V1245" t="str">
        <f>"5.5500"</f>
        <v>5.5500</v>
      </c>
    </row>
    <row r="1246" spans="1:22" x14ac:dyDescent="0.25">
      <c r="A1246" s="1" t="str">
        <f t="shared" si="500"/>
        <v>2612-</v>
      </c>
      <c r="B1246" s="1" t="str">
        <f t="shared" si="512"/>
        <v>2612-</v>
      </c>
      <c r="C1246" s="1" t="s">
        <v>8898</v>
      </c>
      <c r="D1246" s="1" t="s">
        <v>91</v>
      </c>
      <c r="E1246" s="1" t="s">
        <v>8916</v>
      </c>
      <c r="F1246" s="1" t="s">
        <v>22</v>
      </c>
      <c r="G1246" s="1" t="e">
        <f>VLOOKUP(C1246,'Master truck list'!E:R,14,0)</f>
        <v>#N/A</v>
      </c>
      <c r="H1246" t="str">
        <f>"12/18/2019 7:00:28 AM"</f>
        <v>12/18/2019 7:00:28 AM</v>
      </c>
      <c r="I1246" t="str">
        <f>""</f>
        <v/>
      </c>
      <c r="J1246" t="str">
        <f t="shared" si="507"/>
        <v>Elite</v>
      </c>
      <c r="K1246" t="str">
        <f t="shared" si="519"/>
        <v>Device</v>
      </c>
      <c r="L1246" t="str">
        <f t="shared" si="520"/>
        <v>777260218</v>
      </c>
      <c r="M1246" t="str">
        <f t="shared" si="521"/>
        <v>16758375</v>
      </c>
      <c r="N1246" t="str">
        <f t="shared" si="522"/>
        <v>2612-20</v>
      </c>
      <c r="O1246" t="str">
        <f t="shared" si="508"/>
        <v>TEXAS</v>
      </c>
      <c r="P1246" t="str">
        <f t="shared" si="509"/>
        <v>N A</v>
      </c>
      <c r="Q1246" t="str">
        <f t="shared" si="510"/>
        <v>N/A</v>
      </c>
      <c r="R1246" t="str">
        <f>"130 CMRNP 09 306"</f>
        <v>130 CMRNP 09 306</v>
      </c>
      <c r="S1246" t="str">
        <f>"12/17/2019 10:07:12 AM"</f>
        <v>12/17/2019 10:07:12 AM</v>
      </c>
      <c r="T1246" t="str">
        <f t="shared" si="499"/>
        <v>5</v>
      </c>
      <c r="U1246" t="str">
        <f t="shared" si="511"/>
        <v>N/A</v>
      </c>
      <c r="V1246" t="str">
        <f>"5.5500"</f>
        <v>5.5500</v>
      </c>
    </row>
    <row r="1247" spans="1:22" x14ac:dyDescent="0.25">
      <c r="A1247" s="1" t="str">
        <f t="shared" si="500"/>
        <v>2612-</v>
      </c>
      <c r="B1247" s="1" t="str">
        <f t="shared" si="512"/>
        <v>2612-</v>
      </c>
      <c r="C1247" s="1" t="s">
        <v>8898</v>
      </c>
      <c r="D1247" s="1" t="s">
        <v>91</v>
      </c>
      <c r="E1247" s="1" t="s">
        <v>8916</v>
      </c>
      <c r="F1247" s="1" t="s">
        <v>22</v>
      </c>
      <c r="G1247" s="1" t="e">
        <f>VLOOKUP(C1247,'Master truck list'!E:R,14,0)</f>
        <v>#N/A</v>
      </c>
      <c r="H1247" t="str">
        <f>"12/18/2019 7:00:28 AM"</f>
        <v>12/18/2019 7:00:28 AM</v>
      </c>
      <c r="I1247" t="str">
        <f>""</f>
        <v/>
      </c>
      <c r="J1247" t="str">
        <f t="shared" si="507"/>
        <v>Elite</v>
      </c>
      <c r="K1247" t="str">
        <f t="shared" si="519"/>
        <v>Device</v>
      </c>
      <c r="L1247" t="str">
        <f t="shared" si="520"/>
        <v>777260218</v>
      </c>
      <c r="M1247" t="str">
        <f t="shared" si="521"/>
        <v>16758375</v>
      </c>
      <c r="N1247" t="str">
        <f t="shared" si="522"/>
        <v>2612-20</v>
      </c>
      <c r="O1247" t="str">
        <f t="shared" si="508"/>
        <v>TEXAS</v>
      </c>
      <c r="P1247" t="str">
        <f t="shared" si="509"/>
        <v>N A</v>
      </c>
      <c r="Q1247" t="str">
        <f t="shared" si="510"/>
        <v>N/A</v>
      </c>
      <c r="R1247" t="str">
        <f>"130 DKCRP 06 307"</f>
        <v>130 DKCRP 06 307</v>
      </c>
      <c r="S1247" t="str">
        <f>"12/17/2019 10:17:09 AM"</f>
        <v>12/17/2019 10:17:09 AM</v>
      </c>
      <c r="T1247" t="str">
        <f t="shared" si="499"/>
        <v>5</v>
      </c>
      <c r="U1247" t="str">
        <f t="shared" si="511"/>
        <v>N/A</v>
      </c>
      <c r="V1247" t="str">
        <f>"5.5500"</f>
        <v>5.5500</v>
      </c>
    </row>
    <row r="1248" spans="1:22" x14ac:dyDescent="0.25">
      <c r="A1248" s="1" t="str">
        <f t="shared" si="500"/>
        <v>2612-</v>
      </c>
      <c r="B1248" s="1" t="str">
        <f t="shared" si="512"/>
        <v>2612-</v>
      </c>
      <c r="C1248" s="1" t="s">
        <v>8898</v>
      </c>
      <c r="D1248" s="1" t="s">
        <v>91</v>
      </c>
      <c r="E1248" s="1" t="s">
        <v>8916</v>
      </c>
      <c r="F1248" s="1" t="s">
        <v>22</v>
      </c>
      <c r="G1248" s="1" t="e">
        <f>VLOOKUP(C1248,'Master truck list'!E:R,14,0)</f>
        <v>#N/A</v>
      </c>
      <c r="H1248" t="str">
        <f>"12/18/2019 7:00:28 AM"</f>
        <v>12/18/2019 7:00:28 AM</v>
      </c>
      <c r="I1248" t="str">
        <f>""</f>
        <v/>
      </c>
      <c r="J1248" t="str">
        <f t="shared" si="507"/>
        <v>Elite</v>
      </c>
      <c r="K1248" t="str">
        <f t="shared" si="519"/>
        <v>Device</v>
      </c>
      <c r="L1248" t="str">
        <f t="shared" si="520"/>
        <v>777260218</v>
      </c>
      <c r="M1248" t="str">
        <f t="shared" si="521"/>
        <v>16758375</v>
      </c>
      <c r="N1248" t="str">
        <f t="shared" si="522"/>
        <v>2612-20</v>
      </c>
      <c r="O1248" t="str">
        <f t="shared" si="508"/>
        <v>TEXAS</v>
      </c>
      <c r="P1248" t="str">
        <f t="shared" si="509"/>
        <v>N A</v>
      </c>
      <c r="Q1248" t="str">
        <f t="shared" si="510"/>
        <v>N/A</v>
      </c>
      <c r="R1248" t="str">
        <f>"45SE MLPWB 01 611"</f>
        <v>45SE MLPWB 01 611</v>
      </c>
      <c r="S1248" t="str">
        <f>"12/17/2019 10:34:39 AM"</f>
        <v>12/17/2019 10:34:39 AM</v>
      </c>
      <c r="T1248" t="str">
        <f t="shared" si="499"/>
        <v>5</v>
      </c>
      <c r="U1248" t="str">
        <f t="shared" si="511"/>
        <v>N/A</v>
      </c>
      <c r="V1248" t="str">
        <f>"3.3000"</f>
        <v>3.3000</v>
      </c>
    </row>
    <row r="1249" spans="1:22" x14ac:dyDescent="0.25">
      <c r="A1249" s="1" t="str">
        <f t="shared" si="500"/>
        <v>2612-</v>
      </c>
      <c r="B1249" s="1" t="str">
        <f t="shared" si="512"/>
        <v>2612-</v>
      </c>
      <c r="C1249" s="1" t="s">
        <v>8898</v>
      </c>
      <c r="D1249" s="1" t="s">
        <v>91</v>
      </c>
      <c r="E1249" s="1" t="s">
        <v>8916</v>
      </c>
      <c r="F1249" s="1" t="s">
        <v>22</v>
      </c>
      <c r="G1249" s="1" t="e">
        <f>VLOOKUP(C1249,'Master truck list'!E:R,14,0)</f>
        <v>#N/A</v>
      </c>
      <c r="H1249" t="str">
        <f>"12/18/2019 7:00:28 AM"</f>
        <v>12/18/2019 7:00:28 AM</v>
      </c>
      <c r="I1249" t="str">
        <f>""</f>
        <v/>
      </c>
      <c r="J1249" t="str">
        <f t="shared" si="507"/>
        <v>Elite</v>
      </c>
      <c r="K1249" t="str">
        <f t="shared" si="519"/>
        <v>Device</v>
      </c>
      <c r="L1249" t="str">
        <f t="shared" si="520"/>
        <v>777260218</v>
      </c>
      <c r="M1249" t="str">
        <f t="shared" si="521"/>
        <v>16758375</v>
      </c>
      <c r="N1249" t="str">
        <f t="shared" si="522"/>
        <v>2612-20</v>
      </c>
      <c r="O1249" t="str">
        <f t="shared" si="508"/>
        <v>TEXAS</v>
      </c>
      <c r="P1249" t="str">
        <f t="shared" si="509"/>
        <v>N A</v>
      </c>
      <c r="Q1249" t="str">
        <f t="shared" si="510"/>
        <v>N/A</v>
      </c>
      <c r="R1249" t="str">
        <f>"130 ARPTP 04 308"</f>
        <v>130 ARPTP 04 308</v>
      </c>
      <c r="S1249" t="str">
        <f>"12/17/2019 10:24:05 AM"</f>
        <v>12/17/2019 10:24:05 AM</v>
      </c>
      <c r="T1249" t="str">
        <f t="shared" si="499"/>
        <v>5</v>
      </c>
      <c r="U1249" t="str">
        <f t="shared" si="511"/>
        <v>N/A</v>
      </c>
      <c r="V1249" t="str">
        <f>"5.5500"</f>
        <v>5.5500</v>
      </c>
    </row>
    <row r="1250" spans="1:22" x14ac:dyDescent="0.25">
      <c r="A1250" s="1" t="str">
        <f t="shared" si="500"/>
        <v>2612-</v>
      </c>
      <c r="B1250" s="1" t="str">
        <f t="shared" si="512"/>
        <v>2612-</v>
      </c>
      <c r="C1250" s="1" t="s">
        <v>8898</v>
      </c>
      <c r="D1250" s="1" t="s">
        <v>91</v>
      </c>
      <c r="E1250" s="1" t="s">
        <v>8916</v>
      </c>
      <c r="F1250" s="1" t="s">
        <v>22</v>
      </c>
      <c r="G1250" s="1" t="e">
        <f>VLOOKUP(C1250,'Master truck list'!E:R,14,0)</f>
        <v>#N/A</v>
      </c>
      <c r="H1250" t="str">
        <f t="shared" ref="H1250:H1255" si="523">"12/17/2019 7:00:33 AM"</f>
        <v>12/17/2019 7:00:33 AM</v>
      </c>
      <c r="I1250" t="str">
        <f>""</f>
        <v/>
      </c>
      <c r="J1250" t="str">
        <f t="shared" si="507"/>
        <v>Elite</v>
      </c>
      <c r="K1250" t="str">
        <f t="shared" si="519"/>
        <v>Device</v>
      </c>
      <c r="L1250" t="str">
        <f t="shared" si="520"/>
        <v>777260218</v>
      </c>
      <c r="M1250" t="str">
        <f t="shared" si="521"/>
        <v>16758375</v>
      </c>
      <c r="N1250" t="str">
        <f t="shared" si="522"/>
        <v>2612-20</v>
      </c>
      <c r="O1250" t="str">
        <f t="shared" si="508"/>
        <v>TEXAS</v>
      </c>
      <c r="P1250" t="str">
        <f t="shared" si="509"/>
        <v>N A</v>
      </c>
      <c r="Q1250" t="str">
        <f t="shared" si="510"/>
        <v>N/A</v>
      </c>
      <c r="R1250" t="str">
        <f>"130 MGCRP 11 305"</f>
        <v>130 MGCRP 11 305</v>
      </c>
      <c r="S1250" t="str">
        <f>"12/16/2019 3:43:47 PM"</f>
        <v>12/16/2019 3:43:47 PM</v>
      </c>
      <c r="T1250" t="str">
        <f t="shared" si="499"/>
        <v>5</v>
      </c>
      <c r="U1250" t="str">
        <f t="shared" si="511"/>
        <v>N/A</v>
      </c>
      <c r="V1250" t="str">
        <f>"5.5500"</f>
        <v>5.5500</v>
      </c>
    </row>
    <row r="1251" spans="1:22" x14ac:dyDescent="0.25">
      <c r="A1251" s="1" t="str">
        <f t="shared" si="500"/>
        <v>2612-</v>
      </c>
      <c r="B1251" s="1" t="str">
        <f t="shared" si="512"/>
        <v>2612-</v>
      </c>
      <c r="C1251" s="1" t="s">
        <v>8898</v>
      </c>
      <c r="D1251" s="1" t="s">
        <v>91</v>
      </c>
      <c r="E1251" s="1" t="s">
        <v>8916</v>
      </c>
      <c r="F1251" s="1" t="s">
        <v>22</v>
      </c>
      <c r="G1251" s="1" t="e">
        <f>VLOOKUP(C1251,'Master truck list'!E:R,14,0)</f>
        <v>#N/A</v>
      </c>
      <c r="H1251" t="str">
        <f t="shared" si="523"/>
        <v>12/17/2019 7:00:33 AM</v>
      </c>
      <c r="I1251" t="str">
        <f>""</f>
        <v/>
      </c>
      <c r="J1251" t="str">
        <f t="shared" si="507"/>
        <v>Elite</v>
      </c>
      <c r="K1251" t="str">
        <f t="shared" si="519"/>
        <v>Device</v>
      </c>
      <c r="L1251" t="str">
        <f t="shared" si="520"/>
        <v>777260218</v>
      </c>
      <c r="M1251" t="str">
        <f t="shared" si="521"/>
        <v>16758375</v>
      </c>
      <c r="N1251" t="str">
        <f t="shared" si="522"/>
        <v>2612-20</v>
      </c>
      <c r="O1251" t="str">
        <f t="shared" si="508"/>
        <v>TEXAS</v>
      </c>
      <c r="P1251" t="str">
        <f t="shared" si="509"/>
        <v>N A</v>
      </c>
      <c r="Q1251" t="str">
        <f t="shared" si="510"/>
        <v>N/A</v>
      </c>
      <c r="R1251" t="str">
        <f>"45SE MLPEB 02 611"</f>
        <v>45SE MLPEB 02 611</v>
      </c>
      <c r="S1251" t="str">
        <f>"12/16/2019 3:04:47 PM"</f>
        <v>12/16/2019 3:04:47 PM</v>
      </c>
      <c r="T1251" t="str">
        <f t="shared" si="499"/>
        <v>5</v>
      </c>
      <c r="U1251" t="str">
        <f t="shared" si="511"/>
        <v>N/A</v>
      </c>
      <c r="V1251" t="str">
        <f>"3.3000"</f>
        <v>3.3000</v>
      </c>
    </row>
    <row r="1252" spans="1:22" x14ac:dyDescent="0.25">
      <c r="A1252" s="1" t="str">
        <f t="shared" si="500"/>
        <v>2612-</v>
      </c>
      <c r="B1252" s="1" t="str">
        <f t="shared" si="512"/>
        <v>2612-</v>
      </c>
      <c r="C1252" s="1" t="s">
        <v>8898</v>
      </c>
      <c r="D1252" s="1" t="s">
        <v>91</v>
      </c>
      <c r="E1252" s="1" t="s">
        <v>8916</v>
      </c>
      <c r="F1252" s="1" t="s">
        <v>22</v>
      </c>
      <c r="G1252" s="1" t="e">
        <f>VLOOKUP(C1252,'Master truck list'!E:R,14,0)</f>
        <v>#N/A</v>
      </c>
      <c r="H1252" t="str">
        <f t="shared" si="523"/>
        <v>12/17/2019 7:00:33 AM</v>
      </c>
      <c r="I1252" t="str">
        <f>""</f>
        <v/>
      </c>
      <c r="J1252" t="str">
        <f t="shared" si="507"/>
        <v>Elite</v>
      </c>
      <c r="K1252" t="str">
        <f t="shared" si="519"/>
        <v>Device</v>
      </c>
      <c r="L1252" t="str">
        <f t="shared" si="520"/>
        <v>777260218</v>
      </c>
      <c r="M1252" t="str">
        <f t="shared" si="521"/>
        <v>16758375</v>
      </c>
      <c r="N1252" t="str">
        <f t="shared" si="522"/>
        <v>2612-20</v>
      </c>
      <c r="O1252" t="str">
        <f t="shared" si="508"/>
        <v>TEXAS</v>
      </c>
      <c r="P1252" t="str">
        <f t="shared" si="509"/>
        <v>N A</v>
      </c>
      <c r="Q1252" t="str">
        <f t="shared" si="510"/>
        <v>N/A</v>
      </c>
      <c r="R1252" t="str">
        <f>"130 DKCRP 11 307"</f>
        <v>130 DKCRP 11 307</v>
      </c>
      <c r="S1252" t="str">
        <f>"12/16/2019 3:22:19 PM"</f>
        <v>12/16/2019 3:22:19 PM</v>
      </c>
      <c r="T1252" t="str">
        <f t="shared" si="499"/>
        <v>5</v>
      </c>
      <c r="U1252" t="str">
        <f t="shared" si="511"/>
        <v>N/A</v>
      </c>
      <c r="V1252" t="str">
        <f>"5.5500"</f>
        <v>5.5500</v>
      </c>
    </row>
    <row r="1253" spans="1:22" x14ac:dyDescent="0.25">
      <c r="A1253" s="1" t="str">
        <f t="shared" si="500"/>
        <v>2612-</v>
      </c>
      <c r="B1253" s="1" t="str">
        <f t="shared" si="512"/>
        <v>2612-</v>
      </c>
      <c r="C1253" s="1" t="s">
        <v>8898</v>
      </c>
      <c r="D1253" s="1" t="s">
        <v>91</v>
      </c>
      <c r="E1253" s="1" t="s">
        <v>8916</v>
      </c>
      <c r="F1253" s="1" t="s">
        <v>22</v>
      </c>
      <c r="G1253" s="1" t="e">
        <f>VLOOKUP(C1253,'Master truck list'!E:R,14,0)</f>
        <v>#N/A</v>
      </c>
      <c r="H1253" t="str">
        <f t="shared" si="523"/>
        <v>12/17/2019 7:00:33 AM</v>
      </c>
      <c r="I1253" t="str">
        <f>""</f>
        <v/>
      </c>
      <c r="J1253" t="str">
        <f t="shared" si="507"/>
        <v>Elite</v>
      </c>
      <c r="K1253" t="str">
        <f t="shared" si="519"/>
        <v>Device</v>
      </c>
      <c r="L1253" t="str">
        <f t="shared" si="520"/>
        <v>777260218</v>
      </c>
      <c r="M1253" t="str">
        <f t="shared" si="521"/>
        <v>16758375</v>
      </c>
      <c r="N1253" t="str">
        <f t="shared" si="522"/>
        <v>2612-20</v>
      </c>
      <c r="O1253" t="str">
        <f t="shared" si="508"/>
        <v>TEXAS</v>
      </c>
      <c r="P1253" t="str">
        <f t="shared" si="509"/>
        <v>N A</v>
      </c>
      <c r="Q1253" t="str">
        <f t="shared" si="510"/>
        <v>N/A</v>
      </c>
      <c r="R1253" t="str">
        <f>"PGBW MLG12 09 MLG1"</f>
        <v>PGBW MLG12 09 MLG1</v>
      </c>
      <c r="S1253" t="str">
        <f>"12/16/2019 6:30:20 PM"</f>
        <v>12/16/2019 6:30:20 PM</v>
      </c>
      <c r="T1253" t="str">
        <f t="shared" si="499"/>
        <v>5</v>
      </c>
      <c r="U1253" t="str">
        <f t="shared" si="511"/>
        <v>N/A</v>
      </c>
      <c r="V1253" t="str">
        <f>"4.6400"</f>
        <v>4.6400</v>
      </c>
    </row>
    <row r="1254" spans="1:22" x14ac:dyDescent="0.25">
      <c r="A1254" s="1" t="str">
        <f t="shared" si="500"/>
        <v>2612-</v>
      </c>
      <c r="B1254" s="1" t="str">
        <f t="shared" si="512"/>
        <v>2612-</v>
      </c>
      <c r="C1254" s="1" t="s">
        <v>8898</v>
      </c>
      <c r="D1254" s="1" t="s">
        <v>91</v>
      </c>
      <c r="E1254" s="1" t="s">
        <v>8916</v>
      </c>
      <c r="F1254" s="1" t="s">
        <v>22</v>
      </c>
      <c r="G1254" s="1" t="e">
        <f>VLOOKUP(C1254,'Master truck list'!E:R,14,0)</f>
        <v>#N/A</v>
      </c>
      <c r="H1254" t="str">
        <f t="shared" si="523"/>
        <v>12/17/2019 7:00:33 AM</v>
      </c>
      <c r="I1254" t="str">
        <f>""</f>
        <v/>
      </c>
      <c r="J1254" t="str">
        <f t="shared" si="507"/>
        <v>Elite</v>
      </c>
      <c r="K1254" t="str">
        <f t="shared" si="519"/>
        <v>Device</v>
      </c>
      <c r="L1254" t="str">
        <f t="shared" si="520"/>
        <v>777260218</v>
      </c>
      <c r="M1254" t="str">
        <f t="shared" si="521"/>
        <v>16758375</v>
      </c>
      <c r="N1254" t="str">
        <f t="shared" si="522"/>
        <v>2612-20</v>
      </c>
      <c r="O1254" t="str">
        <f t="shared" si="508"/>
        <v>TEXAS</v>
      </c>
      <c r="P1254" t="str">
        <f t="shared" si="509"/>
        <v>N A</v>
      </c>
      <c r="Q1254" t="str">
        <f t="shared" si="510"/>
        <v>N/A</v>
      </c>
      <c r="R1254" t="str">
        <f>"130 CMRNP 13 306"</f>
        <v>130 CMRNP 13 306</v>
      </c>
      <c r="S1254" t="str">
        <f>"12/16/2019 3:32:22 PM"</f>
        <v>12/16/2019 3:32:22 PM</v>
      </c>
      <c r="T1254" t="str">
        <f t="shared" si="499"/>
        <v>5</v>
      </c>
      <c r="U1254" t="str">
        <f t="shared" si="511"/>
        <v>N/A</v>
      </c>
      <c r="V1254" t="str">
        <f>"5.5500"</f>
        <v>5.5500</v>
      </c>
    </row>
    <row r="1255" spans="1:22" x14ac:dyDescent="0.25">
      <c r="A1255" s="1" t="str">
        <f t="shared" si="500"/>
        <v>2612-</v>
      </c>
      <c r="B1255" s="1" t="str">
        <f t="shared" si="512"/>
        <v>2612-</v>
      </c>
      <c r="C1255" s="1" t="s">
        <v>8898</v>
      </c>
      <c r="D1255" s="1" t="s">
        <v>91</v>
      </c>
      <c r="E1255" s="1" t="s">
        <v>8916</v>
      </c>
      <c r="F1255" s="1" t="s">
        <v>22</v>
      </c>
      <c r="G1255" s="1" t="e">
        <f>VLOOKUP(C1255,'Master truck list'!E:R,14,0)</f>
        <v>#N/A</v>
      </c>
      <c r="H1255" t="str">
        <f t="shared" si="523"/>
        <v>12/17/2019 7:00:33 AM</v>
      </c>
      <c r="I1255" t="str">
        <f>""</f>
        <v/>
      </c>
      <c r="J1255" t="str">
        <f t="shared" si="507"/>
        <v>Elite</v>
      </c>
      <c r="K1255" t="str">
        <f t="shared" si="519"/>
        <v>Device</v>
      </c>
      <c r="L1255" t="str">
        <f t="shared" si="520"/>
        <v>777260218</v>
      </c>
      <c r="M1255" t="str">
        <f t="shared" si="521"/>
        <v>16758375</v>
      </c>
      <c r="N1255" t="str">
        <f t="shared" si="522"/>
        <v>2612-20</v>
      </c>
      <c r="O1255" t="str">
        <f t="shared" si="508"/>
        <v>TEXAS</v>
      </c>
      <c r="P1255" t="str">
        <f t="shared" si="509"/>
        <v>N A</v>
      </c>
      <c r="Q1255" t="str">
        <f t="shared" si="510"/>
        <v>N/A</v>
      </c>
      <c r="R1255" t="str">
        <f>"130 ARPTP 09 308"</f>
        <v>130 ARPTP 09 308</v>
      </c>
      <c r="S1255" t="str">
        <f>"12/16/2019 3:15:22 PM"</f>
        <v>12/16/2019 3:15:22 PM</v>
      </c>
      <c r="T1255" t="str">
        <f t="shared" si="499"/>
        <v>5</v>
      </c>
      <c r="U1255" t="str">
        <f t="shared" si="511"/>
        <v>N/A</v>
      </c>
      <c r="V1255" t="str">
        <f>"5.5500"</f>
        <v>5.5500</v>
      </c>
    </row>
    <row r="1256" spans="1:22" x14ac:dyDescent="0.25">
      <c r="A1256" s="1" t="str">
        <f t="shared" si="500"/>
        <v>2612-</v>
      </c>
      <c r="B1256" s="1" t="str">
        <f t="shared" si="512"/>
        <v>2612-</v>
      </c>
      <c r="C1256" s="1" t="s">
        <v>8898</v>
      </c>
      <c r="D1256" s="1" t="s">
        <v>91</v>
      </c>
      <c r="E1256" s="1" t="s">
        <v>8916</v>
      </c>
      <c r="F1256" s="1" t="s">
        <v>22</v>
      </c>
      <c r="G1256" s="1" t="e">
        <f>VLOOKUP(C1256,'Master truck list'!E:R,14,0)</f>
        <v>#N/A</v>
      </c>
      <c r="H1256" t="str">
        <f>"12/20/2019 7:00:30 AM"</f>
        <v>12/20/2019 7:00:30 AM</v>
      </c>
      <c r="I1256" t="str">
        <f>""</f>
        <v/>
      </c>
      <c r="J1256" t="str">
        <f t="shared" si="507"/>
        <v>Elite</v>
      </c>
      <c r="K1256" t="str">
        <f t="shared" si="519"/>
        <v>Device</v>
      </c>
      <c r="L1256" t="str">
        <f t="shared" si="520"/>
        <v>777260218</v>
      </c>
      <c r="M1256" t="str">
        <f t="shared" si="521"/>
        <v>16758375</v>
      </c>
      <c r="N1256" t="str">
        <f t="shared" si="522"/>
        <v>2612-20</v>
      </c>
      <c r="O1256" t="str">
        <f t="shared" si="508"/>
        <v>TEXAS</v>
      </c>
      <c r="P1256" t="str">
        <f t="shared" si="509"/>
        <v>N A</v>
      </c>
      <c r="Q1256" t="str">
        <f t="shared" si="510"/>
        <v>N/A</v>
      </c>
      <c r="R1256" t="str">
        <f>"130 CMRNP 13 306"</f>
        <v>130 CMRNP 13 306</v>
      </c>
      <c r="S1256" t="str">
        <f>"12/19/2019 6:40:31 PM"</f>
        <v>12/19/2019 6:40:31 PM</v>
      </c>
      <c r="T1256" t="str">
        <f t="shared" si="499"/>
        <v>5</v>
      </c>
      <c r="U1256" t="str">
        <f t="shared" si="511"/>
        <v>N/A</v>
      </c>
      <c r="V1256" t="str">
        <f>"5.5500"</f>
        <v>5.5500</v>
      </c>
    </row>
    <row r="1257" spans="1:22" x14ac:dyDescent="0.25">
      <c r="A1257" s="1" t="str">
        <f t="shared" si="500"/>
        <v>2612-</v>
      </c>
      <c r="B1257" s="1" t="str">
        <f t="shared" si="512"/>
        <v>2612-</v>
      </c>
      <c r="C1257" s="1" t="s">
        <v>8898</v>
      </c>
      <c r="D1257" s="1" t="s">
        <v>91</v>
      </c>
      <c r="E1257" s="1" t="s">
        <v>8916</v>
      </c>
      <c r="F1257" s="1" t="s">
        <v>22</v>
      </c>
      <c r="G1257" s="1" t="e">
        <f>VLOOKUP(C1257,'Master truck list'!E:R,14,0)</f>
        <v>#N/A</v>
      </c>
      <c r="H1257" t="str">
        <f>"12/20/2019 7:00:30 AM"</f>
        <v>12/20/2019 7:00:30 AM</v>
      </c>
      <c r="I1257" t="str">
        <f>""</f>
        <v/>
      </c>
      <c r="J1257" t="str">
        <f t="shared" si="507"/>
        <v>Elite</v>
      </c>
      <c r="K1257" t="str">
        <f t="shared" si="519"/>
        <v>Device</v>
      </c>
      <c r="L1257" t="str">
        <f t="shared" si="520"/>
        <v>777260218</v>
      </c>
      <c r="M1257" t="str">
        <f t="shared" si="521"/>
        <v>16758375</v>
      </c>
      <c r="N1257" t="str">
        <f t="shared" si="522"/>
        <v>2612-20</v>
      </c>
      <c r="O1257" t="str">
        <f t="shared" si="508"/>
        <v>TEXAS</v>
      </c>
      <c r="P1257" t="str">
        <f t="shared" si="509"/>
        <v>N A</v>
      </c>
      <c r="Q1257" t="str">
        <f t="shared" si="510"/>
        <v>N/A</v>
      </c>
      <c r="R1257" t="str">
        <f>"130 ARPTP 09 308"</f>
        <v>130 ARPTP 09 308</v>
      </c>
      <c r="S1257" t="str">
        <f>"12/19/2019 6:23:15 PM"</f>
        <v>12/19/2019 6:23:15 PM</v>
      </c>
      <c r="T1257" t="str">
        <f t="shared" si="499"/>
        <v>5</v>
      </c>
      <c r="U1257" t="str">
        <f t="shared" si="511"/>
        <v>N/A</v>
      </c>
      <c r="V1257" t="str">
        <f>"5.5500"</f>
        <v>5.5500</v>
      </c>
    </row>
    <row r="1258" spans="1:22" x14ac:dyDescent="0.25">
      <c r="A1258" s="1" t="str">
        <f t="shared" si="500"/>
        <v>2612-</v>
      </c>
      <c r="B1258" s="1" t="str">
        <f t="shared" si="512"/>
        <v>2612-</v>
      </c>
      <c r="C1258" s="1" t="s">
        <v>8898</v>
      </c>
      <c r="D1258" s="1" t="s">
        <v>91</v>
      </c>
      <c r="E1258" s="1" t="s">
        <v>8916</v>
      </c>
      <c r="F1258" s="1" t="s">
        <v>22</v>
      </c>
      <c r="G1258" s="1" t="e">
        <f>VLOOKUP(C1258,'Master truck list'!E:R,14,0)</f>
        <v>#N/A</v>
      </c>
      <c r="H1258" t="str">
        <f>"12/20/2019 7:00:30 AM"</f>
        <v>12/20/2019 7:00:30 AM</v>
      </c>
      <c r="I1258" t="str">
        <f>""</f>
        <v/>
      </c>
      <c r="J1258" t="str">
        <f t="shared" si="507"/>
        <v>Elite</v>
      </c>
      <c r="K1258" t="str">
        <f t="shared" si="519"/>
        <v>Device</v>
      </c>
      <c r="L1258" t="str">
        <f t="shared" si="520"/>
        <v>777260218</v>
      </c>
      <c r="M1258" t="str">
        <f t="shared" si="521"/>
        <v>16758375</v>
      </c>
      <c r="N1258" t="str">
        <f t="shared" si="522"/>
        <v>2612-20</v>
      </c>
      <c r="O1258" t="str">
        <f t="shared" si="508"/>
        <v>TEXAS</v>
      </c>
      <c r="P1258" t="str">
        <f t="shared" si="509"/>
        <v>N A</v>
      </c>
      <c r="Q1258" t="str">
        <f t="shared" si="510"/>
        <v>N/A</v>
      </c>
      <c r="R1258" t="str">
        <f>"130 MGCRP 11 305"</f>
        <v>130 MGCRP 11 305</v>
      </c>
      <c r="S1258" t="str">
        <f>"12/19/2019 6:51:32 PM"</f>
        <v>12/19/2019 6:51:32 PM</v>
      </c>
      <c r="T1258" t="str">
        <f t="shared" si="499"/>
        <v>5</v>
      </c>
      <c r="U1258" t="str">
        <f t="shared" si="511"/>
        <v>N/A</v>
      </c>
      <c r="V1258" t="str">
        <f>"5.5500"</f>
        <v>5.5500</v>
      </c>
    </row>
    <row r="1259" spans="1:22" x14ac:dyDescent="0.25">
      <c r="A1259" s="1" t="str">
        <f t="shared" si="500"/>
        <v>2612-</v>
      </c>
      <c r="B1259" s="1" t="str">
        <f t="shared" si="512"/>
        <v>2612-</v>
      </c>
      <c r="C1259" s="1" t="s">
        <v>8898</v>
      </c>
      <c r="D1259" s="1" t="s">
        <v>91</v>
      </c>
      <c r="E1259" s="1" t="s">
        <v>8916</v>
      </c>
      <c r="F1259" s="1" t="s">
        <v>22</v>
      </c>
      <c r="G1259" s="1" t="e">
        <f>VLOOKUP(C1259,'Master truck list'!E:R,14,0)</f>
        <v>#N/A</v>
      </c>
      <c r="H1259" t="str">
        <f>"12/20/2019 7:00:30 AM"</f>
        <v>12/20/2019 7:00:30 AM</v>
      </c>
      <c r="I1259" t="str">
        <f>""</f>
        <v/>
      </c>
      <c r="J1259" t="str">
        <f t="shared" si="507"/>
        <v>Elite</v>
      </c>
      <c r="K1259" t="str">
        <f t="shared" si="519"/>
        <v>Device</v>
      </c>
      <c r="L1259" t="str">
        <f t="shared" si="520"/>
        <v>777260218</v>
      </c>
      <c r="M1259" t="str">
        <f t="shared" si="521"/>
        <v>16758375</v>
      </c>
      <c r="N1259" t="str">
        <f t="shared" si="522"/>
        <v>2612-20</v>
      </c>
      <c r="O1259" t="str">
        <f t="shared" si="508"/>
        <v>TEXAS</v>
      </c>
      <c r="P1259" t="str">
        <f t="shared" si="509"/>
        <v>N A</v>
      </c>
      <c r="Q1259" t="str">
        <f t="shared" si="510"/>
        <v>N/A</v>
      </c>
      <c r="R1259" t="str">
        <f>"45SE MLPEB 02 611"</f>
        <v>45SE MLPEB 02 611</v>
      </c>
      <c r="S1259" t="str">
        <f>"12/19/2019 6:12:42 PM"</f>
        <v>12/19/2019 6:12:42 PM</v>
      </c>
      <c r="T1259" t="str">
        <f t="shared" si="499"/>
        <v>5</v>
      </c>
      <c r="U1259" t="str">
        <f t="shared" si="511"/>
        <v>N/A</v>
      </c>
      <c r="V1259" t="str">
        <f>"3.3000"</f>
        <v>3.3000</v>
      </c>
    </row>
    <row r="1260" spans="1:22" x14ac:dyDescent="0.25">
      <c r="A1260" s="1" t="str">
        <f t="shared" si="500"/>
        <v>2612-</v>
      </c>
      <c r="B1260" s="1" t="str">
        <f t="shared" si="512"/>
        <v>2612-</v>
      </c>
      <c r="C1260" s="1" t="s">
        <v>8898</v>
      </c>
      <c r="D1260" s="1" t="s">
        <v>91</v>
      </c>
      <c r="E1260" s="1" t="s">
        <v>8916</v>
      </c>
      <c r="F1260" s="1" t="s">
        <v>22</v>
      </c>
      <c r="G1260" s="1" t="e">
        <f>VLOOKUP(C1260,'Master truck list'!E:R,14,0)</f>
        <v>#N/A</v>
      </c>
      <c r="H1260" t="str">
        <f>"12/20/2019 7:00:30 AM"</f>
        <v>12/20/2019 7:00:30 AM</v>
      </c>
      <c r="I1260" t="str">
        <f>""</f>
        <v/>
      </c>
      <c r="J1260" t="str">
        <f t="shared" si="507"/>
        <v>Elite</v>
      </c>
      <c r="K1260" t="str">
        <f t="shared" si="519"/>
        <v>Device</v>
      </c>
      <c r="L1260" t="str">
        <f t="shared" si="520"/>
        <v>777260218</v>
      </c>
      <c r="M1260" t="str">
        <f t="shared" si="521"/>
        <v>16758375</v>
      </c>
      <c r="N1260" t="str">
        <f t="shared" si="522"/>
        <v>2612-20</v>
      </c>
      <c r="O1260" t="str">
        <f t="shared" si="508"/>
        <v>TEXAS</v>
      </c>
      <c r="P1260" t="str">
        <f t="shared" si="509"/>
        <v>N A</v>
      </c>
      <c r="Q1260" t="str">
        <f t="shared" si="510"/>
        <v>N/A</v>
      </c>
      <c r="R1260" t="str">
        <f>"130 DKCRP 11 307"</f>
        <v>130 DKCRP 11 307</v>
      </c>
      <c r="S1260" t="str">
        <f>"12/19/2019 6:30:21 PM"</f>
        <v>12/19/2019 6:30:21 PM</v>
      </c>
      <c r="T1260" t="str">
        <f t="shared" ref="T1260:T1290" si="524">"5"</f>
        <v>5</v>
      </c>
      <c r="U1260" t="str">
        <f t="shared" si="511"/>
        <v>N/A</v>
      </c>
      <c r="V1260" t="str">
        <f>"5.5500"</f>
        <v>5.5500</v>
      </c>
    </row>
    <row r="1261" spans="1:22" x14ac:dyDescent="0.25">
      <c r="A1261" s="1" t="str">
        <f t="shared" si="500"/>
        <v>2612-</v>
      </c>
      <c r="B1261" s="1" t="str">
        <f t="shared" si="512"/>
        <v>2612-</v>
      </c>
      <c r="C1261" s="1" t="s">
        <v>8898</v>
      </c>
      <c r="D1261" s="1" t="s">
        <v>91</v>
      </c>
      <c r="E1261" s="1" t="s">
        <v>8916</v>
      </c>
      <c r="F1261" s="1" t="s">
        <v>22</v>
      </c>
      <c r="G1261" s="1" t="e">
        <f>VLOOKUP(C1261,'Master truck list'!E:R,14,0)</f>
        <v>#N/A</v>
      </c>
      <c r="H1261" t="str">
        <f t="shared" ref="H1261:H1269" si="525">"12/21/2019 7:00:28 AM"</f>
        <v>12/21/2019 7:00:28 AM</v>
      </c>
      <c r="I1261" t="str">
        <f>""</f>
        <v/>
      </c>
      <c r="J1261" t="str">
        <f t="shared" si="507"/>
        <v>Elite</v>
      </c>
      <c r="K1261" t="str">
        <f t="shared" si="519"/>
        <v>Device</v>
      </c>
      <c r="L1261" t="str">
        <f t="shared" si="520"/>
        <v>777260218</v>
      </c>
      <c r="M1261" t="str">
        <f t="shared" si="521"/>
        <v>16758375</v>
      </c>
      <c r="N1261" t="str">
        <f t="shared" si="522"/>
        <v>2612-20</v>
      </c>
      <c r="O1261" t="str">
        <f t="shared" si="508"/>
        <v>TEXAS</v>
      </c>
      <c r="P1261" t="str">
        <f t="shared" si="509"/>
        <v>N A</v>
      </c>
      <c r="Q1261" t="str">
        <f t="shared" si="510"/>
        <v>N/A</v>
      </c>
      <c r="R1261" t="str">
        <f>"130 ARPTP 04 308"</f>
        <v>130 ARPTP 04 308</v>
      </c>
      <c r="S1261" t="str">
        <f>"12/20/2019 12:01:32 PM"</f>
        <v>12/20/2019 12:01:32 PM</v>
      </c>
      <c r="T1261" t="str">
        <f t="shared" si="524"/>
        <v>5</v>
      </c>
      <c r="U1261" t="str">
        <f t="shared" si="511"/>
        <v>N/A</v>
      </c>
      <c r="V1261" t="str">
        <f>"5.5500"</f>
        <v>5.5500</v>
      </c>
    </row>
    <row r="1262" spans="1:22" x14ac:dyDescent="0.25">
      <c r="A1262" s="1" t="str">
        <f t="shared" ref="A1262:A1325" si="526">LEFT(N1262,5)</f>
        <v>2612-</v>
      </c>
      <c r="B1262" s="1" t="str">
        <f t="shared" si="512"/>
        <v>2612-</v>
      </c>
      <c r="C1262" s="1" t="s">
        <v>8898</v>
      </c>
      <c r="D1262" s="1" t="s">
        <v>91</v>
      </c>
      <c r="E1262" s="1" t="s">
        <v>8916</v>
      </c>
      <c r="F1262" s="1" t="s">
        <v>22</v>
      </c>
      <c r="G1262" s="1" t="e">
        <f>VLOOKUP(C1262,'Master truck list'!E:R,14,0)</f>
        <v>#N/A</v>
      </c>
      <c r="H1262" t="str">
        <f t="shared" si="525"/>
        <v>12/21/2019 7:00:28 AM</v>
      </c>
      <c r="I1262" t="str">
        <f>""</f>
        <v/>
      </c>
      <c r="J1262" t="str">
        <f t="shared" si="507"/>
        <v>Elite</v>
      </c>
      <c r="K1262" t="str">
        <f t="shared" si="519"/>
        <v>Device</v>
      </c>
      <c r="L1262" t="str">
        <f t="shared" si="520"/>
        <v>777260218</v>
      </c>
      <c r="M1262" t="str">
        <f t="shared" si="521"/>
        <v>16758375</v>
      </c>
      <c r="N1262" t="str">
        <f t="shared" si="522"/>
        <v>2612-20</v>
      </c>
      <c r="O1262" t="str">
        <f t="shared" si="508"/>
        <v>TEXAS</v>
      </c>
      <c r="P1262" t="str">
        <f t="shared" si="509"/>
        <v>N A</v>
      </c>
      <c r="Q1262" t="str">
        <f t="shared" si="510"/>
        <v>N/A</v>
      </c>
      <c r="R1262" t="str">
        <f>"130 CMRNP 08 306"</f>
        <v>130 CMRNP 08 306</v>
      </c>
      <c r="S1262" t="str">
        <f>"12/20/2019 11:44:11 AM"</f>
        <v>12/20/2019 11:44:11 AM</v>
      </c>
      <c r="T1262" t="str">
        <f t="shared" si="524"/>
        <v>5</v>
      </c>
      <c r="U1262" t="str">
        <f t="shared" si="511"/>
        <v>N/A</v>
      </c>
      <c r="V1262" t="str">
        <f>"5.5500"</f>
        <v>5.5500</v>
      </c>
    </row>
    <row r="1263" spans="1:22" x14ac:dyDescent="0.25">
      <c r="A1263" s="1" t="str">
        <f t="shared" si="526"/>
        <v>2612-</v>
      </c>
      <c r="B1263" s="1" t="str">
        <f t="shared" si="512"/>
        <v>2612-</v>
      </c>
      <c r="C1263" s="1" t="s">
        <v>8898</v>
      </c>
      <c r="D1263" s="1" t="s">
        <v>91</v>
      </c>
      <c r="E1263" s="1" t="s">
        <v>8916</v>
      </c>
      <c r="F1263" s="1" t="s">
        <v>22</v>
      </c>
      <c r="G1263" s="1" t="e">
        <f>VLOOKUP(C1263,'Master truck list'!E:R,14,0)</f>
        <v>#N/A</v>
      </c>
      <c r="H1263" t="str">
        <f t="shared" si="525"/>
        <v>12/21/2019 7:00:28 AM</v>
      </c>
      <c r="I1263" t="str">
        <f>""</f>
        <v/>
      </c>
      <c r="J1263" t="str">
        <f t="shared" si="507"/>
        <v>Elite</v>
      </c>
      <c r="K1263" t="str">
        <f t="shared" si="519"/>
        <v>Device</v>
      </c>
      <c r="L1263" t="str">
        <f t="shared" si="520"/>
        <v>777260218</v>
      </c>
      <c r="M1263" t="str">
        <f t="shared" si="521"/>
        <v>16758375</v>
      </c>
      <c r="N1263" t="str">
        <f t="shared" si="522"/>
        <v>2612-20</v>
      </c>
      <c r="O1263" t="str">
        <f t="shared" si="508"/>
        <v>TEXAS</v>
      </c>
      <c r="P1263" t="str">
        <f t="shared" si="509"/>
        <v>N A</v>
      </c>
      <c r="Q1263" t="str">
        <f t="shared" si="510"/>
        <v>N/A</v>
      </c>
      <c r="R1263" t="str">
        <f>"45SE MLPWB 02 611"</f>
        <v>45SE MLPWB 02 611</v>
      </c>
      <c r="S1263" t="str">
        <f>"12/20/2019 12:12:23 PM"</f>
        <v>12/20/2019 12:12:23 PM</v>
      </c>
      <c r="T1263" t="str">
        <f t="shared" si="524"/>
        <v>5</v>
      </c>
      <c r="U1263" t="str">
        <f t="shared" si="511"/>
        <v>N/A</v>
      </c>
      <c r="V1263" t="str">
        <f>"3.3000"</f>
        <v>3.3000</v>
      </c>
    </row>
    <row r="1264" spans="1:22" x14ac:dyDescent="0.25">
      <c r="A1264" s="1" t="str">
        <f t="shared" si="526"/>
        <v>2612-</v>
      </c>
      <c r="B1264" s="1" t="str">
        <f t="shared" si="512"/>
        <v>2612-</v>
      </c>
      <c r="C1264" s="1" t="s">
        <v>8898</v>
      </c>
      <c r="D1264" s="1" t="s">
        <v>91</v>
      </c>
      <c r="E1264" s="1" t="s">
        <v>8916</v>
      </c>
      <c r="F1264" s="1" t="s">
        <v>22</v>
      </c>
      <c r="G1264" s="1" t="e">
        <f>VLOOKUP(C1264,'Master truck list'!E:R,14,0)</f>
        <v>#N/A</v>
      </c>
      <c r="H1264" t="str">
        <f t="shared" si="525"/>
        <v>12/21/2019 7:00:28 AM</v>
      </c>
      <c r="I1264" t="str">
        <f>""</f>
        <v/>
      </c>
      <c r="J1264" t="str">
        <f t="shared" si="507"/>
        <v>Elite</v>
      </c>
      <c r="K1264" t="str">
        <f t="shared" si="519"/>
        <v>Device</v>
      </c>
      <c r="L1264" t="str">
        <f t="shared" si="520"/>
        <v>777260218</v>
      </c>
      <c r="M1264" t="str">
        <f t="shared" si="521"/>
        <v>16758375</v>
      </c>
      <c r="N1264" t="str">
        <f t="shared" si="522"/>
        <v>2612-20</v>
      </c>
      <c r="O1264" t="str">
        <f t="shared" si="508"/>
        <v>TEXAS</v>
      </c>
      <c r="P1264" t="str">
        <f t="shared" si="509"/>
        <v>N A</v>
      </c>
      <c r="Q1264" t="str">
        <f t="shared" si="510"/>
        <v>N/A</v>
      </c>
      <c r="R1264" t="str">
        <f>"130 DKCRP 06 307"</f>
        <v>130 DKCRP 06 307</v>
      </c>
      <c r="S1264" t="str">
        <f>"12/20/2019 11:54:25 AM"</f>
        <v>12/20/2019 11:54:25 AM</v>
      </c>
      <c r="T1264" t="str">
        <f t="shared" si="524"/>
        <v>5</v>
      </c>
      <c r="U1264" t="str">
        <f t="shared" si="511"/>
        <v>N/A</v>
      </c>
      <c r="V1264" t="str">
        <f>"5.5500"</f>
        <v>5.5500</v>
      </c>
    </row>
    <row r="1265" spans="1:22" x14ac:dyDescent="0.25">
      <c r="A1265" s="1" t="str">
        <f t="shared" si="526"/>
        <v>2612-</v>
      </c>
      <c r="B1265" s="1" t="str">
        <f t="shared" si="512"/>
        <v>2612-</v>
      </c>
      <c r="C1265" s="1" t="s">
        <v>8898</v>
      </c>
      <c r="D1265" s="1" t="s">
        <v>91</v>
      </c>
      <c r="E1265" s="1" t="s">
        <v>8916</v>
      </c>
      <c r="F1265" s="1" t="s">
        <v>22</v>
      </c>
      <c r="G1265" s="1" t="e">
        <f>VLOOKUP(C1265,'Master truck list'!E:R,14,0)</f>
        <v>#N/A</v>
      </c>
      <c r="H1265" t="str">
        <f t="shared" si="525"/>
        <v>12/21/2019 7:00:28 AM</v>
      </c>
      <c r="I1265" t="str">
        <f>""</f>
        <v/>
      </c>
      <c r="J1265" t="str">
        <f t="shared" si="507"/>
        <v>Elite</v>
      </c>
      <c r="K1265" t="str">
        <f t="shared" si="519"/>
        <v>Device</v>
      </c>
      <c r="L1265" t="str">
        <f t="shared" si="520"/>
        <v>777260218</v>
      </c>
      <c r="M1265" t="str">
        <f t="shared" si="521"/>
        <v>16758375</v>
      </c>
      <c r="N1265" t="str">
        <f t="shared" si="522"/>
        <v>2612-20</v>
      </c>
      <c r="O1265" t="str">
        <f t="shared" si="508"/>
        <v>TEXAS</v>
      </c>
      <c r="P1265" t="str">
        <f t="shared" si="509"/>
        <v>N A</v>
      </c>
      <c r="Q1265" t="str">
        <f t="shared" si="510"/>
        <v>N/A</v>
      </c>
      <c r="R1265" t="str">
        <f>"130 MGCRP 06 305"</f>
        <v>130 MGCRP 06 305</v>
      </c>
      <c r="S1265" t="str">
        <f>"12/20/2019 11:32:54 AM"</f>
        <v>12/20/2019 11:32:54 AM</v>
      </c>
      <c r="T1265" t="str">
        <f t="shared" si="524"/>
        <v>5</v>
      </c>
      <c r="U1265" t="str">
        <f t="shared" si="511"/>
        <v>N/A</v>
      </c>
      <c r="V1265" t="str">
        <f>"5.5500"</f>
        <v>5.5500</v>
      </c>
    </row>
    <row r="1266" spans="1:22" x14ac:dyDescent="0.25">
      <c r="A1266" s="1" t="str">
        <f t="shared" si="526"/>
        <v>2602-</v>
      </c>
      <c r="B1266" s="1" t="str">
        <f t="shared" si="512"/>
        <v>2602-</v>
      </c>
      <c r="C1266" s="1" t="s">
        <v>8927</v>
      </c>
      <c r="D1266" s="1" t="s">
        <v>91</v>
      </c>
      <c r="E1266" s="1" t="s">
        <v>8916</v>
      </c>
      <c r="F1266" s="1" t="s">
        <v>22</v>
      </c>
      <c r="G1266" s="1" t="e">
        <f>VLOOKUP(C1266,'Master truck list'!E:R,14,0)</f>
        <v>#N/A</v>
      </c>
      <c r="H1266" t="str">
        <f t="shared" si="525"/>
        <v>12/21/2019 7:00:28 AM</v>
      </c>
      <c r="I1266" t="str">
        <f>""</f>
        <v/>
      </c>
      <c r="J1266" t="str">
        <f t="shared" si="507"/>
        <v>Elite</v>
      </c>
      <c r="K1266" t="str">
        <f t="shared" si="519"/>
        <v>Device</v>
      </c>
      <c r="L1266" t="str">
        <f t="shared" ref="L1266:L1281" si="527">"777260597"</f>
        <v>777260597</v>
      </c>
      <c r="M1266" t="str">
        <f t="shared" ref="M1266:M1281" si="528">"16758754"</f>
        <v>16758754</v>
      </c>
      <c r="N1266" t="str">
        <f t="shared" ref="N1266:N1281" si="529">"2602-20"</f>
        <v>2602-20</v>
      </c>
      <c r="O1266" t="str">
        <f t="shared" si="508"/>
        <v>TEXAS</v>
      </c>
      <c r="P1266" t="str">
        <f t="shared" si="509"/>
        <v>N A</v>
      </c>
      <c r="Q1266" t="str">
        <f t="shared" si="510"/>
        <v>N/A</v>
      </c>
      <c r="R1266" t="str">
        <f>"130 DKCRP 06 307"</f>
        <v>130 DKCRP 06 307</v>
      </c>
      <c r="S1266" t="str">
        <f>"12/20/2019 12:30:17 PM"</f>
        <v>12/20/2019 12:30:17 PM</v>
      </c>
      <c r="T1266" t="str">
        <f t="shared" si="524"/>
        <v>5</v>
      </c>
      <c r="U1266" t="str">
        <f t="shared" si="511"/>
        <v>N/A</v>
      </c>
      <c r="V1266" t="str">
        <f>"5.5500"</f>
        <v>5.5500</v>
      </c>
    </row>
    <row r="1267" spans="1:22" x14ac:dyDescent="0.25">
      <c r="A1267" s="1" t="str">
        <f t="shared" si="526"/>
        <v>2602-</v>
      </c>
      <c r="B1267" s="1" t="str">
        <f t="shared" si="512"/>
        <v>2602-</v>
      </c>
      <c r="C1267" s="1" t="s">
        <v>8927</v>
      </c>
      <c r="D1267" s="1" t="s">
        <v>91</v>
      </c>
      <c r="E1267" s="1" t="s">
        <v>8916</v>
      </c>
      <c r="F1267" s="1" t="s">
        <v>22</v>
      </c>
      <c r="G1267" s="1" t="e">
        <f>VLOOKUP(C1267,'Master truck list'!E:R,14,0)</f>
        <v>#N/A</v>
      </c>
      <c r="H1267" t="str">
        <f t="shared" si="525"/>
        <v>12/21/2019 7:00:28 AM</v>
      </c>
      <c r="I1267" t="str">
        <f>""</f>
        <v/>
      </c>
      <c r="J1267" t="str">
        <f t="shared" si="507"/>
        <v>Elite</v>
      </c>
      <c r="K1267" t="str">
        <f t="shared" si="519"/>
        <v>Device</v>
      </c>
      <c r="L1267" t="str">
        <f t="shared" si="527"/>
        <v>777260597</v>
      </c>
      <c r="M1267" t="str">
        <f t="shared" si="528"/>
        <v>16758754</v>
      </c>
      <c r="N1267" t="str">
        <f t="shared" si="529"/>
        <v>2602-20</v>
      </c>
      <c r="O1267" t="str">
        <f t="shared" si="508"/>
        <v>TEXAS</v>
      </c>
      <c r="P1267" t="str">
        <f t="shared" si="509"/>
        <v>N A</v>
      </c>
      <c r="Q1267" t="str">
        <f t="shared" si="510"/>
        <v>N/A</v>
      </c>
      <c r="R1267" t="str">
        <f>"130 MGCRP 06 305"</f>
        <v>130 MGCRP 06 305</v>
      </c>
      <c r="S1267" t="str">
        <f>"12/20/2019 12:08:39 PM"</f>
        <v>12/20/2019 12:08:39 PM</v>
      </c>
      <c r="T1267" t="str">
        <f t="shared" si="524"/>
        <v>5</v>
      </c>
      <c r="U1267" t="str">
        <f t="shared" si="511"/>
        <v>N/A</v>
      </c>
      <c r="V1267" t="str">
        <f>"5.5500"</f>
        <v>5.5500</v>
      </c>
    </row>
    <row r="1268" spans="1:22" x14ac:dyDescent="0.25">
      <c r="A1268" s="1" t="str">
        <f t="shared" si="526"/>
        <v>2602-</v>
      </c>
      <c r="B1268" s="1" t="str">
        <f t="shared" si="512"/>
        <v>2602-</v>
      </c>
      <c r="C1268" s="1" t="s">
        <v>8927</v>
      </c>
      <c r="D1268" s="1" t="s">
        <v>91</v>
      </c>
      <c r="E1268" s="1" t="s">
        <v>8916</v>
      </c>
      <c r="F1268" s="1" t="s">
        <v>22</v>
      </c>
      <c r="G1268" s="1" t="e">
        <f>VLOOKUP(C1268,'Master truck list'!E:R,14,0)</f>
        <v>#N/A</v>
      </c>
      <c r="H1268" t="str">
        <f t="shared" si="525"/>
        <v>12/21/2019 7:00:28 AM</v>
      </c>
      <c r="I1268" t="str">
        <f>""</f>
        <v/>
      </c>
      <c r="J1268" t="str">
        <f t="shared" si="507"/>
        <v>Elite</v>
      </c>
      <c r="K1268" t="str">
        <f t="shared" si="519"/>
        <v>Device</v>
      </c>
      <c r="L1268" t="str">
        <f t="shared" si="527"/>
        <v>777260597</v>
      </c>
      <c r="M1268" t="str">
        <f t="shared" si="528"/>
        <v>16758754</v>
      </c>
      <c r="N1268" t="str">
        <f t="shared" si="529"/>
        <v>2602-20</v>
      </c>
      <c r="O1268" t="str">
        <f t="shared" si="508"/>
        <v>TEXAS</v>
      </c>
      <c r="P1268" t="str">
        <f t="shared" si="509"/>
        <v>N A</v>
      </c>
      <c r="Q1268" t="str">
        <f t="shared" si="510"/>
        <v>N/A</v>
      </c>
      <c r="R1268" t="str">
        <f>"45SE MLPWB 01 611"</f>
        <v>45SE MLPWB 01 611</v>
      </c>
      <c r="S1268" t="str">
        <f>"12/20/2019 12:48:13 PM"</f>
        <v>12/20/2019 12:48:13 PM</v>
      </c>
      <c r="T1268" t="str">
        <f t="shared" si="524"/>
        <v>5</v>
      </c>
      <c r="U1268" t="str">
        <f t="shared" si="511"/>
        <v>N/A</v>
      </c>
      <c r="V1268" t="str">
        <f>"3.3000"</f>
        <v>3.3000</v>
      </c>
    </row>
    <row r="1269" spans="1:22" x14ac:dyDescent="0.25">
      <c r="A1269" s="1" t="str">
        <f t="shared" si="526"/>
        <v>2602-</v>
      </c>
      <c r="B1269" s="1" t="str">
        <f t="shared" si="512"/>
        <v>2602-</v>
      </c>
      <c r="C1269" s="1" t="s">
        <v>8927</v>
      </c>
      <c r="D1269" s="1" t="s">
        <v>91</v>
      </c>
      <c r="E1269" s="1" t="s">
        <v>8916</v>
      </c>
      <c r="F1269" s="1" t="s">
        <v>22</v>
      </c>
      <c r="G1269" s="1" t="e">
        <f>VLOOKUP(C1269,'Master truck list'!E:R,14,0)</f>
        <v>#N/A</v>
      </c>
      <c r="H1269" t="str">
        <f t="shared" si="525"/>
        <v>12/21/2019 7:00:28 AM</v>
      </c>
      <c r="I1269" t="str">
        <f>""</f>
        <v/>
      </c>
      <c r="J1269" t="str">
        <f t="shared" si="507"/>
        <v>Elite</v>
      </c>
      <c r="K1269" t="str">
        <f t="shared" si="519"/>
        <v>Device</v>
      </c>
      <c r="L1269" t="str">
        <f t="shared" si="527"/>
        <v>777260597</v>
      </c>
      <c r="M1269" t="str">
        <f t="shared" si="528"/>
        <v>16758754</v>
      </c>
      <c r="N1269" t="str">
        <f t="shared" si="529"/>
        <v>2602-20</v>
      </c>
      <c r="O1269" t="str">
        <f t="shared" si="508"/>
        <v>TEXAS</v>
      </c>
      <c r="P1269" t="str">
        <f t="shared" si="509"/>
        <v>N A</v>
      </c>
      <c r="Q1269" t="str">
        <f t="shared" si="510"/>
        <v>N/A</v>
      </c>
      <c r="R1269" t="str">
        <f>"130 CMRNP 08 306"</f>
        <v>130 CMRNP 08 306</v>
      </c>
      <c r="S1269" t="str">
        <f>"12/20/2019 12:19:55 PM"</f>
        <v>12/20/2019 12:19:55 PM</v>
      </c>
      <c r="T1269" t="str">
        <f t="shared" si="524"/>
        <v>5</v>
      </c>
      <c r="U1269" t="str">
        <f t="shared" si="511"/>
        <v>N/A</v>
      </c>
      <c r="V1269" t="str">
        <f>"5.5500"</f>
        <v>5.5500</v>
      </c>
    </row>
    <row r="1270" spans="1:22" x14ac:dyDescent="0.25">
      <c r="A1270" s="1" t="str">
        <f t="shared" si="526"/>
        <v>2602-</v>
      </c>
      <c r="B1270" s="1" t="str">
        <f t="shared" si="512"/>
        <v>2602-</v>
      </c>
      <c r="C1270" s="1" t="s">
        <v>8927</v>
      </c>
      <c r="D1270" s="1" t="s">
        <v>91</v>
      </c>
      <c r="E1270" s="1" t="s">
        <v>8916</v>
      </c>
      <c r="F1270" s="1" t="s">
        <v>22</v>
      </c>
      <c r="G1270" s="1" t="e">
        <f>VLOOKUP(C1270,'Master truck list'!E:R,14,0)</f>
        <v>#N/A</v>
      </c>
      <c r="H1270" t="str">
        <f>"12/19/2019 7:00:35 AM"</f>
        <v>12/19/2019 7:00:35 AM</v>
      </c>
      <c r="I1270" t="str">
        <f>""</f>
        <v/>
      </c>
      <c r="J1270" t="str">
        <f t="shared" si="507"/>
        <v>Elite</v>
      </c>
      <c r="K1270" t="str">
        <f t="shared" si="519"/>
        <v>Device</v>
      </c>
      <c r="L1270" t="str">
        <f t="shared" si="527"/>
        <v>777260597</v>
      </c>
      <c r="M1270" t="str">
        <f t="shared" si="528"/>
        <v>16758754</v>
      </c>
      <c r="N1270" t="str">
        <f t="shared" si="529"/>
        <v>2602-20</v>
      </c>
      <c r="O1270" t="str">
        <f t="shared" si="508"/>
        <v>TEXAS</v>
      </c>
      <c r="P1270" t="str">
        <f t="shared" si="509"/>
        <v>N A</v>
      </c>
      <c r="Q1270" t="str">
        <f t="shared" si="510"/>
        <v>N/A</v>
      </c>
      <c r="R1270" t="str">
        <f>"130 ARPTP 04 308"</f>
        <v>130 ARPTP 04 308</v>
      </c>
      <c r="S1270" t="str">
        <f>"12/18/2019 12:15:23 PM"</f>
        <v>12/18/2019 12:15:23 PM</v>
      </c>
      <c r="T1270" t="str">
        <f t="shared" si="524"/>
        <v>5</v>
      </c>
      <c r="U1270" t="str">
        <f t="shared" si="511"/>
        <v>N/A</v>
      </c>
      <c r="V1270" t="str">
        <f>"5.5500"</f>
        <v>5.5500</v>
      </c>
    </row>
    <row r="1271" spans="1:22" x14ac:dyDescent="0.25">
      <c r="A1271" s="1" t="str">
        <f t="shared" si="526"/>
        <v>2602-</v>
      </c>
      <c r="B1271" s="1" t="str">
        <f t="shared" si="512"/>
        <v>2602-</v>
      </c>
      <c r="C1271" s="1" t="s">
        <v>8927</v>
      </c>
      <c r="D1271" s="1" t="s">
        <v>91</v>
      </c>
      <c r="E1271" s="1" t="s">
        <v>8916</v>
      </c>
      <c r="F1271" s="1" t="s">
        <v>22</v>
      </c>
      <c r="G1271" s="1" t="e">
        <f>VLOOKUP(C1271,'Master truck list'!E:R,14,0)</f>
        <v>#N/A</v>
      </c>
      <c r="H1271" t="str">
        <f>"12/21/2019 7:00:28 AM"</f>
        <v>12/21/2019 7:00:28 AM</v>
      </c>
      <c r="I1271" t="str">
        <f>""</f>
        <v/>
      </c>
      <c r="J1271" t="str">
        <f t="shared" si="507"/>
        <v>Elite</v>
      </c>
      <c r="K1271" t="str">
        <f t="shared" si="519"/>
        <v>Device</v>
      </c>
      <c r="L1271" t="str">
        <f t="shared" si="527"/>
        <v>777260597</v>
      </c>
      <c r="M1271" t="str">
        <f t="shared" si="528"/>
        <v>16758754</v>
      </c>
      <c r="N1271" t="str">
        <f t="shared" si="529"/>
        <v>2602-20</v>
      </c>
      <c r="O1271" t="str">
        <f t="shared" si="508"/>
        <v>TEXAS</v>
      </c>
      <c r="P1271" t="str">
        <f t="shared" si="509"/>
        <v>N A</v>
      </c>
      <c r="Q1271" t="str">
        <f t="shared" si="510"/>
        <v>N/A</v>
      </c>
      <c r="R1271" t="str">
        <f>"130 ARPTP 04 308"</f>
        <v>130 ARPTP 04 308</v>
      </c>
      <c r="S1271" t="str">
        <f>"12/20/2019 12:37:22 PM"</f>
        <v>12/20/2019 12:37:22 PM</v>
      </c>
      <c r="T1271" t="str">
        <f t="shared" si="524"/>
        <v>5</v>
      </c>
      <c r="U1271" t="str">
        <f t="shared" si="511"/>
        <v>N/A</v>
      </c>
      <c r="V1271" t="str">
        <f>"5.5500"</f>
        <v>5.5500</v>
      </c>
    </row>
    <row r="1272" spans="1:22" x14ac:dyDescent="0.25">
      <c r="A1272" s="1" t="str">
        <f t="shared" si="526"/>
        <v>2602-</v>
      </c>
      <c r="B1272" s="1" t="str">
        <f t="shared" si="512"/>
        <v>2602-</v>
      </c>
      <c r="C1272" s="1" t="s">
        <v>8927</v>
      </c>
      <c r="D1272" s="1" t="s">
        <v>91</v>
      </c>
      <c r="E1272" s="1" t="s">
        <v>8916</v>
      </c>
      <c r="F1272" s="1" t="s">
        <v>22</v>
      </c>
      <c r="G1272" s="1" t="e">
        <f>VLOOKUP(C1272,'Master truck list'!E:R,14,0)</f>
        <v>#N/A</v>
      </c>
      <c r="H1272" t="str">
        <f t="shared" ref="H1272:H1277" si="530">"12/20/2019 7:00:30 AM"</f>
        <v>12/20/2019 7:00:30 AM</v>
      </c>
      <c r="I1272" t="str">
        <f>""</f>
        <v/>
      </c>
      <c r="J1272" t="str">
        <f t="shared" si="507"/>
        <v>Elite</v>
      </c>
      <c r="K1272" t="str">
        <f t="shared" si="519"/>
        <v>Device</v>
      </c>
      <c r="L1272" t="str">
        <f t="shared" si="527"/>
        <v>777260597</v>
      </c>
      <c r="M1272" t="str">
        <f t="shared" si="528"/>
        <v>16758754</v>
      </c>
      <c r="N1272" t="str">
        <f t="shared" si="529"/>
        <v>2602-20</v>
      </c>
      <c r="O1272" t="str">
        <f t="shared" si="508"/>
        <v>TEXAS</v>
      </c>
      <c r="P1272" t="str">
        <f t="shared" si="509"/>
        <v>N A</v>
      </c>
      <c r="Q1272" t="str">
        <f t="shared" si="510"/>
        <v>N/A</v>
      </c>
      <c r="R1272" t="str">
        <f>"130 DKCRP 11 307"</f>
        <v>130 DKCRP 11 307</v>
      </c>
      <c r="S1272" t="str">
        <f>"12/19/2019 3:14:01 PM"</f>
        <v>12/19/2019 3:14:01 PM</v>
      </c>
      <c r="T1272" t="str">
        <f t="shared" si="524"/>
        <v>5</v>
      </c>
      <c r="U1272" t="str">
        <f t="shared" si="511"/>
        <v>N/A</v>
      </c>
      <c r="V1272" t="str">
        <f>"5.5500"</f>
        <v>5.5500</v>
      </c>
    </row>
    <row r="1273" spans="1:22" x14ac:dyDescent="0.25">
      <c r="A1273" s="1" t="str">
        <f t="shared" si="526"/>
        <v>2602-</v>
      </c>
      <c r="B1273" s="1" t="str">
        <f t="shared" si="512"/>
        <v>2602-</v>
      </c>
      <c r="C1273" s="1" t="s">
        <v>8927</v>
      </c>
      <c r="D1273" s="1" t="s">
        <v>91</v>
      </c>
      <c r="E1273" s="1" t="s">
        <v>8916</v>
      </c>
      <c r="F1273" s="1" t="s">
        <v>22</v>
      </c>
      <c r="G1273" s="1" t="e">
        <f>VLOOKUP(C1273,'Master truck list'!E:R,14,0)</f>
        <v>#N/A</v>
      </c>
      <c r="H1273" t="str">
        <f t="shared" si="530"/>
        <v>12/20/2019 7:00:30 AM</v>
      </c>
      <c r="I1273" t="str">
        <f>""</f>
        <v/>
      </c>
      <c r="J1273" t="str">
        <f t="shared" si="507"/>
        <v>Elite</v>
      </c>
      <c r="K1273" t="str">
        <f t="shared" si="519"/>
        <v>Device</v>
      </c>
      <c r="L1273" t="str">
        <f t="shared" si="527"/>
        <v>777260597</v>
      </c>
      <c r="M1273" t="str">
        <f t="shared" si="528"/>
        <v>16758754</v>
      </c>
      <c r="N1273" t="str">
        <f t="shared" si="529"/>
        <v>2602-20</v>
      </c>
      <c r="O1273" t="str">
        <f t="shared" si="508"/>
        <v>TEXAS</v>
      </c>
      <c r="P1273" t="str">
        <f t="shared" si="509"/>
        <v>N A</v>
      </c>
      <c r="Q1273" t="str">
        <f t="shared" si="510"/>
        <v>N/A</v>
      </c>
      <c r="R1273" t="str">
        <f>"130 MGCRP 11 305"</f>
        <v>130 MGCRP 11 305</v>
      </c>
      <c r="S1273" t="str">
        <f>"12/19/2019 3:50:34 PM"</f>
        <v>12/19/2019 3:50:34 PM</v>
      </c>
      <c r="T1273" t="str">
        <f t="shared" si="524"/>
        <v>5</v>
      </c>
      <c r="U1273" t="str">
        <f t="shared" si="511"/>
        <v>N/A</v>
      </c>
      <c r="V1273" t="str">
        <f>"5.5500"</f>
        <v>5.5500</v>
      </c>
    </row>
    <row r="1274" spans="1:22" x14ac:dyDescent="0.25">
      <c r="A1274" s="1" t="str">
        <f t="shared" si="526"/>
        <v>2602-</v>
      </c>
      <c r="B1274" s="1" t="str">
        <f t="shared" si="512"/>
        <v>2602-</v>
      </c>
      <c r="C1274" s="1" t="s">
        <v>8927</v>
      </c>
      <c r="D1274" s="1" t="s">
        <v>91</v>
      </c>
      <c r="E1274" s="1" t="s">
        <v>8916</v>
      </c>
      <c r="F1274" s="1" t="s">
        <v>22</v>
      </c>
      <c r="G1274" s="1" t="e">
        <f>VLOOKUP(C1274,'Master truck list'!E:R,14,0)</f>
        <v>#N/A</v>
      </c>
      <c r="H1274" t="str">
        <f t="shared" si="530"/>
        <v>12/20/2019 7:00:30 AM</v>
      </c>
      <c r="I1274" t="str">
        <f>""</f>
        <v/>
      </c>
      <c r="J1274" t="str">
        <f t="shared" si="507"/>
        <v>Elite</v>
      </c>
      <c r="K1274" t="str">
        <f t="shared" si="519"/>
        <v>Device</v>
      </c>
      <c r="L1274" t="str">
        <f t="shared" si="527"/>
        <v>777260597</v>
      </c>
      <c r="M1274" t="str">
        <f t="shared" si="528"/>
        <v>16758754</v>
      </c>
      <c r="N1274" t="str">
        <f t="shared" si="529"/>
        <v>2602-20</v>
      </c>
      <c r="O1274" t="str">
        <f t="shared" si="508"/>
        <v>TEXAS</v>
      </c>
      <c r="P1274" t="str">
        <f t="shared" si="509"/>
        <v>N A</v>
      </c>
      <c r="Q1274" t="str">
        <f t="shared" si="510"/>
        <v>N/A</v>
      </c>
      <c r="R1274" t="str">
        <f>"45SE MLPEB 02 611"</f>
        <v>45SE MLPEB 02 611</v>
      </c>
      <c r="S1274" t="str">
        <f>"12/19/2019 2:56:20 PM"</f>
        <v>12/19/2019 2:56:20 PM</v>
      </c>
      <c r="T1274" t="str">
        <f t="shared" si="524"/>
        <v>5</v>
      </c>
      <c r="U1274" t="str">
        <f t="shared" si="511"/>
        <v>N/A</v>
      </c>
      <c r="V1274" t="str">
        <f>"3.3000"</f>
        <v>3.3000</v>
      </c>
    </row>
    <row r="1275" spans="1:22" x14ac:dyDescent="0.25">
      <c r="A1275" s="1" t="str">
        <f t="shared" si="526"/>
        <v>2602-</v>
      </c>
      <c r="B1275" s="1" t="str">
        <f t="shared" si="512"/>
        <v>2602-</v>
      </c>
      <c r="C1275" s="1" t="s">
        <v>8927</v>
      </c>
      <c r="D1275" s="1" t="s">
        <v>91</v>
      </c>
      <c r="E1275" s="1" t="s">
        <v>8916</v>
      </c>
      <c r="F1275" s="1" t="s">
        <v>22</v>
      </c>
      <c r="G1275" s="1" t="e">
        <f>VLOOKUP(C1275,'Master truck list'!E:R,14,0)</f>
        <v>#N/A</v>
      </c>
      <c r="H1275" t="str">
        <f t="shared" si="530"/>
        <v>12/20/2019 7:00:30 AM</v>
      </c>
      <c r="I1275" t="str">
        <f>""</f>
        <v/>
      </c>
      <c r="J1275" t="str">
        <f t="shared" si="507"/>
        <v>Elite</v>
      </c>
      <c r="K1275" t="str">
        <f t="shared" si="519"/>
        <v>Device</v>
      </c>
      <c r="L1275" t="str">
        <f t="shared" si="527"/>
        <v>777260597</v>
      </c>
      <c r="M1275" t="str">
        <f t="shared" si="528"/>
        <v>16758754</v>
      </c>
      <c r="N1275" t="str">
        <f t="shared" si="529"/>
        <v>2602-20</v>
      </c>
      <c r="O1275" t="str">
        <f t="shared" si="508"/>
        <v>TEXAS</v>
      </c>
      <c r="P1275" t="str">
        <f t="shared" si="509"/>
        <v>N A</v>
      </c>
      <c r="Q1275" t="str">
        <f t="shared" si="510"/>
        <v>N/A</v>
      </c>
      <c r="R1275" t="str">
        <f>"PGBW MLG12 09 MLG1"</f>
        <v>PGBW MLG12 09 MLG1</v>
      </c>
      <c r="S1275" t="str">
        <f>"12/19/2019 6:44:00 PM"</f>
        <v>12/19/2019 6:44:00 PM</v>
      </c>
      <c r="T1275" t="str">
        <f t="shared" si="524"/>
        <v>5</v>
      </c>
      <c r="U1275" t="str">
        <f t="shared" si="511"/>
        <v>N/A</v>
      </c>
      <c r="V1275" t="str">
        <f>"4.6400"</f>
        <v>4.6400</v>
      </c>
    </row>
    <row r="1276" spans="1:22" x14ac:dyDescent="0.25">
      <c r="A1276" s="1" t="str">
        <f t="shared" si="526"/>
        <v>2602-</v>
      </c>
      <c r="B1276" s="1" t="str">
        <f t="shared" si="512"/>
        <v>2602-</v>
      </c>
      <c r="C1276" s="1" t="s">
        <v>8927</v>
      </c>
      <c r="D1276" s="1" t="s">
        <v>91</v>
      </c>
      <c r="E1276" s="1" t="s">
        <v>8916</v>
      </c>
      <c r="F1276" s="1" t="s">
        <v>22</v>
      </c>
      <c r="G1276" s="1" t="e">
        <f>VLOOKUP(C1276,'Master truck list'!E:R,14,0)</f>
        <v>#N/A</v>
      </c>
      <c r="H1276" t="str">
        <f t="shared" si="530"/>
        <v>12/20/2019 7:00:30 AM</v>
      </c>
      <c r="I1276" t="str">
        <f>""</f>
        <v/>
      </c>
      <c r="J1276" t="str">
        <f t="shared" si="507"/>
        <v>Elite</v>
      </c>
      <c r="K1276" t="str">
        <f t="shared" si="519"/>
        <v>Device</v>
      </c>
      <c r="L1276" t="str">
        <f t="shared" si="527"/>
        <v>777260597</v>
      </c>
      <c r="M1276" t="str">
        <f t="shared" si="528"/>
        <v>16758754</v>
      </c>
      <c r="N1276" t="str">
        <f t="shared" si="529"/>
        <v>2602-20</v>
      </c>
      <c r="O1276" t="str">
        <f t="shared" si="508"/>
        <v>TEXAS</v>
      </c>
      <c r="P1276" t="str">
        <f t="shared" si="509"/>
        <v>N A</v>
      </c>
      <c r="Q1276" t="str">
        <f t="shared" si="510"/>
        <v>N/A</v>
      </c>
      <c r="R1276" t="str">
        <f>"130 ARPTP 09 308"</f>
        <v>130 ARPTP 09 308</v>
      </c>
      <c r="S1276" t="str">
        <f>"12/19/2019 3:06:59 PM"</f>
        <v>12/19/2019 3:06:59 PM</v>
      </c>
      <c r="T1276" t="str">
        <f t="shared" si="524"/>
        <v>5</v>
      </c>
      <c r="U1276" t="str">
        <f t="shared" si="511"/>
        <v>N/A</v>
      </c>
      <c r="V1276" t="str">
        <f>"5.5500"</f>
        <v>5.5500</v>
      </c>
    </row>
    <row r="1277" spans="1:22" x14ac:dyDescent="0.25">
      <c r="A1277" s="1" t="str">
        <f t="shared" si="526"/>
        <v>2602-</v>
      </c>
      <c r="B1277" s="1" t="str">
        <f t="shared" si="512"/>
        <v>2602-</v>
      </c>
      <c r="C1277" s="1" t="s">
        <v>8927</v>
      </c>
      <c r="D1277" s="1" t="s">
        <v>91</v>
      </c>
      <c r="E1277" s="1" t="s">
        <v>8916</v>
      </c>
      <c r="F1277" s="1" t="s">
        <v>22</v>
      </c>
      <c r="G1277" s="1" t="e">
        <f>VLOOKUP(C1277,'Master truck list'!E:R,14,0)</f>
        <v>#N/A</v>
      </c>
      <c r="H1277" t="str">
        <f t="shared" si="530"/>
        <v>12/20/2019 7:00:30 AM</v>
      </c>
      <c r="I1277" t="str">
        <f>""</f>
        <v/>
      </c>
      <c r="J1277" t="str">
        <f t="shared" si="507"/>
        <v>Elite</v>
      </c>
      <c r="K1277" t="str">
        <f t="shared" si="519"/>
        <v>Device</v>
      </c>
      <c r="L1277" t="str">
        <f t="shared" si="527"/>
        <v>777260597</v>
      </c>
      <c r="M1277" t="str">
        <f t="shared" si="528"/>
        <v>16758754</v>
      </c>
      <c r="N1277" t="str">
        <f t="shared" si="529"/>
        <v>2602-20</v>
      </c>
      <c r="O1277" t="str">
        <f t="shared" si="508"/>
        <v>TEXAS</v>
      </c>
      <c r="P1277" t="str">
        <f t="shared" si="509"/>
        <v>N A</v>
      </c>
      <c r="Q1277" t="str">
        <f t="shared" si="510"/>
        <v>N/A</v>
      </c>
      <c r="R1277" t="str">
        <f>"130 CMRNP 13 306"</f>
        <v>130 CMRNP 13 306</v>
      </c>
      <c r="S1277" t="str">
        <f>"12/19/2019 3:39:15 PM"</f>
        <v>12/19/2019 3:39:15 PM</v>
      </c>
      <c r="T1277" t="str">
        <f t="shared" si="524"/>
        <v>5</v>
      </c>
      <c r="U1277" t="str">
        <f t="shared" si="511"/>
        <v>N/A</v>
      </c>
      <c r="V1277" t="str">
        <f>"5.5500"</f>
        <v>5.5500</v>
      </c>
    </row>
    <row r="1278" spans="1:22" x14ac:dyDescent="0.25">
      <c r="A1278" s="1" t="str">
        <f t="shared" si="526"/>
        <v>2602-</v>
      </c>
      <c r="B1278" s="1" t="str">
        <f t="shared" si="512"/>
        <v>2602-</v>
      </c>
      <c r="C1278" s="1" t="s">
        <v>8927</v>
      </c>
      <c r="D1278" s="1" t="s">
        <v>91</v>
      </c>
      <c r="E1278" s="1" t="s">
        <v>8916</v>
      </c>
      <c r="F1278" s="1" t="s">
        <v>22</v>
      </c>
      <c r="G1278" s="1" t="e">
        <f>VLOOKUP(C1278,'Master truck list'!E:R,14,0)</f>
        <v>#N/A</v>
      </c>
      <c r="H1278" t="str">
        <f t="shared" ref="H1278:H1284" si="531">"12/19/2019 7:00:35 AM"</f>
        <v>12/19/2019 7:00:35 AM</v>
      </c>
      <c r="I1278" t="str">
        <f>""</f>
        <v/>
      </c>
      <c r="J1278" t="str">
        <f t="shared" si="507"/>
        <v>Elite</v>
      </c>
      <c r="K1278" t="str">
        <f t="shared" si="519"/>
        <v>Device</v>
      </c>
      <c r="L1278" t="str">
        <f t="shared" si="527"/>
        <v>777260597</v>
      </c>
      <c r="M1278" t="str">
        <f t="shared" si="528"/>
        <v>16758754</v>
      </c>
      <c r="N1278" t="str">
        <f t="shared" si="529"/>
        <v>2602-20</v>
      </c>
      <c r="O1278" t="str">
        <f t="shared" si="508"/>
        <v>TEXAS</v>
      </c>
      <c r="P1278" t="str">
        <f t="shared" si="509"/>
        <v>N A</v>
      </c>
      <c r="Q1278" t="str">
        <f t="shared" si="510"/>
        <v>N/A</v>
      </c>
      <c r="R1278" t="str">
        <f>"45SE MLPWB 01 611"</f>
        <v>45SE MLPWB 01 611</v>
      </c>
      <c r="S1278" t="str">
        <f>"12/18/2019 12:25:55 PM"</f>
        <v>12/18/2019 12:25:55 PM</v>
      </c>
      <c r="T1278" t="str">
        <f t="shared" si="524"/>
        <v>5</v>
      </c>
      <c r="U1278" t="str">
        <f t="shared" si="511"/>
        <v>N/A</v>
      </c>
      <c r="V1278" t="str">
        <f>"3.3000"</f>
        <v>3.3000</v>
      </c>
    </row>
    <row r="1279" spans="1:22" x14ac:dyDescent="0.25">
      <c r="A1279" s="1" t="str">
        <f t="shared" si="526"/>
        <v>2602-</v>
      </c>
      <c r="B1279" s="1" t="str">
        <f t="shared" si="512"/>
        <v>2602-</v>
      </c>
      <c r="C1279" s="1" t="s">
        <v>8927</v>
      </c>
      <c r="D1279" s="1" t="s">
        <v>91</v>
      </c>
      <c r="E1279" s="1" t="s">
        <v>8916</v>
      </c>
      <c r="F1279" s="1" t="s">
        <v>22</v>
      </c>
      <c r="G1279" s="1" t="e">
        <f>VLOOKUP(C1279,'Master truck list'!E:R,14,0)</f>
        <v>#N/A</v>
      </c>
      <c r="H1279" t="str">
        <f t="shared" si="531"/>
        <v>12/19/2019 7:00:35 AM</v>
      </c>
      <c r="I1279" t="str">
        <f>""</f>
        <v/>
      </c>
      <c r="J1279" t="str">
        <f t="shared" si="507"/>
        <v>Elite</v>
      </c>
      <c r="K1279" t="str">
        <f t="shared" si="519"/>
        <v>Device</v>
      </c>
      <c r="L1279" t="str">
        <f t="shared" si="527"/>
        <v>777260597</v>
      </c>
      <c r="M1279" t="str">
        <f t="shared" si="528"/>
        <v>16758754</v>
      </c>
      <c r="N1279" t="str">
        <f t="shared" si="529"/>
        <v>2602-20</v>
      </c>
      <c r="O1279" t="str">
        <f t="shared" si="508"/>
        <v>TEXAS</v>
      </c>
      <c r="P1279" t="str">
        <f t="shared" si="509"/>
        <v>N A</v>
      </c>
      <c r="Q1279" t="str">
        <f t="shared" si="510"/>
        <v>N/A</v>
      </c>
      <c r="R1279" t="str">
        <f>"130 CMRNP 08 306"</f>
        <v>130 CMRNP 08 306</v>
      </c>
      <c r="S1279" t="str">
        <f>"12/18/2019 11:58:30 AM"</f>
        <v>12/18/2019 11:58:30 AM</v>
      </c>
      <c r="T1279" t="str">
        <f t="shared" si="524"/>
        <v>5</v>
      </c>
      <c r="U1279" t="str">
        <f t="shared" si="511"/>
        <v>N/A</v>
      </c>
      <c r="V1279" t="str">
        <f>"5.5500"</f>
        <v>5.5500</v>
      </c>
    </row>
    <row r="1280" spans="1:22" x14ac:dyDescent="0.25">
      <c r="A1280" s="1" t="str">
        <f t="shared" si="526"/>
        <v>2602-</v>
      </c>
      <c r="B1280" s="1" t="str">
        <f t="shared" si="512"/>
        <v>2602-</v>
      </c>
      <c r="C1280" s="1" t="s">
        <v>8927</v>
      </c>
      <c r="D1280" s="1" t="s">
        <v>91</v>
      </c>
      <c r="E1280" s="1" t="s">
        <v>8916</v>
      </c>
      <c r="F1280" s="1" t="s">
        <v>22</v>
      </c>
      <c r="G1280" s="1" t="e">
        <f>VLOOKUP(C1280,'Master truck list'!E:R,14,0)</f>
        <v>#N/A</v>
      </c>
      <c r="H1280" t="str">
        <f t="shared" si="531"/>
        <v>12/19/2019 7:00:35 AM</v>
      </c>
      <c r="I1280" t="str">
        <f>""</f>
        <v/>
      </c>
      <c r="J1280" t="str">
        <f t="shared" si="507"/>
        <v>Elite</v>
      </c>
      <c r="K1280" t="str">
        <f t="shared" si="519"/>
        <v>Device</v>
      </c>
      <c r="L1280" t="str">
        <f t="shared" si="527"/>
        <v>777260597</v>
      </c>
      <c r="M1280" t="str">
        <f t="shared" si="528"/>
        <v>16758754</v>
      </c>
      <c r="N1280" t="str">
        <f t="shared" si="529"/>
        <v>2602-20</v>
      </c>
      <c r="O1280" t="str">
        <f t="shared" si="508"/>
        <v>TEXAS</v>
      </c>
      <c r="P1280" t="str">
        <f t="shared" si="509"/>
        <v>N A</v>
      </c>
      <c r="Q1280" t="str">
        <f t="shared" si="510"/>
        <v>N/A</v>
      </c>
      <c r="R1280" t="str">
        <f>"45N HWLDP 13 202"</f>
        <v>45N HWLDP 13 202</v>
      </c>
      <c r="S1280" t="str">
        <f>"12/18/2019 11:53:43 AM"</f>
        <v>12/18/2019 11:53:43 AM</v>
      </c>
      <c r="T1280" t="str">
        <f t="shared" si="524"/>
        <v>5</v>
      </c>
      <c r="U1280" t="str">
        <f t="shared" si="511"/>
        <v>N/A</v>
      </c>
      <c r="V1280" t="str">
        <f>"4.4800"</f>
        <v>4.4800</v>
      </c>
    </row>
    <row r="1281" spans="1:22" x14ac:dyDescent="0.25">
      <c r="A1281" s="1" t="str">
        <f t="shared" si="526"/>
        <v>2602-</v>
      </c>
      <c r="B1281" s="1" t="str">
        <f t="shared" si="512"/>
        <v>2602-</v>
      </c>
      <c r="C1281" s="1" t="s">
        <v>8927</v>
      </c>
      <c r="D1281" s="1" t="s">
        <v>91</v>
      </c>
      <c r="E1281" s="1" t="s">
        <v>8916</v>
      </c>
      <c r="F1281" s="1" t="s">
        <v>22</v>
      </c>
      <c r="G1281" s="1" t="e">
        <f>VLOOKUP(C1281,'Master truck list'!E:R,14,0)</f>
        <v>#N/A</v>
      </c>
      <c r="H1281" t="str">
        <f t="shared" si="531"/>
        <v>12/19/2019 7:00:35 AM</v>
      </c>
      <c r="I1281" t="str">
        <f>""</f>
        <v/>
      </c>
      <c r="J1281" t="str">
        <f t="shared" si="507"/>
        <v>Elite</v>
      </c>
      <c r="K1281" t="str">
        <f t="shared" si="519"/>
        <v>Device</v>
      </c>
      <c r="L1281" t="str">
        <f t="shared" si="527"/>
        <v>777260597</v>
      </c>
      <c r="M1281" t="str">
        <f t="shared" si="528"/>
        <v>16758754</v>
      </c>
      <c r="N1281" t="str">
        <f t="shared" si="529"/>
        <v>2602-20</v>
      </c>
      <c r="O1281" t="str">
        <f t="shared" si="508"/>
        <v>TEXAS</v>
      </c>
      <c r="P1281" t="str">
        <f t="shared" si="509"/>
        <v>N A</v>
      </c>
      <c r="Q1281" t="str">
        <f t="shared" si="510"/>
        <v>N/A</v>
      </c>
      <c r="R1281" t="str">
        <f>"130 DKCRP 06 307"</f>
        <v>130 DKCRP 06 307</v>
      </c>
      <c r="S1281" t="str">
        <f>"12/18/2019 12:08:27 PM"</f>
        <v>12/18/2019 12:08:27 PM</v>
      </c>
      <c r="T1281" t="str">
        <f t="shared" si="524"/>
        <v>5</v>
      </c>
      <c r="U1281" t="str">
        <f t="shared" si="511"/>
        <v>N/A</v>
      </c>
      <c r="V1281" t="str">
        <f>"5.5500"</f>
        <v>5.5500</v>
      </c>
    </row>
    <row r="1282" spans="1:22" x14ac:dyDescent="0.25">
      <c r="A1282" s="1" t="str">
        <f t="shared" si="526"/>
        <v>5180-</v>
      </c>
      <c r="B1282" s="1" t="str">
        <f t="shared" si="512"/>
        <v>5180-</v>
      </c>
      <c r="C1282" s="1" t="s">
        <v>8901</v>
      </c>
      <c r="D1282" s="1" t="s">
        <v>91</v>
      </c>
      <c r="E1282" s="1" t="s">
        <v>1738</v>
      </c>
      <c r="F1282" s="1" t="s">
        <v>22</v>
      </c>
      <c r="G1282" s="1" t="e">
        <f>VLOOKUP(C1282,'Master truck list'!E:R,14,0)</f>
        <v>#N/A</v>
      </c>
      <c r="H1282" t="str">
        <f t="shared" si="531"/>
        <v>12/19/2019 7:00:35 AM</v>
      </c>
      <c r="I1282" t="str">
        <f>""</f>
        <v/>
      </c>
      <c r="J1282" t="str">
        <f t="shared" ref="J1282:J1345" si="532">"Elite"</f>
        <v>Elite</v>
      </c>
      <c r="K1282" t="str">
        <f t="shared" si="519"/>
        <v>Device</v>
      </c>
      <c r="L1282" t="str">
        <f t="shared" ref="L1282:L1296" si="533">"777260312"</f>
        <v>777260312</v>
      </c>
      <c r="M1282" t="str">
        <f t="shared" ref="M1282:M1296" si="534">"16758469"</f>
        <v>16758469</v>
      </c>
      <c r="N1282" t="str">
        <f t="shared" ref="N1282:N1296" si="535">"5180-20"</f>
        <v>5180-20</v>
      </c>
      <c r="O1282" t="str">
        <f t="shared" ref="O1282:O1345" si="536">"TEXAS"</f>
        <v>TEXAS</v>
      </c>
      <c r="P1282" t="str">
        <f t="shared" ref="P1282:P1345" si="537">"N A"</f>
        <v>N A</v>
      </c>
      <c r="Q1282" t="str">
        <f t="shared" ref="Q1282:Q1345" si="538">"N/A"</f>
        <v>N/A</v>
      </c>
      <c r="R1282" t="str">
        <f>"130 MGCRP 06 305"</f>
        <v>130 MGCRP 06 305</v>
      </c>
      <c r="S1282" t="str">
        <f>"12/18/2019 12:25:06 PM"</f>
        <v>12/18/2019 12:25:06 PM</v>
      </c>
      <c r="T1282" t="str">
        <f t="shared" si="524"/>
        <v>5</v>
      </c>
      <c r="U1282" t="str">
        <f t="shared" ref="U1282:U1345" si="539">"N/A"</f>
        <v>N/A</v>
      </c>
      <c r="V1282" t="str">
        <f>"5.5500"</f>
        <v>5.5500</v>
      </c>
    </row>
    <row r="1283" spans="1:22" x14ac:dyDescent="0.25">
      <c r="A1283" s="1" t="str">
        <f t="shared" si="526"/>
        <v>5180-</v>
      </c>
      <c r="B1283" s="1" t="str">
        <f t="shared" ref="B1283:B1346" si="540">SUBSTITUTE(A1283," ","")</f>
        <v>5180-</v>
      </c>
      <c r="C1283" s="1" t="s">
        <v>8901</v>
      </c>
      <c r="D1283" s="1" t="s">
        <v>91</v>
      </c>
      <c r="E1283" s="1" t="s">
        <v>1738</v>
      </c>
      <c r="F1283" s="1" t="s">
        <v>22</v>
      </c>
      <c r="G1283" s="1" t="e">
        <f>VLOOKUP(C1283,'Master truck list'!E:R,14,0)</f>
        <v>#N/A</v>
      </c>
      <c r="H1283" t="str">
        <f t="shared" si="531"/>
        <v>12/19/2019 7:00:35 AM</v>
      </c>
      <c r="I1283" t="str">
        <f>""</f>
        <v/>
      </c>
      <c r="J1283" t="str">
        <f t="shared" si="532"/>
        <v>Elite</v>
      </c>
      <c r="K1283" t="str">
        <f t="shared" si="519"/>
        <v>Device</v>
      </c>
      <c r="L1283" t="str">
        <f t="shared" si="533"/>
        <v>777260312</v>
      </c>
      <c r="M1283" t="str">
        <f t="shared" si="534"/>
        <v>16758469</v>
      </c>
      <c r="N1283" t="str">
        <f t="shared" si="535"/>
        <v>5180-20</v>
      </c>
      <c r="O1283" t="str">
        <f t="shared" si="536"/>
        <v>TEXAS</v>
      </c>
      <c r="P1283" t="str">
        <f t="shared" si="537"/>
        <v>N A</v>
      </c>
      <c r="Q1283" t="str">
        <f t="shared" si="538"/>
        <v>N/A</v>
      </c>
      <c r="R1283" t="str">
        <f>"45SE MLPWB 01 611"</f>
        <v>45SE MLPWB 01 611</v>
      </c>
      <c r="S1283" t="str">
        <f>"12/18/2019 1:06:54 PM"</f>
        <v>12/18/2019 1:06:54 PM</v>
      </c>
      <c r="T1283" t="str">
        <f t="shared" si="524"/>
        <v>5</v>
      </c>
      <c r="U1283" t="str">
        <f t="shared" si="539"/>
        <v>N/A</v>
      </c>
      <c r="V1283" t="str">
        <f>"3.3000"</f>
        <v>3.3000</v>
      </c>
    </row>
    <row r="1284" spans="1:22" x14ac:dyDescent="0.25">
      <c r="A1284" s="1" t="str">
        <f t="shared" si="526"/>
        <v>5180-</v>
      </c>
      <c r="B1284" s="1" t="str">
        <f t="shared" si="540"/>
        <v>5180-</v>
      </c>
      <c r="C1284" s="1" t="s">
        <v>8901</v>
      </c>
      <c r="D1284" s="1" t="s">
        <v>91</v>
      </c>
      <c r="E1284" s="1" t="s">
        <v>1738</v>
      </c>
      <c r="F1284" s="1" t="s">
        <v>22</v>
      </c>
      <c r="G1284" s="1" t="e">
        <f>VLOOKUP(C1284,'Master truck list'!E:R,14,0)</f>
        <v>#N/A</v>
      </c>
      <c r="H1284" t="str">
        <f t="shared" si="531"/>
        <v>12/19/2019 7:00:35 AM</v>
      </c>
      <c r="I1284" t="str">
        <f>""</f>
        <v/>
      </c>
      <c r="J1284" t="str">
        <f t="shared" si="532"/>
        <v>Elite</v>
      </c>
      <c r="K1284" t="str">
        <f t="shared" si="519"/>
        <v>Device</v>
      </c>
      <c r="L1284" t="str">
        <f t="shared" si="533"/>
        <v>777260312</v>
      </c>
      <c r="M1284" t="str">
        <f t="shared" si="534"/>
        <v>16758469</v>
      </c>
      <c r="N1284" t="str">
        <f t="shared" si="535"/>
        <v>5180-20</v>
      </c>
      <c r="O1284" t="str">
        <f t="shared" si="536"/>
        <v>TEXAS</v>
      </c>
      <c r="P1284" t="str">
        <f t="shared" si="537"/>
        <v>N A</v>
      </c>
      <c r="Q1284" t="str">
        <f t="shared" si="538"/>
        <v>N/A</v>
      </c>
      <c r="R1284" t="str">
        <f>"130 DKCRP 06 307"</f>
        <v>130 DKCRP 06 307</v>
      </c>
      <c r="S1284" t="str">
        <f>"12/18/2019 12:46:48 PM"</f>
        <v>12/18/2019 12:46:48 PM</v>
      </c>
      <c r="T1284" t="str">
        <f t="shared" si="524"/>
        <v>5</v>
      </c>
      <c r="U1284" t="str">
        <f t="shared" si="539"/>
        <v>N/A</v>
      </c>
      <c r="V1284" t="str">
        <f t="shared" ref="V1284:V1289" si="541">"5.5500"</f>
        <v>5.5500</v>
      </c>
    </row>
    <row r="1285" spans="1:22" x14ac:dyDescent="0.25">
      <c r="A1285" s="1" t="str">
        <f t="shared" si="526"/>
        <v>5180-</v>
      </c>
      <c r="B1285" s="1" t="str">
        <f t="shared" si="540"/>
        <v>5180-</v>
      </c>
      <c r="C1285" s="1" t="s">
        <v>8901</v>
      </c>
      <c r="D1285" s="1" t="s">
        <v>91</v>
      </c>
      <c r="E1285" s="1" t="s">
        <v>1738</v>
      </c>
      <c r="F1285" s="1" t="s">
        <v>22</v>
      </c>
      <c r="G1285" s="1" t="e">
        <f>VLOOKUP(C1285,'Master truck list'!E:R,14,0)</f>
        <v>#N/A</v>
      </c>
      <c r="H1285" t="str">
        <f>"12/21/2019 7:00:28 AM"</f>
        <v>12/21/2019 7:00:28 AM</v>
      </c>
      <c r="I1285" t="str">
        <f>""</f>
        <v/>
      </c>
      <c r="J1285" t="str">
        <f t="shared" si="532"/>
        <v>Elite</v>
      </c>
      <c r="K1285" t="str">
        <f t="shared" si="519"/>
        <v>Device</v>
      </c>
      <c r="L1285" t="str">
        <f t="shared" si="533"/>
        <v>777260312</v>
      </c>
      <c r="M1285" t="str">
        <f t="shared" si="534"/>
        <v>16758469</v>
      </c>
      <c r="N1285" t="str">
        <f t="shared" si="535"/>
        <v>5180-20</v>
      </c>
      <c r="O1285" t="str">
        <f t="shared" si="536"/>
        <v>TEXAS</v>
      </c>
      <c r="P1285" t="str">
        <f t="shared" si="537"/>
        <v>N A</v>
      </c>
      <c r="Q1285" t="str">
        <f t="shared" si="538"/>
        <v>N/A</v>
      </c>
      <c r="R1285" t="str">
        <f>"130 ARPTP 09 308"</f>
        <v>130 ARPTP 09 308</v>
      </c>
      <c r="S1285" t="str">
        <f>"12/20/2019 3:12:09 PM"</f>
        <v>12/20/2019 3:12:09 PM</v>
      </c>
      <c r="T1285" t="str">
        <f t="shared" si="524"/>
        <v>5</v>
      </c>
      <c r="U1285" t="str">
        <f t="shared" si="539"/>
        <v>N/A</v>
      </c>
      <c r="V1285" t="str">
        <f t="shared" si="541"/>
        <v>5.5500</v>
      </c>
    </row>
    <row r="1286" spans="1:22" x14ac:dyDescent="0.25">
      <c r="A1286" s="1" t="str">
        <f t="shared" si="526"/>
        <v>5180-</v>
      </c>
      <c r="B1286" s="1" t="str">
        <f t="shared" si="540"/>
        <v>5180-</v>
      </c>
      <c r="C1286" s="1" t="s">
        <v>8901</v>
      </c>
      <c r="D1286" s="1" t="s">
        <v>91</v>
      </c>
      <c r="E1286" s="1" t="s">
        <v>1738</v>
      </c>
      <c r="F1286" s="1" t="s">
        <v>22</v>
      </c>
      <c r="G1286" s="1" t="e">
        <f>VLOOKUP(C1286,'Master truck list'!E:R,14,0)</f>
        <v>#N/A</v>
      </c>
      <c r="H1286" t="str">
        <f>"12/19/2019 7:00:35 AM"</f>
        <v>12/19/2019 7:00:35 AM</v>
      </c>
      <c r="I1286" t="str">
        <f>""</f>
        <v/>
      </c>
      <c r="J1286" t="str">
        <f t="shared" si="532"/>
        <v>Elite</v>
      </c>
      <c r="K1286" t="str">
        <f t="shared" si="519"/>
        <v>Device</v>
      </c>
      <c r="L1286" t="str">
        <f t="shared" si="533"/>
        <v>777260312</v>
      </c>
      <c r="M1286" t="str">
        <f t="shared" si="534"/>
        <v>16758469</v>
      </c>
      <c r="N1286" t="str">
        <f t="shared" si="535"/>
        <v>5180-20</v>
      </c>
      <c r="O1286" t="str">
        <f t="shared" si="536"/>
        <v>TEXAS</v>
      </c>
      <c r="P1286" t="str">
        <f t="shared" si="537"/>
        <v>N A</v>
      </c>
      <c r="Q1286" t="str">
        <f t="shared" si="538"/>
        <v>N/A</v>
      </c>
      <c r="R1286" t="str">
        <f>"130 ARPTP 04 308"</f>
        <v>130 ARPTP 04 308</v>
      </c>
      <c r="S1286" t="str">
        <f>"12/18/2019 12:53:59 PM"</f>
        <v>12/18/2019 12:53:59 PM</v>
      </c>
      <c r="T1286" t="str">
        <f t="shared" si="524"/>
        <v>5</v>
      </c>
      <c r="U1286" t="str">
        <f t="shared" si="539"/>
        <v>N/A</v>
      </c>
      <c r="V1286" t="str">
        <f t="shared" si="541"/>
        <v>5.5500</v>
      </c>
    </row>
    <row r="1287" spans="1:22" x14ac:dyDescent="0.25">
      <c r="A1287" s="1" t="str">
        <f t="shared" si="526"/>
        <v>5180-</v>
      </c>
      <c r="B1287" s="1" t="str">
        <f t="shared" si="540"/>
        <v>5180-</v>
      </c>
      <c r="C1287" s="1" t="s">
        <v>8901</v>
      </c>
      <c r="D1287" s="1" t="s">
        <v>91</v>
      </c>
      <c r="E1287" s="1" t="s">
        <v>1738</v>
      </c>
      <c r="F1287" s="1" t="s">
        <v>22</v>
      </c>
      <c r="G1287" s="1" t="e">
        <f>VLOOKUP(C1287,'Master truck list'!E:R,14,0)</f>
        <v>#N/A</v>
      </c>
      <c r="H1287" t="str">
        <f>"12/19/2019 7:00:35 AM"</f>
        <v>12/19/2019 7:00:35 AM</v>
      </c>
      <c r="I1287" t="str">
        <f>""</f>
        <v/>
      </c>
      <c r="J1287" t="str">
        <f t="shared" si="532"/>
        <v>Elite</v>
      </c>
      <c r="K1287" t="str">
        <f t="shared" si="519"/>
        <v>Device</v>
      </c>
      <c r="L1287" t="str">
        <f t="shared" si="533"/>
        <v>777260312</v>
      </c>
      <c r="M1287" t="str">
        <f t="shared" si="534"/>
        <v>16758469</v>
      </c>
      <c r="N1287" t="str">
        <f t="shared" si="535"/>
        <v>5180-20</v>
      </c>
      <c r="O1287" t="str">
        <f t="shared" si="536"/>
        <v>TEXAS</v>
      </c>
      <c r="P1287" t="str">
        <f t="shared" si="537"/>
        <v>N A</v>
      </c>
      <c r="Q1287" t="str">
        <f t="shared" si="538"/>
        <v>N/A</v>
      </c>
      <c r="R1287" t="str">
        <f>"130 CMRNP 08 306"</f>
        <v>130 CMRNP 08 306</v>
      </c>
      <c r="S1287" t="str">
        <f>"12/18/2019 12:36:18 PM"</f>
        <v>12/18/2019 12:36:18 PM</v>
      </c>
      <c r="T1287" t="str">
        <f t="shared" si="524"/>
        <v>5</v>
      </c>
      <c r="U1287" t="str">
        <f t="shared" si="539"/>
        <v>N/A</v>
      </c>
      <c r="V1287" t="str">
        <f t="shared" si="541"/>
        <v>5.5500</v>
      </c>
    </row>
    <row r="1288" spans="1:22" x14ac:dyDescent="0.25">
      <c r="A1288" s="1" t="str">
        <f t="shared" si="526"/>
        <v>5180-</v>
      </c>
      <c r="B1288" s="1" t="str">
        <f t="shared" si="540"/>
        <v>5180-</v>
      </c>
      <c r="C1288" s="1" t="s">
        <v>8901</v>
      </c>
      <c r="D1288" s="1" t="s">
        <v>91</v>
      </c>
      <c r="E1288" s="1" t="s">
        <v>1738</v>
      </c>
      <c r="F1288" s="1" t="s">
        <v>22</v>
      </c>
      <c r="G1288" s="1" t="e">
        <f>VLOOKUP(C1288,'Master truck list'!E:R,14,0)</f>
        <v>#N/A</v>
      </c>
      <c r="H1288" t="str">
        <f>"12/18/2019 7:00:28 AM"</f>
        <v>12/18/2019 7:00:28 AM</v>
      </c>
      <c r="I1288" t="str">
        <f>""</f>
        <v/>
      </c>
      <c r="J1288" t="str">
        <f t="shared" si="532"/>
        <v>Elite</v>
      </c>
      <c r="K1288" t="str">
        <f t="shared" si="519"/>
        <v>Device</v>
      </c>
      <c r="L1288" t="str">
        <f t="shared" si="533"/>
        <v>777260312</v>
      </c>
      <c r="M1288" t="str">
        <f t="shared" si="534"/>
        <v>16758469</v>
      </c>
      <c r="N1288" t="str">
        <f t="shared" si="535"/>
        <v>5180-20</v>
      </c>
      <c r="O1288" t="str">
        <f t="shared" si="536"/>
        <v>TEXAS</v>
      </c>
      <c r="P1288" t="str">
        <f t="shared" si="537"/>
        <v>N A</v>
      </c>
      <c r="Q1288" t="str">
        <f t="shared" si="538"/>
        <v>N/A</v>
      </c>
      <c r="R1288" t="str">
        <f>"130 MGCRP 11 305"</f>
        <v>130 MGCRP 11 305</v>
      </c>
      <c r="S1288" t="str">
        <f>"12/17/2019 7:52:08 PM"</f>
        <v>12/17/2019 7:52:08 PM</v>
      </c>
      <c r="T1288" t="str">
        <f t="shared" si="524"/>
        <v>5</v>
      </c>
      <c r="U1288" t="str">
        <f t="shared" si="539"/>
        <v>N/A</v>
      </c>
      <c r="V1288" t="str">
        <f t="shared" si="541"/>
        <v>5.5500</v>
      </c>
    </row>
    <row r="1289" spans="1:22" x14ac:dyDescent="0.25">
      <c r="A1289" s="1" t="str">
        <f t="shared" si="526"/>
        <v>5180-</v>
      </c>
      <c r="B1289" s="1" t="str">
        <f t="shared" si="540"/>
        <v>5180-</v>
      </c>
      <c r="C1289" s="1" t="s">
        <v>8901</v>
      </c>
      <c r="D1289" s="1" t="s">
        <v>91</v>
      </c>
      <c r="E1289" s="1" t="s">
        <v>1738</v>
      </c>
      <c r="F1289" s="1" t="s">
        <v>22</v>
      </c>
      <c r="G1289" s="1" t="e">
        <f>VLOOKUP(C1289,'Master truck list'!E:R,14,0)</f>
        <v>#N/A</v>
      </c>
      <c r="H1289" t="str">
        <f>"12/18/2019 7:00:28 AM"</f>
        <v>12/18/2019 7:00:28 AM</v>
      </c>
      <c r="I1289" t="str">
        <f>""</f>
        <v/>
      </c>
      <c r="J1289" t="str">
        <f t="shared" si="532"/>
        <v>Elite</v>
      </c>
      <c r="K1289" t="str">
        <f t="shared" si="519"/>
        <v>Device</v>
      </c>
      <c r="L1289" t="str">
        <f t="shared" si="533"/>
        <v>777260312</v>
      </c>
      <c r="M1289" t="str">
        <f t="shared" si="534"/>
        <v>16758469</v>
      </c>
      <c r="N1289" t="str">
        <f t="shared" si="535"/>
        <v>5180-20</v>
      </c>
      <c r="O1289" t="str">
        <f t="shared" si="536"/>
        <v>TEXAS</v>
      </c>
      <c r="P1289" t="str">
        <f t="shared" si="537"/>
        <v>N A</v>
      </c>
      <c r="Q1289" t="str">
        <f t="shared" si="538"/>
        <v>N/A</v>
      </c>
      <c r="R1289" t="str">
        <f>"130 DKCRP 11 307"</f>
        <v>130 DKCRP 11 307</v>
      </c>
      <c r="S1289" t="str">
        <f>"12/17/2019 7:30:26 PM"</f>
        <v>12/17/2019 7:30:26 PM</v>
      </c>
      <c r="T1289" t="str">
        <f t="shared" si="524"/>
        <v>5</v>
      </c>
      <c r="U1289" t="str">
        <f t="shared" si="539"/>
        <v>N/A</v>
      </c>
      <c r="V1289" t="str">
        <f t="shared" si="541"/>
        <v>5.5500</v>
      </c>
    </row>
    <row r="1290" spans="1:22" x14ac:dyDescent="0.25">
      <c r="A1290" s="1" t="str">
        <f t="shared" si="526"/>
        <v>5180-</v>
      </c>
      <c r="B1290" s="1" t="str">
        <f t="shared" si="540"/>
        <v>5180-</v>
      </c>
      <c r="C1290" s="1" t="s">
        <v>8901</v>
      </c>
      <c r="D1290" s="1" t="s">
        <v>91</v>
      </c>
      <c r="E1290" s="1" t="s">
        <v>1738</v>
      </c>
      <c r="F1290" s="1" t="s">
        <v>22</v>
      </c>
      <c r="G1290" s="1" t="e">
        <f>VLOOKUP(C1290,'Master truck list'!E:R,14,0)</f>
        <v>#N/A</v>
      </c>
      <c r="H1290" t="str">
        <f>"12/18/2019 7:00:28 AM"</f>
        <v>12/18/2019 7:00:28 AM</v>
      </c>
      <c r="I1290" t="str">
        <f>""</f>
        <v/>
      </c>
      <c r="J1290" t="str">
        <f t="shared" si="532"/>
        <v>Elite</v>
      </c>
      <c r="K1290" t="str">
        <f t="shared" si="519"/>
        <v>Device</v>
      </c>
      <c r="L1290" t="str">
        <f t="shared" si="533"/>
        <v>777260312</v>
      </c>
      <c r="M1290" t="str">
        <f t="shared" si="534"/>
        <v>16758469</v>
      </c>
      <c r="N1290" t="str">
        <f t="shared" si="535"/>
        <v>5180-20</v>
      </c>
      <c r="O1290" t="str">
        <f t="shared" si="536"/>
        <v>TEXAS</v>
      </c>
      <c r="P1290" t="str">
        <f t="shared" si="537"/>
        <v>N A</v>
      </c>
      <c r="Q1290" t="str">
        <f t="shared" si="538"/>
        <v>N/A</v>
      </c>
      <c r="R1290" t="str">
        <f>"45SE MLPEB 02 611"</f>
        <v>45SE MLPEB 02 611</v>
      </c>
      <c r="S1290" t="str">
        <f>"12/17/2019 7:12:33 PM"</f>
        <v>12/17/2019 7:12:33 PM</v>
      </c>
      <c r="T1290" t="str">
        <f t="shared" si="524"/>
        <v>5</v>
      </c>
      <c r="U1290" t="str">
        <f t="shared" si="539"/>
        <v>N/A</v>
      </c>
      <c r="V1290" t="str">
        <f>"3.3000"</f>
        <v>3.3000</v>
      </c>
    </row>
    <row r="1291" spans="1:22" x14ac:dyDescent="0.25">
      <c r="A1291" s="1" t="str">
        <f t="shared" si="526"/>
        <v>5180-</v>
      </c>
      <c r="B1291" s="1" t="str">
        <f t="shared" si="540"/>
        <v>5180-</v>
      </c>
      <c r="C1291" s="1" t="s">
        <v>8901</v>
      </c>
      <c r="D1291" s="1" t="s">
        <v>91</v>
      </c>
      <c r="E1291" s="1" t="s">
        <v>1738</v>
      </c>
      <c r="F1291" s="1" t="s">
        <v>22</v>
      </c>
      <c r="G1291" s="1" t="e">
        <f>VLOOKUP(C1291,'Master truck list'!E:R,14,0)</f>
        <v>#N/A</v>
      </c>
      <c r="H1291" t="str">
        <f>"12/18/2019 7:00:28 AM"</f>
        <v>12/18/2019 7:00:28 AM</v>
      </c>
      <c r="I1291" t="str">
        <f>""</f>
        <v/>
      </c>
      <c r="J1291" t="str">
        <f t="shared" si="532"/>
        <v>Elite</v>
      </c>
      <c r="K1291" t="str">
        <f t="shared" si="519"/>
        <v>Device</v>
      </c>
      <c r="L1291" t="str">
        <f t="shared" si="533"/>
        <v>777260312</v>
      </c>
      <c r="M1291" t="str">
        <f t="shared" si="534"/>
        <v>16758469</v>
      </c>
      <c r="N1291" t="str">
        <f t="shared" si="535"/>
        <v>5180-20</v>
      </c>
      <c r="O1291" t="str">
        <f t="shared" si="536"/>
        <v>TEXAS</v>
      </c>
      <c r="P1291" t="str">
        <f t="shared" si="537"/>
        <v>N A</v>
      </c>
      <c r="Q1291" t="str">
        <f t="shared" si="538"/>
        <v>N/A</v>
      </c>
      <c r="R1291" t="str">
        <f>"130 CMRNP 13 306"</f>
        <v>130 CMRNP 13 306</v>
      </c>
      <c r="S1291" t="str">
        <f>"12/17/2019 7:40:54 PM"</f>
        <v>12/17/2019 7:40:54 PM</v>
      </c>
      <c r="T1291" t="str">
        <f>"2"</f>
        <v>2</v>
      </c>
      <c r="U1291" t="str">
        <f t="shared" si="539"/>
        <v>N/A</v>
      </c>
      <c r="V1291" t="str">
        <f>"1.8500"</f>
        <v>1.8500</v>
      </c>
    </row>
    <row r="1292" spans="1:22" x14ac:dyDescent="0.25">
      <c r="A1292" s="1" t="str">
        <f t="shared" si="526"/>
        <v>5180-</v>
      </c>
      <c r="B1292" s="1" t="str">
        <f t="shared" si="540"/>
        <v>5180-</v>
      </c>
      <c r="C1292" s="1" t="s">
        <v>8901</v>
      </c>
      <c r="D1292" s="1" t="s">
        <v>91</v>
      </c>
      <c r="E1292" s="1" t="s">
        <v>1738</v>
      </c>
      <c r="F1292" s="1" t="s">
        <v>22</v>
      </c>
      <c r="G1292" s="1" t="e">
        <f>VLOOKUP(C1292,'Master truck list'!E:R,14,0)</f>
        <v>#N/A</v>
      </c>
      <c r="H1292" t="str">
        <f>"12/18/2019 7:00:28 AM"</f>
        <v>12/18/2019 7:00:28 AM</v>
      </c>
      <c r="I1292" t="str">
        <f>""</f>
        <v/>
      </c>
      <c r="J1292" t="str">
        <f t="shared" si="532"/>
        <v>Elite</v>
      </c>
      <c r="K1292" t="str">
        <f t="shared" si="519"/>
        <v>Device</v>
      </c>
      <c r="L1292" t="str">
        <f t="shared" si="533"/>
        <v>777260312</v>
      </c>
      <c r="M1292" t="str">
        <f t="shared" si="534"/>
        <v>16758469</v>
      </c>
      <c r="N1292" t="str">
        <f t="shared" si="535"/>
        <v>5180-20</v>
      </c>
      <c r="O1292" t="str">
        <f t="shared" si="536"/>
        <v>TEXAS</v>
      </c>
      <c r="P1292" t="str">
        <f t="shared" si="537"/>
        <v>N A</v>
      </c>
      <c r="Q1292" t="str">
        <f t="shared" si="538"/>
        <v>N/A</v>
      </c>
      <c r="R1292" t="str">
        <f>"130 ARPTP 09 308"</f>
        <v>130 ARPTP 09 308</v>
      </c>
      <c r="S1292" t="str">
        <f>"12/17/2019 7:23:13 PM"</f>
        <v>12/17/2019 7:23:13 PM</v>
      </c>
      <c r="T1292" t="str">
        <f t="shared" ref="T1292:T1314" si="542">"5"</f>
        <v>5</v>
      </c>
      <c r="U1292" t="str">
        <f t="shared" si="539"/>
        <v>N/A</v>
      </c>
      <c r="V1292" t="str">
        <f>"5.5500"</f>
        <v>5.5500</v>
      </c>
    </row>
    <row r="1293" spans="1:22" x14ac:dyDescent="0.25">
      <c r="A1293" s="1" t="str">
        <f t="shared" si="526"/>
        <v>5180-</v>
      </c>
      <c r="B1293" s="1" t="str">
        <f t="shared" si="540"/>
        <v>5180-</v>
      </c>
      <c r="C1293" s="1" t="s">
        <v>8901</v>
      </c>
      <c r="D1293" s="1" t="s">
        <v>91</v>
      </c>
      <c r="E1293" s="1" t="s">
        <v>1738</v>
      </c>
      <c r="F1293" s="1" t="s">
        <v>22</v>
      </c>
      <c r="G1293" s="1" t="e">
        <f>VLOOKUP(C1293,'Master truck list'!E:R,14,0)</f>
        <v>#N/A</v>
      </c>
      <c r="H1293" t="str">
        <f t="shared" ref="H1293:H1300" si="543">"12/21/2019 7:00:28 AM"</f>
        <v>12/21/2019 7:00:28 AM</v>
      </c>
      <c r="I1293" t="str">
        <f>""</f>
        <v/>
      </c>
      <c r="J1293" t="str">
        <f t="shared" si="532"/>
        <v>Elite</v>
      </c>
      <c r="K1293" t="str">
        <f t="shared" si="519"/>
        <v>Device</v>
      </c>
      <c r="L1293" t="str">
        <f t="shared" si="533"/>
        <v>777260312</v>
      </c>
      <c r="M1293" t="str">
        <f t="shared" si="534"/>
        <v>16758469</v>
      </c>
      <c r="N1293" t="str">
        <f t="shared" si="535"/>
        <v>5180-20</v>
      </c>
      <c r="O1293" t="str">
        <f t="shared" si="536"/>
        <v>TEXAS</v>
      </c>
      <c r="P1293" t="str">
        <f t="shared" si="537"/>
        <v>N A</v>
      </c>
      <c r="Q1293" t="str">
        <f t="shared" si="538"/>
        <v>N/A</v>
      </c>
      <c r="R1293" t="str">
        <f>"45SE MLPEB 02 611"</f>
        <v>45SE MLPEB 02 611</v>
      </c>
      <c r="S1293" t="str">
        <f>"12/20/2019 3:01:33 PM"</f>
        <v>12/20/2019 3:01:33 PM</v>
      </c>
      <c r="T1293" t="str">
        <f t="shared" si="542"/>
        <v>5</v>
      </c>
      <c r="U1293" t="str">
        <f t="shared" si="539"/>
        <v>N/A</v>
      </c>
      <c r="V1293" t="str">
        <f>"3.3000"</f>
        <v>3.3000</v>
      </c>
    </row>
    <row r="1294" spans="1:22" x14ac:dyDescent="0.25">
      <c r="A1294" s="1" t="str">
        <f t="shared" si="526"/>
        <v>5180-</v>
      </c>
      <c r="B1294" s="1" t="str">
        <f t="shared" si="540"/>
        <v>5180-</v>
      </c>
      <c r="C1294" s="1" t="s">
        <v>8901</v>
      </c>
      <c r="D1294" s="1" t="s">
        <v>91</v>
      </c>
      <c r="E1294" s="1" t="s">
        <v>1738</v>
      </c>
      <c r="F1294" s="1" t="s">
        <v>22</v>
      </c>
      <c r="G1294" s="1" t="e">
        <f>VLOOKUP(C1294,'Master truck list'!E:R,14,0)</f>
        <v>#N/A</v>
      </c>
      <c r="H1294" t="str">
        <f t="shared" si="543"/>
        <v>12/21/2019 7:00:28 AM</v>
      </c>
      <c r="I1294" t="str">
        <f>""</f>
        <v/>
      </c>
      <c r="J1294" t="str">
        <f t="shared" si="532"/>
        <v>Elite</v>
      </c>
      <c r="K1294" t="str">
        <f t="shared" si="519"/>
        <v>Device</v>
      </c>
      <c r="L1294" t="str">
        <f t="shared" si="533"/>
        <v>777260312</v>
      </c>
      <c r="M1294" t="str">
        <f t="shared" si="534"/>
        <v>16758469</v>
      </c>
      <c r="N1294" t="str">
        <f t="shared" si="535"/>
        <v>5180-20</v>
      </c>
      <c r="O1294" t="str">
        <f t="shared" si="536"/>
        <v>TEXAS</v>
      </c>
      <c r="P1294" t="str">
        <f t="shared" si="537"/>
        <v>N A</v>
      </c>
      <c r="Q1294" t="str">
        <f t="shared" si="538"/>
        <v>N/A</v>
      </c>
      <c r="R1294" t="str">
        <f>"130 DKCRP 11 307"</f>
        <v>130 DKCRP 11 307</v>
      </c>
      <c r="S1294" t="str">
        <f>"12/20/2019 3:19:48 PM"</f>
        <v>12/20/2019 3:19:48 PM</v>
      </c>
      <c r="T1294" t="str">
        <f t="shared" si="542"/>
        <v>5</v>
      </c>
      <c r="U1294" t="str">
        <f t="shared" si="539"/>
        <v>N/A</v>
      </c>
      <c r="V1294" t="str">
        <f>"5.5500"</f>
        <v>5.5500</v>
      </c>
    </row>
    <row r="1295" spans="1:22" x14ac:dyDescent="0.25">
      <c r="A1295" s="1" t="str">
        <f t="shared" si="526"/>
        <v>5180-</v>
      </c>
      <c r="B1295" s="1" t="str">
        <f t="shared" si="540"/>
        <v>5180-</v>
      </c>
      <c r="C1295" s="1" t="s">
        <v>8901</v>
      </c>
      <c r="D1295" s="1" t="s">
        <v>91</v>
      </c>
      <c r="E1295" s="1" t="s">
        <v>1738</v>
      </c>
      <c r="F1295" s="1" t="s">
        <v>22</v>
      </c>
      <c r="G1295" s="1" t="e">
        <f>VLOOKUP(C1295,'Master truck list'!E:R,14,0)</f>
        <v>#N/A</v>
      </c>
      <c r="H1295" t="str">
        <f t="shared" si="543"/>
        <v>12/21/2019 7:00:28 AM</v>
      </c>
      <c r="I1295" t="str">
        <f>""</f>
        <v/>
      </c>
      <c r="J1295" t="str">
        <f t="shared" si="532"/>
        <v>Elite</v>
      </c>
      <c r="K1295" t="str">
        <f t="shared" si="519"/>
        <v>Device</v>
      </c>
      <c r="L1295" t="str">
        <f t="shared" si="533"/>
        <v>777260312</v>
      </c>
      <c r="M1295" t="str">
        <f t="shared" si="534"/>
        <v>16758469</v>
      </c>
      <c r="N1295" t="str">
        <f t="shared" si="535"/>
        <v>5180-20</v>
      </c>
      <c r="O1295" t="str">
        <f t="shared" si="536"/>
        <v>TEXAS</v>
      </c>
      <c r="P1295" t="str">
        <f t="shared" si="537"/>
        <v>N A</v>
      </c>
      <c r="Q1295" t="str">
        <f t="shared" si="538"/>
        <v>N/A</v>
      </c>
      <c r="R1295" t="str">
        <f>"130 MGCRP 11 305"</f>
        <v>130 MGCRP 11 305</v>
      </c>
      <c r="S1295" t="str">
        <f>"12/20/2019 3:46:23 PM"</f>
        <v>12/20/2019 3:46:23 PM</v>
      </c>
      <c r="T1295" t="str">
        <f t="shared" si="542"/>
        <v>5</v>
      </c>
      <c r="U1295" t="str">
        <f t="shared" si="539"/>
        <v>N/A</v>
      </c>
      <c r="V1295" t="str">
        <f>"5.5500"</f>
        <v>5.5500</v>
      </c>
    </row>
    <row r="1296" spans="1:22" x14ac:dyDescent="0.25">
      <c r="A1296" s="1" t="str">
        <f t="shared" si="526"/>
        <v>5180-</v>
      </c>
      <c r="B1296" s="1" t="str">
        <f t="shared" si="540"/>
        <v>5180-</v>
      </c>
      <c r="C1296" s="1" t="s">
        <v>8901</v>
      </c>
      <c r="D1296" s="1" t="s">
        <v>91</v>
      </c>
      <c r="E1296" s="1" t="s">
        <v>1738</v>
      </c>
      <c r="F1296" s="1" t="s">
        <v>22</v>
      </c>
      <c r="G1296" s="1" t="e">
        <f>VLOOKUP(C1296,'Master truck list'!E:R,14,0)</f>
        <v>#N/A</v>
      </c>
      <c r="H1296" t="str">
        <f t="shared" si="543"/>
        <v>12/21/2019 7:00:28 AM</v>
      </c>
      <c r="I1296" t="str">
        <f>""</f>
        <v/>
      </c>
      <c r="J1296" t="str">
        <f t="shared" si="532"/>
        <v>Elite</v>
      </c>
      <c r="K1296" t="str">
        <f t="shared" si="519"/>
        <v>Device</v>
      </c>
      <c r="L1296" t="str">
        <f t="shared" si="533"/>
        <v>777260312</v>
      </c>
      <c r="M1296" t="str">
        <f t="shared" si="534"/>
        <v>16758469</v>
      </c>
      <c r="N1296" t="str">
        <f t="shared" si="535"/>
        <v>5180-20</v>
      </c>
      <c r="O1296" t="str">
        <f t="shared" si="536"/>
        <v>TEXAS</v>
      </c>
      <c r="P1296" t="str">
        <f t="shared" si="537"/>
        <v>N A</v>
      </c>
      <c r="Q1296" t="str">
        <f t="shared" si="538"/>
        <v>N/A</v>
      </c>
      <c r="R1296" t="str">
        <f>"130 CMRNP 13 306"</f>
        <v>130 CMRNP 13 306</v>
      </c>
      <c r="S1296" t="str">
        <f>"12/20/2019 3:35:06 PM"</f>
        <v>12/20/2019 3:35:06 PM</v>
      </c>
      <c r="T1296" t="str">
        <f t="shared" si="542"/>
        <v>5</v>
      </c>
      <c r="U1296" t="str">
        <f t="shared" si="539"/>
        <v>N/A</v>
      </c>
      <c r="V1296" t="str">
        <f>"5.5500"</f>
        <v>5.5500</v>
      </c>
    </row>
    <row r="1297" spans="1:22" x14ac:dyDescent="0.25">
      <c r="A1297" s="1" t="str">
        <f t="shared" si="526"/>
        <v>2610-</v>
      </c>
      <c r="B1297" s="1" t="str">
        <f t="shared" si="540"/>
        <v>2610-</v>
      </c>
      <c r="C1297" s="1" t="s">
        <v>8890</v>
      </c>
      <c r="D1297" s="1" t="s">
        <v>91</v>
      </c>
      <c r="E1297" s="1" t="s">
        <v>8916</v>
      </c>
      <c r="F1297" s="1" t="s">
        <v>22</v>
      </c>
      <c r="G1297" s="1" t="e">
        <f>VLOOKUP(C1297,'Master truck list'!E:R,14,0)</f>
        <v>#N/A</v>
      </c>
      <c r="H1297" t="str">
        <f t="shared" si="543"/>
        <v>12/21/2019 7:00:28 AM</v>
      </c>
      <c r="I1297" t="str">
        <f>""</f>
        <v/>
      </c>
      <c r="J1297" t="str">
        <f t="shared" si="532"/>
        <v>Elite</v>
      </c>
      <c r="K1297" t="str">
        <f t="shared" si="519"/>
        <v>Device</v>
      </c>
      <c r="L1297" t="str">
        <f t="shared" ref="L1297:L1306" si="544">"777260172"</f>
        <v>777260172</v>
      </c>
      <c r="M1297" t="str">
        <f t="shared" ref="M1297:M1306" si="545">"16758329"</f>
        <v>16758329</v>
      </c>
      <c r="N1297" t="str">
        <f t="shared" ref="N1297:N1306" si="546">"2610-20"</f>
        <v>2610-20</v>
      </c>
      <c r="O1297" t="str">
        <f t="shared" si="536"/>
        <v>TEXAS</v>
      </c>
      <c r="P1297" t="str">
        <f t="shared" si="537"/>
        <v>N A</v>
      </c>
      <c r="Q1297" t="str">
        <f t="shared" si="538"/>
        <v>N/A</v>
      </c>
      <c r="R1297" t="str">
        <f>"130 CMRNP 08 306"</f>
        <v>130 CMRNP 08 306</v>
      </c>
      <c r="S1297" t="str">
        <f>"12/20/2019 9:33:29 AM"</f>
        <v>12/20/2019 9:33:29 AM</v>
      </c>
      <c r="T1297" t="str">
        <f t="shared" si="542"/>
        <v>5</v>
      </c>
      <c r="U1297" t="str">
        <f t="shared" si="539"/>
        <v>N/A</v>
      </c>
      <c r="V1297" t="str">
        <f>"5.5500"</f>
        <v>5.5500</v>
      </c>
    </row>
    <row r="1298" spans="1:22" x14ac:dyDescent="0.25">
      <c r="A1298" s="1" t="str">
        <f t="shared" si="526"/>
        <v>2610-</v>
      </c>
      <c r="B1298" s="1" t="str">
        <f t="shared" si="540"/>
        <v>2610-</v>
      </c>
      <c r="C1298" s="1" t="s">
        <v>8890</v>
      </c>
      <c r="D1298" s="1" t="s">
        <v>91</v>
      </c>
      <c r="E1298" s="1" t="s">
        <v>8916</v>
      </c>
      <c r="F1298" s="1" t="s">
        <v>22</v>
      </c>
      <c r="G1298" s="1" t="e">
        <f>VLOOKUP(C1298,'Master truck list'!E:R,14,0)</f>
        <v>#N/A</v>
      </c>
      <c r="H1298" t="str">
        <f t="shared" si="543"/>
        <v>12/21/2019 7:00:28 AM</v>
      </c>
      <c r="I1298" t="str">
        <f>""</f>
        <v/>
      </c>
      <c r="J1298" t="str">
        <f t="shared" si="532"/>
        <v>Elite</v>
      </c>
      <c r="K1298" t="str">
        <f t="shared" si="519"/>
        <v>Device</v>
      </c>
      <c r="L1298" t="str">
        <f t="shared" si="544"/>
        <v>777260172</v>
      </c>
      <c r="M1298" t="str">
        <f t="shared" si="545"/>
        <v>16758329</v>
      </c>
      <c r="N1298" t="str">
        <f t="shared" si="546"/>
        <v>2610-20</v>
      </c>
      <c r="O1298" t="str">
        <f t="shared" si="536"/>
        <v>TEXAS</v>
      </c>
      <c r="P1298" t="str">
        <f t="shared" si="537"/>
        <v>N A</v>
      </c>
      <c r="Q1298" t="str">
        <f t="shared" si="538"/>
        <v>N/A</v>
      </c>
      <c r="R1298" t="str">
        <f>"45SE MLPWB 01 611"</f>
        <v>45SE MLPWB 01 611</v>
      </c>
      <c r="S1298" t="str">
        <f>"12/20/2019 10:00:51 AM"</f>
        <v>12/20/2019 10:00:51 AM</v>
      </c>
      <c r="T1298" t="str">
        <f t="shared" si="542"/>
        <v>5</v>
      </c>
      <c r="U1298" t="str">
        <f t="shared" si="539"/>
        <v>N/A</v>
      </c>
      <c r="V1298" t="str">
        <f>"3.3000"</f>
        <v>3.3000</v>
      </c>
    </row>
    <row r="1299" spans="1:22" x14ac:dyDescent="0.25">
      <c r="A1299" s="1" t="str">
        <f t="shared" si="526"/>
        <v>2610-</v>
      </c>
      <c r="B1299" s="1" t="str">
        <f t="shared" si="540"/>
        <v>2610-</v>
      </c>
      <c r="C1299" s="1" t="s">
        <v>8890</v>
      </c>
      <c r="D1299" s="1" t="s">
        <v>91</v>
      </c>
      <c r="E1299" s="1" t="s">
        <v>8916</v>
      </c>
      <c r="F1299" s="1" t="s">
        <v>22</v>
      </c>
      <c r="G1299" s="1" t="e">
        <f>VLOOKUP(C1299,'Master truck list'!E:R,14,0)</f>
        <v>#N/A</v>
      </c>
      <c r="H1299" t="str">
        <f t="shared" si="543"/>
        <v>12/21/2019 7:00:28 AM</v>
      </c>
      <c r="I1299" t="str">
        <f>""</f>
        <v/>
      </c>
      <c r="J1299" t="str">
        <f t="shared" si="532"/>
        <v>Elite</v>
      </c>
      <c r="K1299" t="str">
        <f t="shared" si="519"/>
        <v>Device</v>
      </c>
      <c r="L1299" t="str">
        <f t="shared" si="544"/>
        <v>777260172</v>
      </c>
      <c r="M1299" t="str">
        <f t="shared" si="545"/>
        <v>16758329</v>
      </c>
      <c r="N1299" t="str">
        <f t="shared" si="546"/>
        <v>2610-20</v>
      </c>
      <c r="O1299" t="str">
        <f t="shared" si="536"/>
        <v>TEXAS</v>
      </c>
      <c r="P1299" t="str">
        <f t="shared" si="537"/>
        <v>N A</v>
      </c>
      <c r="Q1299" t="str">
        <f t="shared" si="538"/>
        <v>N/A</v>
      </c>
      <c r="R1299" t="str">
        <f>"130 MGCRP 06 305"</f>
        <v>130 MGCRP 06 305</v>
      </c>
      <c r="S1299" t="str">
        <f>"12/20/2019 9:22:32 AM"</f>
        <v>12/20/2019 9:22:32 AM</v>
      </c>
      <c r="T1299" t="str">
        <f t="shared" si="542"/>
        <v>5</v>
      </c>
      <c r="U1299" t="str">
        <f t="shared" si="539"/>
        <v>N/A</v>
      </c>
      <c r="V1299" t="str">
        <f>"5.5500"</f>
        <v>5.5500</v>
      </c>
    </row>
    <row r="1300" spans="1:22" x14ac:dyDescent="0.25">
      <c r="A1300" s="1" t="str">
        <f t="shared" si="526"/>
        <v>2610-</v>
      </c>
      <c r="B1300" s="1" t="str">
        <f t="shared" si="540"/>
        <v>2610-</v>
      </c>
      <c r="C1300" s="1" t="s">
        <v>8890</v>
      </c>
      <c r="D1300" s="1" t="s">
        <v>91</v>
      </c>
      <c r="E1300" s="1" t="s">
        <v>8916</v>
      </c>
      <c r="F1300" s="1" t="s">
        <v>22</v>
      </c>
      <c r="G1300" s="1" t="e">
        <f>VLOOKUP(C1300,'Master truck list'!E:R,14,0)</f>
        <v>#N/A</v>
      </c>
      <c r="H1300" t="str">
        <f t="shared" si="543"/>
        <v>12/21/2019 7:00:28 AM</v>
      </c>
      <c r="I1300" t="str">
        <f>""</f>
        <v/>
      </c>
      <c r="J1300" t="str">
        <f t="shared" si="532"/>
        <v>Elite</v>
      </c>
      <c r="K1300" t="str">
        <f t="shared" si="519"/>
        <v>Device</v>
      </c>
      <c r="L1300" t="str">
        <f t="shared" si="544"/>
        <v>777260172</v>
      </c>
      <c r="M1300" t="str">
        <f t="shared" si="545"/>
        <v>16758329</v>
      </c>
      <c r="N1300" t="str">
        <f t="shared" si="546"/>
        <v>2610-20</v>
      </c>
      <c r="O1300" t="str">
        <f t="shared" si="536"/>
        <v>TEXAS</v>
      </c>
      <c r="P1300" t="str">
        <f t="shared" si="537"/>
        <v>N A</v>
      </c>
      <c r="Q1300" t="str">
        <f t="shared" si="538"/>
        <v>N/A</v>
      </c>
      <c r="R1300" t="str">
        <f>"130 DKCRP 06 307"</f>
        <v>130 DKCRP 06 307</v>
      </c>
      <c r="S1300" t="str">
        <f>"12/20/2019 9:43:25 AM"</f>
        <v>12/20/2019 9:43:25 AM</v>
      </c>
      <c r="T1300" t="str">
        <f t="shared" si="542"/>
        <v>5</v>
      </c>
      <c r="U1300" t="str">
        <f t="shared" si="539"/>
        <v>N/A</v>
      </c>
      <c r="V1300" t="str">
        <f>"5.5500"</f>
        <v>5.5500</v>
      </c>
    </row>
    <row r="1301" spans="1:22" x14ac:dyDescent="0.25">
      <c r="A1301" s="1" t="str">
        <f t="shared" si="526"/>
        <v>2610-</v>
      </c>
      <c r="B1301" s="1" t="str">
        <f t="shared" si="540"/>
        <v>2610-</v>
      </c>
      <c r="C1301" s="1" t="s">
        <v>8890</v>
      </c>
      <c r="D1301" s="1" t="s">
        <v>91</v>
      </c>
      <c r="E1301" s="1" t="s">
        <v>8916</v>
      </c>
      <c r="F1301" s="1" t="s">
        <v>22</v>
      </c>
      <c r="G1301" s="1" t="e">
        <f>VLOOKUP(C1301,'Master truck list'!E:R,14,0)</f>
        <v>#N/A</v>
      </c>
      <c r="H1301" t="str">
        <f>"12/20/2019 7:00:30 AM"</f>
        <v>12/20/2019 7:00:30 AM</v>
      </c>
      <c r="I1301" t="str">
        <f>""</f>
        <v/>
      </c>
      <c r="J1301" t="str">
        <f t="shared" si="532"/>
        <v>Elite</v>
      </c>
      <c r="K1301" t="str">
        <f t="shared" si="519"/>
        <v>Device</v>
      </c>
      <c r="L1301" t="str">
        <f t="shared" si="544"/>
        <v>777260172</v>
      </c>
      <c r="M1301" t="str">
        <f t="shared" si="545"/>
        <v>16758329</v>
      </c>
      <c r="N1301" t="str">
        <f t="shared" si="546"/>
        <v>2610-20</v>
      </c>
      <c r="O1301" t="str">
        <f t="shared" si="536"/>
        <v>TEXAS</v>
      </c>
      <c r="P1301" t="str">
        <f t="shared" si="537"/>
        <v>N A</v>
      </c>
      <c r="Q1301" t="str">
        <f t="shared" si="538"/>
        <v>N/A</v>
      </c>
      <c r="R1301" t="str">
        <f>"130 DKCRP 11 307"</f>
        <v>130 DKCRP 11 307</v>
      </c>
      <c r="S1301" t="str">
        <f>"12/19/2019 2:46:05 PM"</f>
        <v>12/19/2019 2:46:05 PM</v>
      </c>
      <c r="T1301" t="str">
        <f t="shared" si="542"/>
        <v>5</v>
      </c>
      <c r="U1301" t="str">
        <f t="shared" si="539"/>
        <v>N/A</v>
      </c>
      <c r="V1301" t="str">
        <f>"5.5500"</f>
        <v>5.5500</v>
      </c>
    </row>
    <row r="1302" spans="1:22" x14ac:dyDescent="0.25">
      <c r="A1302" s="1" t="str">
        <f t="shared" si="526"/>
        <v>2610-</v>
      </c>
      <c r="B1302" s="1" t="str">
        <f t="shared" si="540"/>
        <v>2610-</v>
      </c>
      <c r="C1302" s="1" t="s">
        <v>8890</v>
      </c>
      <c r="D1302" s="1" t="s">
        <v>91</v>
      </c>
      <c r="E1302" s="1" t="s">
        <v>8916</v>
      </c>
      <c r="F1302" s="1" t="s">
        <v>22</v>
      </c>
      <c r="G1302" s="1" t="e">
        <f>VLOOKUP(C1302,'Master truck list'!E:R,14,0)</f>
        <v>#N/A</v>
      </c>
      <c r="H1302" t="str">
        <f>"12/21/2019 7:00:28 AM"</f>
        <v>12/21/2019 7:00:28 AM</v>
      </c>
      <c r="I1302" t="str">
        <f>""</f>
        <v/>
      </c>
      <c r="J1302" t="str">
        <f t="shared" si="532"/>
        <v>Elite</v>
      </c>
      <c r="K1302" t="str">
        <f t="shared" si="519"/>
        <v>Device</v>
      </c>
      <c r="L1302" t="str">
        <f t="shared" si="544"/>
        <v>777260172</v>
      </c>
      <c r="M1302" t="str">
        <f t="shared" si="545"/>
        <v>16758329</v>
      </c>
      <c r="N1302" t="str">
        <f t="shared" si="546"/>
        <v>2610-20</v>
      </c>
      <c r="O1302" t="str">
        <f t="shared" si="536"/>
        <v>TEXAS</v>
      </c>
      <c r="P1302" t="str">
        <f t="shared" si="537"/>
        <v>N A</v>
      </c>
      <c r="Q1302" t="str">
        <f t="shared" si="538"/>
        <v>N/A</v>
      </c>
      <c r="R1302" t="str">
        <f>"130 ARPTP 04 308"</f>
        <v>130 ARPTP 04 308</v>
      </c>
      <c r="S1302" t="str">
        <f>"12/20/2019 9:50:20 AM"</f>
        <v>12/20/2019 9:50:20 AM</v>
      </c>
      <c r="T1302" t="str">
        <f t="shared" si="542"/>
        <v>5</v>
      </c>
      <c r="U1302" t="str">
        <f t="shared" si="539"/>
        <v>N/A</v>
      </c>
      <c r="V1302" t="str">
        <f>"5.5500"</f>
        <v>5.5500</v>
      </c>
    </row>
    <row r="1303" spans="1:22" x14ac:dyDescent="0.25">
      <c r="A1303" s="1" t="str">
        <f t="shared" si="526"/>
        <v>2610-</v>
      </c>
      <c r="B1303" s="1" t="str">
        <f t="shared" si="540"/>
        <v>2610-</v>
      </c>
      <c r="C1303" s="1" t="s">
        <v>8890</v>
      </c>
      <c r="D1303" s="1" t="s">
        <v>91</v>
      </c>
      <c r="E1303" s="1" t="s">
        <v>8916</v>
      </c>
      <c r="F1303" s="1" t="s">
        <v>22</v>
      </c>
      <c r="G1303" s="1" t="e">
        <f>VLOOKUP(C1303,'Master truck list'!E:R,14,0)</f>
        <v>#N/A</v>
      </c>
      <c r="H1303" t="str">
        <f>"12/20/2019 7:00:30 AM"</f>
        <v>12/20/2019 7:00:30 AM</v>
      </c>
      <c r="I1303" t="str">
        <f>""</f>
        <v/>
      </c>
      <c r="J1303" t="str">
        <f t="shared" si="532"/>
        <v>Elite</v>
      </c>
      <c r="K1303" t="str">
        <f t="shared" si="519"/>
        <v>Device</v>
      </c>
      <c r="L1303" t="str">
        <f t="shared" si="544"/>
        <v>777260172</v>
      </c>
      <c r="M1303" t="str">
        <f t="shared" si="545"/>
        <v>16758329</v>
      </c>
      <c r="N1303" t="str">
        <f t="shared" si="546"/>
        <v>2610-20</v>
      </c>
      <c r="O1303" t="str">
        <f t="shared" si="536"/>
        <v>TEXAS</v>
      </c>
      <c r="P1303" t="str">
        <f t="shared" si="537"/>
        <v>N A</v>
      </c>
      <c r="Q1303" t="str">
        <f t="shared" si="538"/>
        <v>N/A</v>
      </c>
      <c r="R1303" t="str">
        <f>"130 MGCRP 11 305"</f>
        <v>130 MGCRP 11 305</v>
      </c>
      <c r="S1303" t="str">
        <f>"12/19/2019 3:09:17 PM"</f>
        <v>12/19/2019 3:09:17 PM</v>
      </c>
      <c r="T1303" t="str">
        <f t="shared" si="542"/>
        <v>5</v>
      </c>
      <c r="U1303" t="str">
        <f t="shared" si="539"/>
        <v>N/A</v>
      </c>
      <c r="V1303" t="str">
        <f>"5.5500"</f>
        <v>5.5500</v>
      </c>
    </row>
    <row r="1304" spans="1:22" x14ac:dyDescent="0.25">
      <c r="A1304" s="1" t="str">
        <f t="shared" si="526"/>
        <v>2610-</v>
      </c>
      <c r="B1304" s="1" t="str">
        <f t="shared" si="540"/>
        <v>2610-</v>
      </c>
      <c r="C1304" s="1" t="s">
        <v>8890</v>
      </c>
      <c r="D1304" s="1" t="s">
        <v>91</v>
      </c>
      <c r="E1304" s="1" t="s">
        <v>8916</v>
      </c>
      <c r="F1304" s="1" t="s">
        <v>22</v>
      </c>
      <c r="G1304" s="1" t="e">
        <f>VLOOKUP(C1304,'Master truck list'!E:R,14,0)</f>
        <v>#N/A</v>
      </c>
      <c r="H1304" t="str">
        <f>"12/20/2019 7:00:30 AM"</f>
        <v>12/20/2019 7:00:30 AM</v>
      </c>
      <c r="I1304" t="str">
        <f>""</f>
        <v/>
      </c>
      <c r="J1304" t="str">
        <f t="shared" si="532"/>
        <v>Elite</v>
      </c>
      <c r="K1304" t="str">
        <f t="shared" si="519"/>
        <v>Device</v>
      </c>
      <c r="L1304" t="str">
        <f t="shared" si="544"/>
        <v>777260172</v>
      </c>
      <c r="M1304" t="str">
        <f t="shared" si="545"/>
        <v>16758329</v>
      </c>
      <c r="N1304" t="str">
        <f t="shared" si="546"/>
        <v>2610-20</v>
      </c>
      <c r="O1304" t="str">
        <f t="shared" si="536"/>
        <v>TEXAS</v>
      </c>
      <c r="P1304" t="str">
        <f t="shared" si="537"/>
        <v>N A</v>
      </c>
      <c r="Q1304" t="str">
        <f t="shared" si="538"/>
        <v>N/A</v>
      </c>
      <c r="R1304" t="str">
        <f>"45SE MLPEB 02 611"</f>
        <v>45SE MLPEB 02 611</v>
      </c>
      <c r="S1304" t="str">
        <f>"12/19/2019 2:28:34 PM"</f>
        <v>12/19/2019 2:28:34 PM</v>
      </c>
      <c r="T1304" t="str">
        <f t="shared" si="542"/>
        <v>5</v>
      </c>
      <c r="U1304" t="str">
        <f t="shared" si="539"/>
        <v>N/A</v>
      </c>
      <c r="V1304" t="str">
        <f>"3.3000"</f>
        <v>3.3000</v>
      </c>
    </row>
    <row r="1305" spans="1:22" x14ac:dyDescent="0.25">
      <c r="A1305" s="1" t="str">
        <f t="shared" si="526"/>
        <v>2610-</v>
      </c>
      <c r="B1305" s="1" t="str">
        <f t="shared" si="540"/>
        <v>2610-</v>
      </c>
      <c r="C1305" s="1" t="s">
        <v>8890</v>
      </c>
      <c r="D1305" s="1" t="s">
        <v>91</v>
      </c>
      <c r="E1305" s="1" t="s">
        <v>8916</v>
      </c>
      <c r="F1305" s="1" t="s">
        <v>22</v>
      </c>
      <c r="G1305" s="1" t="e">
        <f>VLOOKUP(C1305,'Master truck list'!E:R,14,0)</f>
        <v>#N/A</v>
      </c>
      <c r="H1305" t="str">
        <f>"12/20/2019 7:00:30 AM"</f>
        <v>12/20/2019 7:00:30 AM</v>
      </c>
      <c r="I1305" t="str">
        <f>""</f>
        <v/>
      </c>
      <c r="J1305" t="str">
        <f t="shared" si="532"/>
        <v>Elite</v>
      </c>
      <c r="K1305" t="str">
        <f t="shared" ref="K1305:K1368" si="547">"Device"</f>
        <v>Device</v>
      </c>
      <c r="L1305" t="str">
        <f t="shared" si="544"/>
        <v>777260172</v>
      </c>
      <c r="M1305" t="str">
        <f t="shared" si="545"/>
        <v>16758329</v>
      </c>
      <c r="N1305" t="str">
        <f t="shared" si="546"/>
        <v>2610-20</v>
      </c>
      <c r="O1305" t="str">
        <f t="shared" si="536"/>
        <v>TEXAS</v>
      </c>
      <c r="P1305" t="str">
        <f t="shared" si="537"/>
        <v>N A</v>
      </c>
      <c r="Q1305" t="str">
        <f t="shared" si="538"/>
        <v>N/A</v>
      </c>
      <c r="R1305" t="str">
        <f>"130 ARPTP 09 308"</f>
        <v>130 ARPTP 09 308</v>
      </c>
      <c r="S1305" t="str">
        <f>"12/19/2019 2:39:07 PM"</f>
        <v>12/19/2019 2:39:07 PM</v>
      </c>
      <c r="T1305" t="str">
        <f t="shared" si="542"/>
        <v>5</v>
      </c>
      <c r="U1305" t="str">
        <f t="shared" si="539"/>
        <v>N/A</v>
      </c>
      <c r="V1305" t="str">
        <f>"5.5500"</f>
        <v>5.5500</v>
      </c>
    </row>
    <row r="1306" spans="1:22" x14ac:dyDescent="0.25">
      <c r="A1306" s="1" t="str">
        <f t="shared" si="526"/>
        <v>2610-</v>
      </c>
      <c r="B1306" s="1" t="str">
        <f t="shared" si="540"/>
        <v>2610-</v>
      </c>
      <c r="C1306" s="1" t="s">
        <v>8890</v>
      </c>
      <c r="D1306" s="1" t="s">
        <v>91</v>
      </c>
      <c r="E1306" s="1" t="s">
        <v>8916</v>
      </c>
      <c r="F1306" s="1" t="s">
        <v>22</v>
      </c>
      <c r="G1306" s="1" t="e">
        <f>VLOOKUP(C1306,'Master truck list'!E:R,14,0)</f>
        <v>#N/A</v>
      </c>
      <c r="H1306" t="str">
        <f>"12/20/2019 7:00:30 AM"</f>
        <v>12/20/2019 7:00:30 AM</v>
      </c>
      <c r="I1306" t="str">
        <f>""</f>
        <v/>
      </c>
      <c r="J1306" t="str">
        <f t="shared" si="532"/>
        <v>Elite</v>
      </c>
      <c r="K1306" t="str">
        <f t="shared" si="547"/>
        <v>Device</v>
      </c>
      <c r="L1306" t="str">
        <f t="shared" si="544"/>
        <v>777260172</v>
      </c>
      <c r="M1306" t="str">
        <f t="shared" si="545"/>
        <v>16758329</v>
      </c>
      <c r="N1306" t="str">
        <f t="shared" si="546"/>
        <v>2610-20</v>
      </c>
      <c r="O1306" t="str">
        <f t="shared" si="536"/>
        <v>TEXAS</v>
      </c>
      <c r="P1306" t="str">
        <f t="shared" si="537"/>
        <v>N A</v>
      </c>
      <c r="Q1306" t="str">
        <f t="shared" si="538"/>
        <v>N/A</v>
      </c>
      <c r="R1306" t="str">
        <f>"130 CMRNP 13 306"</f>
        <v>130 CMRNP 13 306</v>
      </c>
      <c r="S1306" t="str">
        <f>"12/19/2019 2:58:08 PM"</f>
        <v>12/19/2019 2:58:08 PM</v>
      </c>
      <c r="T1306" t="str">
        <f t="shared" si="542"/>
        <v>5</v>
      </c>
      <c r="U1306" t="str">
        <f t="shared" si="539"/>
        <v>N/A</v>
      </c>
      <c r="V1306" t="str">
        <f>"5.5500"</f>
        <v>5.5500</v>
      </c>
    </row>
    <row r="1307" spans="1:22" x14ac:dyDescent="0.25">
      <c r="A1307" s="1" t="str">
        <f t="shared" si="526"/>
        <v>72538</v>
      </c>
      <c r="B1307" s="1" t="str">
        <f t="shared" si="540"/>
        <v>72538</v>
      </c>
      <c r="C1307" s="1">
        <v>72538</v>
      </c>
      <c r="D1307" s="1" t="s">
        <v>91</v>
      </c>
      <c r="E1307" s="1" t="s">
        <v>154</v>
      </c>
      <c r="F1307" s="1" t="s">
        <v>63</v>
      </c>
      <c r="G1307" s="1" t="e">
        <f>VLOOKUP(C1307,'Master truck list'!E:R,14,0)</f>
        <v>#N/A</v>
      </c>
      <c r="H1307" t="str">
        <f>"12/21/2019 7:00:28 AM"</f>
        <v>12/21/2019 7:00:28 AM</v>
      </c>
      <c r="I1307" t="str">
        <f>""</f>
        <v/>
      </c>
      <c r="J1307" t="str">
        <f t="shared" si="532"/>
        <v>Elite</v>
      </c>
      <c r="K1307" t="str">
        <f t="shared" si="547"/>
        <v>Device</v>
      </c>
      <c r="L1307" t="str">
        <f>"777252050"</f>
        <v>777252050</v>
      </c>
      <c r="M1307" t="str">
        <f>"16719932"</f>
        <v>16719932</v>
      </c>
      <c r="N1307" t="str">
        <f>"72538"</f>
        <v>72538</v>
      </c>
      <c r="O1307" t="str">
        <f t="shared" si="536"/>
        <v>TEXAS</v>
      </c>
      <c r="P1307" t="str">
        <f t="shared" si="537"/>
        <v>N A</v>
      </c>
      <c r="Q1307" t="str">
        <f t="shared" si="538"/>
        <v>N/A</v>
      </c>
      <c r="R1307" t="str">
        <f>"45SE MLPEB 02 611"</f>
        <v>45SE MLPEB 02 611</v>
      </c>
      <c r="S1307" t="str">
        <f>"12/20/2019 5:33:17 PM"</f>
        <v>12/20/2019 5:33:17 PM</v>
      </c>
      <c r="T1307" t="str">
        <f t="shared" si="542"/>
        <v>5</v>
      </c>
      <c r="U1307" t="str">
        <f t="shared" si="539"/>
        <v>N/A</v>
      </c>
      <c r="V1307" t="str">
        <f>"3.3000"</f>
        <v>3.3000</v>
      </c>
    </row>
    <row r="1308" spans="1:22" x14ac:dyDescent="0.25">
      <c r="A1308" s="1" t="str">
        <f t="shared" si="526"/>
        <v>72538</v>
      </c>
      <c r="B1308" s="1" t="str">
        <f t="shared" si="540"/>
        <v>72538</v>
      </c>
      <c r="C1308" s="1" t="str">
        <f>VLOOKUP(B1308,'Master truck list'!D:E,2,0)</f>
        <v>72538</v>
      </c>
      <c r="D1308" s="1" t="s">
        <v>91</v>
      </c>
      <c r="E1308" s="1" t="str">
        <f>VLOOKUP(C1308,'Master truck list'!E:M,9,0)</f>
        <v>CHARGER LOGISTICS USA INC</v>
      </c>
      <c r="F1308" s="1" t="str">
        <f>VLOOKUP(C1308,'Master truck list'!E:G,3,0)</f>
        <v>Owner Operator</v>
      </c>
      <c r="G1308" s="1">
        <f>VLOOKUP(C1308,'Master truck list'!E:R,14,0)</f>
        <v>2191</v>
      </c>
      <c r="H1308" t="str">
        <f>"12/21/2019 7:00:28 AM"</f>
        <v>12/21/2019 7:00:28 AM</v>
      </c>
      <c r="I1308" t="str">
        <f>""</f>
        <v/>
      </c>
      <c r="J1308" t="str">
        <f t="shared" si="532"/>
        <v>Elite</v>
      </c>
      <c r="K1308" t="str">
        <f t="shared" si="547"/>
        <v>Device</v>
      </c>
      <c r="L1308" t="str">
        <f>"777252050"</f>
        <v>777252050</v>
      </c>
      <c r="M1308" t="str">
        <f>"16719932"</f>
        <v>16719932</v>
      </c>
      <c r="N1308" t="str">
        <f>"72538"</f>
        <v>72538</v>
      </c>
      <c r="O1308" t="str">
        <f t="shared" si="536"/>
        <v>TEXAS</v>
      </c>
      <c r="P1308" t="str">
        <f t="shared" si="537"/>
        <v>N A</v>
      </c>
      <c r="Q1308" t="str">
        <f t="shared" si="538"/>
        <v>N/A</v>
      </c>
      <c r="R1308" t="str">
        <f>"130 ARPTP 09 308"</f>
        <v>130 ARPTP 09 308</v>
      </c>
      <c r="S1308" t="str">
        <f>"12/20/2019 5:43:12 PM"</f>
        <v>12/20/2019 5:43:12 PM</v>
      </c>
      <c r="T1308" t="str">
        <f t="shared" si="542"/>
        <v>5</v>
      </c>
      <c r="U1308" t="str">
        <f t="shared" si="539"/>
        <v>N/A</v>
      </c>
      <c r="V1308" t="str">
        <f t="shared" ref="V1308:V1314" si="548">"5.5500"</f>
        <v>5.5500</v>
      </c>
    </row>
    <row r="1309" spans="1:22" x14ac:dyDescent="0.25">
      <c r="A1309" s="1" t="str">
        <f t="shared" si="526"/>
        <v>72538</v>
      </c>
      <c r="B1309" s="1" t="str">
        <f t="shared" si="540"/>
        <v>72538</v>
      </c>
      <c r="C1309" s="1" t="str">
        <f>VLOOKUP(B1309,'Master truck list'!D:E,2,0)</f>
        <v>72538</v>
      </c>
      <c r="D1309" s="1" t="s">
        <v>91</v>
      </c>
      <c r="E1309" s="1" t="str">
        <f>VLOOKUP(C1309,'Master truck list'!E:M,9,0)</f>
        <v>CHARGER LOGISTICS USA INC</v>
      </c>
      <c r="F1309" s="1" t="str">
        <f>VLOOKUP(C1309,'Master truck list'!E:G,3,0)</f>
        <v>Owner Operator</v>
      </c>
      <c r="G1309" s="1">
        <f>VLOOKUP(C1309,'Master truck list'!E:R,14,0)</f>
        <v>2191</v>
      </c>
      <c r="H1309" t="str">
        <f>"12/21/2019 7:00:28 AM"</f>
        <v>12/21/2019 7:00:28 AM</v>
      </c>
      <c r="I1309" t="str">
        <f>""</f>
        <v/>
      </c>
      <c r="J1309" t="str">
        <f t="shared" si="532"/>
        <v>Elite</v>
      </c>
      <c r="K1309" t="str">
        <f t="shared" si="547"/>
        <v>Device</v>
      </c>
      <c r="L1309" t="str">
        <f>"777252050"</f>
        <v>777252050</v>
      </c>
      <c r="M1309" t="str">
        <f>"16719932"</f>
        <v>16719932</v>
      </c>
      <c r="N1309" t="str">
        <f>"72538"</f>
        <v>72538</v>
      </c>
      <c r="O1309" t="str">
        <f t="shared" si="536"/>
        <v>TEXAS</v>
      </c>
      <c r="P1309" t="str">
        <f t="shared" si="537"/>
        <v>N A</v>
      </c>
      <c r="Q1309" t="str">
        <f t="shared" si="538"/>
        <v>N/A</v>
      </c>
      <c r="R1309" t="str">
        <f>"130 CMRNP 13 306"</f>
        <v>130 CMRNP 13 306</v>
      </c>
      <c r="S1309" t="str">
        <f>"12/20/2019 6:08:43 PM"</f>
        <v>12/20/2019 6:08:43 PM</v>
      </c>
      <c r="T1309" t="str">
        <f t="shared" si="542"/>
        <v>5</v>
      </c>
      <c r="U1309" t="str">
        <f t="shared" si="539"/>
        <v>N/A</v>
      </c>
      <c r="V1309" t="str">
        <f t="shared" si="548"/>
        <v>5.5500</v>
      </c>
    </row>
    <row r="1310" spans="1:22" x14ac:dyDescent="0.25">
      <c r="A1310" s="1" t="str">
        <f t="shared" si="526"/>
        <v>72538</v>
      </c>
      <c r="B1310" s="1" t="str">
        <f t="shared" si="540"/>
        <v>72538</v>
      </c>
      <c r="C1310" s="1" t="str">
        <f>VLOOKUP(B1310,'Master truck list'!D:E,2,0)</f>
        <v>72538</v>
      </c>
      <c r="D1310" s="1" t="s">
        <v>91</v>
      </c>
      <c r="E1310" s="1" t="str">
        <f>VLOOKUP(C1310,'Master truck list'!E:M,9,0)</f>
        <v>CHARGER LOGISTICS USA INC</v>
      </c>
      <c r="F1310" s="1" t="str">
        <f>VLOOKUP(C1310,'Master truck list'!E:G,3,0)</f>
        <v>Owner Operator</v>
      </c>
      <c r="G1310" s="1">
        <f>VLOOKUP(C1310,'Master truck list'!E:R,14,0)</f>
        <v>2191</v>
      </c>
      <c r="H1310" t="str">
        <f>"12/21/2019 7:00:28 AM"</f>
        <v>12/21/2019 7:00:28 AM</v>
      </c>
      <c r="I1310" t="str">
        <f>""</f>
        <v/>
      </c>
      <c r="J1310" t="str">
        <f t="shared" si="532"/>
        <v>Elite</v>
      </c>
      <c r="K1310" t="str">
        <f t="shared" si="547"/>
        <v>Device</v>
      </c>
      <c r="L1310" t="str">
        <f>"777252050"</f>
        <v>777252050</v>
      </c>
      <c r="M1310" t="str">
        <f>"16719932"</f>
        <v>16719932</v>
      </c>
      <c r="N1310" t="str">
        <f>"72538"</f>
        <v>72538</v>
      </c>
      <c r="O1310" t="str">
        <f t="shared" si="536"/>
        <v>TEXAS</v>
      </c>
      <c r="P1310" t="str">
        <f t="shared" si="537"/>
        <v>N A</v>
      </c>
      <c r="Q1310" t="str">
        <f t="shared" si="538"/>
        <v>N/A</v>
      </c>
      <c r="R1310" t="str">
        <f>"130 MGCRP 10 305"</f>
        <v>130 MGCRP 10 305</v>
      </c>
      <c r="S1310" t="str">
        <f>"12/20/2019 6:26:17 PM"</f>
        <v>12/20/2019 6:26:17 PM</v>
      </c>
      <c r="T1310" t="str">
        <f t="shared" si="542"/>
        <v>5</v>
      </c>
      <c r="U1310" t="str">
        <f t="shared" si="539"/>
        <v>N/A</v>
      </c>
      <c r="V1310" t="str">
        <f t="shared" si="548"/>
        <v>5.5500</v>
      </c>
    </row>
    <row r="1311" spans="1:22" x14ac:dyDescent="0.25">
      <c r="A1311" s="1" t="str">
        <f t="shared" si="526"/>
        <v>72538</v>
      </c>
      <c r="B1311" s="1" t="str">
        <f t="shared" si="540"/>
        <v>72538</v>
      </c>
      <c r="C1311" s="1" t="str">
        <f>VLOOKUP(B1311,'Master truck list'!D:E,2,0)</f>
        <v>72538</v>
      </c>
      <c r="D1311" s="1" t="s">
        <v>91</v>
      </c>
      <c r="E1311" s="1" t="str">
        <f>VLOOKUP(C1311,'Master truck list'!E:M,9,0)</f>
        <v>CHARGER LOGISTICS USA INC</v>
      </c>
      <c r="F1311" s="1" t="str">
        <f>VLOOKUP(C1311,'Master truck list'!E:G,3,0)</f>
        <v>Owner Operator</v>
      </c>
      <c r="G1311" s="1">
        <f>VLOOKUP(C1311,'Master truck list'!E:R,14,0)</f>
        <v>2191</v>
      </c>
      <c r="H1311" t="str">
        <f>"12/21/2019 7:00:28 AM"</f>
        <v>12/21/2019 7:00:28 AM</v>
      </c>
      <c r="I1311" t="str">
        <f>""</f>
        <v/>
      </c>
      <c r="J1311" t="str">
        <f t="shared" si="532"/>
        <v>Elite</v>
      </c>
      <c r="K1311" t="str">
        <f t="shared" si="547"/>
        <v>Device</v>
      </c>
      <c r="L1311" t="str">
        <f>"777252050"</f>
        <v>777252050</v>
      </c>
      <c r="M1311" t="str">
        <f>"16719932"</f>
        <v>16719932</v>
      </c>
      <c r="N1311" t="str">
        <f>"72538"</f>
        <v>72538</v>
      </c>
      <c r="O1311" t="str">
        <f t="shared" si="536"/>
        <v>TEXAS</v>
      </c>
      <c r="P1311" t="str">
        <f t="shared" si="537"/>
        <v>N A</v>
      </c>
      <c r="Q1311" t="str">
        <f t="shared" si="538"/>
        <v>N/A</v>
      </c>
      <c r="R1311" t="str">
        <f>"130 DKCRP 10 307"</f>
        <v>130 DKCRP 10 307</v>
      </c>
      <c r="S1311" t="str">
        <f>"12/20/2019 5:51:13 PM"</f>
        <v>12/20/2019 5:51:13 PM</v>
      </c>
      <c r="T1311" t="str">
        <f t="shared" si="542"/>
        <v>5</v>
      </c>
      <c r="U1311" t="str">
        <f t="shared" si="539"/>
        <v>N/A</v>
      </c>
      <c r="V1311" t="str">
        <f t="shared" si="548"/>
        <v>5.5500</v>
      </c>
    </row>
    <row r="1312" spans="1:22" x14ac:dyDescent="0.25">
      <c r="A1312" s="1" t="str">
        <f t="shared" si="526"/>
        <v>5153-</v>
      </c>
      <c r="B1312" s="1" t="str">
        <f t="shared" si="540"/>
        <v>5153-</v>
      </c>
      <c r="C1312" s="1" t="s">
        <v>8896</v>
      </c>
      <c r="D1312" s="1" t="s">
        <v>91</v>
      </c>
      <c r="E1312" s="1" t="s">
        <v>1738</v>
      </c>
      <c r="F1312" s="1" t="s">
        <v>22</v>
      </c>
      <c r="G1312" s="1" t="e">
        <f>VLOOKUP(C1312,'Master truck list'!E:R,14,0)</f>
        <v>#N/A</v>
      </c>
      <c r="H1312" t="str">
        <f>"12/17/2019 7:00:33 AM"</f>
        <v>12/17/2019 7:00:33 AM</v>
      </c>
      <c r="I1312" t="str">
        <f>""</f>
        <v/>
      </c>
      <c r="J1312" t="str">
        <f t="shared" si="532"/>
        <v>Elite</v>
      </c>
      <c r="K1312" t="str">
        <f t="shared" si="547"/>
        <v>Device</v>
      </c>
      <c r="L1312" t="str">
        <f t="shared" ref="L1312:L1345" si="549">"777260432"</f>
        <v>777260432</v>
      </c>
      <c r="M1312" t="str">
        <f t="shared" ref="M1312:M1345" si="550">"16758589"</f>
        <v>16758589</v>
      </c>
      <c r="N1312" t="str">
        <f t="shared" ref="N1312:N1345" si="551">"5153-20"</f>
        <v>5153-20</v>
      </c>
      <c r="O1312" t="str">
        <f t="shared" si="536"/>
        <v>TEXAS</v>
      </c>
      <c r="P1312" t="str">
        <f t="shared" si="537"/>
        <v>N A</v>
      </c>
      <c r="Q1312" t="str">
        <f t="shared" si="538"/>
        <v>N/A</v>
      </c>
      <c r="R1312" t="str">
        <f>"130 MGCRP 11 305"</f>
        <v>130 MGCRP 11 305</v>
      </c>
      <c r="S1312" t="str">
        <f>"12/16/2019 1:16:40 PM"</f>
        <v>12/16/2019 1:16:40 PM</v>
      </c>
      <c r="T1312" t="str">
        <f t="shared" si="542"/>
        <v>5</v>
      </c>
      <c r="U1312" t="str">
        <f t="shared" si="539"/>
        <v>N/A</v>
      </c>
      <c r="V1312" t="str">
        <f t="shared" si="548"/>
        <v>5.5500</v>
      </c>
    </row>
    <row r="1313" spans="1:22" x14ac:dyDescent="0.25">
      <c r="A1313" s="1" t="str">
        <f t="shared" si="526"/>
        <v>5153-</v>
      </c>
      <c r="B1313" s="1" t="str">
        <f t="shared" si="540"/>
        <v>5153-</v>
      </c>
      <c r="C1313" s="1" t="s">
        <v>8896</v>
      </c>
      <c r="D1313" s="1" t="s">
        <v>91</v>
      </c>
      <c r="E1313" s="1" t="s">
        <v>1738</v>
      </c>
      <c r="F1313" s="1" t="s">
        <v>22</v>
      </c>
      <c r="G1313" s="1" t="e">
        <f>VLOOKUP(C1313,'Master truck list'!E:R,14,0)</f>
        <v>#N/A</v>
      </c>
      <c r="H1313" t="str">
        <f>"12/17/2019 7:00:33 AM"</f>
        <v>12/17/2019 7:00:33 AM</v>
      </c>
      <c r="I1313" t="str">
        <f>""</f>
        <v/>
      </c>
      <c r="J1313" t="str">
        <f t="shared" si="532"/>
        <v>Elite</v>
      </c>
      <c r="K1313" t="str">
        <f t="shared" si="547"/>
        <v>Device</v>
      </c>
      <c r="L1313" t="str">
        <f t="shared" si="549"/>
        <v>777260432</v>
      </c>
      <c r="M1313" t="str">
        <f t="shared" si="550"/>
        <v>16758589</v>
      </c>
      <c r="N1313" t="str">
        <f t="shared" si="551"/>
        <v>5153-20</v>
      </c>
      <c r="O1313" t="str">
        <f t="shared" si="536"/>
        <v>TEXAS</v>
      </c>
      <c r="P1313" t="str">
        <f t="shared" si="537"/>
        <v>N A</v>
      </c>
      <c r="Q1313" t="str">
        <f t="shared" si="538"/>
        <v>N/A</v>
      </c>
      <c r="R1313" t="str">
        <f>"130 CMRNP 13 306"</f>
        <v>130 CMRNP 13 306</v>
      </c>
      <c r="S1313" t="str">
        <f>"12/16/2019 1:05:33 PM"</f>
        <v>12/16/2019 1:05:33 PM</v>
      </c>
      <c r="T1313" t="str">
        <f t="shared" si="542"/>
        <v>5</v>
      </c>
      <c r="U1313" t="str">
        <f t="shared" si="539"/>
        <v>N/A</v>
      </c>
      <c r="V1313" t="str">
        <f t="shared" si="548"/>
        <v>5.5500</v>
      </c>
    </row>
    <row r="1314" spans="1:22" x14ac:dyDescent="0.25">
      <c r="A1314" s="1" t="str">
        <f t="shared" si="526"/>
        <v>5153-</v>
      </c>
      <c r="B1314" s="1" t="str">
        <f t="shared" si="540"/>
        <v>5153-</v>
      </c>
      <c r="C1314" s="1" t="s">
        <v>8896</v>
      </c>
      <c r="D1314" s="1" t="s">
        <v>91</v>
      </c>
      <c r="E1314" s="1" t="s">
        <v>1738</v>
      </c>
      <c r="F1314" s="1" t="s">
        <v>22</v>
      </c>
      <c r="G1314" s="1" t="e">
        <f>VLOOKUP(C1314,'Master truck list'!E:R,14,0)</f>
        <v>#N/A</v>
      </c>
      <c r="H1314" t="str">
        <f>"12/17/2019 7:00:33 AM"</f>
        <v>12/17/2019 7:00:33 AM</v>
      </c>
      <c r="I1314" t="str">
        <f>""</f>
        <v/>
      </c>
      <c r="J1314" t="str">
        <f t="shared" si="532"/>
        <v>Elite</v>
      </c>
      <c r="K1314" t="str">
        <f t="shared" si="547"/>
        <v>Device</v>
      </c>
      <c r="L1314" t="str">
        <f t="shared" si="549"/>
        <v>777260432</v>
      </c>
      <c r="M1314" t="str">
        <f t="shared" si="550"/>
        <v>16758589</v>
      </c>
      <c r="N1314" t="str">
        <f t="shared" si="551"/>
        <v>5153-20</v>
      </c>
      <c r="O1314" t="str">
        <f t="shared" si="536"/>
        <v>TEXAS</v>
      </c>
      <c r="P1314" t="str">
        <f t="shared" si="537"/>
        <v>N A</v>
      </c>
      <c r="Q1314" t="str">
        <f t="shared" si="538"/>
        <v>N/A</v>
      </c>
      <c r="R1314" t="str">
        <f>"130 DKCRP 11 307"</f>
        <v>130 DKCRP 11 307</v>
      </c>
      <c r="S1314" t="str">
        <f>"12/16/2019 12:55:21 PM"</f>
        <v>12/16/2019 12:55:21 PM</v>
      </c>
      <c r="T1314" t="str">
        <f t="shared" si="542"/>
        <v>5</v>
      </c>
      <c r="U1314" t="str">
        <f t="shared" si="539"/>
        <v>N/A</v>
      </c>
      <c r="V1314" t="str">
        <f t="shared" si="548"/>
        <v>5.5500</v>
      </c>
    </row>
    <row r="1315" spans="1:22" x14ac:dyDescent="0.25">
      <c r="A1315" s="1" t="str">
        <f t="shared" si="526"/>
        <v>5153-</v>
      </c>
      <c r="B1315" s="1" t="str">
        <f t="shared" si="540"/>
        <v>5153-</v>
      </c>
      <c r="C1315" s="1" t="s">
        <v>8896</v>
      </c>
      <c r="D1315" s="1" t="s">
        <v>91</v>
      </c>
      <c r="E1315" s="1" t="s">
        <v>1738</v>
      </c>
      <c r="F1315" s="1" t="s">
        <v>22</v>
      </c>
      <c r="G1315" s="1" t="e">
        <f>VLOOKUP(C1315,'Master truck list'!E:R,14,0)</f>
        <v>#N/A</v>
      </c>
      <c r="H1315" t="str">
        <f>"12/18/2019 7:00:28 AM"</f>
        <v>12/18/2019 7:00:28 AM</v>
      </c>
      <c r="I1315" t="str">
        <f>""</f>
        <v/>
      </c>
      <c r="J1315" t="str">
        <f t="shared" si="532"/>
        <v>Elite</v>
      </c>
      <c r="K1315" t="str">
        <f t="shared" si="547"/>
        <v>Device</v>
      </c>
      <c r="L1315" t="str">
        <f t="shared" si="549"/>
        <v>777260432</v>
      </c>
      <c r="M1315" t="str">
        <f t="shared" si="550"/>
        <v>16758589</v>
      </c>
      <c r="N1315" t="str">
        <f t="shared" si="551"/>
        <v>5153-20</v>
      </c>
      <c r="O1315" t="str">
        <f t="shared" si="536"/>
        <v>TEXAS</v>
      </c>
      <c r="P1315" t="str">
        <f t="shared" si="537"/>
        <v>N A</v>
      </c>
      <c r="Q1315" t="str">
        <f t="shared" si="538"/>
        <v>N/A</v>
      </c>
      <c r="R1315" t="str">
        <f>"I35WS US287S 22 US28"</f>
        <v>I35WS US287S 22 US28</v>
      </c>
      <c r="S1315" t="str">
        <f>"12/16/2019 6:14:53 PM"</f>
        <v>12/16/2019 6:14:53 PM</v>
      </c>
      <c r="T1315" t="str">
        <f>"2"</f>
        <v>2</v>
      </c>
      <c r="U1315" t="str">
        <f t="shared" si="539"/>
        <v>N/A</v>
      </c>
      <c r="V1315" t="str">
        <f>"7.5000"</f>
        <v>7.5000</v>
      </c>
    </row>
    <row r="1316" spans="1:22" x14ac:dyDescent="0.25">
      <c r="A1316" s="1" t="str">
        <f t="shared" si="526"/>
        <v>5153-</v>
      </c>
      <c r="B1316" s="1" t="str">
        <f t="shared" si="540"/>
        <v>5153-</v>
      </c>
      <c r="C1316" s="1" t="s">
        <v>8896</v>
      </c>
      <c r="D1316" s="1" t="s">
        <v>91</v>
      </c>
      <c r="E1316" s="1" t="s">
        <v>1738</v>
      </c>
      <c r="F1316" s="1" t="s">
        <v>22</v>
      </c>
      <c r="G1316" s="1" t="e">
        <f>VLOOKUP(C1316,'Master truck list'!E:R,14,0)</f>
        <v>#N/A</v>
      </c>
      <c r="H1316" t="str">
        <f>"12/18/2019 7:00:28 AM"</f>
        <v>12/18/2019 7:00:28 AM</v>
      </c>
      <c r="I1316" t="str">
        <f>""</f>
        <v/>
      </c>
      <c r="J1316" t="str">
        <f t="shared" si="532"/>
        <v>Elite</v>
      </c>
      <c r="K1316" t="str">
        <f t="shared" si="547"/>
        <v>Device</v>
      </c>
      <c r="L1316" t="str">
        <f t="shared" si="549"/>
        <v>777260432</v>
      </c>
      <c r="M1316" t="str">
        <f t="shared" si="550"/>
        <v>16758589</v>
      </c>
      <c r="N1316" t="str">
        <f t="shared" si="551"/>
        <v>5153-20</v>
      </c>
      <c r="O1316" t="str">
        <f t="shared" si="536"/>
        <v>TEXAS</v>
      </c>
      <c r="P1316" t="str">
        <f t="shared" si="537"/>
        <v>N A</v>
      </c>
      <c r="Q1316" t="str">
        <f t="shared" si="538"/>
        <v>N/A</v>
      </c>
      <c r="R1316" t="str">
        <f>"I35WS 820 31 820"</f>
        <v>I35WS 820 31 820</v>
      </c>
      <c r="S1316" t="str">
        <f>"12/16/2019 6:17:48 PM"</f>
        <v>12/16/2019 6:17:48 PM</v>
      </c>
      <c r="T1316" t="str">
        <f>"2"</f>
        <v>2</v>
      </c>
      <c r="U1316" t="str">
        <f t="shared" si="539"/>
        <v>N/A</v>
      </c>
      <c r="V1316" t="str">
        <f>"11.8500"</f>
        <v>11.8500</v>
      </c>
    </row>
    <row r="1317" spans="1:22" x14ac:dyDescent="0.25">
      <c r="A1317" s="1" t="str">
        <f t="shared" si="526"/>
        <v>5153-</v>
      </c>
      <c r="B1317" s="1" t="str">
        <f t="shared" si="540"/>
        <v>5153-</v>
      </c>
      <c r="C1317" s="1" t="s">
        <v>8896</v>
      </c>
      <c r="D1317" s="1" t="s">
        <v>91</v>
      </c>
      <c r="E1317" s="1" t="s">
        <v>1738</v>
      </c>
      <c r="F1317" s="1" t="s">
        <v>22</v>
      </c>
      <c r="G1317" s="1" t="e">
        <f>VLOOKUP(C1317,'Master truck list'!E:R,14,0)</f>
        <v>#N/A</v>
      </c>
      <c r="H1317" t="str">
        <f>"12/18/2019 7:00:28 AM"</f>
        <v>12/18/2019 7:00:28 AM</v>
      </c>
      <c r="I1317" t="str">
        <f>""</f>
        <v/>
      </c>
      <c r="J1317" t="str">
        <f t="shared" si="532"/>
        <v>Elite</v>
      </c>
      <c r="K1317" t="str">
        <f t="shared" si="547"/>
        <v>Device</v>
      </c>
      <c r="L1317" t="str">
        <f t="shared" si="549"/>
        <v>777260432</v>
      </c>
      <c r="M1317" t="str">
        <f t="shared" si="550"/>
        <v>16758589</v>
      </c>
      <c r="N1317" t="str">
        <f t="shared" si="551"/>
        <v>5153-20</v>
      </c>
      <c r="O1317" t="str">
        <f t="shared" si="536"/>
        <v>TEXAS</v>
      </c>
      <c r="P1317" t="str">
        <f t="shared" si="537"/>
        <v>N A</v>
      </c>
      <c r="Q1317" t="str">
        <f t="shared" si="538"/>
        <v>N/A</v>
      </c>
      <c r="R1317" t="str">
        <f>"I35W NSIDEDR 34 NSID"</f>
        <v>I35W NSIDEDR 34 NSID</v>
      </c>
      <c r="S1317" t="str">
        <f>"12/16/2019 4:34:30 PM"</f>
        <v>12/16/2019 4:34:30 PM</v>
      </c>
      <c r="T1317" t="str">
        <f>"2"</f>
        <v>2</v>
      </c>
      <c r="U1317" t="str">
        <f t="shared" si="539"/>
        <v>N/A</v>
      </c>
      <c r="V1317" t="str">
        <f>"9.4000"</f>
        <v>9.4000</v>
      </c>
    </row>
    <row r="1318" spans="1:22" x14ac:dyDescent="0.25">
      <c r="A1318" s="1" t="str">
        <f t="shared" si="526"/>
        <v>5153-</v>
      </c>
      <c r="B1318" s="1" t="str">
        <f t="shared" si="540"/>
        <v>5153-</v>
      </c>
      <c r="C1318" s="1" t="s">
        <v>8896</v>
      </c>
      <c r="D1318" s="1" t="s">
        <v>91</v>
      </c>
      <c r="E1318" s="1" t="s">
        <v>1738</v>
      </c>
      <c r="F1318" s="1" t="s">
        <v>22</v>
      </c>
      <c r="G1318" s="1" t="e">
        <f>VLOOKUP(C1318,'Master truck list'!E:R,14,0)</f>
        <v>#N/A</v>
      </c>
      <c r="H1318" t="str">
        <f>"12/18/2019 7:00:28 AM"</f>
        <v>12/18/2019 7:00:28 AM</v>
      </c>
      <c r="I1318" t="str">
        <f>""</f>
        <v/>
      </c>
      <c r="J1318" t="str">
        <f t="shared" si="532"/>
        <v>Elite</v>
      </c>
      <c r="K1318" t="str">
        <f t="shared" si="547"/>
        <v>Device</v>
      </c>
      <c r="L1318" t="str">
        <f t="shared" si="549"/>
        <v>777260432</v>
      </c>
      <c r="M1318" t="str">
        <f t="shared" si="550"/>
        <v>16758589</v>
      </c>
      <c r="N1318" t="str">
        <f t="shared" si="551"/>
        <v>5153-20</v>
      </c>
      <c r="O1318" t="str">
        <f t="shared" si="536"/>
        <v>TEXAS</v>
      </c>
      <c r="P1318" t="str">
        <f t="shared" si="537"/>
        <v>N A</v>
      </c>
      <c r="Q1318" t="str">
        <f t="shared" si="538"/>
        <v>N/A</v>
      </c>
      <c r="R1318" t="str">
        <f>"I35WN 820 24 820"</f>
        <v>I35WN 820 24 820</v>
      </c>
      <c r="S1318" t="str">
        <f>"12/16/2019 4:38:50 PM"</f>
        <v>12/16/2019 4:38:50 PM</v>
      </c>
      <c r="T1318" t="str">
        <f>"2"</f>
        <v>2</v>
      </c>
      <c r="U1318" t="str">
        <f t="shared" si="539"/>
        <v>N/A</v>
      </c>
      <c r="V1318" t="str">
        <f>"13.2000"</f>
        <v>13.2000</v>
      </c>
    </row>
    <row r="1319" spans="1:22" x14ac:dyDescent="0.25">
      <c r="A1319" s="1" t="str">
        <f t="shared" si="526"/>
        <v>5153-</v>
      </c>
      <c r="B1319" s="1" t="str">
        <f t="shared" si="540"/>
        <v>5153-</v>
      </c>
      <c r="C1319" s="1" t="s">
        <v>8896</v>
      </c>
      <c r="D1319" s="1" t="s">
        <v>91</v>
      </c>
      <c r="E1319" s="1" t="s">
        <v>1738</v>
      </c>
      <c r="F1319" s="1" t="s">
        <v>22</v>
      </c>
      <c r="G1319" s="1" t="e">
        <f>VLOOKUP(C1319,'Master truck list'!E:R,14,0)</f>
        <v>#N/A</v>
      </c>
      <c r="H1319" t="str">
        <f>"12/17/2019 7:00:33 AM"</f>
        <v>12/17/2019 7:00:33 AM</v>
      </c>
      <c r="I1319" t="str">
        <f>""</f>
        <v/>
      </c>
      <c r="J1319" t="str">
        <f t="shared" si="532"/>
        <v>Elite</v>
      </c>
      <c r="K1319" t="str">
        <f t="shared" si="547"/>
        <v>Device</v>
      </c>
      <c r="L1319" t="str">
        <f t="shared" si="549"/>
        <v>777260432</v>
      </c>
      <c r="M1319" t="str">
        <f t="shared" si="550"/>
        <v>16758589</v>
      </c>
      <c r="N1319" t="str">
        <f t="shared" si="551"/>
        <v>5153-20</v>
      </c>
      <c r="O1319" t="str">
        <f t="shared" si="536"/>
        <v>TEXAS</v>
      </c>
      <c r="P1319" t="str">
        <f t="shared" si="537"/>
        <v>N A</v>
      </c>
      <c r="Q1319" t="str">
        <f t="shared" si="538"/>
        <v>N/A</v>
      </c>
      <c r="R1319" t="str">
        <f>"45SE MLPEB 02 611"</f>
        <v>45SE MLPEB 02 611</v>
      </c>
      <c r="S1319" t="str">
        <f>"12/16/2019 12:37:45 PM"</f>
        <v>12/16/2019 12:37:45 PM</v>
      </c>
      <c r="T1319" t="str">
        <f t="shared" ref="T1319:T1382" si="552">"5"</f>
        <v>5</v>
      </c>
      <c r="U1319" t="str">
        <f t="shared" si="539"/>
        <v>N/A</v>
      </c>
      <c r="V1319" t="str">
        <f>"3.3000"</f>
        <v>3.3000</v>
      </c>
    </row>
    <row r="1320" spans="1:22" x14ac:dyDescent="0.25">
      <c r="A1320" s="1" t="str">
        <f t="shared" si="526"/>
        <v>5153-</v>
      </c>
      <c r="B1320" s="1" t="str">
        <f t="shared" si="540"/>
        <v>5153-</v>
      </c>
      <c r="C1320" s="1" t="s">
        <v>8896</v>
      </c>
      <c r="D1320" s="1" t="s">
        <v>91</v>
      </c>
      <c r="E1320" s="1" t="s">
        <v>1738</v>
      </c>
      <c r="F1320" s="1" t="s">
        <v>22</v>
      </c>
      <c r="G1320" s="1" t="e">
        <f>VLOOKUP(C1320,'Master truck list'!E:R,14,0)</f>
        <v>#N/A</v>
      </c>
      <c r="H1320" t="str">
        <f>"12/17/2019 7:00:33 AM"</f>
        <v>12/17/2019 7:00:33 AM</v>
      </c>
      <c r="I1320" t="str">
        <f>""</f>
        <v/>
      </c>
      <c r="J1320" t="str">
        <f t="shared" si="532"/>
        <v>Elite</v>
      </c>
      <c r="K1320" t="str">
        <f t="shared" si="547"/>
        <v>Device</v>
      </c>
      <c r="L1320" t="str">
        <f t="shared" si="549"/>
        <v>777260432</v>
      </c>
      <c r="M1320" t="str">
        <f t="shared" si="550"/>
        <v>16758589</v>
      </c>
      <c r="N1320" t="str">
        <f t="shared" si="551"/>
        <v>5153-20</v>
      </c>
      <c r="O1320" t="str">
        <f t="shared" si="536"/>
        <v>TEXAS</v>
      </c>
      <c r="P1320" t="str">
        <f t="shared" si="537"/>
        <v>N A</v>
      </c>
      <c r="Q1320" t="str">
        <f t="shared" si="538"/>
        <v>N/A</v>
      </c>
      <c r="R1320" t="str">
        <f>"130 ARPTP 09 308"</f>
        <v>130 ARPTP 09 308</v>
      </c>
      <c r="S1320" t="str">
        <f>"12/16/2019 12:48:22 PM"</f>
        <v>12/16/2019 12:48:22 PM</v>
      </c>
      <c r="T1320" t="str">
        <f t="shared" si="552"/>
        <v>5</v>
      </c>
      <c r="U1320" t="str">
        <f t="shared" si="539"/>
        <v>N/A</v>
      </c>
      <c r="V1320" t="str">
        <f>"5.5500"</f>
        <v>5.5500</v>
      </c>
    </row>
    <row r="1321" spans="1:22" x14ac:dyDescent="0.25">
      <c r="A1321" s="1" t="str">
        <f t="shared" si="526"/>
        <v>5153-</v>
      </c>
      <c r="B1321" s="1" t="str">
        <f t="shared" si="540"/>
        <v>5153-</v>
      </c>
      <c r="C1321" s="1" t="s">
        <v>8896</v>
      </c>
      <c r="D1321" s="1" t="s">
        <v>91</v>
      </c>
      <c r="E1321" s="1" t="s">
        <v>1738</v>
      </c>
      <c r="F1321" s="1" t="s">
        <v>22</v>
      </c>
      <c r="G1321" s="1" t="e">
        <f>VLOOKUP(C1321,'Master truck list'!E:R,14,0)</f>
        <v>#N/A</v>
      </c>
      <c r="H1321" t="str">
        <f>"12/18/2019 7:00:28 AM"</f>
        <v>12/18/2019 7:00:28 AM</v>
      </c>
      <c r="I1321" t="str">
        <f>""</f>
        <v/>
      </c>
      <c r="J1321" t="str">
        <f t="shared" si="532"/>
        <v>Elite</v>
      </c>
      <c r="K1321" t="str">
        <f t="shared" si="547"/>
        <v>Device</v>
      </c>
      <c r="L1321" t="str">
        <f t="shared" si="549"/>
        <v>777260432</v>
      </c>
      <c r="M1321" t="str">
        <f t="shared" si="550"/>
        <v>16758589</v>
      </c>
      <c r="N1321" t="str">
        <f t="shared" si="551"/>
        <v>5153-20</v>
      </c>
      <c r="O1321" t="str">
        <f t="shared" si="536"/>
        <v>TEXAS</v>
      </c>
      <c r="P1321" t="str">
        <f t="shared" si="537"/>
        <v>N A</v>
      </c>
      <c r="Q1321" t="str">
        <f t="shared" si="538"/>
        <v>N/A</v>
      </c>
      <c r="R1321" t="str">
        <f>"130 ARPTP 04 308"</f>
        <v>130 ARPTP 04 308</v>
      </c>
      <c r="S1321" t="str">
        <f>"12/17/2019 9:28:43 AM"</f>
        <v>12/17/2019 9:28:43 AM</v>
      </c>
      <c r="T1321" t="str">
        <f t="shared" si="552"/>
        <v>5</v>
      </c>
      <c r="U1321" t="str">
        <f t="shared" si="539"/>
        <v>N/A</v>
      </c>
      <c r="V1321" t="str">
        <f>"5.5500"</f>
        <v>5.5500</v>
      </c>
    </row>
    <row r="1322" spans="1:22" x14ac:dyDescent="0.25">
      <c r="A1322" s="1" t="str">
        <f t="shared" si="526"/>
        <v>5153-</v>
      </c>
      <c r="B1322" s="1" t="str">
        <f t="shared" si="540"/>
        <v>5153-</v>
      </c>
      <c r="C1322" s="1" t="s">
        <v>8896</v>
      </c>
      <c r="D1322" s="1" t="s">
        <v>91</v>
      </c>
      <c r="E1322" s="1" t="s">
        <v>1738</v>
      </c>
      <c r="F1322" s="1" t="s">
        <v>22</v>
      </c>
      <c r="G1322" s="1" t="e">
        <f>VLOOKUP(C1322,'Master truck list'!E:R,14,0)</f>
        <v>#N/A</v>
      </c>
      <c r="H1322" t="str">
        <f>"12/18/2019 7:00:28 AM"</f>
        <v>12/18/2019 7:00:28 AM</v>
      </c>
      <c r="I1322" t="str">
        <f>""</f>
        <v/>
      </c>
      <c r="J1322" t="str">
        <f t="shared" si="532"/>
        <v>Elite</v>
      </c>
      <c r="K1322" t="str">
        <f t="shared" si="547"/>
        <v>Device</v>
      </c>
      <c r="L1322" t="str">
        <f t="shared" si="549"/>
        <v>777260432</v>
      </c>
      <c r="M1322" t="str">
        <f t="shared" si="550"/>
        <v>16758589</v>
      </c>
      <c r="N1322" t="str">
        <f t="shared" si="551"/>
        <v>5153-20</v>
      </c>
      <c r="O1322" t="str">
        <f t="shared" si="536"/>
        <v>TEXAS</v>
      </c>
      <c r="P1322" t="str">
        <f t="shared" si="537"/>
        <v>N A</v>
      </c>
      <c r="Q1322" t="str">
        <f t="shared" si="538"/>
        <v>N/A</v>
      </c>
      <c r="R1322" t="str">
        <f>"130 CMRNP 08 306"</f>
        <v>130 CMRNP 08 306</v>
      </c>
      <c r="S1322" t="str">
        <f>"12/17/2019 9:11:52 AM"</f>
        <v>12/17/2019 9:11:52 AM</v>
      </c>
      <c r="T1322" t="str">
        <f t="shared" si="552"/>
        <v>5</v>
      </c>
      <c r="U1322" t="str">
        <f t="shared" si="539"/>
        <v>N/A</v>
      </c>
      <c r="V1322" t="str">
        <f>"5.5500"</f>
        <v>5.5500</v>
      </c>
    </row>
    <row r="1323" spans="1:22" x14ac:dyDescent="0.25">
      <c r="A1323" s="1" t="str">
        <f t="shared" si="526"/>
        <v>5153-</v>
      </c>
      <c r="B1323" s="1" t="str">
        <f t="shared" si="540"/>
        <v>5153-</v>
      </c>
      <c r="C1323" s="1" t="s">
        <v>8896</v>
      </c>
      <c r="D1323" s="1" t="s">
        <v>91</v>
      </c>
      <c r="E1323" s="1" t="s">
        <v>1738</v>
      </c>
      <c r="F1323" s="1" t="s">
        <v>22</v>
      </c>
      <c r="G1323" s="1" t="e">
        <f>VLOOKUP(C1323,'Master truck list'!E:R,14,0)</f>
        <v>#N/A</v>
      </c>
      <c r="H1323" t="str">
        <f>"12/18/2019 7:00:28 AM"</f>
        <v>12/18/2019 7:00:28 AM</v>
      </c>
      <c r="I1323" t="str">
        <f>""</f>
        <v/>
      </c>
      <c r="J1323" t="str">
        <f t="shared" si="532"/>
        <v>Elite</v>
      </c>
      <c r="K1323" t="str">
        <f t="shared" si="547"/>
        <v>Device</v>
      </c>
      <c r="L1323" t="str">
        <f t="shared" si="549"/>
        <v>777260432</v>
      </c>
      <c r="M1323" t="str">
        <f t="shared" si="550"/>
        <v>16758589</v>
      </c>
      <c r="N1323" t="str">
        <f t="shared" si="551"/>
        <v>5153-20</v>
      </c>
      <c r="O1323" t="str">
        <f t="shared" si="536"/>
        <v>TEXAS</v>
      </c>
      <c r="P1323" t="str">
        <f t="shared" si="537"/>
        <v>N A</v>
      </c>
      <c r="Q1323" t="str">
        <f t="shared" si="538"/>
        <v>N/A</v>
      </c>
      <c r="R1323" t="str">
        <f>"45SE MLPWB 01 611"</f>
        <v>45SE MLPWB 01 611</v>
      </c>
      <c r="S1323" t="str">
        <f>"12/17/2019 9:39:15 AM"</f>
        <v>12/17/2019 9:39:15 AM</v>
      </c>
      <c r="T1323" t="str">
        <f t="shared" si="552"/>
        <v>5</v>
      </c>
      <c r="U1323" t="str">
        <f t="shared" si="539"/>
        <v>N/A</v>
      </c>
      <c r="V1323" t="str">
        <f>"3.3000"</f>
        <v>3.3000</v>
      </c>
    </row>
    <row r="1324" spans="1:22" x14ac:dyDescent="0.25">
      <c r="A1324" s="1" t="str">
        <f t="shared" si="526"/>
        <v>5153-</v>
      </c>
      <c r="B1324" s="1" t="str">
        <f t="shared" si="540"/>
        <v>5153-</v>
      </c>
      <c r="C1324" s="1" t="s">
        <v>8896</v>
      </c>
      <c r="D1324" s="1" t="s">
        <v>91</v>
      </c>
      <c r="E1324" s="1" t="s">
        <v>1738</v>
      </c>
      <c r="F1324" s="1" t="s">
        <v>22</v>
      </c>
      <c r="G1324" s="1" t="e">
        <f>VLOOKUP(C1324,'Master truck list'!E:R,14,0)</f>
        <v>#N/A</v>
      </c>
      <c r="H1324" t="str">
        <f t="shared" ref="H1324:H1330" si="553">"12/19/2019 7:00:35 AM"</f>
        <v>12/19/2019 7:00:35 AM</v>
      </c>
      <c r="I1324" t="str">
        <f>""</f>
        <v/>
      </c>
      <c r="J1324" t="str">
        <f t="shared" si="532"/>
        <v>Elite</v>
      </c>
      <c r="K1324" t="str">
        <f t="shared" si="547"/>
        <v>Device</v>
      </c>
      <c r="L1324" t="str">
        <f t="shared" si="549"/>
        <v>777260432</v>
      </c>
      <c r="M1324" t="str">
        <f t="shared" si="550"/>
        <v>16758589</v>
      </c>
      <c r="N1324" t="str">
        <f t="shared" si="551"/>
        <v>5153-20</v>
      </c>
      <c r="O1324" t="str">
        <f t="shared" si="536"/>
        <v>TEXAS</v>
      </c>
      <c r="P1324" t="str">
        <f t="shared" si="537"/>
        <v>N A</v>
      </c>
      <c r="Q1324" t="str">
        <f t="shared" si="538"/>
        <v>N/A</v>
      </c>
      <c r="R1324" t="str">
        <f>"130 ARPTP 04 308"</f>
        <v>130 ARPTP 04 308</v>
      </c>
      <c r="S1324" t="str">
        <f>"12/18/2019 1:50:05 PM"</f>
        <v>12/18/2019 1:50:05 PM</v>
      </c>
      <c r="T1324" t="str">
        <f t="shared" si="552"/>
        <v>5</v>
      </c>
      <c r="U1324" t="str">
        <f t="shared" si="539"/>
        <v>N/A</v>
      </c>
      <c r="V1324" t="str">
        <f>"5.5500"</f>
        <v>5.5500</v>
      </c>
    </row>
    <row r="1325" spans="1:22" x14ac:dyDescent="0.25">
      <c r="A1325" s="1" t="str">
        <f t="shared" si="526"/>
        <v>5153-</v>
      </c>
      <c r="B1325" s="1" t="str">
        <f t="shared" si="540"/>
        <v>5153-</v>
      </c>
      <c r="C1325" s="1" t="s">
        <v>8896</v>
      </c>
      <c r="D1325" s="1" t="s">
        <v>91</v>
      </c>
      <c r="E1325" s="1" t="s">
        <v>1738</v>
      </c>
      <c r="F1325" s="1" t="s">
        <v>22</v>
      </c>
      <c r="G1325" s="1" t="e">
        <f>VLOOKUP(C1325,'Master truck list'!E:R,14,0)</f>
        <v>#N/A</v>
      </c>
      <c r="H1325" t="str">
        <f t="shared" si="553"/>
        <v>12/19/2019 7:00:35 AM</v>
      </c>
      <c r="I1325" t="str">
        <f>""</f>
        <v/>
      </c>
      <c r="J1325" t="str">
        <f t="shared" si="532"/>
        <v>Elite</v>
      </c>
      <c r="K1325" t="str">
        <f t="shared" si="547"/>
        <v>Device</v>
      </c>
      <c r="L1325" t="str">
        <f t="shared" si="549"/>
        <v>777260432</v>
      </c>
      <c r="M1325" t="str">
        <f t="shared" si="550"/>
        <v>16758589</v>
      </c>
      <c r="N1325" t="str">
        <f t="shared" si="551"/>
        <v>5153-20</v>
      </c>
      <c r="O1325" t="str">
        <f t="shared" si="536"/>
        <v>TEXAS</v>
      </c>
      <c r="P1325" t="str">
        <f t="shared" si="537"/>
        <v>N A</v>
      </c>
      <c r="Q1325" t="str">
        <f t="shared" si="538"/>
        <v>N/A</v>
      </c>
      <c r="R1325" t="str">
        <f>"130 ARPTP 09 308"</f>
        <v>130 ARPTP 09 308</v>
      </c>
      <c r="S1325" t="str">
        <f>"12/18/2019 5:53:04 AM"</f>
        <v>12/18/2019 5:53:04 AM</v>
      </c>
      <c r="T1325" t="str">
        <f t="shared" si="552"/>
        <v>5</v>
      </c>
      <c r="U1325" t="str">
        <f t="shared" si="539"/>
        <v>N/A</v>
      </c>
      <c r="V1325" t="str">
        <f>"5.5500"</f>
        <v>5.5500</v>
      </c>
    </row>
    <row r="1326" spans="1:22" x14ac:dyDescent="0.25">
      <c r="A1326" s="1" t="str">
        <f t="shared" ref="A1326:A1389" si="554">LEFT(N1326,5)</f>
        <v>5153-</v>
      </c>
      <c r="B1326" s="1" t="str">
        <f t="shared" si="540"/>
        <v>5153-</v>
      </c>
      <c r="C1326" s="1" t="s">
        <v>8896</v>
      </c>
      <c r="D1326" s="1" t="s">
        <v>91</v>
      </c>
      <c r="E1326" s="1" t="s">
        <v>1738</v>
      </c>
      <c r="F1326" s="1" t="s">
        <v>22</v>
      </c>
      <c r="G1326" s="1" t="e">
        <f>VLOOKUP(C1326,'Master truck list'!E:R,14,0)</f>
        <v>#N/A</v>
      </c>
      <c r="H1326" t="str">
        <f t="shared" si="553"/>
        <v>12/19/2019 7:00:35 AM</v>
      </c>
      <c r="I1326" t="str">
        <f>""</f>
        <v/>
      </c>
      <c r="J1326" t="str">
        <f t="shared" si="532"/>
        <v>Elite</v>
      </c>
      <c r="K1326" t="str">
        <f t="shared" si="547"/>
        <v>Device</v>
      </c>
      <c r="L1326" t="str">
        <f t="shared" si="549"/>
        <v>777260432</v>
      </c>
      <c r="M1326" t="str">
        <f t="shared" si="550"/>
        <v>16758589</v>
      </c>
      <c r="N1326" t="str">
        <f t="shared" si="551"/>
        <v>5153-20</v>
      </c>
      <c r="O1326" t="str">
        <f t="shared" si="536"/>
        <v>TEXAS</v>
      </c>
      <c r="P1326" t="str">
        <f t="shared" si="537"/>
        <v>N A</v>
      </c>
      <c r="Q1326" t="str">
        <f t="shared" si="538"/>
        <v>N/A</v>
      </c>
      <c r="R1326" t="str">
        <f>"130 CMRNP 08 306"</f>
        <v>130 CMRNP 08 306</v>
      </c>
      <c r="S1326" t="str">
        <f>"12/18/2019 1:33:34 PM"</f>
        <v>12/18/2019 1:33:34 PM</v>
      </c>
      <c r="T1326" t="str">
        <f t="shared" si="552"/>
        <v>5</v>
      </c>
      <c r="U1326" t="str">
        <f t="shared" si="539"/>
        <v>N/A</v>
      </c>
      <c r="V1326" t="str">
        <f>"5.5500"</f>
        <v>5.5500</v>
      </c>
    </row>
    <row r="1327" spans="1:22" x14ac:dyDescent="0.25">
      <c r="A1327" s="1" t="str">
        <f t="shared" si="554"/>
        <v>5153-</v>
      </c>
      <c r="B1327" s="1" t="str">
        <f t="shared" si="540"/>
        <v>5153-</v>
      </c>
      <c r="C1327" s="1" t="s">
        <v>8896</v>
      </c>
      <c r="D1327" s="1" t="s">
        <v>91</v>
      </c>
      <c r="E1327" s="1" t="s">
        <v>1738</v>
      </c>
      <c r="F1327" s="1" t="s">
        <v>22</v>
      </c>
      <c r="G1327" s="1" t="e">
        <f>VLOOKUP(C1327,'Master truck list'!E:R,14,0)</f>
        <v>#N/A</v>
      </c>
      <c r="H1327" t="str">
        <f t="shared" si="553"/>
        <v>12/19/2019 7:00:35 AM</v>
      </c>
      <c r="I1327" t="str">
        <f>""</f>
        <v/>
      </c>
      <c r="J1327" t="str">
        <f t="shared" si="532"/>
        <v>Elite</v>
      </c>
      <c r="K1327" t="str">
        <f t="shared" si="547"/>
        <v>Device</v>
      </c>
      <c r="L1327" t="str">
        <f t="shared" si="549"/>
        <v>777260432</v>
      </c>
      <c r="M1327" t="str">
        <f t="shared" si="550"/>
        <v>16758589</v>
      </c>
      <c r="N1327" t="str">
        <f t="shared" si="551"/>
        <v>5153-20</v>
      </c>
      <c r="O1327" t="str">
        <f t="shared" si="536"/>
        <v>TEXAS</v>
      </c>
      <c r="P1327" t="str">
        <f t="shared" si="537"/>
        <v>N A</v>
      </c>
      <c r="Q1327" t="str">
        <f t="shared" si="538"/>
        <v>N/A</v>
      </c>
      <c r="R1327" t="str">
        <f>"45SE MLPWB 01 611"</f>
        <v>45SE MLPWB 01 611</v>
      </c>
      <c r="S1327" t="str">
        <f>"12/18/2019 2:00:33 PM"</f>
        <v>12/18/2019 2:00:33 PM</v>
      </c>
      <c r="T1327" t="str">
        <f t="shared" si="552"/>
        <v>5</v>
      </c>
      <c r="U1327" t="str">
        <f t="shared" si="539"/>
        <v>N/A</v>
      </c>
      <c r="V1327" t="str">
        <f>"3.3000"</f>
        <v>3.3000</v>
      </c>
    </row>
    <row r="1328" spans="1:22" x14ac:dyDescent="0.25">
      <c r="A1328" s="1" t="str">
        <f t="shared" si="554"/>
        <v>5153-</v>
      </c>
      <c r="B1328" s="1" t="str">
        <f t="shared" si="540"/>
        <v>5153-</v>
      </c>
      <c r="C1328" s="1" t="s">
        <v>8896</v>
      </c>
      <c r="D1328" s="1" t="s">
        <v>91</v>
      </c>
      <c r="E1328" s="1" t="s">
        <v>1738</v>
      </c>
      <c r="F1328" s="1" t="s">
        <v>22</v>
      </c>
      <c r="G1328" s="1" t="e">
        <f>VLOOKUP(C1328,'Master truck list'!E:R,14,0)</f>
        <v>#N/A</v>
      </c>
      <c r="H1328" t="str">
        <f t="shared" si="553"/>
        <v>12/19/2019 7:00:35 AM</v>
      </c>
      <c r="I1328" t="str">
        <f>""</f>
        <v/>
      </c>
      <c r="J1328" t="str">
        <f t="shared" si="532"/>
        <v>Elite</v>
      </c>
      <c r="K1328" t="str">
        <f t="shared" si="547"/>
        <v>Device</v>
      </c>
      <c r="L1328" t="str">
        <f t="shared" si="549"/>
        <v>777260432</v>
      </c>
      <c r="M1328" t="str">
        <f t="shared" si="550"/>
        <v>16758589</v>
      </c>
      <c r="N1328" t="str">
        <f t="shared" si="551"/>
        <v>5153-20</v>
      </c>
      <c r="O1328" t="str">
        <f t="shared" si="536"/>
        <v>TEXAS</v>
      </c>
      <c r="P1328" t="str">
        <f t="shared" si="537"/>
        <v>N A</v>
      </c>
      <c r="Q1328" t="str">
        <f t="shared" si="538"/>
        <v>N/A</v>
      </c>
      <c r="R1328" t="str">
        <f>"130 MGCRP 11 305"</f>
        <v>130 MGCRP 11 305</v>
      </c>
      <c r="S1328" t="str">
        <f>"12/18/2019 6:21:14 AM"</f>
        <v>12/18/2019 6:21:14 AM</v>
      </c>
      <c r="T1328" t="str">
        <f t="shared" si="552"/>
        <v>5</v>
      </c>
      <c r="U1328" t="str">
        <f t="shared" si="539"/>
        <v>N/A</v>
      </c>
      <c r="V1328" t="str">
        <f>"5.5500"</f>
        <v>5.5500</v>
      </c>
    </row>
    <row r="1329" spans="1:22" x14ac:dyDescent="0.25">
      <c r="A1329" s="1" t="str">
        <f t="shared" si="554"/>
        <v>5153-</v>
      </c>
      <c r="B1329" s="1" t="str">
        <f t="shared" si="540"/>
        <v>5153-</v>
      </c>
      <c r="C1329" s="1" t="s">
        <v>8896</v>
      </c>
      <c r="D1329" s="1" t="s">
        <v>91</v>
      </c>
      <c r="E1329" s="1" t="s">
        <v>1738</v>
      </c>
      <c r="F1329" s="1" t="s">
        <v>22</v>
      </c>
      <c r="G1329" s="1" t="e">
        <f>VLOOKUP(C1329,'Master truck list'!E:R,14,0)</f>
        <v>#N/A</v>
      </c>
      <c r="H1329" t="str">
        <f t="shared" si="553"/>
        <v>12/19/2019 7:00:35 AM</v>
      </c>
      <c r="I1329" t="str">
        <f>""</f>
        <v/>
      </c>
      <c r="J1329" t="str">
        <f t="shared" si="532"/>
        <v>Elite</v>
      </c>
      <c r="K1329" t="str">
        <f t="shared" si="547"/>
        <v>Device</v>
      </c>
      <c r="L1329" t="str">
        <f t="shared" si="549"/>
        <v>777260432</v>
      </c>
      <c r="M1329" t="str">
        <f t="shared" si="550"/>
        <v>16758589</v>
      </c>
      <c r="N1329" t="str">
        <f t="shared" si="551"/>
        <v>5153-20</v>
      </c>
      <c r="O1329" t="str">
        <f t="shared" si="536"/>
        <v>TEXAS</v>
      </c>
      <c r="P1329" t="str">
        <f t="shared" si="537"/>
        <v>N A</v>
      </c>
      <c r="Q1329" t="str">
        <f t="shared" si="538"/>
        <v>N/A</v>
      </c>
      <c r="R1329" t="str">
        <f>"45SE MLPEB 02 611"</f>
        <v>45SE MLPEB 02 611</v>
      </c>
      <c r="S1329" t="str">
        <f>"12/18/2019 5:42:29 AM"</f>
        <v>12/18/2019 5:42:29 AM</v>
      </c>
      <c r="T1329" t="str">
        <f t="shared" si="552"/>
        <v>5</v>
      </c>
      <c r="U1329" t="str">
        <f t="shared" si="539"/>
        <v>N/A</v>
      </c>
      <c r="V1329" t="str">
        <f>"3.3000"</f>
        <v>3.3000</v>
      </c>
    </row>
    <row r="1330" spans="1:22" x14ac:dyDescent="0.25">
      <c r="A1330" s="1" t="str">
        <f t="shared" si="554"/>
        <v>5153-</v>
      </c>
      <c r="B1330" s="1" t="str">
        <f t="shared" si="540"/>
        <v>5153-</v>
      </c>
      <c r="C1330" s="1" t="s">
        <v>8896</v>
      </c>
      <c r="D1330" s="1" t="s">
        <v>91</v>
      </c>
      <c r="E1330" s="1" t="s">
        <v>1738</v>
      </c>
      <c r="F1330" s="1" t="s">
        <v>22</v>
      </c>
      <c r="G1330" s="1" t="e">
        <f>VLOOKUP(C1330,'Master truck list'!E:R,14,0)</f>
        <v>#N/A</v>
      </c>
      <c r="H1330" t="str">
        <f t="shared" si="553"/>
        <v>12/19/2019 7:00:35 AM</v>
      </c>
      <c r="I1330" t="str">
        <f>""</f>
        <v/>
      </c>
      <c r="J1330" t="str">
        <f t="shared" si="532"/>
        <v>Elite</v>
      </c>
      <c r="K1330" t="str">
        <f t="shared" si="547"/>
        <v>Device</v>
      </c>
      <c r="L1330" t="str">
        <f t="shared" si="549"/>
        <v>777260432</v>
      </c>
      <c r="M1330" t="str">
        <f t="shared" si="550"/>
        <v>16758589</v>
      </c>
      <c r="N1330" t="str">
        <f t="shared" si="551"/>
        <v>5153-20</v>
      </c>
      <c r="O1330" t="str">
        <f t="shared" si="536"/>
        <v>TEXAS</v>
      </c>
      <c r="P1330" t="str">
        <f t="shared" si="537"/>
        <v>N A</v>
      </c>
      <c r="Q1330" t="str">
        <f t="shared" si="538"/>
        <v>N/A</v>
      </c>
      <c r="R1330" t="str">
        <f>"130 MGCRP 06 305"</f>
        <v>130 MGCRP 06 305</v>
      </c>
      <c r="S1330" t="str">
        <f>"12/18/2019 1:22:40 PM"</f>
        <v>12/18/2019 1:22:40 PM</v>
      </c>
      <c r="T1330" t="str">
        <f t="shared" si="552"/>
        <v>5</v>
      </c>
      <c r="U1330" t="str">
        <f t="shared" si="539"/>
        <v>N/A</v>
      </c>
      <c r="V1330" t="str">
        <f t="shared" ref="V1330:V1340" si="555">"5.5500"</f>
        <v>5.5500</v>
      </c>
    </row>
    <row r="1331" spans="1:22" x14ac:dyDescent="0.25">
      <c r="A1331" s="1" t="str">
        <f t="shared" si="554"/>
        <v>5153-</v>
      </c>
      <c r="B1331" s="1" t="str">
        <f t="shared" si="540"/>
        <v>5153-</v>
      </c>
      <c r="C1331" s="1" t="s">
        <v>8896</v>
      </c>
      <c r="D1331" s="1" t="s">
        <v>91</v>
      </c>
      <c r="E1331" s="1" t="s">
        <v>1738</v>
      </c>
      <c r="F1331" s="1" t="s">
        <v>22</v>
      </c>
      <c r="G1331" s="1" t="e">
        <f>VLOOKUP(C1331,'Master truck list'!E:R,14,0)</f>
        <v>#N/A</v>
      </c>
      <c r="H1331" t="str">
        <f>"12/18/2019 7:00:28 AM"</f>
        <v>12/18/2019 7:00:28 AM</v>
      </c>
      <c r="I1331" t="str">
        <f>""</f>
        <v/>
      </c>
      <c r="J1331" t="str">
        <f t="shared" si="532"/>
        <v>Elite</v>
      </c>
      <c r="K1331" t="str">
        <f t="shared" si="547"/>
        <v>Device</v>
      </c>
      <c r="L1331" t="str">
        <f t="shared" si="549"/>
        <v>777260432</v>
      </c>
      <c r="M1331" t="str">
        <f t="shared" si="550"/>
        <v>16758589</v>
      </c>
      <c r="N1331" t="str">
        <f t="shared" si="551"/>
        <v>5153-20</v>
      </c>
      <c r="O1331" t="str">
        <f t="shared" si="536"/>
        <v>TEXAS</v>
      </c>
      <c r="P1331" t="str">
        <f t="shared" si="537"/>
        <v>N A</v>
      </c>
      <c r="Q1331" t="str">
        <f t="shared" si="538"/>
        <v>N/A</v>
      </c>
      <c r="R1331" t="str">
        <f>"130 MGCRP 06 305"</f>
        <v>130 MGCRP 06 305</v>
      </c>
      <c r="S1331" t="str">
        <f>"12/17/2019 9:00:58 AM"</f>
        <v>12/17/2019 9:00:58 AM</v>
      </c>
      <c r="T1331" t="str">
        <f t="shared" si="552"/>
        <v>5</v>
      </c>
      <c r="U1331" t="str">
        <f t="shared" si="539"/>
        <v>N/A</v>
      </c>
      <c r="V1331" t="str">
        <f t="shared" si="555"/>
        <v>5.5500</v>
      </c>
    </row>
    <row r="1332" spans="1:22" x14ac:dyDescent="0.25">
      <c r="A1332" s="1" t="str">
        <f t="shared" si="554"/>
        <v>5153-</v>
      </c>
      <c r="B1332" s="1" t="str">
        <f t="shared" si="540"/>
        <v>5153-</v>
      </c>
      <c r="C1332" s="1" t="s">
        <v>8896</v>
      </c>
      <c r="D1332" s="1" t="s">
        <v>91</v>
      </c>
      <c r="E1332" s="1" t="s">
        <v>1738</v>
      </c>
      <c r="F1332" s="1" t="s">
        <v>22</v>
      </c>
      <c r="G1332" s="1" t="e">
        <f>VLOOKUP(C1332,'Master truck list'!E:R,14,0)</f>
        <v>#N/A</v>
      </c>
      <c r="H1332" t="str">
        <f>"12/18/2019 7:00:28 AM"</f>
        <v>12/18/2019 7:00:28 AM</v>
      </c>
      <c r="I1332" t="str">
        <f>""</f>
        <v/>
      </c>
      <c r="J1332" t="str">
        <f t="shared" si="532"/>
        <v>Elite</v>
      </c>
      <c r="K1332" t="str">
        <f t="shared" si="547"/>
        <v>Device</v>
      </c>
      <c r="L1332" t="str">
        <f t="shared" si="549"/>
        <v>777260432</v>
      </c>
      <c r="M1332" t="str">
        <f t="shared" si="550"/>
        <v>16758589</v>
      </c>
      <c r="N1332" t="str">
        <f t="shared" si="551"/>
        <v>5153-20</v>
      </c>
      <c r="O1332" t="str">
        <f t="shared" si="536"/>
        <v>TEXAS</v>
      </c>
      <c r="P1332" t="str">
        <f t="shared" si="537"/>
        <v>N A</v>
      </c>
      <c r="Q1332" t="str">
        <f t="shared" si="538"/>
        <v>N/A</v>
      </c>
      <c r="R1332" t="str">
        <f>"130 DKCRP 06 307"</f>
        <v>130 DKCRP 06 307</v>
      </c>
      <c r="S1332" t="str">
        <f>"12/17/2019 9:21:48 AM"</f>
        <v>12/17/2019 9:21:48 AM</v>
      </c>
      <c r="T1332" t="str">
        <f t="shared" si="552"/>
        <v>5</v>
      </c>
      <c r="U1332" t="str">
        <f t="shared" si="539"/>
        <v>N/A</v>
      </c>
      <c r="V1332" t="str">
        <f t="shared" si="555"/>
        <v>5.5500</v>
      </c>
    </row>
    <row r="1333" spans="1:22" x14ac:dyDescent="0.25">
      <c r="A1333" s="1" t="str">
        <f t="shared" si="554"/>
        <v>5153-</v>
      </c>
      <c r="B1333" s="1" t="str">
        <f t="shared" si="540"/>
        <v>5153-</v>
      </c>
      <c r="C1333" s="1" t="s">
        <v>8896</v>
      </c>
      <c r="D1333" s="1" t="s">
        <v>91</v>
      </c>
      <c r="E1333" s="1" t="s">
        <v>1738</v>
      </c>
      <c r="F1333" s="1" t="s">
        <v>22</v>
      </c>
      <c r="G1333" s="1" t="e">
        <f>VLOOKUP(C1333,'Master truck list'!E:R,14,0)</f>
        <v>#N/A</v>
      </c>
      <c r="H1333" t="str">
        <f>"12/19/2019 7:00:35 AM"</f>
        <v>12/19/2019 7:00:35 AM</v>
      </c>
      <c r="I1333" t="str">
        <f>""</f>
        <v/>
      </c>
      <c r="J1333" t="str">
        <f t="shared" si="532"/>
        <v>Elite</v>
      </c>
      <c r="K1333" t="str">
        <f t="shared" si="547"/>
        <v>Device</v>
      </c>
      <c r="L1333" t="str">
        <f t="shared" si="549"/>
        <v>777260432</v>
      </c>
      <c r="M1333" t="str">
        <f t="shared" si="550"/>
        <v>16758589</v>
      </c>
      <c r="N1333" t="str">
        <f t="shared" si="551"/>
        <v>5153-20</v>
      </c>
      <c r="O1333" t="str">
        <f t="shared" si="536"/>
        <v>TEXAS</v>
      </c>
      <c r="P1333" t="str">
        <f t="shared" si="537"/>
        <v>N A</v>
      </c>
      <c r="Q1333" t="str">
        <f t="shared" si="538"/>
        <v>N/A</v>
      </c>
      <c r="R1333" t="str">
        <f>"130 CMRNP 13 306"</f>
        <v>130 CMRNP 13 306</v>
      </c>
      <c r="S1333" t="str">
        <f>"12/18/2019 6:10:08 AM"</f>
        <v>12/18/2019 6:10:08 AM</v>
      </c>
      <c r="T1333" t="str">
        <f t="shared" si="552"/>
        <v>5</v>
      </c>
      <c r="U1333" t="str">
        <f t="shared" si="539"/>
        <v>N/A</v>
      </c>
      <c r="V1333" t="str">
        <f t="shared" si="555"/>
        <v>5.5500</v>
      </c>
    </row>
    <row r="1334" spans="1:22" x14ac:dyDescent="0.25">
      <c r="A1334" s="1" t="str">
        <f t="shared" si="554"/>
        <v>5153-</v>
      </c>
      <c r="B1334" s="1" t="str">
        <f t="shared" si="540"/>
        <v>5153-</v>
      </c>
      <c r="C1334" s="1" t="s">
        <v>8896</v>
      </c>
      <c r="D1334" s="1" t="s">
        <v>91</v>
      </c>
      <c r="E1334" s="1" t="s">
        <v>1738</v>
      </c>
      <c r="F1334" s="1" t="s">
        <v>22</v>
      </c>
      <c r="G1334" s="1" t="e">
        <f>VLOOKUP(C1334,'Master truck list'!E:R,14,0)</f>
        <v>#N/A</v>
      </c>
      <c r="H1334" t="str">
        <f>"12/19/2019 7:00:35 AM"</f>
        <v>12/19/2019 7:00:35 AM</v>
      </c>
      <c r="I1334" t="str">
        <f>""</f>
        <v/>
      </c>
      <c r="J1334" t="str">
        <f t="shared" si="532"/>
        <v>Elite</v>
      </c>
      <c r="K1334" t="str">
        <f t="shared" si="547"/>
        <v>Device</v>
      </c>
      <c r="L1334" t="str">
        <f t="shared" si="549"/>
        <v>777260432</v>
      </c>
      <c r="M1334" t="str">
        <f t="shared" si="550"/>
        <v>16758589</v>
      </c>
      <c r="N1334" t="str">
        <f t="shared" si="551"/>
        <v>5153-20</v>
      </c>
      <c r="O1334" t="str">
        <f t="shared" si="536"/>
        <v>TEXAS</v>
      </c>
      <c r="P1334" t="str">
        <f t="shared" si="537"/>
        <v>N A</v>
      </c>
      <c r="Q1334" t="str">
        <f t="shared" si="538"/>
        <v>N/A</v>
      </c>
      <c r="R1334" t="str">
        <f>"130 DKCRP 06 307"</f>
        <v>130 DKCRP 06 307</v>
      </c>
      <c r="S1334" t="str">
        <f>"12/18/2019 1:43:28 PM"</f>
        <v>12/18/2019 1:43:28 PM</v>
      </c>
      <c r="T1334" t="str">
        <f t="shared" si="552"/>
        <v>5</v>
      </c>
      <c r="U1334" t="str">
        <f t="shared" si="539"/>
        <v>N/A</v>
      </c>
      <c r="V1334" t="str">
        <f t="shared" si="555"/>
        <v>5.5500</v>
      </c>
    </row>
    <row r="1335" spans="1:22" x14ac:dyDescent="0.25">
      <c r="A1335" s="1" t="str">
        <f t="shared" si="554"/>
        <v>5153-</v>
      </c>
      <c r="B1335" s="1" t="str">
        <f t="shared" si="540"/>
        <v>5153-</v>
      </c>
      <c r="C1335" s="1" t="s">
        <v>8896</v>
      </c>
      <c r="D1335" s="1" t="s">
        <v>91</v>
      </c>
      <c r="E1335" s="1" t="s">
        <v>1738</v>
      </c>
      <c r="F1335" s="1" t="s">
        <v>22</v>
      </c>
      <c r="G1335" s="1" t="e">
        <f>VLOOKUP(C1335,'Master truck list'!E:R,14,0)</f>
        <v>#N/A</v>
      </c>
      <c r="H1335" t="str">
        <f>"12/19/2019 7:00:35 AM"</f>
        <v>12/19/2019 7:00:35 AM</v>
      </c>
      <c r="I1335" t="str">
        <f>""</f>
        <v/>
      </c>
      <c r="J1335" t="str">
        <f t="shared" si="532"/>
        <v>Elite</v>
      </c>
      <c r="K1335" t="str">
        <f t="shared" si="547"/>
        <v>Device</v>
      </c>
      <c r="L1335" t="str">
        <f t="shared" si="549"/>
        <v>777260432</v>
      </c>
      <c r="M1335" t="str">
        <f t="shared" si="550"/>
        <v>16758589</v>
      </c>
      <c r="N1335" t="str">
        <f t="shared" si="551"/>
        <v>5153-20</v>
      </c>
      <c r="O1335" t="str">
        <f t="shared" si="536"/>
        <v>TEXAS</v>
      </c>
      <c r="P1335" t="str">
        <f t="shared" si="537"/>
        <v>N A</v>
      </c>
      <c r="Q1335" t="str">
        <f t="shared" si="538"/>
        <v>N/A</v>
      </c>
      <c r="R1335" t="str">
        <f>"130 DKCRP 11 307"</f>
        <v>130 DKCRP 11 307</v>
      </c>
      <c r="S1335" t="str">
        <f>"12/18/2019 6:00:01 AM"</f>
        <v>12/18/2019 6:00:01 AM</v>
      </c>
      <c r="T1335" t="str">
        <f t="shared" si="552"/>
        <v>5</v>
      </c>
      <c r="U1335" t="str">
        <f t="shared" si="539"/>
        <v>N/A</v>
      </c>
      <c r="V1335" t="str">
        <f t="shared" si="555"/>
        <v>5.5500</v>
      </c>
    </row>
    <row r="1336" spans="1:22" x14ac:dyDescent="0.25">
      <c r="A1336" s="1" t="str">
        <f t="shared" si="554"/>
        <v>5153-</v>
      </c>
      <c r="B1336" s="1" t="str">
        <f t="shared" si="540"/>
        <v>5153-</v>
      </c>
      <c r="C1336" s="1" t="s">
        <v>8896</v>
      </c>
      <c r="D1336" s="1" t="s">
        <v>91</v>
      </c>
      <c r="E1336" s="1" t="s">
        <v>1738</v>
      </c>
      <c r="F1336" s="1" t="s">
        <v>22</v>
      </c>
      <c r="G1336" s="1" t="e">
        <f>VLOOKUP(C1336,'Master truck list'!E:R,14,0)</f>
        <v>#N/A</v>
      </c>
      <c r="H1336" t="str">
        <f>"12/20/2019 7:00:30 AM"</f>
        <v>12/20/2019 7:00:30 AM</v>
      </c>
      <c r="I1336" t="str">
        <f>""</f>
        <v/>
      </c>
      <c r="J1336" t="str">
        <f t="shared" si="532"/>
        <v>Elite</v>
      </c>
      <c r="K1336" t="str">
        <f t="shared" si="547"/>
        <v>Device</v>
      </c>
      <c r="L1336" t="str">
        <f t="shared" si="549"/>
        <v>777260432</v>
      </c>
      <c r="M1336" t="str">
        <f t="shared" si="550"/>
        <v>16758589</v>
      </c>
      <c r="N1336" t="str">
        <f t="shared" si="551"/>
        <v>5153-20</v>
      </c>
      <c r="O1336" t="str">
        <f t="shared" si="536"/>
        <v>TEXAS</v>
      </c>
      <c r="P1336" t="str">
        <f t="shared" si="537"/>
        <v>N A</v>
      </c>
      <c r="Q1336" t="str">
        <f t="shared" si="538"/>
        <v>N/A</v>
      </c>
      <c r="R1336" t="str">
        <f>"130 ARPTP 08 308"</f>
        <v>130 ARPTP 08 308</v>
      </c>
      <c r="S1336" t="str">
        <f>"12/19/2019 8:11:03 AM"</f>
        <v>12/19/2019 8:11:03 AM</v>
      </c>
      <c r="T1336" t="str">
        <f t="shared" si="552"/>
        <v>5</v>
      </c>
      <c r="U1336" t="str">
        <f t="shared" si="539"/>
        <v>N/A</v>
      </c>
      <c r="V1336" t="str">
        <f t="shared" si="555"/>
        <v>5.5500</v>
      </c>
    </row>
    <row r="1337" spans="1:22" x14ac:dyDescent="0.25">
      <c r="A1337" s="1" t="str">
        <f t="shared" si="554"/>
        <v>5153-</v>
      </c>
      <c r="B1337" s="1" t="str">
        <f t="shared" si="540"/>
        <v>5153-</v>
      </c>
      <c r="C1337" s="1" t="s">
        <v>8896</v>
      </c>
      <c r="D1337" s="1" t="s">
        <v>91</v>
      </c>
      <c r="E1337" s="1" t="s">
        <v>1738</v>
      </c>
      <c r="F1337" s="1" t="s">
        <v>22</v>
      </c>
      <c r="G1337" s="1" t="e">
        <f>VLOOKUP(C1337,'Master truck list'!E:R,14,0)</f>
        <v>#N/A</v>
      </c>
      <c r="H1337" t="str">
        <f>"12/20/2019 7:00:30 AM"</f>
        <v>12/20/2019 7:00:30 AM</v>
      </c>
      <c r="I1337" t="str">
        <f>""</f>
        <v/>
      </c>
      <c r="J1337" t="str">
        <f t="shared" si="532"/>
        <v>Elite</v>
      </c>
      <c r="K1337" t="str">
        <f t="shared" si="547"/>
        <v>Device</v>
      </c>
      <c r="L1337" t="str">
        <f t="shared" si="549"/>
        <v>777260432</v>
      </c>
      <c r="M1337" t="str">
        <f t="shared" si="550"/>
        <v>16758589</v>
      </c>
      <c r="N1337" t="str">
        <f t="shared" si="551"/>
        <v>5153-20</v>
      </c>
      <c r="O1337" t="str">
        <f t="shared" si="536"/>
        <v>TEXAS</v>
      </c>
      <c r="P1337" t="str">
        <f t="shared" si="537"/>
        <v>N A</v>
      </c>
      <c r="Q1337" t="str">
        <f t="shared" si="538"/>
        <v>N/A</v>
      </c>
      <c r="R1337" t="str">
        <f>"130 CMRNP 13 306"</f>
        <v>130 CMRNP 13 306</v>
      </c>
      <c r="S1337" t="str">
        <f>"12/19/2019 8:28:18 AM"</f>
        <v>12/19/2019 8:28:18 AM</v>
      </c>
      <c r="T1337" t="str">
        <f t="shared" si="552"/>
        <v>5</v>
      </c>
      <c r="U1337" t="str">
        <f t="shared" si="539"/>
        <v>N/A</v>
      </c>
      <c r="V1337" t="str">
        <f t="shared" si="555"/>
        <v>5.5500</v>
      </c>
    </row>
    <row r="1338" spans="1:22" x14ac:dyDescent="0.25">
      <c r="A1338" s="1" t="str">
        <f t="shared" si="554"/>
        <v>5153-</v>
      </c>
      <c r="B1338" s="1" t="str">
        <f t="shared" si="540"/>
        <v>5153-</v>
      </c>
      <c r="C1338" s="1" t="s">
        <v>8896</v>
      </c>
      <c r="D1338" s="1" t="s">
        <v>91</v>
      </c>
      <c r="E1338" s="1" t="s">
        <v>1738</v>
      </c>
      <c r="F1338" s="1" t="s">
        <v>22</v>
      </c>
      <c r="G1338" s="1" t="e">
        <f>VLOOKUP(C1338,'Master truck list'!E:R,14,0)</f>
        <v>#N/A</v>
      </c>
      <c r="H1338" t="str">
        <f>"12/20/2019 7:00:30 AM"</f>
        <v>12/20/2019 7:00:30 AM</v>
      </c>
      <c r="I1338" t="str">
        <f>""</f>
        <v/>
      </c>
      <c r="J1338" t="str">
        <f t="shared" si="532"/>
        <v>Elite</v>
      </c>
      <c r="K1338" t="str">
        <f t="shared" si="547"/>
        <v>Device</v>
      </c>
      <c r="L1338" t="str">
        <f t="shared" si="549"/>
        <v>777260432</v>
      </c>
      <c r="M1338" t="str">
        <f t="shared" si="550"/>
        <v>16758589</v>
      </c>
      <c r="N1338" t="str">
        <f t="shared" si="551"/>
        <v>5153-20</v>
      </c>
      <c r="O1338" t="str">
        <f t="shared" si="536"/>
        <v>TEXAS</v>
      </c>
      <c r="P1338" t="str">
        <f t="shared" si="537"/>
        <v>N A</v>
      </c>
      <c r="Q1338" t="str">
        <f t="shared" si="538"/>
        <v>N/A</v>
      </c>
      <c r="R1338" t="str">
        <f>"130 MGCRP 11 305"</f>
        <v>130 MGCRP 11 305</v>
      </c>
      <c r="S1338" t="str">
        <f>"12/19/2019 8:39:58 AM"</f>
        <v>12/19/2019 8:39:58 AM</v>
      </c>
      <c r="T1338" t="str">
        <f t="shared" si="552"/>
        <v>5</v>
      </c>
      <c r="U1338" t="str">
        <f t="shared" si="539"/>
        <v>N/A</v>
      </c>
      <c r="V1338" t="str">
        <f t="shared" si="555"/>
        <v>5.5500</v>
      </c>
    </row>
    <row r="1339" spans="1:22" x14ac:dyDescent="0.25">
      <c r="A1339" s="1" t="str">
        <f t="shared" si="554"/>
        <v>5153-</v>
      </c>
      <c r="B1339" s="1" t="str">
        <f t="shared" si="540"/>
        <v>5153-</v>
      </c>
      <c r="C1339" s="1" t="s">
        <v>8896</v>
      </c>
      <c r="D1339" s="1" t="s">
        <v>91</v>
      </c>
      <c r="E1339" s="1" t="s">
        <v>1738</v>
      </c>
      <c r="F1339" s="1" t="s">
        <v>22</v>
      </c>
      <c r="G1339" s="1" t="e">
        <f>VLOOKUP(C1339,'Master truck list'!E:R,14,0)</f>
        <v>#N/A</v>
      </c>
      <c r="H1339" t="str">
        <f>"12/21/2019 7:00:28 AM"</f>
        <v>12/21/2019 7:00:28 AM</v>
      </c>
      <c r="I1339" t="str">
        <f>""</f>
        <v/>
      </c>
      <c r="J1339" t="str">
        <f t="shared" si="532"/>
        <v>Elite</v>
      </c>
      <c r="K1339" t="str">
        <f t="shared" si="547"/>
        <v>Device</v>
      </c>
      <c r="L1339" t="str">
        <f t="shared" si="549"/>
        <v>777260432</v>
      </c>
      <c r="M1339" t="str">
        <f t="shared" si="550"/>
        <v>16758589</v>
      </c>
      <c r="N1339" t="str">
        <f t="shared" si="551"/>
        <v>5153-20</v>
      </c>
      <c r="O1339" t="str">
        <f t="shared" si="536"/>
        <v>TEXAS</v>
      </c>
      <c r="P1339" t="str">
        <f t="shared" si="537"/>
        <v>N A</v>
      </c>
      <c r="Q1339" t="str">
        <f t="shared" si="538"/>
        <v>N/A</v>
      </c>
      <c r="R1339" t="str">
        <f>"130 ARPTP 04 308"</f>
        <v>130 ARPTP 04 308</v>
      </c>
      <c r="S1339" t="str">
        <f>"12/20/2019 2:17:36 AM"</f>
        <v>12/20/2019 2:17:36 AM</v>
      </c>
      <c r="T1339" t="str">
        <f t="shared" si="552"/>
        <v>5</v>
      </c>
      <c r="U1339" t="str">
        <f t="shared" si="539"/>
        <v>N/A</v>
      </c>
      <c r="V1339" t="str">
        <f t="shared" si="555"/>
        <v>5.5500</v>
      </c>
    </row>
    <row r="1340" spans="1:22" x14ac:dyDescent="0.25">
      <c r="A1340" s="1" t="str">
        <f t="shared" si="554"/>
        <v>5153-</v>
      </c>
      <c r="B1340" s="1" t="str">
        <f t="shared" si="540"/>
        <v>5153-</v>
      </c>
      <c r="C1340" s="1" t="s">
        <v>8896</v>
      </c>
      <c r="D1340" s="1" t="s">
        <v>91</v>
      </c>
      <c r="E1340" s="1" t="s">
        <v>1738</v>
      </c>
      <c r="F1340" s="1" t="s">
        <v>22</v>
      </c>
      <c r="G1340" s="1" t="e">
        <f>VLOOKUP(C1340,'Master truck list'!E:R,14,0)</f>
        <v>#N/A</v>
      </c>
      <c r="H1340" t="str">
        <f>"12/20/2019 7:00:30 AM"</f>
        <v>12/20/2019 7:00:30 AM</v>
      </c>
      <c r="I1340" t="str">
        <f>""</f>
        <v/>
      </c>
      <c r="J1340" t="str">
        <f t="shared" si="532"/>
        <v>Elite</v>
      </c>
      <c r="K1340" t="str">
        <f t="shared" si="547"/>
        <v>Device</v>
      </c>
      <c r="L1340" t="str">
        <f t="shared" si="549"/>
        <v>777260432</v>
      </c>
      <c r="M1340" t="str">
        <f t="shared" si="550"/>
        <v>16758589</v>
      </c>
      <c r="N1340" t="str">
        <f t="shared" si="551"/>
        <v>5153-20</v>
      </c>
      <c r="O1340" t="str">
        <f t="shared" si="536"/>
        <v>TEXAS</v>
      </c>
      <c r="P1340" t="str">
        <f t="shared" si="537"/>
        <v>N A</v>
      </c>
      <c r="Q1340" t="str">
        <f t="shared" si="538"/>
        <v>N/A</v>
      </c>
      <c r="R1340" t="str">
        <f>"130 DKCRP 11 307"</f>
        <v>130 DKCRP 11 307</v>
      </c>
      <c r="S1340" t="str">
        <f>"12/19/2019 8:17:58 AM"</f>
        <v>12/19/2019 8:17:58 AM</v>
      </c>
      <c r="T1340" t="str">
        <f t="shared" si="552"/>
        <v>5</v>
      </c>
      <c r="U1340" t="str">
        <f t="shared" si="539"/>
        <v>N/A</v>
      </c>
      <c r="V1340" t="str">
        <f t="shared" si="555"/>
        <v>5.5500</v>
      </c>
    </row>
    <row r="1341" spans="1:22" x14ac:dyDescent="0.25">
      <c r="A1341" s="1" t="str">
        <f t="shared" si="554"/>
        <v>5153-</v>
      </c>
      <c r="B1341" s="1" t="str">
        <f t="shared" si="540"/>
        <v>5153-</v>
      </c>
      <c r="C1341" s="1" t="s">
        <v>8896</v>
      </c>
      <c r="D1341" s="1" t="s">
        <v>91</v>
      </c>
      <c r="E1341" s="1" t="s">
        <v>1738</v>
      </c>
      <c r="F1341" s="1" t="s">
        <v>22</v>
      </c>
      <c r="G1341" s="1" t="e">
        <f>VLOOKUP(C1341,'Master truck list'!E:R,14,0)</f>
        <v>#N/A</v>
      </c>
      <c r="H1341" t="str">
        <f>"12/20/2019 7:00:30 AM"</f>
        <v>12/20/2019 7:00:30 AM</v>
      </c>
      <c r="I1341" t="str">
        <f>""</f>
        <v/>
      </c>
      <c r="J1341" t="str">
        <f t="shared" si="532"/>
        <v>Elite</v>
      </c>
      <c r="K1341" t="str">
        <f t="shared" si="547"/>
        <v>Device</v>
      </c>
      <c r="L1341" t="str">
        <f t="shared" si="549"/>
        <v>777260432</v>
      </c>
      <c r="M1341" t="str">
        <f t="shared" si="550"/>
        <v>16758589</v>
      </c>
      <c r="N1341" t="str">
        <f t="shared" si="551"/>
        <v>5153-20</v>
      </c>
      <c r="O1341" t="str">
        <f t="shared" si="536"/>
        <v>TEXAS</v>
      </c>
      <c r="P1341" t="str">
        <f t="shared" si="537"/>
        <v>N A</v>
      </c>
      <c r="Q1341" t="str">
        <f t="shared" si="538"/>
        <v>N/A</v>
      </c>
      <c r="R1341" t="str">
        <f>"45SE MLPEB 02 611"</f>
        <v>45SE MLPEB 02 611</v>
      </c>
      <c r="S1341" t="str">
        <f>"12/19/2019 8:00:29 AM"</f>
        <v>12/19/2019 8:00:29 AM</v>
      </c>
      <c r="T1341" t="str">
        <f t="shared" si="552"/>
        <v>5</v>
      </c>
      <c r="U1341" t="str">
        <f t="shared" si="539"/>
        <v>N/A</v>
      </c>
      <c r="V1341" t="str">
        <f>"3.3000"</f>
        <v>3.3000</v>
      </c>
    </row>
    <row r="1342" spans="1:22" x14ac:dyDescent="0.25">
      <c r="A1342" s="1" t="str">
        <f t="shared" si="554"/>
        <v>5153-</v>
      </c>
      <c r="B1342" s="1" t="str">
        <f t="shared" si="540"/>
        <v>5153-</v>
      </c>
      <c r="C1342" s="1" t="s">
        <v>8896</v>
      </c>
      <c r="D1342" s="1" t="s">
        <v>91</v>
      </c>
      <c r="E1342" s="1" t="s">
        <v>1738</v>
      </c>
      <c r="F1342" s="1" t="s">
        <v>22</v>
      </c>
      <c r="G1342" s="1" t="e">
        <f>VLOOKUP(C1342,'Master truck list'!E:R,14,0)</f>
        <v>#N/A</v>
      </c>
      <c r="H1342" t="str">
        <f>"12/21/2019 7:00:28 AM"</f>
        <v>12/21/2019 7:00:28 AM</v>
      </c>
      <c r="I1342" t="str">
        <f>""</f>
        <v/>
      </c>
      <c r="J1342" t="str">
        <f t="shared" si="532"/>
        <v>Elite</v>
      </c>
      <c r="K1342" t="str">
        <f t="shared" si="547"/>
        <v>Device</v>
      </c>
      <c r="L1342" t="str">
        <f t="shared" si="549"/>
        <v>777260432</v>
      </c>
      <c r="M1342" t="str">
        <f t="shared" si="550"/>
        <v>16758589</v>
      </c>
      <c r="N1342" t="str">
        <f t="shared" si="551"/>
        <v>5153-20</v>
      </c>
      <c r="O1342" t="str">
        <f t="shared" si="536"/>
        <v>TEXAS</v>
      </c>
      <c r="P1342" t="str">
        <f t="shared" si="537"/>
        <v>N A</v>
      </c>
      <c r="Q1342" t="str">
        <f t="shared" si="538"/>
        <v>N/A</v>
      </c>
      <c r="R1342" t="str">
        <f>"130 DKCRP 06 307"</f>
        <v>130 DKCRP 06 307</v>
      </c>
      <c r="S1342" t="str">
        <f>"12/20/2019 2:10:38 AM"</f>
        <v>12/20/2019 2:10:38 AM</v>
      </c>
      <c r="T1342" t="str">
        <f t="shared" si="552"/>
        <v>5</v>
      </c>
      <c r="U1342" t="str">
        <f t="shared" si="539"/>
        <v>N/A</v>
      </c>
      <c r="V1342" t="str">
        <f>"5.5500"</f>
        <v>5.5500</v>
      </c>
    </row>
    <row r="1343" spans="1:22" x14ac:dyDescent="0.25">
      <c r="A1343" s="1" t="str">
        <f t="shared" si="554"/>
        <v>5153-</v>
      </c>
      <c r="B1343" s="1" t="str">
        <f t="shared" si="540"/>
        <v>5153-</v>
      </c>
      <c r="C1343" s="1" t="s">
        <v>8896</v>
      </c>
      <c r="D1343" s="1" t="s">
        <v>91</v>
      </c>
      <c r="E1343" s="1" t="s">
        <v>1738</v>
      </c>
      <c r="F1343" s="1" t="s">
        <v>22</v>
      </c>
      <c r="G1343" s="1" t="e">
        <f>VLOOKUP(C1343,'Master truck list'!E:R,14,0)</f>
        <v>#N/A</v>
      </c>
      <c r="H1343" t="str">
        <f>"12/21/2019 7:00:28 AM"</f>
        <v>12/21/2019 7:00:28 AM</v>
      </c>
      <c r="I1343" t="str">
        <f>""</f>
        <v/>
      </c>
      <c r="J1343" t="str">
        <f t="shared" si="532"/>
        <v>Elite</v>
      </c>
      <c r="K1343" t="str">
        <f t="shared" si="547"/>
        <v>Device</v>
      </c>
      <c r="L1343" t="str">
        <f t="shared" si="549"/>
        <v>777260432</v>
      </c>
      <c r="M1343" t="str">
        <f t="shared" si="550"/>
        <v>16758589</v>
      </c>
      <c r="N1343" t="str">
        <f t="shared" si="551"/>
        <v>5153-20</v>
      </c>
      <c r="O1343" t="str">
        <f t="shared" si="536"/>
        <v>TEXAS</v>
      </c>
      <c r="P1343" t="str">
        <f t="shared" si="537"/>
        <v>N A</v>
      </c>
      <c r="Q1343" t="str">
        <f t="shared" si="538"/>
        <v>N/A</v>
      </c>
      <c r="R1343" t="str">
        <f>"130 MGCRP 06 305"</f>
        <v>130 MGCRP 06 305</v>
      </c>
      <c r="S1343" t="str">
        <f>"12/20/2019 1:49:40 AM"</f>
        <v>12/20/2019 1:49:40 AM</v>
      </c>
      <c r="T1343" t="str">
        <f t="shared" si="552"/>
        <v>5</v>
      </c>
      <c r="U1343" t="str">
        <f t="shared" si="539"/>
        <v>N/A</v>
      </c>
      <c r="V1343" t="str">
        <f>"5.5500"</f>
        <v>5.5500</v>
      </c>
    </row>
    <row r="1344" spans="1:22" x14ac:dyDescent="0.25">
      <c r="A1344" s="1" t="str">
        <f t="shared" si="554"/>
        <v>5153-</v>
      </c>
      <c r="B1344" s="1" t="str">
        <f t="shared" si="540"/>
        <v>5153-</v>
      </c>
      <c r="C1344" s="1" t="s">
        <v>8896</v>
      </c>
      <c r="D1344" s="1" t="s">
        <v>91</v>
      </c>
      <c r="E1344" s="1" t="s">
        <v>1738</v>
      </c>
      <c r="F1344" s="1" t="s">
        <v>22</v>
      </c>
      <c r="G1344" s="1" t="e">
        <f>VLOOKUP(C1344,'Master truck list'!E:R,14,0)</f>
        <v>#N/A</v>
      </c>
      <c r="H1344" t="str">
        <f>"12/21/2019 7:00:28 AM"</f>
        <v>12/21/2019 7:00:28 AM</v>
      </c>
      <c r="I1344" t="str">
        <f>""</f>
        <v/>
      </c>
      <c r="J1344" t="str">
        <f t="shared" si="532"/>
        <v>Elite</v>
      </c>
      <c r="K1344" t="str">
        <f t="shared" si="547"/>
        <v>Device</v>
      </c>
      <c r="L1344" t="str">
        <f t="shared" si="549"/>
        <v>777260432</v>
      </c>
      <c r="M1344" t="str">
        <f t="shared" si="550"/>
        <v>16758589</v>
      </c>
      <c r="N1344" t="str">
        <f t="shared" si="551"/>
        <v>5153-20</v>
      </c>
      <c r="O1344" t="str">
        <f t="shared" si="536"/>
        <v>TEXAS</v>
      </c>
      <c r="P1344" t="str">
        <f t="shared" si="537"/>
        <v>N A</v>
      </c>
      <c r="Q1344" t="str">
        <f t="shared" si="538"/>
        <v>N/A</v>
      </c>
      <c r="R1344" t="str">
        <f>"45SE MLPWB 01 611"</f>
        <v>45SE MLPWB 01 611</v>
      </c>
      <c r="S1344" t="str">
        <f>"12/20/2019 2:28:12 AM"</f>
        <v>12/20/2019 2:28:12 AM</v>
      </c>
      <c r="T1344" t="str">
        <f t="shared" si="552"/>
        <v>5</v>
      </c>
      <c r="U1344" t="str">
        <f t="shared" si="539"/>
        <v>N/A</v>
      </c>
      <c r="V1344" t="str">
        <f>"3.3000"</f>
        <v>3.3000</v>
      </c>
    </row>
    <row r="1345" spans="1:22" x14ac:dyDescent="0.25">
      <c r="A1345" s="1" t="str">
        <f t="shared" si="554"/>
        <v>5153-</v>
      </c>
      <c r="B1345" s="1" t="str">
        <f t="shared" si="540"/>
        <v>5153-</v>
      </c>
      <c r="C1345" s="1" t="s">
        <v>8896</v>
      </c>
      <c r="D1345" s="1" t="s">
        <v>91</v>
      </c>
      <c r="E1345" s="1" t="s">
        <v>1738</v>
      </c>
      <c r="F1345" s="1" t="s">
        <v>22</v>
      </c>
      <c r="G1345" s="1" t="e">
        <f>VLOOKUP(C1345,'Master truck list'!E:R,14,0)</f>
        <v>#N/A</v>
      </c>
      <c r="H1345" t="str">
        <f>"12/21/2019 7:00:28 AM"</f>
        <v>12/21/2019 7:00:28 AM</v>
      </c>
      <c r="I1345" t="str">
        <f>""</f>
        <v/>
      </c>
      <c r="J1345" t="str">
        <f t="shared" si="532"/>
        <v>Elite</v>
      </c>
      <c r="K1345" t="str">
        <f t="shared" si="547"/>
        <v>Device</v>
      </c>
      <c r="L1345" t="str">
        <f t="shared" si="549"/>
        <v>777260432</v>
      </c>
      <c r="M1345" t="str">
        <f t="shared" si="550"/>
        <v>16758589</v>
      </c>
      <c r="N1345" t="str">
        <f t="shared" si="551"/>
        <v>5153-20</v>
      </c>
      <c r="O1345" t="str">
        <f t="shared" si="536"/>
        <v>TEXAS</v>
      </c>
      <c r="P1345" t="str">
        <f t="shared" si="537"/>
        <v>N A</v>
      </c>
      <c r="Q1345" t="str">
        <f t="shared" si="538"/>
        <v>N/A</v>
      </c>
      <c r="R1345" t="str">
        <f>"130 CMRNP 08 306"</f>
        <v>130 CMRNP 08 306</v>
      </c>
      <c r="S1345" t="str">
        <f>"12/20/2019 2:00:39 AM"</f>
        <v>12/20/2019 2:00:39 AM</v>
      </c>
      <c r="T1345" t="str">
        <f t="shared" si="552"/>
        <v>5</v>
      </c>
      <c r="U1345" t="str">
        <f t="shared" si="539"/>
        <v>N/A</v>
      </c>
      <c r="V1345" t="str">
        <f>"5.5500"</f>
        <v>5.5500</v>
      </c>
    </row>
    <row r="1346" spans="1:22" x14ac:dyDescent="0.25">
      <c r="A1346" s="1" t="str">
        <f t="shared" si="554"/>
        <v>5155-</v>
      </c>
      <c r="B1346" s="1" t="str">
        <f t="shared" si="540"/>
        <v>5155-</v>
      </c>
      <c r="C1346" s="1" t="s">
        <v>8893</v>
      </c>
      <c r="D1346" s="1" t="s">
        <v>91</v>
      </c>
      <c r="E1346" s="1" t="s">
        <v>1738</v>
      </c>
      <c r="F1346" s="1" t="s">
        <v>22</v>
      </c>
      <c r="G1346" s="1" t="e">
        <f>VLOOKUP(C1346,'Master truck list'!E:R,14,0)</f>
        <v>#N/A</v>
      </c>
      <c r="H1346" t="str">
        <f t="shared" ref="H1346:H1355" si="556">"12/20/2019 7:00:30 AM"</f>
        <v>12/20/2019 7:00:30 AM</v>
      </c>
      <c r="I1346" t="str">
        <f>""</f>
        <v/>
      </c>
      <c r="J1346" t="str">
        <f t="shared" ref="J1346:J1409" si="557">"Elite"</f>
        <v>Elite</v>
      </c>
      <c r="K1346" t="str">
        <f t="shared" si="547"/>
        <v>Device</v>
      </c>
      <c r="L1346" t="str">
        <f t="shared" ref="L1346:L1360" si="558">"777260183"</f>
        <v>777260183</v>
      </c>
      <c r="M1346" t="str">
        <f t="shared" ref="M1346:M1360" si="559">"16758340"</f>
        <v>16758340</v>
      </c>
      <c r="N1346" t="str">
        <f t="shared" ref="N1346:N1360" si="560">"5155-20"</f>
        <v>5155-20</v>
      </c>
      <c r="O1346" t="str">
        <f t="shared" ref="O1346:O1409" si="561">"TEXAS"</f>
        <v>TEXAS</v>
      </c>
      <c r="P1346" t="str">
        <f t="shared" ref="P1346:P1409" si="562">"N A"</f>
        <v>N A</v>
      </c>
      <c r="Q1346" t="str">
        <f t="shared" ref="Q1346:Q1409" si="563">"N/A"</f>
        <v>N/A</v>
      </c>
      <c r="R1346" t="str">
        <f>"130 DKCRP 11 307"</f>
        <v>130 DKCRP 11 307</v>
      </c>
      <c r="S1346" t="str">
        <f>"12/19/2019 6:31:26 PM"</f>
        <v>12/19/2019 6:31:26 PM</v>
      </c>
      <c r="T1346" t="str">
        <f t="shared" si="552"/>
        <v>5</v>
      </c>
      <c r="U1346" t="str">
        <f t="shared" ref="U1346:U1409" si="564">"N/A"</f>
        <v>N/A</v>
      </c>
      <c r="V1346" t="str">
        <f>"5.5500"</f>
        <v>5.5500</v>
      </c>
    </row>
    <row r="1347" spans="1:22" x14ac:dyDescent="0.25">
      <c r="A1347" s="1" t="str">
        <f t="shared" si="554"/>
        <v>5155-</v>
      </c>
      <c r="B1347" s="1" t="str">
        <f t="shared" ref="B1347:B1410" si="565">SUBSTITUTE(A1347," ","")</f>
        <v>5155-</v>
      </c>
      <c r="C1347" s="1" t="s">
        <v>8893</v>
      </c>
      <c r="D1347" s="1" t="s">
        <v>91</v>
      </c>
      <c r="E1347" s="1" t="s">
        <v>1738</v>
      </c>
      <c r="F1347" s="1" t="s">
        <v>22</v>
      </c>
      <c r="G1347" s="1" t="e">
        <f>VLOOKUP(C1347,'Master truck list'!E:R,14,0)</f>
        <v>#N/A</v>
      </c>
      <c r="H1347" t="str">
        <f t="shared" si="556"/>
        <v>12/20/2019 7:00:30 AM</v>
      </c>
      <c r="I1347" t="str">
        <f>""</f>
        <v/>
      </c>
      <c r="J1347" t="str">
        <f t="shared" si="557"/>
        <v>Elite</v>
      </c>
      <c r="K1347" t="str">
        <f t="shared" si="547"/>
        <v>Device</v>
      </c>
      <c r="L1347" t="str">
        <f t="shared" si="558"/>
        <v>777260183</v>
      </c>
      <c r="M1347" t="str">
        <f t="shared" si="559"/>
        <v>16758340</v>
      </c>
      <c r="N1347" t="str">
        <f t="shared" si="560"/>
        <v>5155-20</v>
      </c>
      <c r="O1347" t="str">
        <f t="shared" si="561"/>
        <v>TEXAS</v>
      </c>
      <c r="P1347" t="str">
        <f t="shared" si="562"/>
        <v>N A</v>
      </c>
      <c r="Q1347" t="str">
        <f t="shared" si="563"/>
        <v>N/A</v>
      </c>
      <c r="R1347" t="str">
        <f>"130 DKCRP 06 307"</f>
        <v>130 DKCRP 06 307</v>
      </c>
      <c r="S1347" t="str">
        <f>"12/19/2019 4:31:06 AM"</f>
        <v>12/19/2019 4:31:06 AM</v>
      </c>
      <c r="T1347" t="str">
        <f t="shared" si="552"/>
        <v>5</v>
      </c>
      <c r="U1347" t="str">
        <f t="shared" si="564"/>
        <v>N/A</v>
      </c>
      <c r="V1347" t="str">
        <f>"5.5500"</f>
        <v>5.5500</v>
      </c>
    </row>
    <row r="1348" spans="1:22" x14ac:dyDescent="0.25">
      <c r="A1348" s="1" t="str">
        <f t="shared" si="554"/>
        <v>5155-</v>
      </c>
      <c r="B1348" s="1" t="str">
        <f t="shared" si="565"/>
        <v>5155-</v>
      </c>
      <c r="C1348" s="1" t="s">
        <v>8893</v>
      </c>
      <c r="D1348" s="1" t="s">
        <v>91</v>
      </c>
      <c r="E1348" s="1" t="s">
        <v>1738</v>
      </c>
      <c r="F1348" s="1" t="s">
        <v>22</v>
      </c>
      <c r="G1348" s="1" t="e">
        <f>VLOOKUP(C1348,'Master truck list'!E:R,14,0)</f>
        <v>#N/A</v>
      </c>
      <c r="H1348" t="str">
        <f t="shared" si="556"/>
        <v>12/20/2019 7:00:30 AM</v>
      </c>
      <c r="I1348" t="str">
        <f>""</f>
        <v/>
      </c>
      <c r="J1348" t="str">
        <f t="shared" si="557"/>
        <v>Elite</v>
      </c>
      <c r="K1348" t="str">
        <f t="shared" si="547"/>
        <v>Device</v>
      </c>
      <c r="L1348" t="str">
        <f t="shared" si="558"/>
        <v>777260183</v>
      </c>
      <c r="M1348" t="str">
        <f t="shared" si="559"/>
        <v>16758340</v>
      </c>
      <c r="N1348" t="str">
        <f t="shared" si="560"/>
        <v>5155-20</v>
      </c>
      <c r="O1348" t="str">
        <f t="shared" si="561"/>
        <v>TEXAS</v>
      </c>
      <c r="P1348" t="str">
        <f t="shared" si="562"/>
        <v>N A</v>
      </c>
      <c r="Q1348" t="str">
        <f t="shared" si="563"/>
        <v>N/A</v>
      </c>
      <c r="R1348" t="str">
        <f>"130 MGCRP 11 305"</f>
        <v>130 MGCRP 11 305</v>
      </c>
      <c r="S1348" t="str">
        <f>"12/19/2019 6:52:58 PM"</f>
        <v>12/19/2019 6:52:58 PM</v>
      </c>
      <c r="T1348" t="str">
        <f t="shared" si="552"/>
        <v>5</v>
      </c>
      <c r="U1348" t="str">
        <f t="shared" si="564"/>
        <v>N/A</v>
      </c>
      <c r="V1348" t="str">
        <f>"5.5500"</f>
        <v>5.5500</v>
      </c>
    </row>
    <row r="1349" spans="1:22" x14ac:dyDescent="0.25">
      <c r="A1349" s="1" t="str">
        <f t="shared" si="554"/>
        <v>5155-</v>
      </c>
      <c r="B1349" s="1" t="str">
        <f t="shared" si="565"/>
        <v>5155-</v>
      </c>
      <c r="C1349" s="1" t="s">
        <v>8893</v>
      </c>
      <c r="D1349" s="1" t="s">
        <v>91</v>
      </c>
      <c r="E1349" s="1" t="s">
        <v>1738</v>
      </c>
      <c r="F1349" s="1" t="s">
        <v>22</v>
      </c>
      <c r="G1349" s="1" t="e">
        <f>VLOOKUP(C1349,'Master truck list'!E:R,14,0)</f>
        <v>#N/A</v>
      </c>
      <c r="H1349" t="str">
        <f t="shared" si="556"/>
        <v>12/20/2019 7:00:30 AM</v>
      </c>
      <c r="I1349" t="str">
        <f>""</f>
        <v/>
      </c>
      <c r="J1349" t="str">
        <f t="shared" si="557"/>
        <v>Elite</v>
      </c>
      <c r="K1349" t="str">
        <f t="shared" si="547"/>
        <v>Device</v>
      </c>
      <c r="L1349" t="str">
        <f t="shared" si="558"/>
        <v>777260183</v>
      </c>
      <c r="M1349" t="str">
        <f t="shared" si="559"/>
        <v>16758340</v>
      </c>
      <c r="N1349" t="str">
        <f t="shared" si="560"/>
        <v>5155-20</v>
      </c>
      <c r="O1349" t="str">
        <f t="shared" si="561"/>
        <v>TEXAS</v>
      </c>
      <c r="P1349" t="str">
        <f t="shared" si="562"/>
        <v>N A</v>
      </c>
      <c r="Q1349" t="str">
        <f t="shared" si="563"/>
        <v>N/A</v>
      </c>
      <c r="R1349" t="str">
        <f>"45SE MLPEB 02 611"</f>
        <v>45SE MLPEB 02 611</v>
      </c>
      <c r="S1349" t="str">
        <f>"12/19/2019 6:13:49 PM"</f>
        <v>12/19/2019 6:13:49 PM</v>
      </c>
      <c r="T1349" t="str">
        <f t="shared" si="552"/>
        <v>5</v>
      </c>
      <c r="U1349" t="str">
        <f t="shared" si="564"/>
        <v>N/A</v>
      </c>
      <c r="V1349" t="str">
        <f>"3.3000"</f>
        <v>3.3000</v>
      </c>
    </row>
    <row r="1350" spans="1:22" x14ac:dyDescent="0.25">
      <c r="A1350" s="1" t="str">
        <f t="shared" si="554"/>
        <v>5155-</v>
      </c>
      <c r="B1350" s="1" t="str">
        <f t="shared" si="565"/>
        <v>5155-</v>
      </c>
      <c r="C1350" s="1" t="s">
        <v>8893</v>
      </c>
      <c r="D1350" s="1" t="s">
        <v>91</v>
      </c>
      <c r="E1350" s="1" t="s">
        <v>1738</v>
      </c>
      <c r="F1350" s="1" t="s">
        <v>22</v>
      </c>
      <c r="G1350" s="1" t="e">
        <f>VLOOKUP(C1350,'Master truck list'!E:R,14,0)</f>
        <v>#N/A</v>
      </c>
      <c r="H1350" t="str">
        <f t="shared" si="556"/>
        <v>12/20/2019 7:00:30 AM</v>
      </c>
      <c r="I1350" t="str">
        <f>""</f>
        <v/>
      </c>
      <c r="J1350" t="str">
        <f t="shared" si="557"/>
        <v>Elite</v>
      </c>
      <c r="K1350" t="str">
        <f t="shared" si="547"/>
        <v>Device</v>
      </c>
      <c r="L1350" t="str">
        <f t="shared" si="558"/>
        <v>777260183</v>
      </c>
      <c r="M1350" t="str">
        <f t="shared" si="559"/>
        <v>16758340</v>
      </c>
      <c r="N1350" t="str">
        <f t="shared" si="560"/>
        <v>5155-20</v>
      </c>
      <c r="O1350" t="str">
        <f t="shared" si="561"/>
        <v>TEXAS</v>
      </c>
      <c r="P1350" t="str">
        <f t="shared" si="562"/>
        <v>N A</v>
      </c>
      <c r="Q1350" t="str">
        <f t="shared" si="563"/>
        <v>N/A</v>
      </c>
      <c r="R1350" t="str">
        <f>"130 MGCRP 06 305"</f>
        <v>130 MGCRP 06 305</v>
      </c>
      <c r="S1350" t="str">
        <f>"12/19/2019 4:10:01 AM"</f>
        <v>12/19/2019 4:10:01 AM</v>
      </c>
      <c r="T1350" t="str">
        <f t="shared" si="552"/>
        <v>5</v>
      </c>
      <c r="U1350" t="str">
        <f t="shared" si="564"/>
        <v>N/A</v>
      </c>
      <c r="V1350" t="str">
        <f>"5.5500"</f>
        <v>5.5500</v>
      </c>
    </row>
    <row r="1351" spans="1:22" x14ac:dyDescent="0.25">
      <c r="A1351" s="1" t="str">
        <f t="shared" si="554"/>
        <v>5155-</v>
      </c>
      <c r="B1351" s="1" t="str">
        <f t="shared" si="565"/>
        <v>5155-</v>
      </c>
      <c r="C1351" s="1" t="s">
        <v>8893</v>
      </c>
      <c r="D1351" s="1" t="s">
        <v>91</v>
      </c>
      <c r="E1351" s="1" t="s">
        <v>1738</v>
      </c>
      <c r="F1351" s="1" t="s">
        <v>22</v>
      </c>
      <c r="G1351" s="1" t="e">
        <f>VLOOKUP(C1351,'Master truck list'!E:R,14,0)</f>
        <v>#N/A</v>
      </c>
      <c r="H1351" t="str">
        <f t="shared" si="556"/>
        <v>12/20/2019 7:00:30 AM</v>
      </c>
      <c r="I1351" t="str">
        <f>""</f>
        <v/>
      </c>
      <c r="J1351" t="str">
        <f t="shared" si="557"/>
        <v>Elite</v>
      </c>
      <c r="K1351" t="str">
        <f t="shared" si="547"/>
        <v>Device</v>
      </c>
      <c r="L1351" t="str">
        <f t="shared" si="558"/>
        <v>777260183</v>
      </c>
      <c r="M1351" t="str">
        <f t="shared" si="559"/>
        <v>16758340</v>
      </c>
      <c r="N1351" t="str">
        <f t="shared" si="560"/>
        <v>5155-20</v>
      </c>
      <c r="O1351" t="str">
        <f t="shared" si="561"/>
        <v>TEXAS</v>
      </c>
      <c r="P1351" t="str">
        <f t="shared" si="562"/>
        <v>N A</v>
      </c>
      <c r="Q1351" t="str">
        <f t="shared" si="563"/>
        <v>N/A</v>
      </c>
      <c r="R1351" t="str">
        <f>"130 ARPTP 09 308"</f>
        <v>130 ARPTP 09 308</v>
      </c>
      <c r="S1351" t="str">
        <f>"12/19/2019 6:24:28 PM"</f>
        <v>12/19/2019 6:24:28 PM</v>
      </c>
      <c r="T1351" t="str">
        <f t="shared" si="552"/>
        <v>5</v>
      </c>
      <c r="U1351" t="str">
        <f t="shared" si="564"/>
        <v>N/A</v>
      </c>
      <c r="V1351" t="str">
        <f>"5.5500"</f>
        <v>5.5500</v>
      </c>
    </row>
    <row r="1352" spans="1:22" x14ac:dyDescent="0.25">
      <c r="A1352" s="1" t="str">
        <f t="shared" si="554"/>
        <v>5155-</v>
      </c>
      <c r="B1352" s="1" t="str">
        <f t="shared" si="565"/>
        <v>5155-</v>
      </c>
      <c r="C1352" s="1" t="s">
        <v>8893</v>
      </c>
      <c r="D1352" s="1" t="s">
        <v>91</v>
      </c>
      <c r="E1352" s="1" t="s">
        <v>1738</v>
      </c>
      <c r="F1352" s="1" t="s">
        <v>22</v>
      </c>
      <c r="G1352" s="1" t="e">
        <f>VLOOKUP(C1352,'Master truck list'!E:R,14,0)</f>
        <v>#N/A</v>
      </c>
      <c r="H1352" t="str">
        <f t="shared" si="556"/>
        <v>12/20/2019 7:00:30 AM</v>
      </c>
      <c r="I1352" t="str">
        <f>""</f>
        <v/>
      </c>
      <c r="J1352" t="str">
        <f t="shared" si="557"/>
        <v>Elite</v>
      </c>
      <c r="K1352" t="str">
        <f t="shared" si="547"/>
        <v>Device</v>
      </c>
      <c r="L1352" t="str">
        <f t="shared" si="558"/>
        <v>777260183</v>
      </c>
      <c r="M1352" t="str">
        <f t="shared" si="559"/>
        <v>16758340</v>
      </c>
      <c r="N1352" t="str">
        <f t="shared" si="560"/>
        <v>5155-20</v>
      </c>
      <c r="O1352" t="str">
        <f t="shared" si="561"/>
        <v>TEXAS</v>
      </c>
      <c r="P1352" t="str">
        <f t="shared" si="562"/>
        <v>N A</v>
      </c>
      <c r="Q1352" t="str">
        <f t="shared" si="563"/>
        <v>N/A</v>
      </c>
      <c r="R1352" t="str">
        <f>"45SE MLPWB 01 611"</f>
        <v>45SE MLPWB 01 611</v>
      </c>
      <c r="S1352" t="str">
        <f>"12/19/2019 4:48:41 AM"</f>
        <v>12/19/2019 4:48:41 AM</v>
      </c>
      <c r="T1352" t="str">
        <f t="shared" si="552"/>
        <v>5</v>
      </c>
      <c r="U1352" t="str">
        <f t="shared" si="564"/>
        <v>N/A</v>
      </c>
      <c r="V1352" t="str">
        <f>"3.3000"</f>
        <v>3.3000</v>
      </c>
    </row>
    <row r="1353" spans="1:22" x14ac:dyDescent="0.25">
      <c r="A1353" s="1" t="str">
        <f t="shared" si="554"/>
        <v>5155-</v>
      </c>
      <c r="B1353" s="1" t="str">
        <f t="shared" si="565"/>
        <v>5155-</v>
      </c>
      <c r="C1353" s="1" t="s">
        <v>8893</v>
      </c>
      <c r="D1353" s="1" t="s">
        <v>91</v>
      </c>
      <c r="E1353" s="1" t="s">
        <v>1738</v>
      </c>
      <c r="F1353" s="1" t="s">
        <v>22</v>
      </c>
      <c r="G1353" s="1" t="e">
        <f>VLOOKUP(C1353,'Master truck list'!E:R,14,0)</f>
        <v>#N/A</v>
      </c>
      <c r="H1353" t="str">
        <f t="shared" si="556"/>
        <v>12/20/2019 7:00:30 AM</v>
      </c>
      <c r="I1353" t="str">
        <f>""</f>
        <v/>
      </c>
      <c r="J1353" t="str">
        <f t="shared" si="557"/>
        <v>Elite</v>
      </c>
      <c r="K1353" t="str">
        <f t="shared" si="547"/>
        <v>Device</v>
      </c>
      <c r="L1353" t="str">
        <f t="shared" si="558"/>
        <v>777260183</v>
      </c>
      <c r="M1353" t="str">
        <f t="shared" si="559"/>
        <v>16758340</v>
      </c>
      <c r="N1353" t="str">
        <f t="shared" si="560"/>
        <v>5155-20</v>
      </c>
      <c r="O1353" t="str">
        <f t="shared" si="561"/>
        <v>TEXAS</v>
      </c>
      <c r="P1353" t="str">
        <f t="shared" si="562"/>
        <v>N A</v>
      </c>
      <c r="Q1353" t="str">
        <f t="shared" si="563"/>
        <v>N/A</v>
      </c>
      <c r="R1353" t="str">
        <f>"130 CMRNP 08 306"</f>
        <v>130 CMRNP 08 306</v>
      </c>
      <c r="S1353" t="str">
        <f>"12/19/2019 4:21:03 AM"</f>
        <v>12/19/2019 4:21:03 AM</v>
      </c>
      <c r="T1353" t="str">
        <f t="shared" si="552"/>
        <v>5</v>
      </c>
      <c r="U1353" t="str">
        <f t="shared" si="564"/>
        <v>N/A</v>
      </c>
      <c r="V1353" t="str">
        <f>"5.5500"</f>
        <v>5.5500</v>
      </c>
    </row>
    <row r="1354" spans="1:22" x14ac:dyDescent="0.25">
      <c r="A1354" s="1" t="str">
        <f t="shared" si="554"/>
        <v>5155-</v>
      </c>
      <c r="B1354" s="1" t="str">
        <f t="shared" si="565"/>
        <v>5155-</v>
      </c>
      <c r="C1354" s="1" t="s">
        <v>8893</v>
      </c>
      <c r="D1354" s="1" t="s">
        <v>91</v>
      </c>
      <c r="E1354" s="1" t="s">
        <v>1738</v>
      </c>
      <c r="F1354" s="1" t="s">
        <v>22</v>
      </c>
      <c r="G1354" s="1" t="e">
        <f>VLOOKUP(C1354,'Master truck list'!E:R,14,0)</f>
        <v>#N/A</v>
      </c>
      <c r="H1354" t="str">
        <f t="shared" si="556"/>
        <v>12/20/2019 7:00:30 AM</v>
      </c>
      <c r="I1354" t="str">
        <f>""</f>
        <v/>
      </c>
      <c r="J1354" t="str">
        <f t="shared" si="557"/>
        <v>Elite</v>
      </c>
      <c r="K1354" t="str">
        <f t="shared" si="547"/>
        <v>Device</v>
      </c>
      <c r="L1354" t="str">
        <f t="shared" si="558"/>
        <v>777260183</v>
      </c>
      <c r="M1354" t="str">
        <f t="shared" si="559"/>
        <v>16758340</v>
      </c>
      <c r="N1354" t="str">
        <f t="shared" si="560"/>
        <v>5155-20</v>
      </c>
      <c r="O1354" t="str">
        <f t="shared" si="561"/>
        <v>TEXAS</v>
      </c>
      <c r="P1354" t="str">
        <f t="shared" si="562"/>
        <v>N A</v>
      </c>
      <c r="Q1354" t="str">
        <f t="shared" si="563"/>
        <v>N/A</v>
      </c>
      <c r="R1354" t="str">
        <f>"130 ARPTP 04 308"</f>
        <v>130 ARPTP 04 308</v>
      </c>
      <c r="S1354" t="str">
        <f>"12/19/2019 4:38:05 AM"</f>
        <v>12/19/2019 4:38:05 AM</v>
      </c>
      <c r="T1354" t="str">
        <f t="shared" si="552"/>
        <v>5</v>
      </c>
      <c r="U1354" t="str">
        <f t="shared" si="564"/>
        <v>N/A</v>
      </c>
      <c r="V1354" t="str">
        <f>"5.5500"</f>
        <v>5.5500</v>
      </c>
    </row>
    <row r="1355" spans="1:22" x14ac:dyDescent="0.25">
      <c r="A1355" s="1" t="str">
        <f t="shared" si="554"/>
        <v>5155-</v>
      </c>
      <c r="B1355" s="1" t="str">
        <f t="shared" si="565"/>
        <v>5155-</v>
      </c>
      <c r="C1355" s="1" t="s">
        <v>8893</v>
      </c>
      <c r="D1355" s="1" t="s">
        <v>91</v>
      </c>
      <c r="E1355" s="1" t="s">
        <v>1738</v>
      </c>
      <c r="F1355" s="1" t="s">
        <v>22</v>
      </c>
      <c r="G1355" s="1" t="e">
        <f>VLOOKUP(C1355,'Master truck list'!E:R,14,0)</f>
        <v>#N/A</v>
      </c>
      <c r="H1355" t="str">
        <f t="shared" si="556"/>
        <v>12/20/2019 7:00:30 AM</v>
      </c>
      <c r="I1355" t="str">
        <f>""</f>
        <v/>
      </c>
      <c r="J1355" t="str">
        <f t="shared" si="557"/>
        <v>Elite</v>
      </c>
      <c r="K1355" t="str">
        <f t="shared" si="547"/>
        <v>Device</v>
      </c>
      <c r="L1355" t="str">
        <f t="shared" si="558"/>
        <v>777260183</v>
      </c>
      <c r="M1355" t="str">
        <f t="shared" si="559"/>
        <v>16758340</v>
      </c>
      <c r="N1355" t="str">
        <f t="shared" si="560"/>
        <v>5155-20</v>
      </c>
      <c r="O1355" t="str">
        <f t="shared" si="561"/>
        <v>TEXAS</v>
      </c>
      <c r="P1355" t="str">
        <f t="shared" si="562"/>
        <v>N A</v>
      </c>
      <c r="Q1355" t="str">
        <f t="shared" si="563"/>
        <v>N/A</v>
      </c>
      <c r="R1355" t="str">
        <f>"130 CMRNP 13 306"</f>
        <v>130 CMRNP 13 306</v>
      </c>
      <c r="S1355" t="str">
        <f>"12/19/2019 6:41:53 PM"</f>
        <v>12/19/2019 6:41:53 PM</v>
      </c>
      <c r="T1355" t="str">
        <f t="shared" si="552"/>
        <v>5</v>
      </c>
      <c r="U1355" t="str">
        <f t="shared" si="564"/>
        <v>N/A</v>
      </c>
      <c r="V1355" t="str">
        <f>"5.5500"</f>
        <v>5.5500</v>
      </c>
    </row>
    <row r="1356" spans="1:22" x14ac:dyDescent="0.25">
      <c r="A1356" s="1" t="str">
        <f t="shared" si="554"/>
        <v>5155-</v>
      </c>
      <c r="B1356" s="1" t="str">
        <f t="shared" si="565"/>
        <v>5155-</v>
      </c>
      <c r="C1356" s="1" t="s">
        <v>8893</v>
      </c>
      <c r="D1356" s="1" t="s">
        <v>91</v>
      </c>
      <c r="E1356" s="1" t="s">
        <v>1738</v>
      </c>
      <c r="F1356" s="1" t="s">
        <v>22</v>
      </c>
      <c r="G1356" s="1" t="e">
        <f>VLOOKUP(C1356,'Master truck list'!E:R,14,0)</f>
        <v>#N/A</v>
      </c>
      <c r="H1356" t="str">
        <f>"12/18/2019 7:00:28 AM"</f>
        <v>12/18/2019 7:00:28 AM</v>
      </c>
      <c r="I1356" t="str">
        <f>""</f>
        <v/>
      </c>
      <c r="J1356" t="str">
        <f t="shared" si="557"/>
        <v>Elite</v>
      </c>
      <c r="K1356" t="str">
        <f t="shared" si="547"/>
        <v>Device</v>
      </c>
      <c r="L1356" t="str">
        <f t="shared" si="558"/>
        <v>777260183</v>
      </c>
      <c r="M1356" t="str">
        <f t="shared" si="559"/>
        <v>16758340</v>
      </c>
      <c r="N1356" t="str">
        <f t="shared" si="560"/>
        <v>5155-20</v>
      </c>
      <c r="O1356" t="str">
        <f t="shared" si="561"/>
        <v>TEXAS</v>
      </c>
      <c r="P1356" t="str">
        <f t="shared" si="562"/>
        <v>N A</v>
      </c>
      <c r="Q1356" t="str">
        <f t="shared" si="563"/>
        <v>N/A</v>
      </c>
      <c r="R1356" t="str">
        <f>"130 DKCRP 11 307"</f>
        <v>130 DKCRP 11 307</v>
      </c>
      <c r="S1356" t="str">
        <f>"12/17/2019 12:33:40 AM"</f>
        <v>12/17/2019 12:33:40 AM</v>
      </c>
      <c r="T1356" t="str">
        <f t="shared" si="552"/>
        <v>5</v>
      </c>
      <c r="U1356" t="str">
        <f t="shared" si="564"/>
        <v>N/A</v>
      </c>
      <c r="V1356" t="str">
        <f>"5.5500"</f>
        <v>5.5500</v>
      </c>
    </row>
    <row r="1357" spans="1:22" x14ac:dyDescent="0.25">
      <c r="A1357" s="1" t="str">
        <f t="shared" si="554"/>
        <v>5155-</v>
      </c>
      <c r="B1357" s="1" t="str">
        <f t="shared" si="565"/>
        <v>5155-</v>
      </c>
      <c r="C1357" s="1" t="s">
        <v>8893</v>
      </c>
      <c r="D1357" s="1" t="s">
        <v>91</v>
      </c>
      <c r="E1357" s="1" t="s">
        <v>1738</v>
      </c>
      <c r="F1357" s="1" t="s">
        <v>22</v>
      </c>
      <c r="G1357" s="1" t="e">
        <f>VLOOKUP(C1357,'Master truck list'!E:R,14,0)</f>
        <v>#N/A</v>
      </c>
      <c r="H1357" t="str">
        <f>"12/18/2019 7:00:28 AM"</f>
        <v>12/18/2019 7:00:28 AM</v>
      </c>
      <c r="I1357" t="str">
        <f>""</f>
        <v/>
      </c>
      <c r="J1357" t="str">
        <f t="shared" si="557"/>
        <v>Elite</v>
      </c>
      <c r="K1357" t="str">
        <f t="shared" si="547"/>
        <v>Device</v>
      </c>
      <c r="L1357" t="str">
        <f t="shared" si="558"/>
        <v>777260183</v>
      </c>
      <c r="M1357" t="str">
        <f t="shared" si="559"/>
        <v>16758340</v>
      </c>
      <c r="N1357" t="str">
        <f t="shared" si="560"/>
        <v>5155-20</v>
      </c>
      <c r="O1357" t="str">
        <f t="shared" si="561"/>
        <v>TEXAS</v>
      </c>
      <c r="P1357" t="str">
        <f t="shared" si="562"/>
        <v>N A</v>
      </c>
      <c r="Q1357" t="str">
        <f t="shared" si="563"/>
        <v>N/A</v>
      </c>
      <c r="R1357" t="str">
        <f>"130 MGCRP 11 305"</f>
        <v>130 MGCRP 11 305</v>
      </c>
      <c r="S1357" t="str">
        <f>"12/17/2019 12:54:49 AM"</f>
        <v>12/17/2019 12:54:49 AM</v>
      </c>
      <c r="T1357" t="str">
        <f t="shared" si="552"/>
        <v>5</v>
      </c>
      <c r="U1357" t="str">
        <f t="shared" si="564"/>
        <v>N/A</v>
      </c>
      <c r="V1357" t="str">
        <f>"5.5500"</f>
        <v>5.5500</v>
      </c>
    </row>
    <row r="1358" spans="1:22" x14ac:dyDescent="0.25">
      <c r="A1358" s="1" t="str">
        <f t="shared" si="554"/>
        <v>5155-</v>
      </c>
      <c r="B1358" s="1" t="str">
        <f t="shared" si="565"/>
        <v>5155-</v>
      </c>
      <c r="C1358" s="1" t="s">
        <v>8893</v>
      </c>
      <c r="D1358" s="1" t="s">
        <v>91</v>
      </c>
      <c r="E1358" s="1" t="s">
        <v>1738</v>
      </c>
      <c r="F1358" s="1" t="s">
        <v>22</v>
      </c>
      <c r="G1358" s="1" t="e">
        <f>VLOOKUP(C1358,'Master truck list'!E:R,14,0)</f>
        <v>#N/A</v>
      </c>
      <c r="H1358" t="str">
        <f>"12/18/2019 7:00:28 AM"</f>
        <v>12/18/2019 7:00:28 AM</v>
      </c>
      <c r="I1358" t="str">
        <f>""</f>
        <v/>
      </c>
      <c r="J1358" t="str">
        <f t="shared" si="557"/>
        <v>Elite</v>
      </c>
      <c r="K1358" t="str">
        <f t="shared" si="547"/>
        <v>Device</v>
      </c>
      <c r="L1358" t="str">
        <f t="shared" si="558"/>
        <v>777260183</v>
      </c>
      <c r="M1358" t="str">
        <f t="shared" si="559"/>
        <v>16758340</v>
      </c>
      <c r="N1358" t="str">
        <f t="shared" si="560"/>
        <v>5155-20</v>
      </c>
      <c r="O1358" t="str">
        <f t="shared" si="561"/>
        <v>TEXAS</v>
      </c>
      <c r="P1358" t="str">
        <f t="shared" si="562"/>
        <v>N A</v>
      </c>
      <c r="Q1358" t="str">
        <f t="shared" si="563"/>
        <v>N/A</v>
      </c>
      <c r="R1358" t="str">
        <f>"45SE MLPEB 02 611"</f>
        <v>45SE MLPEB 02 611</v>
      </c>
      <c r="S1358" t="str">
        <f>"12/17/2019 12:16:04 AM"</f>
        <v>12/17/2019 12:16:04 AM</v>
      </c>
      <c r="T1358" t="str">
        <f t="shared" si="552"/>
        <v>5</v>
      </c>
      <c r="U1358" t="str">
        <f t="shared" si="564"/>
        <v>N/A</v>
      </c>
      <c r="V1358" t="str">
        <f>"3.3000"</f>
        <v>3.3000</v>
      </c>
    </row>
    <row r="1359" spans="1:22" x14ac:dyDescent="0.25">
      <c r="A1359" s="1" t="str">
        <f t="shared" si="554"/>
        <v>5155-</v>
      </c>
      <c r="B1359" s="1" t="str">
        <f t="shared" si="565"/>
        <v>5155-</v>
      </c>
      <c r="C1359" s="1" t="s">
        <v>8893</v>
      </c>
      <c r="D1359" s="1" t="s">
        <v>91</v>
      </c>
      <c r="E1359" s="1" t="s">
        <v>1738</v>
      </c>
      <c r="F1359" s="1" t="s">
        <v>22</v>
      </c>
      <c r="G1359" s="1" t="e">
        <f>VLOOKUP(C1359,'Master truck list'!E:R,14,0)</f>
        <v>#N/A</v>
      </c>
      <c r="H1359" t="str">
        <f>"12/18/2019 7:00:28 AM"</f>
        <v>12/18/2019 7:00:28 AM</v>
      </c>
      <c r="I1359" t="str">
        <f>""</f>
        <v/>
      </c>
      <c r="J1359" t="str">
        <f t="shared" si="557"/>
        <v>Elite</v>
      </c>
      <c r="K1359" t="str">
        <f t="shared" si="547"/>
        <v>Device</v>
      </c>
      <c r="L1359" t="str">
        <f t="shared" si="558"/>
        <v>777260183</v>
      </c>
      <c r="M1359" t="str">
        <f t="shared" si="559"/>
        <v>16758340</v>
      </c>
      <c r="N1359" t="str">
        <f t="shared" si="560"/>
        <v>5155-20</v>
      </c>
      <c r="O1359" t="str">
        <f t="shared" si="561"/>
        <v>TEXAS</v>
      </c>
      <c r="P1359" t="str">
        <f t="shared" si="562"/>
        <v>N A</v>
      </c>
      <c r="Q1359" t="str">
        <f t="shared" si="563"/>
        <v>N/A</v>
      </c>
      <c r="R1359" t="str">
        <f>"130 CMRNP 13 306"</f>
        <v>130 CMRNP 13 306</v>
      </c>
      <c r="S1359" t="str">
        <f>"12/17/2019 12:43:44 AM"</f>
        <v>12/17/2019 12:43:44 AM</v>
      </c>
      <c r="T1359" t="str">
        <f t="shared" si="552"/>
        <v>5</v>
      </c>
      <c r="U1359" t="str">
        <f t="shared" si="564"/>
        <v>N/A</v>
      </c>
      <c r="V1359" t="str">
        <f>"5.5500"</f>
        <v>5.5500</v>
      </c>
    </row>
    <row r="1360" spans="1:22" x14ac:dyDescent="0.25">
      <c r="A1360" s="1" t="str">
        <f t="shared" si="554"/>
        <v>5155-</v>
      </c>
      <c r="B1360" s="1" t="str">
        <f t="shared" si="565"/>
        <v>5155-</v>
      </c>
      <c r="C1360" s="1" t="s">
        <v>8893</v>
      </c>
      <c r="D1360" s="1" t="s">
        <v>91</v>
      </c>
      <c r="E1360" s="1" t="s">
        <v>1738</v>
      </c>
      <c r="F1360" s="1" t="s">
        <v>22</v>
      </c>
      <c r="G1360" s="1" t="e">
        <f>VLOOKUP(C1360,'Master truck list'!E:R,14,0)</f>
        <v>#N/A</v>
      </c>
      <c r="H1360" t="str">
        <f>"12/18/2019 7:00:28 AM"</f>
        <v>12/18/2019 7:00:28 AM</v>
      </c>
      <c r="I1360" t="str">
        <f>""</f>
        <v/>
      </c>
      <c r="J1360" t="str">
        <f t="shared" si="557"/>
        <v>Elite</v>
      </c>
      <c r="K1360" t="str">
        <f t="shared" si="547"/>
        <v>Device</v>
      </c>
      <c r="L1360" t="str">
        <f t="shared" si="558"/>
        <v>777260183</v>
      </c>
      <c r="M1360" t="str">
        <f t="shared" si="559"/>
        <v>16758340</v>
      </c>
      <c r="N1360" t="str">
        <f t="shared" si="560"/>
        <v>5155-20</v>
      </c>
      <c r="O1360" t="str">
        <f t="shared" si="561"/>
        <v>TEXAS</v>
      </c>
      <c r="P1360" t="str">
        <f t="shared" si="562"/>
        <v>N A</v>
      </c>
      <c r="Q1360" t="str">
        <f t="shared" si="563"/>
        <v>N/A</v>
      </c>
      <c r="R1360" t="str">
        <f>"130 ARPTP 09 308"</f>
        <v>130 ARPTP 09 308</v>
      </c>
      <c r="S1360" t="str">
        <f>"12/17/2019 12:26:41 AM"</f>
        <v>12/17/2019 12:26:41 AM</v>
      </c>
      <c r="T1360" t="str">
        <f t="shared" si="552"/>
        <v>5</v>
      </c>
      <c r="U1360" t="str">
        <f t="shared" si="564"/>
        <v>N/A</v>
      </c>
      <c r="V1360" t="str">
        <f>"5.5500"</f>
        <v>5.5500</v>
      </c>
    </row>
    <row r="1361" spans="1:22" x14ac:dyDescent="0.25">
      <c r="A1361" s="1" t="str">
        <f t="shared" si="554"/>
        <v>5160-</v>
      </c>
      <c r="B1361" s="1" t="str">
        <f t="shared" si="565"/>
        <v>5160-</v>
      </c>
      <c r="C1361" s="1" t="s">
        <v>8908</v>
      </c>
      <c r="D1361" s="1" t="s">
        <v>91</v>
      </c>
      <c r="E1361" s="1" t="s">
        <v>1738</v>
      </c>
      <c r="F1361" s="1" t="s">
        <v>22</v>
      </c>
      <c r="G1361" s="1" t="e">
        <f>VLOOKUP(C1361,'Master truck list'!E:R,14,0)</f>
        <v>#N/A</v>
      </c>
      <c r="H1361" t="str">
        <f>"12/17/2019 7:00:33 AM"</f>
        <v>12/17/2019 7:00:33 AM</v>
      </c>
      <c r="I1361" t="str">
        <f>""</f>
        <v/>
      </c>
      <c r="J1361" t="str">
        <f t="shared" si="557"/>
        <v>Elite</v>
      </c>
      <c r="K1361" t="str">
        <f t="shared" si="547"/>
        <v>Device</v>
      </c>
      <c r="L1361" t="str">
        <f t="shared" ref="L1361:L1385" si="566">"777260318"</f>
        <v>777260318</v>
      </c>
      <c r="M1361" t="str">
        <f t="shared" ref="M1361:M1385" si="567">"16758475"</f>
        <v>16758475</v>
      </c>
      <c r="N1361" t="str">
        <f t="shared" ref="N1361:N1385" si="568">"5160-20"</f>
        <v>5160-20</v>
      </c>
      <c r="O1361" t="str">
        <f t="shared" si="561"/>
        <v>TEXAS</v>
      </c>
      <c r="P1361" t="str">
        <f t="shared" si="562"/>
        <v>N A</v>
      </c>
      <c r="Q1361" t="str">
        <f t="shared" si="563"/>
        <v>N/A</v>
      </c>
      <c r="R1361" t="str">
        <f>"130 DKCRP 11 307"</f>
        <v>130 DKCRP 11 307</v>
      </c>
      <c r="S1361" t="str">
        <f>"12/16/2019 2:39:57 PM"</f>
        <v>12/16/2019 2:39:57 PM</v>
      </c>
      <c r="T1361" t="str">
        <f t="shared" si="552"/>
        <v>5</v>
      </c>
      <c r="U1361" t="str">
        <f t="shared" si="564"/>
        <v>N/A</v>
      </c>
      <c r="V1361" t="str">
        <f>"5.5500"</f>
        <v>5.5500</v>
      </c>
    </row>
    <row r="1362" spans="1:22" x14ac:dyDescent="0.25">
      <c r="A1362" s="1" t="str">
        <f t="shared" si="554"/>
        <v>5160-</v>
      </c>
      <c r="B1362" s="1" t="str">
        <f t="shared" si="565"/>
        <v>5160-</v>
      </c>
      <c r="C1362" s="1" t="s">
        <v>8908</v>
      </c>
      <c r="D1362" s="1" t="s">
        <v>91</v>
      </c>
      <c r="E1362" s="1" t="s">
        <v>1738</v>
      </c>
      <c r="F1362" s="1" t="s">
        <v>22</v>
      </c>
      <c r="G1362" s="1" t="e">
        <f>VLOOKUP(C1362,'Master truck list'!E:R,14,0)</f>
        <v>#N/A</v>
      </c>
      <c r="H1362" t="str">
        <f>"12/17/2019 7:00:33 AM"</f>
        <v>12/17/2019 7:00:33 AM</v>
      </c>
      <c r="I1362" t="str">
        <f>""</f>
        <v/>
      </c>
      <c r="J1362" t="str">
        <f t="shared" si="557"/>
        <v>Elite</v>
      </c>
      <c r="K1362" t="str">
        <f t="shared" si="547"/>
        <v>Device</v>
      </c>
      <c r="L1362" t="str">
        <f t="shared" si="566"/>
        <v>777260318</v>
      </c>
      <c r="M1362" t="str">
        <f t="shared" si="567"/>
        <v>16758475</v>
      </c>
      <c r="N1362" t="str">
        <f t="shared" si="568"/>
        <v>5160-20</v>
      </c>
      <c r="O1362" t="str">
        <f t="shared" si="561"/>
        <v>TEXAS</v>
      </c>
      <c r="P1362" t="str">
        <f t="shared" si="562"/>
        <v>N A</v>
      </c>
      <c r="Q1362" t="str">
        <f t="shared" si="563"/>
        <v>N/A</v>
      </c>
      <c r="R1362" t="str">
        <f>"45SE MLPEB 02 611"</f>
        <v>45SE MLPEB 02 611</v>
      </c>
      <c r="S1362" t="str">
        <f>"12/16/2019 2:22:23 PM"</f>
        <v>12/16/2019 2:22:23 PM</v>
      </c>
      <c r="T1362" t="str">
        <f t="shared" si="552"/>
        <v>5</v>
      </c>
      <c r="U1362" t="str">
        <f t="shared" si="564"/>
        <v>N/A</v>
      </c>
      <c r="V1362" t="str">
        <f>"3.3000"</f>
        <v>3.3000</v>
      </c>
    </row>
    <row r="1363" spans="1:22" x14ac:dyDescent="0.25">
      <c r="A1363" s="1" t="str">
        <f t="shared" si="554"/>
        <v>5160-</v>
      </c>
      <c r="B1363" s="1" t="str">
        <f t="shared" si="565"/>
        <v>5160-</v>
      </c>
      <c r="C1363" s="1" t="s">
        <v>8908</v>
      </c>
      <c r="D1363" s="1" t="s">
        <v>91</v>
      </c>
      <c r="E1363" s="1" t="s">
        <v>1738</v>
      </c>
      <c r="F1363" s="1" t="s">
        <v>22</v>
      </c>
      <c r="G1363" s="1" t="e">
        <f>VLOOKUP(C1363,'Master truck list'!E:R,14,0)</f>
        <v>#N/A</v>
      </c>
      <c r="H1363" t="str">
        <f>"12/19/2019 7:00:35 AM"</f>
        <v>12/19/2019 7:00:35 AM</v>
      </c>
      <c r="I1363" t="str">
        <f>""</f>
        <v/>
      </c>
      <c r="J1363" t="str">
        <f t="shared" si="557"/>
        <v>Elite</v>
      </c>
      <c r="K1363" t="str">
        <f t="shared" si="547"/>
        <v>Device</v>
      </c>
      <c r="L1363" t="str">
        <f t="shared" si="566"/>
        <v>777260318</v>
      </c>
      <c r="M1363" t="str">
        <f t="shared" si="567"/>
        <v>16758475</v>
      </c>
      <c r="N1363" t="str">
        <f t="shared" si="568"/>
        <v>5160-20</v>
      </c>
      <c r="O1363" t="str">
        <f t="shared" si="561"/>
        <v>TEXAS</v>
      </c>
      <c r="P1363" t="str">
        <f t="shared" si="562"/>
        <v>N A</v>
      </c>
      <c r="Q1363" t="str">
        <f t="shared" si="563"/>
        <v>N/A</v>
      </c>
      <c r="R1363" t="str">
        <f>"130 CMRNP 13 306"</f>
        <v>130 CMRNP 13 306</v>
      </c>
      <c r="S1363" t="str">
        <f>"12/18/2019 3:10:10 PM"</f>
        <v>12/18/2019 3:10:10 PM</v>
      </c>
      <c r="T1363" t="str">
        <f t="shared" si="552"/>
        <v>5</v>
      </c>
      <c r="U1363" t="str">
        <f t="shared" si="564"/>
        <v>N/A</v>
      </c>
      <c r="V1363" t="str">
        <f t="shared" ref="V1363:V1368" si="569">"5.5500"</f>
        <v>5.5500</v>
      </c>
    </row>
    <row r="1364" spans="1:22" x14ac:dyDescent="0.25">
      <c r="A1364" s="1" t="str">
        <f t="shared" si="554"/>
        <v>5160-</v>
      </c>
      <c r="B1364" s="1" t="str">
        <f t="shared" si="565"/>
        <v>5160-</v>
      </c>
      <c r="C1364" s="1" t="s">
        <v>8908</v>
      </c>
      <c r="D1364" s="1" t="s">
        <v>91</v>
      </c>
      <c r="E1364" s="1" t="s">
        <v>1738</v>
      </c>
      <c r="F1364" s="1" t="s">
        <v>22</v>
      </c>
      <c r="G1364" s="1" t="e">
        <f>VLOOKUP(C1364,'Master truck list'!E:R,14,0)</f>
        <v>#N/A</v>
      </c>
      <c r="H1364" t="str">
        <f>"12/19/2019 7:00:35 AM"</f>
        <v>12/19/2019 7:00:35 AM</v>
      </c>
      <c r="I1364" t="str">
        <f>""</f>
        <v/>
      </c>
      <c r="J1364" t="str">
        <f t="shared" si="557"/>
        <v>Elite</v>
      </c>
      <c r="K1364" t="str">
        <f t="shared" si="547"/>
        <v>Device</v>
      </c>
      <c r="L1364" t="str">
        <f t="shared" si="566"/>
        <v>777260318</v>
      </c>
      <c r="M1364" t="str">
        <f t="shared" si="567"/>
        <v>16758475</v>
      </c>
      <c r="N1364" t="str">
        <f t="shared" si="568"/>
        <v>5160-20</v>
      </c>
      <c r="O1364" t="str">
        <f t="shared" si="561"/>
        <v>TEXAS</v>
      </c>
      <c r="P1364" t="str">
        <f t="shared" si="562"/>
        <v>N A</v>
      </c>
      <c r="Q1364" t="str">
        <f t="shared" si="563"/>
        <v>N/A</v>
      </c>
      <c r="R1364" t="str">
        <f>"130 ARPTP 09 308"</f>
        <v>130 ARPTP 09 308</v>
      </c>
      <c r="S1364" t="str">
        <f>"12/18/2019 2:53:10 PM"</f>
        <v>12/18/2019 2:53:10 PM</v>
      </c>
      <c r="T1364" t="str">
        <f t="shared" si="552"/>
        <v>5</v>
      </c>
      <c r="U1364" t="str">
        <f t="shared" si="564"/>
        <v>N/A</v>
      </c>
      <c r="V1364" t="str">
        <f t="shared" si="569"/>
        <v>5.5500</v>
      </c>
    </row>
    <row r="1365" spans="1:22" x14ac:dyDescent="0.25">
      <c r="A1365" s="1" t="str">
        <f t="shared" si="554"/>
        <v>5160-</v>
      </c>
      <c r="B1365" s="1" t="str">
        <f t="shared" si="565"/>
        <v>5160-</v>
      </c>
      <c r="C1365" s="1" t="s">
        <v>8908</v>
      </c>
      <c r="D1365" s="1" t="s">
        <v>91</v>
      </c>
      <c r="E1365" s="1" t="s">
        <v>1738</v>
      </c>
      <c r="F1365" s="1" t="s">
        <v>22</v>
      </c>
      <c r="G1365" s="1" t="e">
        <f>VLOOKUP(C1365,'Master truck list'!E:R,14,0)</f>
        <v>#N/A</v>
      </c>
      <c r="H1365" t="str">
        <f>"12/19/2019 7:00:35 AM"</f>
        <v>12/19/2019 7:00:35 AM</v>
      </c>
      <c r="I1365" t="str">
        <f>""</f>
        <v/>
      </c>
      <c r="J1365" t="str">
        <f t="shared" si="557"/>
        <v>Elite</v>
      </c>
      <c r="K1365" t="str">
        <f t="shared" si="547"/>
        <v>Device</v>
      </c>
      <c r="L1365" t="str">
        <f t="shared" si="566"/>
        <v>777260318</v>
      </c>
      <c r="M1365" t="str">
        <f t="shared" si="567"/>
        <v>16758475</v>
      </c>
      <c r="N1365" t="str">
        <f t="shared" si="568"/>
        <v>5160-20</v>
      </c>
      <c r="O1365" t="str">
        <f t="shared" si="561"/>
        <v>TEXAS</v>
      </c>
      <c r="P1365" t="str">
        <f t="shared" si="562"/>
        <v>N A</v>
      </c>
      <c r="Q1365" t="str">
        <f t="shared" si="563"/>
        <v>N/A</v>
      </c>
      <c r="R1365" t="str">
        <f>"130 MGCRP 11 305"</f>
        <v>130 MGCRP 11 305</v>
      </c>
      <c r="S1365" t="str">
        <f>"12/18/2019 3:21:11 PM"</f>
        <v>12/18/2019 3:21:11 PM</v>
      </c>
      <c r="T1365" t="str">
        <f t="shared" si="552"/>
        <v>5</v>
      </c>
      <c r="U1365" t="str">
        <f t="shared" si="564"/>
        <v>N/A</v>
      </c>
      <c r="V1365" t="str">
        <f t="shared" si="569"/>
        <v>5.5500</v>
      </c>
    </row>
    <row r="1366" spans="1:22" x14ac:dyDescent="0.25">
      <c r="A1366" s="1" t="str">
        <f t="shared" si="554"/>
        <v>5160-</v>
      </c>
      <c r="B1366" s="1" t="str">
        <f t="shared" si="565"/>
        <v>5160-</v>
      </c>
      <c r="C1366" s="1" t="s">
        <v>8908</v>
      </c>
      <c r="D1366" s="1" t="s">
        <v>91</v>
      </c>
      <c r="E1366" s="1" t="s">
        <v>1738</v>
      </c>
      <c r="F1366" s="1" t="s">
        <v>22</v>
      </c>
      <c r="G1366" s="1" t="e">
        <f>VLOOKUP(C1366,'Master truck list'!E:R,14,0)</f>
        <v>#N/A</v>
      </c>
      <c r="H1366" t="str">
        <f>"12/17/2019 7:00:33 AM"</f>
        <v>12/17/2019 7:00:33 AM</v>
      </c>
      <c r="I1366" t="str">
        <f>""</f>
        <v/>
      </c>
      <c r="J1366" t="str">
        <f t="shared" si="557"/>
        <v>Elite</v>
      </c>
      <c r="K1366" t="str">
        <f t="shared" si="547"/>
        <v>Device</v>
      </c>
      <c r="L1366" t="str">
        <f t="shared" si="566"/>
        <v>777260318</v>
      </c>
      <c r="M1366" t="str">
        <f t="shared" si="567"/>
        <v>16758475</v>
      </c>
      <c r="N1366" t="str">
        <f t="shared" si="568"/>
        <v>5160-20</v>
      </c>
      <c r="O1366" t="str">
        <f t="shared" si="561"/>
        <v>TEXAS</v>
      </c>
      <c r="P1366" t="str">
        <f t="shared" si="562"/>
        <v>N A</v>
      </c>
      <c r="Q1366" t="str">
        <f t="shared" si="563"/>
        <v>N/A</v>
      </c>
      <c r="R1366" t="str">
        <f>"130 CMRNP 13 306"</f>
        <v>130 CMRNP 13 306</v>
      </c>
      <c r="S1366" t="str">
        <f>"12/16/2019 2:50:03 PM"</f>
        <v>12/16/2019 2:50:03 PM</v>
      </c>
      <c r="T1366" t="str">
        <f t="shared" si="552"/>
        <v>5</v>
      </c>
      <c r="U1366" t="str">
        <f t="shared" si="564"/>
        <v>N/A</v>
      </c>
      <c r="V1366" t="str">
        <f t="shared" si="569"/>
        <v>5.5500</v>
      </c>
    </row>
    <row r="1367" spans="1:22" x14ac:dyDescent="0.25">
      <c r="A1367" s="1" t="str">
        <f t="shared" si="554"/>
        <v>5160-</v>
      </c>
      <c r="B1367" s="1" t="str">
        <f t="shared" si="565"/>
        <v>5160-</v>
      </c>
      <c r="C1367" s="1" t="s">
        <v>8908</v>
      </c>
      <c r="D1367" s="1" t="s">
        <v>91</v>
      </c>
      <c r="E1367" s="1" t="s">
        <v>1738</v>
      </c>
      <c r="F1367" s="1" t="s">
        <v>22</v>
      </c>
      <c r="G1367" s="1" t="e">
        <f>VLOOKUP(C1367,'Master truck list'!E:R,14,0)</f>
        <v>#N/A</v>
      </c>
      <c r="H1367" t="str">
        <f>"12/17/2019 7:00:33 AM"</f>
        <v>12/17/2019 7:00:33 AM</v>
      </c>
      <c r="I1367" t="str">
        <f>""</f>
        <v/>
      </c>
      <c r="J1367" t="str">
        <f t="shared" si="557"/>
        <v>Elite</v>
      </c>
      <c r="K1367" t="str">
        <f t="shared" si="547"/>
        <v>Device</v>
      </c>
      <c r="L1367" t="str">
        <f t="shared" si="566"/>
        <v>777260318</v>
      </c>
      <c r="M1367" t="str">
        <f t="shared" si="567"/>
        <v>16758475</v>
      </c>
      <c r="N1367" t="str">
        <f t="shared" si="568"/>
        <v>5160-20</v>
      </c>
      <c r="O1367" t="str">
        <f t="shared" si="561"/>
        <v>TEXAS</v>
      </c>
      <c r="P1367" t="str">
        <f t="shared" si="562"/>
        <v>N A</v>
      </c>
      <c r="Q1367" t="str">
        <f t="shared" si="563"/>
        <v>N/A</v>
      </c>
      <c r="R1367" t="str">
        <f>"130 MGCRP 11 305"</f>
        <v>130 MGCRP 11 305</v>
      </c>
      <c r="S1367" t="str">
        <f>"12/16/2019 3:01:11 PM"</f>
        <v>12/16/2019 3:01:11 PM</v>
      </c>
      <c r="T1367" t="str">
        <f t="shared" si="552"/>
        <v>5</v>
      </c>
      <c r="U1367" t="str">
        <f t="shared" si="564"/>
        <v>N/A</v>
      </c>
      <c r="V1367" t="str">
        <f t="shared" si="569"/>
        <v>5.5500</v>
      </c>
    </row>
    <row r="1368" spans="1:22" x14ac:dyDescent="0.25">
      <c r="A1368" s="1" t="str">
        <f t="shared" si="554"/>
        <v>5160-</v>
      </c>
      <c r="B1368" s="1" t="str">
        <f t="shared" si="565"/>
        <v>5160-</v>
      </c>
      <c r="C1368" s="1" t="s">
        <v>8908</v>
      </c>
      <c r="D1368" s="1" t="s">
        <v>91</v>
      </c>
      <c r="E1368" s="1" t="s">
        <v>1738</v>
      </c>
      <c r="F1368" s="1" t="s">
        <v>22</v>
      </c>
      <c r="G1368" s="1" t="e">
        <f>VLOOKUP(C1368,'Master truck list'!E:R,14,0)</f>
        <v>#N/A</v>
      </c>
      <c r="H1368" t="str">
        <f>"12/17/2019 7:00:33 AM"</f>
        <v>12/17/2019 7:00:33 AM</v>
      </c>
      <c r="I1368" t="str">
        <f>""</f>
        <v/>
      </c>
      <c r="J1368" t="str">
        <f t="shared" si="557"/>
        <v>Elite</v>
      </c>
      <c r="K1368" t="str">
        <f t="shared" si="547"/>
        <v>Device</v>
      </c>
      <c r="L1368" t="str">
        <f t="shared" si="566"/>
        <v>777260318</v>
      </c>
      <c r="M1368" t="str">
        <f t="shared" si="567"/>
        <v>16758475</v>
      </c>
      <c r="N1368" t="str">
        <f t="shared" si="568"/>
        <v>5160-20</v>
      </c>
      <c r="O1368" t="str">
        <f t="shared" si="561"/>
        <v>TEXAS</v>
      </c>
      <c r="P1368" t="str">
        <f t="shared" si="562"/>
        <v>N A</v>
      </c>
      <c r="Q1368" t="str">
        <f t="shared" si="563"/>
        <v>N/A</v>
      </c>
      <c r="R1368" t="str">
        <f>"130 ARPTP 09 308"</f>
        <v>130 ARPTP 09 308</v>
      </c>
      <c r="S1368" t="str">
        <f>"12/16/2019 2:33:00 PM"</f>
        <v>12/16/2019 2:33:00 PM</v>
      </c>
      <c r="T1368" t="str">
        <f t="shared" si="552"/>
        <v>5</v>
      </c>
      <c r="U1368" t="str">
        <f t="shared" si="564"/>
        <v>N/A</v>
      </c>
      <c r="V1368" t="str">
        <f t="shared" si="569"/>
        <v>5.5500</v>
      </c>
    </row>
    <row r="1369" spans="1:22" x14ac:dyDescent="0.25">
      <c r="A1369" s="1" t="str">
        <f t="shared" si="554"/>
        <v>5160-</v>
      </c>
      <c r="B1369" s="1" t="str">
        <f t="shared" si="565"/>
        <v>5160-</v>
      </c>
      <c r="C1369" s="1" t="s">
        <v>8908</v>
      </c>
      <c r="D1369" s="1" t="s">
        <v>91</v>
      </c>
      <c r="E1369" s="1" t="s">
        <v>1738</v>
      </c>
      <c r="F1369" s="1" t="s">
        <v>22</v>
      </c>
      <c r="G1369" s="1" t="e">
        <f>VLOOKUP(C1369,'Master truck list'!E:R,14,0)</f>
        <v>#N/A</v>
      </c>
      <c r="H1369" t="str">
        <f>"12/19/2019 7:00:35 AM"</f>
        <v>12/19/2019 7:00:35 AM</v>
      </c>
      <c r="I1369" t="str">
        <f>""</f>
        <v/>
      </c>
      <c r="J1369" t="str">
        <f t="shared" si="557"/>
        <v>Elite</v>
      </c>
      <c r="K1369" t="str">
        <f t="shared" ref="K1369:K1432" si="570">"Device"</f>
        <v>Device</v>
      </c>
      <c r="L1369" t="str">
        <f t="shared" si="566"/>
        <v>777260318</v>
      </c>
      <c r="M1369" t="str">
        <f t="shared" si="567"/>
        <v>16758475</v>
      </c>
      <c r="N1369" t="str">
        <f t="shared" si="568"/>
        <v>5160-20</v>
      </c>
      <c r="O1369" t="str">
        <f t="shared" si="561"/>
        <v>TEXAS</v>
      </c>
      <c r="P1369" t="str">
        <f t="shared" si="562"/>
        <v>N A</v>
      </c>
      <c r="Q1369" t="str">
        <f t="shared" si="563"/>
        <v>N/A</v>
      </c>
      <c r="R1369" t="str">
        <f>"45SE MLPEB 02 611"</f>
        <v>45SE MLPEB 02 611</v>
      </c>
      <c r="S1369" t="str">
        <f>"12/18/2019 2:42:35 PM"</f>
        <v>12/18/2019 2:42:35 PM</v>
      </c>
      <c r="T1369" t="str">
        <f t="shared" si="552"/>
        <v>5</v>
      </c>
      <c r="U1369" t="str">
        <f t="shared" si="564"/>
        <v>N/A</v>
      </c>
      <c r="V1369" t="str">
        <f>"3.3000"</f>
        <v>3.3000</v>
      </c>
    </row>
    <row r="1370" spans="1:22" x14ac:dyDescent="0.25">
      <c r="A1370" s="1" t="str">
        <f t="shared" si="554"/>
        <v>5160-</v>
      </c>
      <c r="B1370" s="1" t="str">
        <f t="shared" si="565"/>
        <v>5160-</v>
      </c>
      <c r="C1370" s="1" t="s">
        <v>8908</v>
      </c>
      <c r="D1370" s="1" t="s">
        <v>91</v>
      </c>
      <c r="E1370" s="1" t="s">
        <v>1738</v>
      </c>
      <c r="F1370" s="1" t="s">
        <v>22</v>
      </c>
      <c r="G1370" s="1" t="e">
        <f>VLOOKUP(C1370,'Master truck list'!E:R,14,0)</f>
        <v>#N/A</v>
      </c>
      <c r="H1370" t="str">
        <f>"12/20/2019 7:00:30 AM"</f>
        <v>12/20/2019 7:00:30 AM</v>
      </c>
      <c r="I1370" t="str">
        <f>""</f>
        <v/>
      </c>
      <c r="J1370" t="str">
        <f t="shared" si="557"/>
        <v>Elite</v>
      </c>
      <c r="K1370" t="str">
        <f t="shared" si="570"/>
        <v>Device</v>
      </c>
      <c r="L1370" t="str">
        <f t="shared" si="566"/>
        <v>777260318</v>
      </c>
      <c r="M1370" t="str">
        <f t="shared" si="567"/>
        <v>16758475</v>
      </c>
      <c r="N1370" t="str">
        <f t="shared" si="568"/>
        <v>5160-20</v>
      </c>
      <c r="O1370" t="str">
        <f t="shared" si="561"/>
        <v>TEXAS</v>
      </c>
      <c r="P1370" t="str">
        <f t="shared" si="562"/>
        <v>N A</v>
      </c>
      <c r="Q1370" t="str">
        <f t="shared" si="563"/>
        <v>N/A</v>
      </c>
      <c r="R1370" t="str">
        <f>"130 ARPTP 04 308"</f>
        <v>130 ARPTP 04 308</v>
      </c>
      <c r="S1370" t="str">
        <f>"12/18/2019 10:24:41 PM"</f>
        <v>12/18/2019 10:24:41 PM</v>
      </c>
      <c r="T1370" t="str">
        <f t="shared" si="552"/>
        <v>5</v>
      </c>
      <c r="U1370" t="str">
        <f t="shared" si="564"/>
        <v>N/A</v>
      </c>
      <c r="V1370" t="str">
        <f>"5.5500"</f>
        <v>5.5500</v>
      </c>
    </row>
    <row r="1371" spans="1:22" x14ac:dyDescent="0.25">
      <c r="A1371" s="1" t="str">
        <f t="shared" si="554"/>
        <v>5160-</v>
      </c>
      <c r="B1371" s="1" t="str">
        <f t="shared" si="565"/>
        <v>5160-</v>
      </c>
      <c r="C1371" s="1" t="s">
        <v>8908</v>
      </c>
      <c r="D1371" s="1" t="s">
        <v>91</v>
      </c>
      <c r="E1371" s="1" t="s">
        <v>1738</v>
      </c>
      <c r="F1371" s="1" t="s">
        <v>22</v>
      </c>
      <c r="G1371" s="1" t="e">
        <f>VLOOKUP(C1371,'Master truck list'!E:R,14,0)</f>
        <v>#N/A</v>
      </c>
      <c r="H1371" t="str">
        <f>"12/20/2019 7:00:30 AM"</f>
        <v>12/20/2019 7:00:30 AM</v>
      </c>
      <c r="I1371" t="str">
        <f>""</f>
        <v/>
      </c>
      <c r="J1371" t="str">
        <f t="shared" si="557"/>
        <v>Elite</v>
      </c>
      <c r="K1371" t="str">
        <f t="shared" si="570"/>
        <v>Device</v>
      </c>
      <c r="L1371" t="str">
        <f t="shared" si="566"/>
        <v>777260318</v>
      </c>
      <c r="M1371" t="str">
        <f t="shared" si="567"/>
        <v>16758475</v>
      </c>
      <c r="N1371" t="str">
        <f t="shared" si="568"/>
        <v>5160-20</v>
      </c>
      <c r="O1371" t="str">
        <f t="shared" si="561"/>
        <v>TEXAS</v>
      </c>
      <c r="P1371" t="str">
        <f t="shared" si="562"/>
        <v>N A</v>
      </c>
      <c r="Q1371" t="str">
        <f t="shared" si="563"/>
        <v>N/A</v>
      </c>
      <c r="R1371" t="str">
        <f>"130 CMRNP 08 306"</f>
        <v>130 CMRNP 08 306</v>
      </c>
      <c r="S1371" t="str">
        <f>"12/18/2019 10:07:50 PM"</f>
        <v>12/18/2019 10:07:50 PM</v>
      </c>
      <c r="T1371" t="str">
        <f t="shared" si="552"/>
        <v>5</v>
      </c>
      <c r="U1371" t="str">
        <f t="shared" si="564"/>
        <v>N/A</v>
      </c>
      <c r="V1371" t="str">
        <f>"5.5500"</f>
        <v>5.5500</v>
      </c>
    </row>
    <row r="1372" spans="1:22" x14ac:dyDescent="0.25">
      <c r="A1372" s="1" t="str">
        <f t="shared" si="554"/>
        <v>5160-</v>
      </c>
      <c r="B1372" s="1" t="str">
        <f t="shared" si="565"/>
        <v>5160-</v>
      </c>
      <c r="C1372" s="1" t="s">
        <v>8908</v>
      </c>
      <c r="D1372" s="1" t="s">
        <v>91</v>
      </c>
      <c r="E1372" s="1" t="s">
        <v>1738</v>
      </c>
      <c r="F1372" s="1" t="s">
        <v>22</v>
      </c>
      <c r="G1372" s="1" t="e">
        <f>VLOOKUP(C1372,'Master truck list'!E:R,14,0)</f>
        <v>#N/A</v>
      </c>
      <c r="H1372" t="str">
        <f>"12/20/2019 7:00:30 AM"</f>
        <v>12/20/2019 7:00:30 AM</v>
      </c>
      <c r="I1372" t="str">
        <f>""</f>
        <v/>
      </c>
      <c r="J1372" t="str">
        <f t="shared" si="557"/>
        <v>Elite</v>
      </c>
      <c r="K1372" t="str">
        <f t="shared" si="570"/>
        <v>Device</v>
      </c>
      <c r="L1372" t="str">
        <f t="shared" si="566"/>
        <v>777260318</v>
      </c>
      <c r="M1372" t="str">
        <f t="shared" si="567"/>
        <v>16758475</v>
      </c>
      <c r="N1372" t="str">
        <f t="shared" si="568"/>
        <v>5160-20</v>
      </c>
      <c r="O1372" t="str">
        <f t="shared" si="561"/>
        <v>TEXAS</v>
      </c>
      <c r="P1372" t="str">
        <f t="shared" si="562"/>
        <v>N A</v>
      </c>
      <c r="Q1372" t="str">
        <f t="shared" si="563"/>
        <v>N/A</v>
      </c>
      <c r="R1372" t="str">
        <f>"45SE MLPWB 01 611"</f>
        <v>45SE MLPWB 01 611</v>
      </c>
      <c r="S1372" t="str">
        <f>"12/18/2019 10:35:12 PM"</f>
        <v>12/18/2019 10:35:12 PM</v>
      </c>
      <c r="T1372" t="str">
        <f t="shared" si="552"/>
        <v>5</v>
      </c>
      <c r="U1372" t="str">
        <f t="shared" si="564"/>
        <v>N/A</v>
      </c>
      <c r="V1372" t="str">
        <f>"3.3000"</f>
        <v>3.3000</v>
      </c>
    </row>
    <row r="1373" spans="1:22" x14ac:dyDescent="0.25">
      <c r="A1373" s="1" t="str">
        <f t="shared" si="554"/>
        <v>5160-</v>
      </c>
      <c r="B1373" s="1" t="str">
        <f t="shared" si="565"/>
        <v>5160-</v>
      </c>
      <c r="C1373" s="1" t="s">
        <v>8908</v>
      </c>
      <c r="D1373" s="1" t="s">
        <v>8899</v>
      </c>
      <c r="E1373" s="1" t="s">
        <v>1738</v>
      </c>
      <c r="F1373" s="1" t="s">
        <v>22</v>
      </c>
      <c r="G1373" s="1" t="e">
        <f>VLOOKUP(C1373,'Master truck list'!E:R,14,0)</f>
        <v>#N/A</v>
      </c>
      <c r="H1373" t="str">
        <f>"12/20/2019 7:00:30 AM"</f>
        <v>12/20/2019 7:00:30 AM</v>
      </c>
      <c r="I1373" t="str">
        <f>""</f>
        <v/>
      </c>
      <c r="J1373" t="str">
        <f t="shared" si="557"/>
        <v>Elite</v>
      </c>
      <c r="K1373" t="str">
        <f t="shared" si="570"/>
        <v>Device</v>
      </c>
      <c r="L1373" t="str">
        <f t="shared" si="566"/>
        <v>777260318</v>
      </c>
      <c r="M1373" t="str">
        <f t="shared" si="567"/>
        <v>16758475</v>
      </c>
      <c r="N1373" t="str">
        <f t="shared" si="568"/>
        <v>5160-20</v>
      </c>
      <c r="O1373" t="str">
        <f t="shared" si="561"/>
        <v>TEXAS</v>
      </c>
      <c r="P1373" t="str">
        <f t="shared" si="562"/>
        <v>N A</v>
      </c>
      <c r="Q1373" t="str">
        <f t="shared" si="563"/>
        <v>N/A</v>
      </c>
      <c r="R1373" t="str">
        <f>"130 MGCRP 06 305"</f>
        <v>130 MGCRP 06 305</v>
      </c>
      <c r="S1373" t="str">
        <f>"12/18/2019 9:56:53 PM"</f>
        <v>12/18/2019 9:56:53 PM</v>
      </c>
      <c r="T1373" t="str">
        <f t="shared" si="552"/>
        <v>5</v>
      </c>
      <c r="U1373" t="str">
        <f t="shared" si="564"/>
        <v>N/A</v>
      </c>
      <c r="V1373" t="str">
        <f>"5.5500"</f>
        <v>5.5500</v>
      </c>
    </row>
    <row r="1374" spans="1:22" x14ac:dyDescent="0.25">
      <c r="A1374" s="1" t="str">
        <f t="shared" si="554"/>
        <v>5160-</v>
      </c>
      <c r="B1374" s="1" t="str">
        <f t="shared" si="565"/>
        <v>5160-</v>
      </c>
      <c r="C1374" s="1" t="s">
        <v>8908</v>
      </c>
      <c r="D1374" s="1" t="s">
        <v>8899</v>
      </c>
      <c r="E1374" s="1" t="s">
        <v>1738</v>
      </c>
      <c r="F1374" s="1" t="s">
        <v>22</v>
      </c>
      <c r="G1374" s="1" t="e">
        <f>VLOOKUP(C1374,'Master truck list'!E:R,14,0)</f>
        <v>#N/A</v>
      </c>
      <c r="H1374" t="str">
        <f>"12/20/2019 7:00:30 AM"</f>
        <v>12/20/2019 7:00:30 AM</v>
      </c>
      <c r="I1374" t="str">
        <f>""</f>
        <v/>
      </c>
      <c r="J1374" t="str">
        <f t="shared" si="557"/>
        <v>Elite</v>
      </c>
      <c r="K1374" t="str">
        <f t="shared" si="570"/>
        <v>Device</v>
      </c>
      <c r="L1374" t="str">
        <f t="shared" si="566"/>
        <v>777260318</v>
      </c>
      <c r="M1374" t="str">
        <f t="shared" si="567"/>
        <v>16758475</v>
      </c>
      <c r="N1374" t="str">
        <f t="shared" si="568"/>
        <v>5160-20</v>
      </c>
      <c r="O1374" t="str">
        <f t="shared" si="561"/>
        <v>TEXAS</v>
      </c>
      <c r="P1374" t="str">
        <f t="shared" si="562"/>
        <v>N A</v>
      </c>
      <c r="Q1374" t="str">
        <f t="shared" si="563"/>
        <v>N/A</v>
      </c>
      <c r="R1374" t="str">
        <f>"130 DKCRP 06 307"</f>
        <v>130 DKCRP 06 307</v>
      </c>
      <c r="S1374" t="str">
        <f>"12/18/2019 10:17:46 PM"</f>
        <v>12/18/2019 10:17:46 PM</v>
      </c>
      <c r="T1374" t="str">
        <f t="shared" si="552"/>
        <v>5</v>
      </c>
      <c r="U1374" t="str">
        <f t="shared" si="564"/>
        <v>N/A</v>
      </c>
      <c r="V1374" t="str">
        <f>"5.5500"</f>
        <v>5.5500</v>
      </c>
    </row>
    <row r="1375" spans="1:22" x14ac:dyDescent="0.25">
      <c r="A1375" s="1" t="str">
        <f t="shared" si="554"/>
        <v>5160-</v>
      </c>
      <c r="B1375" s="1" t="str">
        <f t="shared" si="565"/>
        <v>5160-</v>
      </c>
      <c r="C1375" s="1" t="s">
        <v>8908</v>
      </c>
      <c r="D1375" s="1" t="s">
        <v>8899</v>
      </c>
      <c r="E1375" s="1" t="s">
        <v>1738</v>
      </c>
      <c r="F1375" s="1" t="s">
        <v>22</v>
      </c>
      <c r="G1375" s="1" t="e">
        <f>VLOOKUP(C1375,'Master truck list'!E:R,14,0)</f>
        <v>#N/A</v>
      </c>
      <c r="H1375" t="str">
        <f>"12/19/2019 7:00:35 AM"</f>
        <v>12/19/2019 7:00:35 AM</v>
      </c>
      <c r="I1375" t="str">
        <f>""</f>
        <v/>
      </c>
      <c r="J1375" t="str">
        <f t="shared" si="557"/>
        <v>Elite</v>
      </c>
      <c r="K1375" t="str">
        <f t="shared" si="570"/>
        <v>Device</v>
      </c>
      <c r="L1375" t="str">
        <f t="shared" si="566"/>
        <v>777260318</v>
      </c>
      <c r="M1375" t="str">
        <f t="shared" si="567"/>
        <v>16758475</v>
      </c>
      <c r="N1375" t="str">
        <f t="shared" si="568"/>
        <v>5160-20</v>
      </c>
      <c r="O1375" t="str">
        <f t="shared" si="561"/>
        <v>TEXAS</v>
      </c>
      <c r="P1375" t="str">
        <f t="shared" si="562"/>
        <v>N A</v>
      </c>
      <c r="Q1375" t="str">
        <f t="shared" si="563"/>
        <v>N/A</v>
      </c>
      <c r="R1375" t="str">
        <f>"130 DKCRP 11 307"</f>
        <v>130 DKCRP 11 307</v>
      </c>
      <c r="S1375" t="str">
        <f>"12/18/2019 3:00:06 PM"</f>
        <v>12/18/2019 3:00:06 PM</v>
      </c>
      <c r="T1375" t="str">
        <f t="shared" si="552"/>
        <v>5</v>
      </c>
      <c r="U1375" t="str">
        <f t="shared" si="564"/>
        <v>N/A</v>
      </c>
      <c r="V1375" t="str">
        <f>"5.5500"</f>
        <v>5.5500</v>
      </c>
    </row>
    <row r="1376" spans="1:22" x14ac:dyDescent="0.25">
      <c r="A1376" s="1" t="str">
        <f t="shared" si="554"/>
        <v>5160-</v>
      </c>
      <c r="B1376" s="1" t="str">
        <f t="shared" si="565"/>
        <v>5160-</v>
      </c>
      <c r="C1376" s="1" t="s">
        <v>8908</v>
      </c>
      <c r="D1376" s="1" t="s">
        <v>8899</v>
      </c>
      <c r="E1376" s="1" t="s">
        <v>1738</v>
      </c>
      <c r="F1376" s="1" t="s">
        <v>22</v>
      </c>
      <c r="G1376" s="1" t="e">
        <f>VLOOKUP(C1376,'Master truck list'!E:R,14,0)</f>
        <v>#N/A</v>
      </c>
      <c r="H1376" t="str">
        <f>"12/20/2019 7:00:30 AM"</f>
        <v>12/20/2019 7:00:30 AM</v>
      </c>
      <c r="I1376" t="str">
        <f>""</f>
        <v/>
      </c>
      <c r="J1376" t="str">
        <f t="shared" si="557"/>
        <v>Elite</v>
      </c>
      <c r="K1376" t="str">
        <f t="shared" si="570"/>
        <v>Device</v>
      </c>
      <c r="L1376" t="str">
        <f t="shared" si="566"/>
        <v>777260318</v>
      </c>
      <c r="M1376" t="str">
        <f t="shared" si="567"/>
        <v>16758475</v>
      </c>
      <c r="N1376" t="str">
        <f t="shared" si="568"/>
        <v>5160-20</v>
      </c>
      <c r="O1376" t="str">
        <f t="shared" si="561"/>
        <v>TEXAS</v>
      </c>
      <c r="P1376" t="str">
        <f t="shared" si="562"/>
        <v>N A</v>
      </c>
      <c r="Q1376" t="str">
        <f t="shared" si="563"/>
        <v>N/A</v>
      </c>
      <c r="R1376" t="str">
        <f>"130 CMRNP 13 306"</f>
        <v>130 CMRNP 13 306</v>
      </c>
      <c r="S1376" t="str">
        <f>"12/19/2019 6:54:00 PM"</f>
        <v>12/19/2019 6:54:00 PM</v>
      </c>
      <c r="T1376" t="str">
        <f t="shared" si="552"/>
        <v>5</v>
      </c>
      <c r="U1376" t="str">
        <f t="shared" si="564"/>
        <v>N/A</v>
      </c>
      <c r="V1376" t="str">
        <f>"5.5500"</f>
        <v>5.5500</v>
      </c>
    </row>
    <row r="1377" spans="1:22" x14ac:dyDescent="0.25">
      <c r="A1377" s="1" t="str">
        <f t="shared" si="554"/>
        <v>5160-</v>
      </c>
      <c r="B1377" s="1" t="str">
        <f t="shared" si="565"/>
        <v>5160-</v>
      </c>
      <c r="C1377" s="1" t="s">
        <v>8908</v>
      </c>
      <c r="D1377" s="1" t="s">
        <v>8899</v>
      </c>
      <c r="E1377" s="1" t="s">
        <v>1738</v>
      </c>
      <c r="F1377" s="1" t="s">
        <v>22</v>
      </c>
      <c r="G1377" s="1" t="e">
        <f>VLOOKUP(C1377,'Master truck list'!E:R,14,0)</f>
        <v>#N/A</v>
      </c>
      <c r="H1377" t="str">
        <f>"12/20/2019 7:00:30 AM"</f>
        <v>12/20/2019 7:00:30 AM</v>
      </c>
      <c r="I1377" t="str">
        <f>""</f>
        <v/>
      </c>
      <c r="J1377" t="str">
        <f t="shared" si="557"/>
        <v>Elite</v>
      </c>
      <c r="K1377" t="str">
        <f t="shared" si="570"/>
        <v>Device</v>
      </c>
      <c r="L1377" t="str">
        <f t="shared" si="566"/>
        <v>777260318</v>
      </c>
      <c r="M1377" t="str">
        <f t="shared" si="567"/>
        <v>16758475</v>
      </c>
      <c r="N1377" t="str">
        <f t="shared" si="568"/>
        <v>5160-20</v>
      </c>
      <c r="O1377" t="str">
        <f t="shared" si="561"/>
        <v>TEXAS</v>
      </c>
      <c r="P1377" t="str">
        <f t="shared" si="562"/>
        <v>N A</v>
      </c>
      <c r="Q1377" t="str">
        <f t="shared" si="563"/>
        <v>N/A</v>
      </c>
      <c r="R1377" t="str">
        <f>"130 ARPTP 09 308"</f>
        <v>130 ARPTP 09 308</v>
      </c>
      <c r="S1377" t="str">
        <f>"12/19/2019 6:37:06 PM"</f>
        <v>12/19/2019 6:37:06 PM</v>
      </c>
      <c r="T1377" t="str">
        <f t="shared" si="552"/>
        <v>5</v>
      </c>
      <c r="U1377" t="str">
        <f t="shared" si="564"/>
        <v>N/A</v>
      </c>
      <c r="V1377" t="str">
        <f>"5.5500"</f>
        <v>5.5500</v>
      </c>
    </row>
    <row r="1378" spans="1:22" x14ac:dyDescent="0.25">
      <c r="A1378" s="1" t="str">
        <f t="shared" si="554"/>
        <v>5160-</v>
      </c>
      <c r="B1378" s="1" t="str">
        <f t="shared" si="565"/>
        <v>5160-</v>
      </c>
      <c r="C1378" s="1" t="s">
        <v>8908</v>
      </c>
      <c r="D1378" s="1" t="s">
        <v>8899</v>
      </c>
      <c r="E1378" s="1" t="s">
        <v>1738</v>
      </c>
      <c r="F1378" s="1" t="s">
        <v>22</v>
      </c>
      <c r="G1378" s="1" t="e">
        <f>VLOOKUP(C1378,'Master truck list'!E:R,14,0)</f>
        <v>#N/A</v>
      </c>
      <c r="H1378" t="str">
        <f>"12/20/2019 7:00:30 AM"</f>
        <v>12/20/2019 7:00:30 AM</v>
      </c>
      <c r="I1378" t="str">
        <f>""</f>
        <v/>
      </c>
      <c r="J1378" t="str">
        <f t="shared" si="557"/>
        <v>Elite</v>
      </c>
      <c r="K1378" t="str">
        <f t="shared" si="570"/>
        <v>Device</v>
      </c>
      <c r="L1378" t="str">
        <f t="shared" si="566"/>
        <v>777260318</v>
      </c>
      <c r="M1378" t="str">
        <f t="shared" si="567"/>
        <v>16758475</v>
      </c>
      <c r="N1378" t="str">
        <f t="shared" si="568"/>
        <v>5160-20</v>
      </c>
      <c r="O1378" t="str">
        <f t="shared" si="561"/>
        <v>TEXAS</v>
      </c>
      <c r="P1378" t="str">
        <f t="shared" si="562"/>
        <v>N A</v>
      </c>
      <c r="Q1378" t="str">
        <f t="shared" si="563"/>
        <v>N/A</v>
      </c>
      <c r="R1378" t="str">
        <f>"45SE MLPEB 02 611"</f>
        <v>45SE MLPEB 02 611</v>
      </c>
      <c r="S1378" t="str">
        <f>"12/19/2019 6:26:34 PM"</f>
        <v>12/19/2019 6:26:34 PM</v>
      </c>
      <c r="T1378" t="str">
        <f t="shared" si="552"/>
        <v>5</v>
      </c>
      <c r="U1378" t="str">
        <f t="shared" si="564"/>
        <v>N/A</v>
      </c>
      <c r="V1378" t="str">
        <f>"3.3000"</f>
        <v>3.3000</v>
      </c>
    </row>
    <row r="1379" spans="1:22" x14ac:dyDescent="0.25">
      <c r="A1379" s="1" t="str">
        <f t="shared" si="554"/>
        <v>5160-</v>
      </c>
      <c r="B1379" s="1" t="str">
        <f t="shared" si="565"/>
        <v>5160-</v>
      </c>
      <c r="C1379" s="1" t="s">
        <v>8908</v>
      </c>
      <c r="D1379" s="1" t="s">
        <v>8899</v>
      </c>
      <c r="E1379" s="1" t="s">
        <v>1738</v>
      </c>
      <c r="F1379" s="1" t="s">
        <v>22</v>
      </c>
      <c r="G1379" s="1" t="e">
        <f>VLOOKUP(C1379,'Master truck list'!E:R,14,0)</f>
        <v>#N/A</v>
      </c>
      <c r="H1379" t="str">
        <f>"12/20/2019 7:00:30 AM"</f>
        <v>12/20/2019 7:00:30 AM</v>
      </c>
      <c r="I1379" t="str">
        <f>""</f>
        <v/>
      </c>
      <c r="J1379" t="str">
        <f t="shared" si="557"/>
        <v>Elite</v>
      </c>
      <c r="K1379" t="str">
        <f t="shared" si="570"/>
        <v>Device</v>
      </c>
      <c r="L1379" t="str">
        <f t="shared" si="566"/>
        <v>777260318</v>
      </c>
      <c r="M1379" t="str">
        <f t="shared" si="567"/>
        <v>16758475</v>
      </c>
      <c r="N1379" t="str">
        <f t="shared" si="568"/>
        <v>5160-20</v>
      </c>
      <c r="O1379" t="str">
        <f t="shared" si="561"/>
        <v>TEXAS</v>
      </c>
      <c r="P1379" t="str">
        <f t="shared" si="562"/>
        <v>N A</v>
      </c>
      <c r="Q1379" t="str">
        <f t="shared" si="563"/>
        <v>N/A</v>
      </c>
      <c r="R1379" t="str">
        <f>"130 MGCRP 11 305"</f>
        <v>130 MGCRP 11 305</v>
      </c>
      <c r="S1379" t="str">
        <f>"12/19/2019 7:04:58 PM"</f>
        <v>12/19/2019 7:04:58 PM</v>
      </c>
      <c r="T1379" t="str">
        <f t="shared" si="552"/>
        <v>5</v>
      </c>
      <c r="U1379" t="str">
        <f t="shared" si="564"/>
        <v>N/A</v>
      </c>
      <c r="V1379" t="str">
        <f>"5.5500"</f>
        <v>5.5500</v>
      </c>
    </row>
    <row r="1380" spans="1:22" x14ac:dyDescent="0.25">
      <c r="A1380" s="1" t="str">
        <f t="shared" si="554"/>
        <v>5160-</v>
      </c>
      <c r="B1380" s="1" t="str">
        <f t="shared" si="565"/>
        <v>5160-</v>
      </c>
      <c r="C1380" s="1" t="s">
        <v>8908</v>
      </c>
      <c r="D1380" s="1" t="s">
        <v>8899</v>
      </c>
      <c r="E1380" s="1" t="s">
        <v>1738</v>
      </c>
      <c r="F1380" s="1" t="s">
        <v>22</v>
      </c>
      <c r="G1380" s="1" t="e">
        <f>VLOOKUP(C1380,'Master truck list'!E:R,14,0)</f>
        <v>#N/A</v>
      </c>
      <c r="H1380" t="str">
        <f>"12/21/2019 7:00:28 AM"</f>
        <v>12/21/2019 7:00:28 AM</v>
      </c>
      <c r="I1380" t="str">
        <f>""</f>
        <v/>
      </c>
      <c r="J1380" t="str">
        <f t="shared" si="557"/>
        <v>Elite</v>
      </c>
      <c r="K1380" t="str">
        <f t="shared" si="570"/>
        <v>Device</v>
      </c>
      <c r="L1380" t="str">
        <f t="shared" si="566"/>
        <v>777260318</v>
      </c>
      <c r="M1380" t="str">
        <f t="shared" si="567"/>
        <v>16758475</v>
      </c>
      <c r="N1380" t="str">
        <f t="shared" si="568"/>
        <v>5160-20</v>
      </c>
      <c r="O1380" t="str">
        <f t="shared" si="561"/>
        <v>TEXAS</v>
      </c>
      <c r="P1380" t="str">
        <f t="shared" si="562"/>
        <v>N A</v>
      </c>
      <c r="Q1380" t="str">
        <f t="shared" si="563"/>
        <v>N/A</v>
      </c>
      <c r="R1380" t="str">
        <f>"130 ARPTP 04 308"</f>
        <v>130 ARPTP 04 308</v>
      </c>
      <c r="S1380" t="str">
        <f>"12/20/2019 2:12:54 PM"</f>
        <v>12/20/2019 2:12:54 PM</v>
      </c>
      <c r="T1380" t="str">
        <f t="shared" si="552"/>
        <v>5</v>
      </c>
      <c r="U1380" t="str">
        <f t="shared" si="564"/>
        <v>N/A</v>
      </c>
      <c r="V1380" t="str">
        <f>"5.5500"</f>
        <v>5.5500</v>
      </c>
    </row>
    <row r="1381" spans="1:22" x14ac:dyDescent="0.25">
      <c r="A1381" s="1" t="str">
        <f t="shared" si="554"/>
        <v>5160-</v>
      </c>
      <c r="B1381" s="1" t="str">
        <f t="shared" si="565"/>
        <v>5160-</v>
      </c>
      <c r="C1381" s="1" t="s">
        <v>8908</v>
      </c>
      <c r="D1381" s="1" t="s">
        <v>8899</v>
      </c>
      <c r="E1381" s="1" t="s">
        <v>1738</v>
      </c>
      <c r="F1381" s="1" t="s">
        <v>22</v>
      </c>
      <c r="G1381" s="1" t="e">
        <f>VLOOKUP(C1381,'Master truck list'!E:R,14,0)</f>
        <v>#N/A</v>
      </c>
      <c r="H1381" t="str">
        <f>"12/20/2019 7:00:30 AM"</f>
        <v>12/20/2019 7:00:30 AM</v>
      </c>
      <c r="I1381" t="str">
        <f>""</f>
        <v/>
      </c>
      <c r="J1381" t="str">
        <f t="shared" si="557"/>
        <v>Elite</v>
      </c>
      <c r="K1381" t="str">
        <f t="shared" si="570"/>
        <v>Device</v>
      </c>
      <c r="L1381" t="str">
        <f t="shared" si="566"/>
        <v>777260318</v>
      </c>
      <c r="M1381" t="str">
        <f t="shared" si="567"/>
        <v>16758475</v>
      </c>
      <c r="N1381" t="str">
        <f t="shared" si="568"/>
        <v>5160-20</v>
      </c>
      <c r="O1381" t="str">
        <f t="shared" si="561"/>
        <v>TEXAS</v>
      </c>
      <c r="P1381" t="str">
        <f t="shared" si="562"/>
        <v>N A</v>
      </c>
      <c r="Q1381" t="str">
        <f t="shared" si="563"/>
        <v>N/A</v>
      </c>
      <c r="R1381" t="str">
        <f>"130 DKCRP 11 307"</f>
        <v>130 DKCRP 11 307</v>
      </c>
      <c r="S1381" t="str">
        <f>"12/19/2019 6:44:02 PM"</f>
        <v>12/19/2019 6:44:02 PM</v>
      </c>
      <c r="T1381" t="str">
        <f t="shared" si="552"/>
        <v>5</v>
      </c>
      <c r="U1381" t="str">
        <f t="shared" si="564"/>
        <v>N/A</v>
      </c>
      <c r="V1381" t="str">
        <f>"5.5500"</f>
        <v>5.5500</v>
      </c>
    </row>
    <row r="1382" spans="1:22" x14ac:dyDescent="0.25">
      <c r="A1382" s="1" t="str">
        <f t="shared" si="554"/>
        <v>5160-</v>
      </c>
      <c r="B1382" s="1" t="str">
        <f t="shared" si="565"/>
        <v>5160-</v>
      </c>
      <c r="C1382" s="1" t="s">
        <v>8908</v>
      </c>
      <c r="D1382" s="1" t="s">
        <v>8899</v>
      </c>
      <c r="E1382" s="1" t="s">
        <v>1738</v>
      </c>
      <c r="F1382" s="1" t="s">
        <v>22</v>
      </c>
      <c r="G1382" s="1" t="e">
        <f>VLOOKUP(C1382,'Master truck list'!E:R,14,0)</f>
        <v>#N/A</v>
      </c>
      <c r="H1382" t="str">
        <f t="shared" ref="H1382:H1389" si="571">"12/21/2019 7:00:28 AM"</f>
        <v>12/21/2019 7:00:28 AM</v>
      </c>
      <c r="I1382" t="str">
        <f>""</f>
        <v/>
      </c>
      <c r="J1382" t="str">
        <f t="shared" si="557"/>
        <v>Elite</v>
      </c>
      <c r="K1382" t="str">
        <f t="shared" si="570"/>
        <v>Device</v>
      </c>
      <c r="L1382" t="str">
        <f t="shared" si="566"/>
        <v>777260318</v>
      </c>
      <c r="M1382" t="str">
        <f t="shared" si="567"/>
        <v>16758475</v>
      </c>
      <c r="N1382" t="str">
        <f t="shared" si="568"/>
        <v>5160-20</v>
      </c>
      <c r="O1382" t="str">
        <f t="shared" si="561"/>
        <v>TEXAS</v>
      </c>
      <c r="P1382" t="str">
        <f t="shared" si="562"/>
        <v>N A</v>
      </c>
      <c r="Q1382" t="str">
        <f t="shared" si="563"/>
        <v>N/A</v>
      </c>
      <c r="R1382" t="str">
        <f>"130 CMRNP 08 306"</f>
        <v>130 CMRNP 08 306</v>
      </c>
      <c r="S1382" t="str">
        <f>"12/20/2019 1:55:35 PM"</f>
        <v>12/20/2019 1:55:35 PM</v>
      </c>
      <c r="T1382" t="str">
        <f t="shared" si="552"/>
        <v>5</v>
      </c>
      <c r="U1382" t="str">
        <f t="shared" si="564"/>
        <v>N/A</v>
      </c>
      <c r="V1382" t="str">
        <f>"5.5500"</f>
        <v>5.5500</v>
      </c>
    </row>
    <row r="1383" spans="1:22" x14ac:dyDescent="0.25">
      <c r="A1383" s="1" t="str">
        <f t="shared" si="554"/>
        <v>5160-</v>
      </c>
      <c r="B1383" s="1" t="str">
        <f t="shared" si="565"/>
        <v>5160-</v>
      </c>
      <c r="C1383" s="1" t="s">
        <v>8908</v>
      </c>
      <c r="D1383" s="1" t="s">
        <v>8899</v>
      </c>
      <c r="E1383" s="1" t="s">
        <v>1738</v>
      </c>
      <c r="F1383" s="1" t="s">
        <v>22</v>
      </c>
      <c r="G1383" s="1" t="e">
        <f>VLOOKUP(C1383,'Master truck list'!E:R,14,0)</f>
        <v>#N/A</v>
      </c>
      <c r="H1383" t="str">
        <f t="shared" si="571"/>
        <v>12/21/2019 7:00:28 AM</v>
      </c>
      <c r="I1383" t="str">
        <f>""</f>
        <v/>
      </c>
      <c r="J1383" t="str">
        <f t="shared" si="557"/>
        <v>Elite</v>
      </c>
      <c r="K1383" t="str">
        <f t="shared" si="570"/>
        <v>Device</v>
      </c>
      <c r="L1383" t="str">
        <f t="shared" si="566"/>
        <v>777260318</v>
      </c>
      <c r="M1383" t="str">
        <f t="shared" si="567"/>
        <v>16758475</v>
      </c>
      <c r="N1383" t="str">
        <f t="shared" si="568"/>
        <v>5160-20</v>
      </c>
      <c r="O1383" t="str">
        <f t="shared" si="561"/>
        <v>TEXAS</v>
      </c>
      <c r="P1383" t="str">
        <f t="shared" si="562"/>
        <v>N A</v>
      </c>
      <c r="Q1383" t="str">
        <f t="shared" si="563"/>
        <v>N/A</v>
      </c>
      <c r="R1383" t="str">
        <f>"45SE MLPWB 01 611"</f>
        <v>45SE MLPWB 01 611</v>
      </c>
      <c r="S1383" t="str">
        <f>"12/20/2019 2:23:38 PM"</f>
        <v>12/20/2019 2:23:38 PM</v>
      </c>
      <c r="T1383" t="str">
        <f t="shared" ref="T1383:T1420" si="572">"5"</f>
        <v>5</v>
      </c>
      <c r="U1383" t="str">
        <f t="shared" si="564"/>
        <v>N/A</v>
      </c>
      <c r="V1383" t="str">
        <f>"3.3000"</f>
        <v>3.3000</v>
      </c>
    </row>
    <row r="1384" spans="1:22" x14ac:dyDescent="0.25">
      <c r="A1384" s="1" t="str">
        <f t="shared" si="554"/>
        <v>5160-</v>
      </c>
      <c r="B1384" s="1" t="str">
        <f t="shared" si="565"/>
        <v>5160-</v>
      </c>
      <c r="C1384" s="1" t="s">
        <v>8908</v>
      </c>
      <c r="D1384" s="1" t="s">
        <v>8899</v>
      </c>
      <c r="E1384" s="1" t="s">
        <v>1738</v>
      </c>
      <c r="F1384" s="1" t="s">
        <v>22</v>
      </c>
      <c r="G1384" s="1" t="e">
        <f>VLOOKUP(C1384,'Master truck list'!E:R,14,0)</f>
        <v>#N/A</v>
      </c>
      <c r="H1384" t="str">
        <f t="shared" si="571"/>
        <v>12/21/2019 7:00:28 AM</v>
      </c>
      <c r="I1384" t="str">
        <f>""</f>
        <v/>
      </c>
      <c r="J1384" t="str">
        <f t="shared" si="557"/>
        <v>Elite</v>
      </c>
      <c r="K1384" t="str">
        <f t="shared" si="570"/>
        <v>Device</v>
      </c>
      <c r="L1384" t="str">
        <f t="shared" si="566"/>
        <v>777260318</v>
      </c>
      <c r="M1384" t="str">
        <f t="shared" si="567"/>
        <v>16758475</v>
      </c>
      <c r="N1384" t="str">
        <f t="shared" si="568"/>
        <v>5160-20</v>
      </c>
      <c r="O1384" t="str">
        <f t="shared" si="561"/>
        <v>TEXAS</v>
      </c>
      <c r="P1384" t="str">
        <f t="shared" si="562"/>
        <v>N A</v>
      </c>
      <c r="Q1384" t="str">
        <f t="shared" si="563"/>
        <v>N/A</v>
      </c>
      <c r="R1384" t="str">
        <f>"130 DKCRP 07 307"</f>
        <v>130 DKCRP 07 307</v>
      </c>
      <c r="S1384" t="str">
        <f>"12/20/2019 2:05:52 PM"</f>
        <v>12/20/2019 2:05:52 PM</v>
      </c>
      <c r="T1384" t="str">
        <f t="shared" si="572"/>
        <v>5</v>
      </c>
      <c r="U1384" t="str">
        <f t="shared" si="564"/>
        <v>N/A</v>
      </c>
      <c r="V1384" t="str">
        <f t="shared" ref="V1384:V1390" si="573">"5.5500"</f>
        <v>5.5500</v>
      </c>
    </row>
    <row r="1385" spans="1:22" x14ac:dyDescent="0.25">
      <c r="A1385" s="1" t="str">
        <f t="shared" si="554"/>
        <v>5160-</v>
      </c>
      <c r="B1385" s="1" t="str">
        <f t="shared" si="565"/>
        <v>5160-</v>
      </c>
      <c r="C1385" s="1" t="s">
        <v>8908</v>
      </c>
      <c r="D1385" s="1" t="s">
        <v>8899</v>
      </c>
      <c r="E1385" s="1" t="s">
        <v>1738</v>
      </c>
      <c r="F1385" s="1" t="s">
        <v>22</v>
      </c>
      <c r="G1385" s="1" t="e">
        <f>VLOOKUP(C1385,'Master truck list'!E:R,14,0)</f>
        <v>#N/A</v>
      </c>
      <c r="H1385" t="str">
        <f t="shared" si="571"/>
        <v>12/21/2019 7:00:28 AM</v>
      </c>
      <c r="I1385" t="str">
        <f>""</f>
        <v/>
      </c>
      <c r="J1385" t="str">
        <f t="shared" si="557"/>
        <v>Elite</v>
      </c>
      <c r="K1385" t="str">
        <f t="shared" si="570"/>
        <v>Device</v>
      </c>
      <c r="L1385" t="str">
        <f t="shared" si="566"/>
        <v>777260318</v>
      </c>
      <c r="M1385" t="str">
        <f t="shared" si="567"/>
        <v>16758475</v>
      </c>
      <c r="N1385" t="str">
        <f t="shared" si="568"/>
        <v>5160-20</v>
      </c>
      <c r="O1385" t="str">
        <f t="shared" si="561"/>
        <v>TEXAS</v>
      </c>
      <c r="P1385" t="str">
        <f t="shared" si="562"/>
        <v>N A</v>
      </c>
      <c r="Q1385" t="str">
        <f t="shared" si="563"/>
        <v>N/A</v>
      </c>
      <c r="R1385" t="str">
        <f>"130 MGCRP 06 305"</f>
        <v>130 MGCRP 06 305</v>
      </c>
      <c r="S1385" t="str">
        <f>"12/20/2019 1:43:31 PM"</f>
        <v>12/20/2019 1:43:31 PM</v>
      </c>
      <c r="T1385" t="str">
        <f t="shared" si="572"/>
        <v>5</v>
      </c>
      <c r="U1385" t="str">
        <f t="shared" si="564"/>
        <v>N/A</v>
      </c>
      <c r="V1385" t="str">
        <f t="shared" si="573"/>
        <v>5.5500</v>
      </c>
    </row>
    <row r="1386" spans="1:22" x14ac:dyDescent="0.25">
      <c r="A1386" s="1" t="str">
        <f t="shared" si="554"/>
        <v>5163-</v>
      </c>
      <c r="B1386" s="1" t="str">
        <f t="shared" si="565"/>
        <v>5163-</v>
      </c>
      <c r="C1386" s="1" t="s">
        <v>8889</v>
      </c>
      <c r="D1386" s="1" t="s">
        <v>8899</v>
      </c>
      <c r="E1386" s="1" t="s">
        <v>1738</v>
      </c>
      <c r="F1386" s="1" t="s">
        <v>22</v>
      </c>
      <c r="G1386" s="1" t="e">
        <f>VLOOKUP(C1386,'Master truck list'!E:R,14,0)</f>
        <v>#N/A</v>
      </c>
      <c r="H1386" t="str">
        <f t="shared" si="571"/>
        <v>12/21/2019 7:00:28 AM</v>
      </c>
      <c r="I1386" t="str">
        <f>""</f>
        <v/>
      </c>
      <c r="J1386" t="str">
        <f t="shared" si="557"/>
        <v>Elite</v>
      </c>
      <c r="K1386" t="str">
        <f t="shared" si="570"/>
        <v>Device</v>
      </c>
      <c r="L1386" t="str">
        <f t="shared" ref="L1386:L1405" si="574">"777260171"</f>
        <v>777260171</v>
      </c>
      <c r="M1386" t="str">
        <f t="shared" ref="M1386:M1405" si="575">"16758328"</f>
        <v>16758328</v>
      </c>
      <c r="N1386" t="str">
        <f t="shared" ref="N1386:N1405" si="576">"5163-20"</f>
        <v>5163-20</v>
      </c>
      <c r="O1386" t="str">
        <f t="shared" si="561"/>
        <v>TEXAS</v>
      </c>
      <c r="P1386" t="str">
        <f t="shared" si="562"/>
        <v>N A</v>
      </c>
      <c r="Q1386" t="str">
        <f t="shared" si="563"/>
        <v>N/A</v>
      </c>
      <c r="R1386" t="str">
        <f>"130 DKCRP 11 307"</f>
        <v>130 DKCRP 11 307</v>
      </c>
      <c r="S1386" t="str">
        <f>"12/20/2019 5:57:52 PM"</f>
        <v>12/20/2019 5:57:52 PM</v>
      </c>
      <c r="T1386" t="str">
        <f t="shared" si="572"/>
        <v>5</v>
      </c>
      <c r="U1386" t="str">
        <f t="shared" si="564"/>
        <v>N/A</v>
      </c>
      <c r="V1386" t="str">
        <f t="shared" si="573"/>
        <v>5.5500</v>
      </c>
    </row>
    <row r="1387" spans="1:22" x14ac:dyDescent="0.25">
      <c r="A1387" s="1" t="str">
        <f t="shared" si="554"/>
        <v>5163-</v>
      </c>
      <c r="B1387" s="1" t="str">
        <f t="shared" si="565"/>
        <v>5163-</v>
      </c>
      <c r="C1387" s="1" t="s">
        <v>8889</v>
      </c>
      <c r="D1387" s="1" t="s">
        <v>8899</v>
      </c>
      <c r="E1387" s="1" t="s">
        <v>1738</v>
      </c>
      <c r="F1387" s="1" t="s">
        <v>22</v>
      </c>
      <c r="G1387" s="1" t="e">
        <f>VLOOKUP(C1387,'Master truck list'!E:R,14,0)</f>
        <v>#N/A</v>
      </c>
      <c r="H1387" t="str">
        <f t="shared" si="571"/>
        <v>12/21/2019 7:00:28 AM</v>
      </c>
      <c r="I1387" t="str">
        <f>""</f>
        <v/>
      </c>
      <c r="J1387" t="str">
        <f t="shared" si="557"/>
        <v>Elite</v>
      </c>
      <c r="K1387" t="str">
        <f t="shared" si="570"/>
        <v>Device</v>
      </c>
      <c r="L1387" t="str">
        <f t="shared" si="574"/>
        <v>777260171</v>
      </c>
      <c r="M1387" t="str">
        <f t="shared" si="575"/>
        <v>16758328</v>
      </c>
      <c r="N1387" t="str">
        <f t="shared" si="576"/>
        <v>5163-20</v>
      </c>
      <c r="O1387" t="str">
        <f t="shared" si="561"/>
        <v>TEXAS</v>
      </c>
      <c r="P1387" t="str">
        <f t="shared" si="562"/>
        <v>N A</v>
      </c>
      <c r="Q1387" t="str">
        <f t="shared" si="563"/>
        <v>N/A</v>
      </c>
      <c r="R1387" t="str">
        <f>"130 MGCRP 11 305"</f>
        <v>130 MGCRP 11 305</v>
      </c>
      <c r="S1387" t="str">
        <f>"12/20/2019 6:31:04 PM"</f>
        <v>12/20/2019 6:31:04 PM</v>
      </c>
      <c r="T1387" t="str">
        <f t="shared" si="572"/>
        <v>5</v>
      </c>
      <c r="U1387" t="str">
        <f t="shared" si="564"/>
        <v>N/A</v>
      </c>
      <c r="V1387" t="str">
        <f t="shared" si="573"/>
        <v>5.5500</v>
      </c>
    </row>
    <row r="1388" spans="1:22" x14ac:dyDescent="0.25">
      <c r="A1388" s="1" t="str">
        <f t="shared" si="554"/>
        <v>5163-</v>
      </c>
      <c r="B1388" s="1" t="str">
        <f t="shared" si="565"/>
        <v>5163-</v>
      </c>
      <c r="C1388" s="1" t="s">
        <v>8889</v>
      </c>
      <c r="D1388" s="1" t="s">
        <v>8899</v>
      </c>
      <c r="E1388" s="1" t="s">
        <v>1738</v>
      </c>
      <c r="F1388" s="1" t="s">
        <v>22</v>
      </c>
      <c r="G1388" s="1" t="e">
        <f>VLOOKUP(C1388,'Master truck list'!E:R,14,0)</f>
        <v>#N/A</v>
      </c>
      <c r="H1388" t="str">
        <f t="shared" si="571"/>
        <v>12/21/2019 7:00:28 AM</v>
      </c>
      <c r="I1388" t="str">
        <f>""</f>
        <v/>
      </c>
      <c r="J1388" t="str">
        <f t="shared" si="557"/>
        <v>Elite</v>
      </c>
      <c r="K1388" t="str">
        <f t="shared" si="570"/>
        <v>Device</v>
      </c>
      <c r="L1388" t="str">
        <f t="shared" si="574"/>
        <v>777260171</v>
      </c>
      <c r="M1388" t="str">
        <f t="shared" si="575"/>
        <v>16758328</v>
      </c>
      <c r="N1388" t="str">
        <f t="shared" si="576"/>
        <v>5163-20</v>
      </c>
      <c r="O1388" t="str">
        <f t="shared" si="561"/>
        <v>TEXAS</v>
      </c>
      <c r="P1388" t="str">
        <f t="shared" si="562"/>
        <v>N A</v>
      </c>
      <c r="Q1388" t="str">
        <f t="shared" si="563"/>
        <v>N/A</v>
      </c>
      <c r="R1388" t="str">
        <f>"130 CMRNP 13 306"</f>
        <v>130 CMRNP 13 306</v>
      </c>
      <c r="S1388" t="str">
        <f>"12/20/2019 6:14:22 PM"</f>
        <v>12/20/2019 6:14:22 PM</v>
      </c>
      <c r="T1388" t="str">
        <f t="shared" si="572"/>
        <v>5</v>
      </c>
      <c r="U1388" t="str">
        <f t="shared" si="564"/>
        <v>N/A</v>
      </c>
      <c r="V1388" t="str">
        <f t="shared" si="573"/>
        <v>5.5500</v>
      </c>
    </row>
    <row r="1389" spans="1:22" x14ac:dyDescent="0.25">
      <c r="A1389" s="1" t="str">
        <f t="shared" si="554"/>
        <v>5163-</v>
      </c>
      <c r="B1389" s="1" t="str">
        <f t="shared" si="565"/>
        <v>5163-</v>
      </c>
      <c r="C1389" s="1" t="s">
        <v>8889</v>
      </c>
      <c r="D1389" s="1" t="s">
        <v>8899</v>
      </c>
      <c r="E1389" s="1" t="s">
        <v>1738</v>
      </c>
      <c r="F1389" s="1" t="s">
        <v>22</v>
      </c>
      <c r="G1389" s="1" t="e">
        <f>VLOOKUP(C1389,'Master truck list'!E:R,14,0)</f>
        <v>#N/A</v>
      </c>
      <c r="H1389" t="str">
        <f t="shared" si="571"/>
        <v>12/21/2019 7:00:28 AM</v>
      </c>
      <c r="I1389" t="str">
        <f>""</f>
        <v/>
      </c>
      <c r="J1389" t="str">
        <f t="shared" si="557"/>
        <v>Elite</v>
      </c>
      <c r="K1389" t="str">
        <f t="shared" si="570"/>
        <v>Device</v>
      </c>
      <c r="L1389" t="str">
        <f t="shared" si="574"/>
        <v>777260171</v>
      </c>
      <c r="M1389" t="str">
        <f t="shared" si="575"/>
        <v>16758328</v>
      </c>
      <c r="N1389" t="str">
        <f t="shared" si="576"/>
        <v>5163-20</v>
      </c>
      <c r="O1389" t="str">
        <f t="shared" si="561"/>
        <v>TEXAS</v>
      </c>
      <c r="P1389" t="str">
        <f t="shared" si="562"/>
        <v>N A</v>
      </c>
      <c r="Q1389" t="str">
        <f t="shared" si="563"/>
        <v>N/A</v>
      </c>
      <c r="R1389" t="str">
        <f>"130 ARPTP 09 308"</f>
        <v>130 ARPTP 09 308</v>
      </c>
      <c r="S1389" t="str">
        <f>"12/20/2019 5:50:10 PM"</f>
        <v>12/20/2019 5:50:10 PM</v>
      </c>
      <c r="T1389" t="str">
        <f t="shared" si="572"/>
        <v>5</v>
      </c>
      <c r="U1389" t="str">
        <f t="shared" si="564"/>
        <v>N/A</v>
      </c>
      <c r="V1389" t="str">
        <f t="shared" si="573"/>
        <v>5.5500</v>
      </c>
    </row>
    <row r="1390" spans="1:22" x14ac:dyDescent="0.25">
      <c r="A1390" s="1" t="str">
        <f t="shared" ref="A1390:A1453" si="577">LEFT(N1390,5)</f>
        <v>5163-</v>
      </c>
      <c r="B1390" s="1" t="str">
        <f t="shared" si="565"/>
        <v>5163-</v>
      </c>
      <c r="C1390" s="1" t="s">
        <v>8889</v>
      </c>
      <c r="D1390" s="1" t="s">
        <v>8899</v>
      </c>
      <c r="E1390" s="1" t="s">
        <v>1738</v>
      </c>
      <c r="F1390" s="1" t="s">
        <v>22</v>
      </c>
      <c r="G1390" s="1" t="e">
        <f>VLOOKUP(C1390,'Master truck list'!E:R,14,0)</f>
        <v>#N/A</v>
      </c>
      <c r="H1390" t="str">
        <f>"12/20/2019 7:00:30 AM"</f>
        <v>12/20/2019 7:00:30 AM</v>
      </c>
      <c r="I1390" t="str">
        <f>""</f>
        <v/>
      </c>
      <c r="J1390" t="str">
        <f t="shared" si="557"/>
        <v>Elite</v>
      </c>
      <c r="K1390" t="str">
        <f t="shared" si="570"/>
        <v>Device</v>
      </c>
      <c r="L1390" t="str">
        <f t="shared" si="574"/>
        <v>777260171</v>
      </c>
      <c r="M1390" t="str">
        <f t="shared" si="575"/>
        <v>16758328</v>
      </c>
      <c r="N1390" t="str">
        <f t="shared" si="576"/>
        <v>5163-20</v>
      </c>
      <c r="O1390" t="str">
        <f t="shared" si="561"/>
        <v>TEXAS</v>
      </c>
      <c r="P1390" t="str">
        <f t="shared" si="562"/>
        <v>N A</v>
      </c>
      <c r="Q1390" t="str">
        <f t="shared" si="563"/>
        <v>N/A</v>
      </c>
      <c r="R1390" t="str">
        <f>"130 DKCRP 06 307"</f>
        <v>130 DKCRP 06 307</v>
      </c>
      <c r="S1390" t="str">
        <f>"12/19/2019 3:06:17 PM"</f>
        <v>12/19/2019 3:06:17 PM</v>
      </c>
      <c r="T1390" t="str">
        <f t="shared" si="572"/>
        <v>5</v>
      </c>
      <c r="U1390" t="str">
        <f t="shared" si="564"/>
        <v>N/A</v>
      </c>
      <c r="V1390" t="str">
        <f t="shared" si="573"/>
        <v>5.5500</v>
      </c>
    </row>
    <row r="1391" spans="1:22" x14ac:dyDescent="0.25">
      <c r="A1391" s="1" t="str">
        <f t="shared" si="577"/>
        <v>5163-</v>
      </c>
      <c r="B1391" s="1" t="str">
        <f t="shared" si="565"/>
        <v>5163-</v>
      </c>
      <c r="C1391" s="1" t="s">
        <v>8889</v>
      </c>
      <c r="D1391" s="1" t="s">
        <v>8899</v>
      </c>
      <c r="E1391" s="1" t="s">
        <v>1738</v>
      </c>
      <c r="F1391" s="1" t="s">
        <v>22</v>
      </c>
      <c r="G1391" s="1" t="e">
        <f>VLOOKUP(C1391,'Master truck list'!E:R,14,0)</f>
        <v>#N/A</v>
      </c>
      <c r="H1391" t="str">
        <f>"12/21/2019 7:00:28 AM"</f>
        <v>12/21/2019 7:00:28 AM</v>
      </c>
      <c r="I1391" t="str">
        <f>""</f>
        <v/>
      </c>
      <c r="J1391" t="str">
        <f t="shared" si="557"/>
        <v>Elite</v>
      </c>
      <c r="K1391" t="str">
        <f t="shared" si="570"/>
        <v>Device</v>
      </c>
      <c r="L1391" t="str">
        <f t="shared" si="574"/>
        <v>777260171</v>
      </c>
      <c r="M1391" t="str">
        <f t="shared" si="575"/>
        <v>16758328</v>
      </c>
      <c r="N1391" t="str">
        <f t="shared" si="576"/>
        <v>5163-20</v>
      </c>
      <c r="O1391" t="str">
        <f t="shared" si="561"/>
        <v>TEXAS</v>
      </c>
      <c r="P1391" t="str">
        <f t="shared" si="562"/>
        <v>N A</v>
      </c>
      <c r="Q1391" t="str">
        <f t="shared" si="563"/>
        <v>N/A</v>
      </c>
      <c r="R1391" t="str">
        <f>"45SE MLPEB 01 611"</f>
        <v>45SE MLPEB 01 611</v>
      </c>
      <c r="S1391" t="str">
        <f>"12/20/2019 5:39:25 PM"</f>
        <v>12/20/2019 5:39:25 PM</v>
      </c>
      <c r="T1391" t="str">
        <f t="shared" si="572"/>
        <v>5</v>
      </c>
      <c r="U1391" t="str">
        <f t="shared" si="564"/>
        <v>N/A</v>
      </c>
      <c r="V1391" t="str">
        <f>"3.3000"</f>
        <v>3.3000</v>
      </c>
    </row>
    <row r="1392" spans="1:22" x14ac:dyDescent="0.25">
      <c r="A1392" s="1" t="str">
        <f t="shared" si="577"/>
        <v>5163-</v>
      </c>
      <c r="B1392" s="1" t="str">
        <f t="shared" si="565"/>
        <v>5163-</v>
      </c>
      <c r="C1392" s="1" t="s">
        <v>8889</v>
      </c>
      <c r="D1392" s="1" t="s">
        <v>8899</v>
      </c>
      <c r="E1392" s="1" t="s">
        <v>1738</v>
      </c>
      <c r="F1392" s="1" t="s">
        <v>22</v>
      </c>
      <c r="G1392" s="1" t="e">
        <f>VLOOKUP(C1392,'Master truck list'!E:R,14,0)</f>
        <v>#N/A</v>
      </c>
      <c r="H1392" t="str">
        <f>"12/20/2019 7:00:30 AM"</f>
        <v>12/20/2019 7:00:30 AM</v>
      </c>
      <c r="I1392" t="str">
        <f>""</f>
        <v/>
      </c>
      <c r="J1392" t="str">
        <f t="shared" si="557"/>
        <v>Elite</v>
      </c>
      <c r="K1392" t="str">
        <f t="shared" si="570"/>
        <v>Device</v>
      </c>
      <c r="L1392" t="str">
        <f t="shared" si="574"/>
        <v>777260171</v>
      </c>
      <c r="M1392" t="str">
        <f t="shared" si="575"/>
        <v>16758328</v>
      </c>
      <c r="N1392" t="str">
        <f t="shared" si="576"/>
        <v>5163-20</v>
      </c>
      <c r="O1392" t="str">
        <f t="shared" si="561"/>
        <v>TEXAS</v>
      </c>
      <c r="P1392" t="str">
        <f t="shared" si="562"/>
        <v>N A</v>
      </c>
      <c r="Q1392" t="str">
        <f t="shared" si="563"/>
        <v>N/A</v>
      </c>
      <c r="R1392" t="str">
        <f>"130 MGCRP 06 305"</f>
        <v>130 MGCRP 06 305</v>
      </c>
      <c r="S1392" t="str">
        <f>"12/19/2019 2:45:18 PM"</f>
        <v>12/19/2019 2:45:18 PM</v>
      </c>
      <c r="T1392" t="str">
        <f t="shared" si="572"/>
        <v>5</v>
      </c>
      <c r="U1392" t="str">
        <f t="shared" si="564"/>
        <v>N/A</v>
      </c>
      <c r="V1392" t="str">
        <f>"5.5500"</f>
        <v>5.5500</v>
      </c>
    </row>
    <row r="1393" spans="1:22" x14ac:dyDescent="0.25">
      <c r="A1393" s="1" t="str">
        <f t="shared" si="577"/>
        <v>5163-</v>
      </c>
      <c r="B1393" s="1" t="str">
        <f t="shared" si="565"/>
        <v>5163-</v>
      </c>
      <c r="C1393" s="1" t="s">
        <v>8889</v>
      </c>
      <c r="D1393" s="1" t="s">
        <v>8899</v>
      </c>
      <c r="E1393" s="1" t="s">
        <v>1738</v>
      </c>
      <c r="F1393" s="1" t="s">
        <v>22</v>
      </c>
      <c r="G1393" s="1" t="e">
        <f>VLOOKUP(C1393,'Master truck list'!E:R,14,0)</f>
        <v>#N/A</v>
      </c>
      <c r="H1393" t="str">
        <f>"12/20/2019 7:00:30 AM"</f>
        <v>12/20/2019 7:00:30 AM</v>
      </c>
      <c r="I1393" t="str">
        <f>""</f>
        <v/>
      </c>
      <c r="J1393" t="str">
        <f t="shared" si="557"/>
        <v>Elite</v>
      </c>
      <c r="K1393" t="str">
        <f t="shared" si="570"/>
        <v>Device</v>
      </c>
      <c r="L1393" t="str">
        <f t="shared" si="574"/>
        <v>777260171</v>
      </c>
      <c r="M1393" t="str">
        <f t="shared" si="575"/>
        <v>16758328</v>
      </c>
      <c r="N1393" t="str">
        <f t="shared" si="576"/>
        <v>5163-20</v>
      </c>
      <c r="O1393" t="str">
        <f t="shared" si="561"/>
        <v>TEXAS</v>
      </c>
      <c r="P1393" t="str">
        <f t="shared" si="562"/>
        <v>N A</v>
      </c>
      <c r="Q1393" t="str">
        <f t="shared" si="563"/>
        <v>N/A</v>
      </c>
      <c r="R1393" t="str">
        <f>"45SE MLPWB 01 611"</f>
        <v>45SE MLPWB 01 611</v>
      </c>
      <c r="S1393" t="str">
        <f>"12/19/2019 3:23:46 PM"</f>
        <v>12/19/2019 3:23:46 PM</v>
      </c>
      <c r="T1393" t="str">
        <f t="shared" si="572"/>
        <v>5</v>
      </c>
      <c r="U1393" t="str">
        <f t="shared" si="564"/>
        <v>N/A</v>
      </c>
      <c r="V1393" t="str">
        <f>"3.3000"</f>
        <v>3.3000</v>
      </c>
    </row>
    <row r="1394" spans="1:22" x14ac:dyDescent="0.25">
      <c r="A1394" s="1" t="str">
        <f t="shared" si="577"/>
        <v>5163-</v>
      </c>
      <c r="B1394" s="1" t="str">
        <f t="shared" si="565"/>
        <v>5163-</v>
      </c>
      <c r="C1394" s="1" t="s">
        <v>8889</v>
      </c>
      <c r="D1394" s="1" t="s">
        <v>8899</v>
      </c>
      <c r="E1394" s="1" t="s">
        <v>1738</v>
      </c>
      <c r="F1394" s="1" t="s">
        <v>22</v>
      </c>
      <c r="G1394" s="1" t="e">
        <f>VLOOKUP(C1394,'Master truck list'!E:R,14,0)</f>
        <v>#N/A</v>
      </c>
      <c r="H1394" t="str">
        <f>"12/20/2019 7:00:30 AM"</f>
        <v>12/20/2019 7:00:30 AM</v>
      </c>
      <c r="I1394" t="str">
        <f>""</f>
        <v/>
      </c>
      <c r="J1394" t="str">
        <f t="shared" si="557"/>
        <v>Elite</v>
      </c>
      <c r="K1394" t="str">
        <f t="shared" si="570"/>
        <v>Device</v>
      </c>
      <c r="L1394" t="str">
        <f t="shared" si="574"/>
        <v>777260171</v>
      </c>
      <c r="M1394" t="str">
        <f t="shared" si="575"/>
        <v>16758328</v>
      </c>
      <c r="N1394" t="str">
        <f t="shared" si="576"/>
        <v>5163-20</v>
      </c>
      <c r="O1394" t="str">
        <f t="shared" si="561"/>
        <v>TEXAS</v>
      </c>
      <c r="P1394" t="str">
        <f t="shared" si="562"/>
        <v>N A</v>
      </c>
      <c r="Q1394" t="str">
        <f t="shared" si="563"/>
        <v>N/A</v>
      </c>
      <c r="R1394" t="str">
        <f>"130 ARPTP 04 308"</f>
        <v>130 ARPTP 04 308</v>
      </c>
      <c r="S1394" t="str">
        <f>"12/19/2019 3:13:13 PM"</f>
        <v>12/19/2019 3:13:13 PM</v>
      </c>
      <c r="T1394" t="str">
        <f t="shared" si="572"/>
        <v>5</v>
      </c>
      <c r="U1394" t="str">
        <f t="shared" si="564"/>
        <v>N/A</v>
      </c>
      <c r="V1394" t="str">
        <f>"5.5500"</f>
        <v>5.5500</v>
      </c>
    </row>
    <row r="1395" spans="1:22" x14ac:dyDescent="0.25">
      <c r="A1395" s="1" t="str">
        <f t="shared" si="577"/>
        <v>5163-</v>
      </c>
      <c r="B1395" s="1" t="str">
        <f t="shared" si="565"/>
        <v>5163-</v>
      </c>
      <c r="C1395" s="1" t="s">
        <v>8889</v>
      </c>
      <c r="D1395" s="1" t="s">
        <v>8899</v>
      </c>
      <c r="E1395" s="1" t="s">
        <v>1738</v>
      </c>
      <c r="F1395" s="1" t="s">
        <v>22</v>
      </c>
      <c r="G1395" s="1" t="e">
        <f>VLOOKUP(C1395,'Master truck list'!E:R,14,0)</f>
        <v>#N/A</v>
      </c>
      <c r="H1395" t="str">
        <f>"12/20/2019 7:00:30 AM"</f>
        <v>12/20/2019 7:00:30 AM</v>
      </c>
      <c r="I1395" t="str">
        <f>""</f>
        <v/>
      </c>
      <c r="J1395" t="str">
        <f t="shared" si="557"/>
        <v>Elite</v>
      </c>
      <c r="K1395" t="str">
        <f t="shared" si="570"/>
        <v>Device</v>
      </c>
      <c r="L1395" t="str">
        <f t="shared" si="574"/>
        <v>777260171</v>
      </c>
      <c r="M1395" t="str">
        <f t="shared" si="575"/>
        <v>16758328</v>
      </c>
      <c r="N1395" t="str">
        <f t="shared" si="576"/>
        <v>5163-20</v>
      </c>
      <c r="O1395" t="str">
        <f t="shared" si="561"/>
        <v>TEXAS</v>
      </c>
      <c r="P1395" t="str">
        <f t="shared" si="562"/>
        <v>N A</v>
      </c>
      <c r="Q1395" t="str">
        <f t="shared" si="563"/>
        <v>N/A</v>
      </c>
      <c r="R1395" t="str">
        <f>"130 CMRNP 08 306"</f>
        <v>130 CMRNP 08 306</v>
      </c>
      <c r="S1395" t="str">
        <f>"12/19/2019 2:56:18 PM"</f>
        <v>12/19/2019 2:56:18 PM</v>
      </c>
      <c r="T1395" t="str">
        <f t="shared" si="572"/>
        <v>5</v>
      </c>
      <c r="U1395" t="str">
        <f t="shared" si="564"/>
        <v>N/A</v>
      </c>
      <c r="V1395" t="str">
        <f>"5.5500"</f>
        <v>5.5500</v>
      </c>
    </row>
    <row r="1396" spans="1:22" x14ac:dyDescent="0.25">
      <c r="A1396" s="1" t="str">
        <f t="shared" si="577"/>
        <v>5163-</v>
      </c>
      <c r="B1396" s="1" t="str">
        <f t="shared" si="565"/>
        <v>5163-</v>
      </c>
      <c r="C1396" s="1" t="s">
        <v>8889</v>
      </c>
      <c r="D1396" s="1" t="s">
        <v>8899</v>
      </c>
      <c r="E1396" s="1" t="s">
        <v>1738</v>
      </c>
      <c r="F1396" s="1" t="s">
        <v>22</v>
      </c>
      <c r="G1396" s="1" t="e">
        <f>VLOOKUP(C1396,'Master truck list'!E:R,14,0)</f>
        <v>#N/A</v>
      </c>
      <c r="H1396" t="str">
        <f>"12/19/2019 7:00:35 AM"</f>
        <v>12/19/2019 7:00:35 AM</v>
      </c>
      <c r="I1396" t="str">
        <f>""</f>
        <v/>
      </c>
      <c r="J1396" t="str">
        <f t="shared" si="557"/>
        <v>Elite</v>
      </c>
      <c r="K1396" t="str">
        <f t="shared" si="570"/>
        <v>Device</v>
      </c>
      <c r="L1396" t="str">
        <f t="shared" si="574"/>
        <v>777260171</v>
      </c>
      <c r="M1396" t="str">
        <f t="shared" si="575"/>
        <v>16758328</v>
      </c>
      <c r="N1396" t="str">
        <f t="shared" si="576"/>
        <v>5163-20</v>
      </c>
      <c r="O1396" t="str">
        <f t="shared" si="561"/>
        <v>TEXAS</v>
      </c>
      <c r="P1396" t="str">
        <f t="shared" si="562"/>
        <v>N A</v>
      </c>
      <c r="Q1396" t="str">
        <f t="shared" si="563"/>
        <v>N/A</v>
      </c>
      <c r="R1396" t="str">
        <f>"130 ARPTP 08 308"</f>
        <v>130 ARPTP 08 308</v>
      </c>
      <c r="S1396" t="str">
        <f>"12/18/2019 6:14:41 PM"</f>
        <v>12/18/2019 6:14:41 PM</v>
      </c>
      <c r="T1396" t="str">
        <f t="shared" si="572"/>
        <v>5</v>
      </c>
      <c r="U1396" t="str">
        <f t="shared" si="564"/>
        <v>N/A</v>
      </c>
      <c r="V1396" t="str">
        <f>"5.5500"</f>
        <v>5.5500</v>
      </c>
    </row>
    <row r="1397" spans="1:22" x14ac:dyDescent="0.25">
      <c r="A1397" s="1" t="str">
        <f t="shared" si="577"/>
        <v>5163-</v>
      </c>
      <c r="B1397" s="1" t="str">
        <f t="shared" si="565"/>
        <v>5163-</v>
      </c>
      <c r="C1397" s="1" t="s">
        <v>8889</v>
      </c>
      <c r="D1397" s="1" t="s">
        <v>8899</v>
      </c>
      <c r="E1397" s="1" t="s">
        <v>1738</v>
      </c>
      <c r="F1397" s="1" t="s">
        <v>22</v>
      </c>
      <c r="G1397" s="1" t="e">
        <f>VLOOKUP(C1397,'Master truck list'!E:R,14,0)</f>
        <v>#N/A</v>
      </c>
      <c r="H1397" t="str">
        <f>"12/19/2019 7:00:35 AM"</f>
        <v>12/19/2019 7:00:35 AM</v>
      </c>
      <c r="I1397" t="str">
        <f>""</f>
        <v/>
      </c>
      <c r="J1397" t="str">
        <f t="shared" si="557"/>
        <v>Elite</v>
      </c>
      <c r="K1397" t="str">
        <f t="shared" si="570"/>
        <v>Device</v>
      </c>
      <c r="L1397" t="str">
        <f t="shared" si="574"/>
        <v>777260171</v>
      </c>
      <c r="M1397" t="str">
        <f t="shared" si="575"/>
        <v>16758328</v>
      </c>
      <c r="N1397" t="str">
        <f t="shared" si="576"/>
        <v>5163-20</v>
      </c>
      <c r="O1397" t="str">
        <f t="shared" si="561"/>
        <v>TEXAS</v>
      </c>
      <c r="P1397" t="str">
        <f t="shared" si="562"/>
        <v>N A</v>
      </c>
      <c r="Q1397" t="str">
        <f t="shared" si="563"/>
        <v>N/A</v>
      </c>
      <c r="R1397" t="str">
        <f>"130 MGCRP 11 305"</f>
        <v>130 MGCRP 11 305</v>
      </c>
      <c r="S1397" t="str">
        <f>"12/18/2019 6:42:50 PM"</f>
        <v>12/18/2019 6:42:50 PM</v>
      </c>
      <c r="T1397" t="str">
        <f t="shared" si="572"/>
        <v>5</v>
      </c>
      <c r="U1397" t="str">
        <f t="shared" si="564"/>
        <v>N/A</v>
      </c>
      <c r="V1397" t="str">
        <f>"5.5500"</f>
        <v>5.5500</v>
      </c>
    </row>
    <row r="1398" spans="1:22" x14ac:dyDescent="0.25">
      <c r="A1398" s="1" t="str">
        <f t="shared" si="577"/>
        <v>5163-</v>
      </c>
      <c r="B1398" s="1" t="str">
        <f t="shared" si="565"/>
        <v>5163-</v>
      </c>
      <c r="C1398" s="1" t="s">
        <v>8889</v>
      </c>
      <c r="D1398" s="1" t="s">
        <v>8899</v>
      </c>
      <c r="E1398" s="1" t="s">
        <v>1738</v>
      </c>
      <c r="F1398" s="1" t="s">
        <v>22</v>
      </c>
      <c r="G1398" s="1" t="e">
        <f>VLOOKUP(C1398,'Master truck list'!E:R,14,0)</f>
        <v>#N/A</v>
      </c>
      <c r="H1398" t="str">
        <f>"12/19/2019 7:00:35 AM"</f>
        <v>12/19/2019 7:00:35 AM</v>
      </c>
      <c r="I1398" t="str">
        <f>""</f>
        <v/>
      </c>
      <c r="J1398" t="str">
        <f t="shared" si="557"/>
        <v>Elite</v>
      </c>
      <c r="K1398" t="str">
        <f t="shared" si="570"/>
        <v>Device</v>
      </c>
      <c r="L1398" t="str">
        <f t="shared" si="574"/>
        <v>777260171</v>
      </c>
      <c r="M1398" t="str">
        <f t="shared" si="575"/>
        <v>16758328</v>
      </c>
      <c r="N1398" t="str">
        <f t="shared" si="576"/>
        <v>5163-20</v>
      </c>
      <c r="O1398" t="str">
        <f t="shared" si="561"/>
        <v>TEXAS</v>
      </c>
      <c r="P1398" t="str">
        <f t="shared" si="562"/>
        <v>N A</v>
      </c>
      <c r="Q1398" t="str">
        <f t="shared" si="563"/>
        <v>N/A</v>
      </c>
      <c r="R1398" t="str">
        <f>"45SE MLPEB 02 611"</f>
        <v>45SE MLPEB 02 611</v>
      </c>
      <c r="S1398" t="str">
        <f>"12/18/2019 6:04:02 PM"</f>
        <v>12/18/2019 6:04:02 PM</v>
      </c>
      <c r="T1398" t="str">
        <f t="shared" si="572"/>
        <v>5</v>
      </c>
      <c r="U1398" t="str">
        <f t="shared" si="564"/>
        <v>N/A</v>
      </c>
      <c r="V1398" t="str">
        <f>"3.3000"</f>
        <v>3.3000</v>
      </c>
    </row>
    <row r="1399" spans="1:22" x14ac:dyDescent="0.25">
      <c r="A1399" s="1" t="str">
        <f t="shared" si="577"/>
        <v>5163-</v>
      </c>
      <c r="B1399" s="1" t="str">
        <f t="shared" si="565"/>
        <v>5163-</v>
      </c>
      <c r="C1399" s="1" t="s">
        <v>8889</v>
      </c>
      <c r="D1399" s="1" t="s">
        <v>8899</v>
      </c>
      <c r="E1399" s="1" t="s">
        <v>1738</v>
      </c>
      <c r="F1399" s="1" t="s">
        <v>22</v>
      </c>
      <c r="G1399" s="1" t="e">
        <f>VLOOKUP(C1399,'Master truck list'!E:R,14,0)</f>
        <v>#N/A</v>
      </c>
      <c r="H1399" t="str">
        <f>"12/19/2019 7:00:35 AM"</f>
        <v>12/19/2019 7:00:35 AM</v>
      </c>
      <c r="I1399" t="str">
        <f>""</f>
        <v/>
      </c>
      <c r="J1399" t="str">
        <f t="shared" si="557"/>
        <v>Elite</v>
      </c>
      <c r="K1399" t="str">
        <f t="shared" si="570"/>
        <v>Device</v>
      </c>
      <c r="L1399" t="str">
        <f t="shared" si="574"/>
        <v>777260171</v>
      </c>
      <c r="M1399" t="str">
        <f t="shared" si="575"/>
        <v>16758328</v>
      </c>
      <c r="N1399" t="str">
        <f t="shared" si="576"/>
        <v>5163-20</v>
      </c>
      <c r="O1399" t="str">
        <f t="shared" si="561"/>
        <v>TEXAS</v>
      </c>
      <c r="P1399" t="str">
        <f t="shared" si="562"/>
        <v>N A</v>
      </c>
      <c r="Q1399" t="str">
        <f t="shared" si="563"/>
        <v>N/A</v>
      </c>
      <c r="R1399" t="str">
        <f>"130 DKCRP 11 307"</f>
        <v>130 DKCRP 11 307</v>
      </c>
      <c r="S1399" t="str">
        <f>"12/18/2019 6:21:39 PM"</f>
        <v>12/18/2019 6:21:39 PM</v>
      </c>
      <c r="T1399" t="str">
        <f t="shared" si="572"/>
        <v>5</v>
      </c>
      <c r="U1399" t="str">
        <f t="shared" si="564"/>
        <v>N/A</v>
      </c>
      <c r="V1399" t="str">
        <f>"5.5500"</f>
        <v>5.5500</v>
      </c>
    </row>
    <row r="1400" spans="1:22" x14ac:dyDescent="0.25">
      <c r="A1400" s="1" t="str">
        <f t="shared" si="577"/>
        <v>5163-</v>
      </c>
      <c r="B1400" s="1" t="str">
        <f t="shared" si="565"/>
        <v>5163-</v>
      </c>
      <c r="C1400" s="1" t="s">
        <v>8889</v>
      </c>
      <c r="D1400" s="1" t="s">
        <v>8899</v>
      </c>
      <c r="E1400" s="1" t="s">
        <v>1738</v>
      </c>
      <c r="F1400" s="1" t="s">
        <v>22</v>
      </c>
      <c r="G1400" s="1" t="e">
        <f>VLOOKUP(C1400,'Master truck list'!E:R,14,0)</f>
        <v>#N/A</v>
      </c>
      <c r="H1400" t="str">
        <f>"12/18/2019 7:00:28 AM"</f>
        <v>12/18/2019 7:00:28 AM</v>
      </c>
      <c r="I1400" t="str">
        <f>""</f>
        <v/>
      </c>
      <c r="J1400" t="str">
        <f t="shared" si="557"/>
        <v>Elite</v>
      </c>
      <c r="K1400" t="str">
        <f t="shared" si="570"/>
        <v>Device</v>
      </c>
      <c r="L1400" t="str">
        <f t="shared" si="574"/>
        <v>777260171</v>
      </c>
      <c r="M1400" t="str">
        <f t="shared" si="575"/>
        <v>16758328</v>
      </c>
      <c r="N1400" t="str">
        <f t="shared" si="576"/>
        <v>5163-20</v>
      </c>
      <c r="O1400" t="str">
        <f t="shared" si="561"/>
        <v>TEXAS</v>
      </c>
      <c r="P1400" t="str">
        <f t="shared" si="562"/>
        <v>N A</v>
      </c>
      <c r="Q1400" t="str">
        <f t="shared" si="563"/>
        <v>N/A</v>
      </c>
      <c r="R1400" t="str">
        <f>"130 CMRNP 13 306"</f>
        <v>130 CMRNP 13 306</v>
      </c>
      <c r="S1400" t="str">
        <f>"12/17/2019 2:44:53 PM"</f>
        <v>12/17/2019 2:44:53 PM</v>
      </c>
      <c r="T1400" t="str">
        <f t="shared" si="572"/>
        <v>5</v>
      </c>
      <c r="U1400" t="str">
        <f t="shared" si="564"/>
        <v>N/A</v>
      </c>
      <c r="V1400" t="str">
        <f>"5.5500"</f>
        <v>5.5500</v>
      </c>
    </row>
    <row r="1401" spans="1:22" x14ac:dyDescent="0.25">
      <c r="A1401" s="1" t="str">
        <f t="shared" si="577"/>
        <v>5163-</v>
      </c>
      <c r="B1401" s="1" t="str">
        <f t="shared" si="565"/>
        <v>5163-</v>
      </c>
      <c r="C1401" s="1" t="s">
        <v>8889</v>
      </c>
      <c r="D1401" s="1" t="s">
        <v>8899</v>
      </c>
      <c r="E1401" s="1" t="s">
        <v>1738</v>
      </c>
      <c r="F1401" s="1" t="s">
        <v>22</v>
      </c>
      <c r="G1401" s="1" t="e">
        <f>VLOOKUP(C1401,'Master truck list'!E:R,14,0)</f>
        <v>#N/A</v>
      </c>
      <c r="H1401" t="str">
        <f>"12/18/2019 7:00:28 AM"</f>
        <v>12/18/2019 7:00:28 AM</v>
      </c>
      <c r="I1401" t="str">
        <f>""</f>
        <v/>
      </c>
      <c r="J1401" t="str">
        <f t="shared" si="557"/>
        <v>Elite</v>
      </c>
      <c r="K1401" t="str">
        <f t="shared" si="570"/>
        <v>Device</v>
      </c>
      <c r="L1401" t="str">
        <f t="shared" si="574"/>
        <v>777260171</v>
      </c>
      <c r="M1401" t="str">
        <f t="shared" si="575"/>
        <v>16758328</v>
      </c>
      <c r="N1401" t="str">
        <f t="shared" si="576"/>
        <v>5163-20</v>
      </c>
      <c r="O1401" t="str">
        <f t="shared" si="561"/>
        <v>TEXAS</v>
      </c>
      <c r="P1401" t="str">
        <f t="shared" si="562"/>
        <v>N A</v>
      </c>
      <c r="Q1401" t="str">
        <f t="shared" si="563"/>
        <v>N/A</v>
      </c>
      <c r="R1401" t="str">
        <f>"45SE MLPEB 02 611"</f>
        <v>45SE MLPEB 02 611</v>
      </c>
      <c r="S1401" t="str">
        <f>"12/17/2019 2:16:59 PM"</f>
        <v>12/17/2019 2:16:59 PM</v>
      </c>
      <c r="T1401" t="str">
        <f t="shared" si="572"/>
        <v>5</v>
      </c>
      <c r="U1401" t="str">
        <f t="shared" si="564"/>
        <v>N/A</v>
      </c>
      <c r="V1401" t="str">
        <f>"3.3000"</f>
        <v>3.3000</v>
      </c>
    </row>
    <row r="1402" spans="1:22" x14ac:dyDescent="0.25">
      <c r="A1402" s="1" t="str">
        <f t="shared" si="577"/>
        <v>5163-</v>
      </c>
      <c r="B1402" s="1" t="str">
        <f t="shared" si="565"/>
        <v>5163-</v>
      </c>
      <c r="C1402" s="1" t="s">
        <v>8889</v>
      </c>
      <c r="D1402" s="1" t="s">
        <v>8899</v>
      </c>
      <c r="E1402" s="1" t="s">
        <v>1738</v>
      </c>
      <c r="F1402" s="1" t="s">
        <v>22</v>
      </c>
      <c r="G1402" s="1" t="e">
        <f>VLOOKUP(C1402,'Master truck list'!E:R,14,0)</f>
        <v>#N/A</v>
      </c>
      <c r="H1402" t="str">
        <f>"12/18/2019 7:00:28 AM"</f>
        <v>12/18/2019 7:00:28 AM</v>
      </c>
      <c r="I1402" t="str">
        <f>""</f>
        <v/>
      </c>
      <c r="J1402" t="str">
        <f t="shared" si="557"/>
        <v>Elite</v>
      </c>
      <c r="K1402" t="str">
        <f t="shared" si="570"/>
        <v>Device</v>
      </c>
      <c r="L1402" t="str">
        <f t="shared" si="574"/>
        <v>777260171</v>
      </c>
      <c r="M1402" t="str">
        <f t="shared" si="575"/>
        <v>16758328</v>
      </c>
      <c r="N1402" t="str">
        <f t="shared" si="576"/>
        <v>5163-20</v>
      </c>
      <c r="O1402" t="str">
        <f t="shared" si="561"/>
        <v>TEXAS</v>
      </c>
      <c r="P1402" t="str">
        <f t="shared" si="562"/>
        <v>N A</v>
      </c>
      <c r="Q1402" t="str">
        <f t="shared" si="563"/>
        <v>N/A</v>
      </c>
      <c r="R1402" t="str">
        <f>"130 DKCRP 11 307"</f>
        <v>130 DKCRP 11 307</v>
      </c>
      <c r="S1402" t="str">
        <f>"12/17/2019 2:34:41 PM"</f>
        <v>12/17/2019 2:34:41 PM</v>
      </c>
      <c r="T1402" t="str">
        <f t="shared" si="572"/>
        <v>5</v>
      </c>
      <c r="U1402" t="str">
        <f t="shared" si="564"/>
        <v>N/A</v>
      </c>
      <c r="V1402" t="str">
        <f>"5.5500"</f>
        <v>5.5500</v>
      </c>
    </row>
    <row r="1403" spans="1:22" x14ac:dyDescent="0.25">
      <c r="A1403" s="1" t="str">
        <f t="shared" si="577"/>
        <v>5163-</v>
      </c>
      <c r="B1403" s="1" t="str">
        <f t="shared" si="565"/>
        <v>5163-</v>
      </c>
      <c r="C1403" s="1" t="s">
        <v>8889</v>
      </c>
      <c r="D1403" s="1" t="s">
        <v>8899</v>
      </c>
      <c r="E1403" s="1" t="s">
        <v>1738</v>
      </c>
      <c r="F1403" s="1" t="s">
        <v>22</v>
      </c>
      <c r="G1403" s="1" t="e">
        <f>VLOOKUP(C1403,'Master truck list'!E:R,14,0)</f>
        <v>#N/A</v>
      </c>
      <c r="H1403" t="str">
        <f>"12/18/2019 7:00:28 AM"</f>
        <v>12/18/2019 7:00:28 AM</v>
      </c>
      <c r="I1403" t="str">
        <f>""</f>
        <v/>
      </c>
      <c r="J1403" t="str">
        <f t="shared" si="557"/>
        <v>Elite</v>
      </c>
      <c r="K1403" t="str">
        <f t="shared" si="570"/>
        <v>Device</v>
      </c>
      <c r="L1403" t="str">
        <f t="shared" si="574"/>
        <v>777260171</v>
      </c>
      <c r="M1403" t="str">
        <f t="shared" si="575"/>
        <v>16758328</v>
      </c>
      <c r="N1403" t="str">
        <f t="shared" si="576"/>
        <v>5163-20</v>
      </c>
      <c r="O1403" t="str">
        <f t="shared" si="561"/>
        <v>TEXAS</v>
      </c>
      <c r="P1403" t="str">
        <f t="shared" si="562"/>
        <v>N A</v>
      </c>
      <c r="Q1403" t="str">
        <f t="shared" si="563"/>
        <v>N/A</v>
      </c>
      <c r="R1403" t="str">
        <f>"130 MGCRP 11 305"</f>
        <v>130 MGCRP 11 305</v>
      </c>
      <c r="S1403" t="str">
        <f>"12/17/2019 2:56:04 PM"</f>
        <v>12/17/2019 2:56:04 PM</v>
      </c>
      <c r="T1403" t="str">
        <f t="shared" si="572"/>
        <v>5</v>
      </c>
      <c r="U1403" t="str">
        <f t="shared" si="564"/>
        <v>N/A</v>
      </c>
      <c r="V1403" t="str">
        <f>"5.5500"</f>
        <v>5.5500</v>
      </c>
    </row>
    <row r="1404" spans="1:22" x14ac:dyDescent="0.25">
      <c r="A1404" s="1" t="str">
        <f t="shared" si="577"/>
        <v>5163-</v>
      </c>
      <c r="B1404" s="1" t="str">
        <f t="shared" si="565"/>
        <v>5163-</v>
      </c>
      <c r="C1404" s="1" t="s">
        <v>8889</v>
      </c>
      <c r="D1404" s="1" t="s">
        <v>8899</v>
      </c>
      <c r="E1404" s="1" t="s">
        <v>1738</v>
      </c>
      <c r="F1404" s="1" t="s">
        <v>22</v>
      </c>
      <c r="G1404" s="1" t="e">
        <f>VLOOKUP(C1404,'Master truck list'!E:R,14,0)</f>
        <v>#N/A</v>
      </c>
      <c r="H1404" t="str">
        <f>"12/18/2019 7:00:28 AM"</f>
        <v>12/18/2019 7:00:28 AM</v>
      </c>
      <c r="I1404" t="str">
        <f>""</f>
        <v/>
      </c>
      <c r="J1404" t="str">
        <f t="shared" si="557"/>
        <v>Elite</v>
      </c>
      <c r="K1404" t="str">
        <f t="shared" si="570"/>
        <v>Device</v>
      </c>
      <c r="L1404" t="str">
        <f t="shared" si="574"/>
        <v>777260171</v>
      </c>
      <c r="M1404" t="str">
        <f t="shared" si="575"/>
        <v>16758328</v>
      </c>
      <c r="N1404" t="str">
        <f t="shared" si="576"/>
        <v>5163-20</v>
      </c>
      <c r="O1404" t="str">
        <f t="shared" si="561"/>
        <v>TEXAS</v>
      </c>
      <c r="P1404" t="str">
        <f t="shared" si="562"/>
        <v>N A</v>
      </c>
      <c r="Q1404" t="str">
        <f t="shared" si="563"/>
        <v>N/A</v>
      </c>
      <c r="R1404" t="str">
        <f>"130 ARPTP 09 308"</f>
        <v>130 ARPTP 09 308</v>
      </c>
      <c r="S1404" t="str">
        <f>"12/17/2019 2:27:40 PM"</f>
        <v>12/17/2019 2:27:40 PM</v>
      </c>
      <c r="T1404" t="str">
        <f t="shared" si="572"/>
        <v>5</v>
      </c>
      <c r="U1404" t="str">
        <f t="shared" si="564"/>
        <v>N/A</v>
      </c>
      <c r="V1404" t="str">
        <f>"5.5500"</f>
        <v>5.5500</v>
      </c>
    </row>
    <row r="1405" spans="1:22" x14ac:dyDescent="0.25">
      <c r="A1405" s="1" t="str">
        <f t="shared" si="577"/>
        <v>5163-</v>
      </c>
      <c r="B1405" s="1" t="str">
        <f t="shared" si="565"/>
        <v>5163-</v>
      </c>
      <c r="C1405" s="1" t="s">
        <v>8889</v>
      </c>
      <c r="D1405" s="1" t="s">
        <v>8899</v>
      </c>
      <c r="E1405" s="1" t="s">
        <v>1738</v>
      </c>
      <c r="F1405" s="1" t="s">
        <v>22</v>
      </c>
      <c r="G1405" s="1" t="e">
        <f>VLOOKUP(C1405,'Master truck list'!E:R,14,0)</f>
        <v>#N/A</v>
      </c>
      <c r="H1405" t="str">
        <f>"12/19/2019 7:00:35 AM"</f>
        <v>12/19/2019 7:00:35 AM</v>
      </c>
      <c r="I1405" t="str">
        <f>""</f>
        <v/>
      </c>
      <c r="J1405" t="str">
        <f t="shared" si="557"/>
        <v>Elite</v>
      </c>
      <c r="K1405" t="str">
        <f t="shared" si="570"/>
        <v>Device</v>
      </c>
      <c r="L1405" t="str">
        <f t="shared" si="574"/>
        <v>777260171</v>
      </c>
      <c r="M1405" t="str">
        <f t="shared" si="575"/>
        <v>16758328</v>
      </c>
      <c r="N1405" t="str">
        <f t="shared" si="576"/>
        <v>5163-20</v>
      </c>
      <c r="O1405" t="str">
        <f t="shared" si="561"/>
        <v>TEXAS</v>
      </c>
      <c r="P1405" t="str">
        <f t="shared" si="562"/>
        <v>N A</v>
      </c>
      <c r="Q1405" t="str">
        <f t="shared" si="563"/>
        <v>N/A</v>
      </c>
      <c r="R1405" t="str">
        <f>"130 CMRNP 13 306"</f>
        <v>130 CMRNP 13 306</v>
      </c>
      <c r="S1405" t="str">
        <f>"12/18/2019 6:31:45 PM"</f>
        <v>12/18/2019 6:31:45 PM</v>
      </c>
      <c r="T1405" t="str">
        <f t="shared" si="572"/>
        <v>5</v>
      </c>
      <c r="U1405" t="str">
        <f t="shared" si="564"/>
        <v>N/A</v>
      </c>
      <c r="V1405" t="str">
        <f>"5.5500"</f>
        <v>5.5500</v>
      </c>
    </row>
    <row r="1406" spans="1:22" x14ac:dyDescent="0.25">
      <c r="A1406" s="1" t="str">
        <f t="shared" si="577"/>
        <v>5168-</v>
      </c>
      <c r="B1406" s="1" t="str">
        <f t="shared" si="565"/>
        <v>5168-</v>
      </c>
      <c r="C1406" s="1" t="s">
        <v>8915</v>
      </c>
      <c r="D1406" s="1" t="s">
        <v>8899</v>
      </c>
      <c r="E1406" s="1" t="s">
        <v>1738</v>
      </c>
      <c r="F1406" s="1" t="s">
        <v>22</v>
      </c>
      <c r="G1406" s="1" t="e">
        <f>VLOOKUP(C1406,'Master truck list'!E:R,14,0)</f>
        <v>#N/A</v>
      </c>
      <c r="H1406" t="str">
        <f>"12/18/2019 7:00:28 AM"</f>
        <v>12/18/2019 7:00:28 AM</v>
      </c>
      <c r="I1406" t="str">
        <f>""</f>
        <v/>
      </c>
      <c r="J1406" t="str">
        <f t="shared" si="557"/>
        <v>Elite</v>
      </c>
      <c r="K1406" t="str">
        <f t="shared" si="570"/>
        <v>Device</v>
      </c>
      <c r="L1406" t="str">
        <f t="shared" ref="L1406:L1415" si="578">"777260431"</f>
        <v>777260431</v>
      </c>
      <c r="M1406" t="str">
        <f t="shared" ref="M1406:M1415" si="579">"16758588"</f>
        <v>16758588</v>
      </c>
      <c r="N1406" t="str">
        <f t="shared" ref="N1406:N1415" si="580">"5168-20"</f>
        <v>5168-20</v>
      </c>
      <c r="O1406" t="str">
        <f t="shared" si="561"/>
        <v>TEXAS</v>
      </c>
      <c r="P1406" t="str">
        <f t="shared" si="562"/>
        <v>N A</v>
      </c>
      <c r="Q1406" t="str">
        <f t="shared" si="563"/>
        <v>N/A</v>
      </c>
      <c r="R1406" t="str">
        <f>"45SE MLPWB 01 611"</f>
        <v>45SE MLPWB 01 611</v>
      </c>
      <c r="S1406" t="str">
        <f>"12/17/2019 12:45:38 PM"</f>
        <v>12/17/2019 12:45:38 PM</v>
      </c>
      <c r="T1406" t="str">
        <f t="shared" si="572"/>
        <v>5</v>
      </c>
      <c r="U1406" t="str">
        <f t="shared" si="564"/>
        <v>N/A</v>
      </c>
      <c r="V1406" t="str">
        <f>"3.3000"</f>
        <v>3.3000</v>
      </c>
    </row>
    <row r="1407" spans="1:22" x14ac:dyDescent="0.25">
      <c r="A1407" s="1" t="str">
        <f t="shared" si="577"/>
        <v>5168-</v>
      </c>
      <c r="B1407" s="1" t="str">
        <f t="shared" si="565"/>
        <v>5168-</v>
      </c>
      <c r="C1407" s="1" t="s">
        <v>8915</v>
      </c>
      <c r="D1407" s="1" t="s">
        <v>8899</v>
      </c>
      <c r="E1407" s="1" t="s">
        <v>1738</v>
      </c>
      <c r="F1407" s="1" t="s">
        <v>22</v>
      </c>
      <c r="G1407" s="1" t="e">
        <f>VLOOKUP(C1407,'Master truck list'!E:R,14,0)</f>
        <v>#N/A</v>
      </c>
      <c r="H1407" t="str">
        <f>"12/18/2019 7:00:28 AM"</f>
        <v>12/18/2019 7:00:28 AM</v>
      </c>
      <c r="I1407" t="str">
        <f>""</f>
        <v/>
      </c>
      <c r="J1407" t="str">
        <f t="shared" si="557"/>
        <v>Elite</v>
      </c>
      <c r="K1407" t="str">
        <f t="shared" si="570"/>
        <v>Device</v>
      </c>
      <c r="L1407" t="str">
        <f t="shared" si="578"/>
        <v>777260431</v>
      </c>
      <c r="M1407" t="str">
        <f t="shared" si="579"/>
        <v>16758588</v>
      </c>
      <c r="N1407" t="str">
        <f t="shared" si="580"/>
        <v>5168-20</v>
      </c>
      <c r="O1407" t="str">
        <f t="shared" si="561"/>
        <v>TEXAS</v>
      </c>
      <c r="P1407" t="str">
        <f t="shared" si="562"/>
        <v>N A</v>
      </c>
      <c r="Q1407" t="str">
        <f t="shared" si="563"/>
        <v>N/A</v>
      </c>
      <c r="R1407" t="str">
        <f>"130 CMRNP 08 306"</f>
        <v>130 CMRNP 08 306</v>
      </c>
      <c r="S1407" t="str">
        <f>"12/17/2019 12:18:00 PM"</f>
        <v>12/17/2019 12:18:00 PM</v>
      </c>
      <c r="T1407" t="str">
        <f t="shared" si="572"/>
        <v>5</v>
      </c>
      <c r="U1407" t="str">
        <f t="shared" si="564"/>
        <v>N/A</v>
      </c>
      <c r="V1407" t="str">
        <f t="shared" ref="V1407:V1412" si="581">"5.5500"</f>
        <v>5.5500</v>
      </c>
    </row>
    <row r="1408" spans="1:22" x14ac:dyDescent="0.25">
      <c r="A1408" s="1" t="str">
        <f t="shared" si="577"/>
        <v>5168-</v>
      </c>
      <c r="B1408" s="1" t="str">
        <f t="shared" si="565"/>
        <v>5168-</v>
      </c>
      <c r="C1408" s="1" t="s">
        <v>8915</v>
      </c>
      <c r="D1408" s="1" t="s">
        <v>8899</v>
      </c>
      <c r="E1408" s="1" t="s">
        <v>1738</v>
      </c>
      <c r="F1408" s="1" t="s">
        <v>22</v>
      </c>
      <c r="G1408" s="1" t="e">
        <f>VLOOKUP(C1408,'Master truck list'!E:R,14,0)</f>
        <v>#N/A</v>
      </c>
      <c r="H1408" t="str">
        <f>"12/18/2019 7:00:28 AM"</f>
        <v>12/18/2019 7:00:28 AM</v>
      </c>
      <c r="I1408" t="str">
        <f>""</f>
        <v/>
      </c>
      <c r="J1408" t="str">
        <f t="shared" si="557"/>
        <v>Elite</v>
      </c>
      <c r="K1408" t="str">
        <f t="shared" si="570"/>
        <v>Device</v>
      </c>
      <c r="L1408" t="str">
        <f t="shared" si="578"/>
        <v>777260431</v>
      </c>
      <c r="M1408" t="str">
        <f t="shared" si="579"/>
        <v>16758588</v>
      </c>
      <c r="N1408" t="str">
        <f t="shared" si="580"/>
        <v>5168-20</v>
      </c>
      <c r="O1408" t="str">
        <f t="shared" si="561"/>
        <v>TEXAS</v>
      </c>
      <c r="P1408" t="str">
        <f t="shared" si="562"/>
        <v>N A</v>
      </c>
      <c r="Q1408" t="str">
        <f t="shared" si="563"/>
        <v>N/A</v>
      </c>
      <c r="R1408" t="str">
        <f>"130 DKCRP 06 307"</f>
        <v>130 DKCRP 06 307</v>
      </c>
      <c r="S1408" t="str">
        <f>"12/17/2019 12:27:57 PM"</f>
        <v>12/17/2019 12:27:57 PM</v>
      </c>
      <c r="T1408" t="str">
        <f t="shared" si="572"/>
        <v>5</v>
      </c>
      <c r="U1408" t="str">
        <f t="shared" si="564"/>
        <v>N/A</v>
      </c>
      <c r="V1408" t="str">
        <f t="shared" si="581"/>
        <v>5.5500</v>
      </c>
    </row>
    <row r="1409" spans="1:22" x14ac:dyDescent="0.25">
      <c r="A1409" s="1" t="str">
        <f t="shared" si="577"/>
        <v>5168-</v>
      </c>
      <c r="B1409" s="1" t="str">
        <f t="shared" si="565"/>
        <v>5168-</v>
      </c>
      <c r="C1409" s="1" t="s">
        <v>8915</v>
      </c>
      <c r="D1409" s="1" t="s">
        <v>8899</v>
      </c>
      <c r="E1409" s="1" t="s">
        <v>1738</v>
      </c>
      <c r="F1409" s="1" t="s">
        <v>8919</v>
      </c>
      <c r="G1409" s="1" t="e">
        <f>VLOOKUP(C1409,'Master truck list'!E:R,14,0)</f>
        <v>#N/A</v>
      </c>
      <c r="H1409" t="str">
        <f>"12/18/2019 7:00:28 AM"</f>
        <v>12/18/2019 7:00:28 AM</v>
      </c>
      <c r="I1409" t="str">
        <f>""</f>
        <v/>
      </c>
      <c r="J1409" t="str">
        <f t="shared" si="557"/>
        <v>Elite</v>
      </c>
      <c r="K1409" t="str">
        <f t="shared" si="570"/>
        <v>Device</v>
      </c>
      <c r="L1409" t="str">
        <f t="shared" si="578"/>
        <v>777260431</v>
      </c>
      <c r="M1409" t="str">
        <f t="shared" si="579"/>
        <v>16758588</v>
      </c>
      <c r="N1409" t="str">
        <f t="shared" si="580"/>
        <v>5168-20</v>
      </c>
      <c r="O1409" t="str">
        <f t="shared" si="561"/>
        <v>TEXAS</v>
      </c>
      <c r="P1409" t="str">
        <f t="shared" si="562"/>
        <v>N A</v>
      </c>
      <c r="Q1409" t="str">
        <f t="shared" si="563"/>
        <v>N/A</v>
      </c>
      <c r="R1409" t="str">
        <f>"130 MGCRP 06 305"</f>
        <v>130 MGCRP 06 305</v>
      </c>
      <c r="S1409" t="str">
        <f>"12/17/2019 12:07:00 PM"</f>
        <v>12/17/2019 12:07:00 PM</v>
      </c>
      <c r="T1409" t="str">
        <f t="shared" si="572"/>
        <v>5</v>
      </c>
      <c r="U1409" t="str">
        <f t="shared" si="564"/>
        <v>N/A</v>
      </c>
      <c r="V1409" t="str">
        <f t="shared" si="581"/>
        <v>5.5500</v>
      </c>
    </row>
    <row r="1410" spans="1:22" x14ac:dyDescent="0.25">
      <c r="A1410" s="1" t="str">
        <f t="shared" si="577"/>
        <v>5168-</v>
      </c>
      <c r="B1410" s="1" t="str">
        <f t="shared" si="565"/>
        <v>5168-</v>
      </c>
      <c r="C1410" s="1" t="s">
        <v>8915</v>
      </c>
      <c r="D1410" s="1" t="s">
        <v>8899</v>
      </c>
      <c r="E1410" s="1" t="s">
        <v>1738</v>
      </c>
      <c r="F1410" s="1" t="s">
        <v>22</v>
      </c>
      <c r="G1410" s="1" t="e">
        <f>VLOOKUP(C1410,'Master truck list'!E:R,14,0)</f>
        <v>#N/A</v>
      </c>
      <c r="H1410" t="str">
        <f>"12/18/2019 7:00:28 AM"</f>
        <v>12/18/2019 7:00:28 AM</v>
      </c>
      <c r="I1410" t="str">
        <f>""</f>
        <v/>
      </c>
      <c r="J1410" t="str">
        <f t="shared" ref="J1410:J1473" si="582">"Elite"</f>
        <v>Elite</v>
      </c>
      <c r="K1410" t="str">
        <f t="shared" si="570"/>
        <v>Device</v>
      </c>
      <c r="L1410" t="str">
        <f t="shared" si="578"/>
        <v>777260431</v>
      </c>
      <c r="M1410" t="str">
        <f t="shared" si="579"/>
        <v>16758588</v>
      </c>
      <c r="N1410" t="str">
        <f t="shared" si="580"/>
        <v>5168-20</v>
      </c>
      <c r="O1410" t="str">
        <f t="shared" ref="O1410:O1473" si="583">"TEXAS"</f>
        <v>TEXAS</v>
      </c>
      <c r="P1410" t="str">
        <f t="shared" ref="P1410:P1473" si="584">"N A"</f>
        <v>N A</v>
      </c>
      <c r="Q1410" t="str">
        <f t="shared" ref="Q1410:Q1473" si="585">"N/A"</f>
        <v>N/A</v>
      </c>
      <c r="R1410" t="str">
        <f>"130 ARPTP 04 308"</f>
        <v>130 ARPTP 04 308</v>
      </c>
      <c r="S1410" t="str">
        <f>"12/17/2019 12:34:55 PM"</f>
        <v>12/17/2019 12:34:55 PM</v>
      </c>
      <c r="T1410" t="str">
        <f t="shared" si="572"/>
        <v>5</v>
      </c>
      <c r="U1410" t="str">
        <f t="shared" ref="U1410:U1473" si="586">"N/A"</f>
        <v>N/A</v>
      </c>
      <c r="V1410" t="str">
        <f t="shared" si="581"/>
        <v>5.5500</v>
      </c>
    </row>
    <row r="1411" spans="1:22" x14ac:dyDescent="0.25">
      <c r="A1411" s="1" t="str">
        <f t="shared" si="577"/>
        <v>5168-</v>
      </c>
      <c r="B1411" s="1" t="str">
        <f t="shared" ref="B1411:B1474" si="587">SUBSTITUTE(A1411," ","")</f>
        <v>5168-</v>
      </c>
      <c r="C1411" s="1" t="s">
        <v>8915</v>
      </c>
      <c r="D1411" s="1" t="s">
        <v>8899</v>
      </c>
      <c r="E1411" s="1" t="s">
        <v>1738</v>
      </c>
      <c r="F1411" s="1" t="s">
        <v>22</v>
      </c>
      <c r="G1411" s="1" t="e">
        <f>VLOOKUP(C1411,'Master truck list'!E:R,14,0)</f>
        <v>#N/A</v>
      </c>
      <c r="H1411" t="str">
        <f>"12/20/2019 7:00:30 AM"</f>
        <v>12/20/2019 7:00:30 AM</v>
      </c>
      <c r="I1411" t="str">
        <f>""</f>
        <v/>
      </c>
      <c r="J1411" t="str">
        <f t="shared" si="582"/>
        <v>Elite</v>
      </c>
      <c r="K1411" t="str">
        <f t="shared" si="570"/>
        <v>Device</v>
      </c>
      <c r="L1411" t="str">
        <f t="shared" si="578"/>
        <v>777260431</v>
      </c>
      <c r="M1411" t="str">
        <f t="shared" si="579"/>
        <v>16758588</v>
      </c>
      <c r="N1411" t="str">
        <f t="shared" si="580"/>
        <v>5168-20</v>
      </c>
      <c r="O1411" t="str">
        <f t="shared" si="583"/>
        <v>TEXAS</v>
      </c>
      <c r="P1411" t="str">
        <f t="shared" si="584"/>
        <v>N A</v>
      </c>
      <c r="Q1411" t="str">
        <f t="shared" si="585"/>
        <v>N/A</v>
      </c>
      <c r="R1411" t="str">
        <f>"130 CMRNP 08 306"</f>
        <v>130 CMRNP 08 306</v>
      </c>
      <c r="S1411" t="str">
        <f>"12/19/2019 5:05:16 AM"</f>
        <v>12/19/2019 5:05:16 AM</v>
      </c>
      <c r="T1411" t="str">
        <f t="shared" si="572"/>
        <v>5</v>
      </c>
      <c r="U1411" t="str">
        <f t="shared" si="586"/>
        <v>N/A</v>
      </c>
      <c r="V1411" t="str">
        <f t="shared" si="581"/>
        <v>5.5500</v>
      </c>
    </row>
    <row r="1412" spans="1:22" x14ac:dyDescent="0.25">
      <c r="A1412" s="1" t="str">
        <f t="shared" si="577"/>
        <v>5168-</v>
      </c>
      <c r="B1412" s="1" t="str">
        <f t="shared" si="587"/>
        <v>5168-</v>
      </c>
      <c r="C1412" s="1" t="s">
        <v>8915</v>
      </c>
      <c r="D1412" s="1" t="s">
        <v>8899</v>
      </c>
      <c r="E1412" s="1" t="s">
        <v>1738</v>
      </c>
      <c r="F1412" s="1" t="s">
        <v>22</v>
      </c>
      <c r="G1412" s="1" t="e">
        <f>VLOOKUP(C1412,'Master truck list'!E:R,14,0)</f>
        <v>#N/A</v>
      </c>
      <c r="H1412" t="str">
        <f>"12/20/2019 7:00:30 AM"</f>
        <v>12/20/2019 7:00:30 AM</v>
      </c>
      <c r="I1412" t="str">
        <f>""</f>
        <v/>
      </c>
      <c r="J1412" t="str">
        <f t="shared" si="582"/>
        <v>Elite</v>
      </c>
      <c r="K1412" t="str">
        <f t="shared" si="570"/>
        <v>Device</v>
      </c>
      <c r="L1412" t="str">
        <f t="shared" si="578"/>
        <v>777260431</v>
      </c>
      <c r="M1412" t="str">
        <f t="shared" si="579"/>
        <v>16758588</v>
      </c>
      <c r="N1412" t="str">
        <f t="shared" si="580"/>
        <v>5168-20</v>
      </c>
      <c r="O1412" t="str">
        <f t="shared" si="583"/>
        <v>TEXAS</v>
      </c>
      <c r="P1412" t="str">
        <f t="shared" si="584"/>
        <v>N A</v>
      </c>
      <c r="Q1412" t="str">
        <f t="shared" si="585"/>
        <v>N/A</v>
      </c>
      <c r="R1412" t="str">
        <f>"130 ARPTP 05 308"</f>
        <v>130 ARPTP 05 308</v>
      </c>
      <c r="S1412" t="str">
        <f>"12/19/2019 5:26:43 AM"</f>
        <v>12/19/2019 5:26:43 AM</v>
      </c>
      <c r="T1412" t="str">
        <f t="shared" si="572"/>
        <v>5</v>
      </c>
      <c r="U1412" t="str">
        <f t="shared" si="586"/>
        <v>N/A</v>
      </c>
      <c r="V1412" t="str">
        <f t="shared" si="581"/>
        <v>5.5500</v>
      </c>
    </row>
    <row r="1413" spans="1:22" x14ac:dyDescent="0.25">
      <c r="A1413" s="1" t="str">
        <f t="shared" si="577"/>
        <v>5168-</v>
      </c>
      <c r="B1413" s="1" t="str">
        <f t="shared" si="587"/>
        <v>5168-</v>
      </c>
      <c r="C1413" s="1" t="s">
        <v>8915</v>
      </c>
      <c r="D1413" s="1" t="s">
        <v>8899</v>
      </c>
      <c r="E1413" s="1" t="s">
        <v>1738</v>
      </c>
      <c r="F1413" s="1" t="s">
        <v>22</v>
      </c>
      <c r="G1413" s="1" t="e">
        <f>VLOOKUP(C1413,'Master truck list'!E:R,14,0)</f>
        <v>#N/A</v>
      </c>
      <c r="H1413" t="str">
        <f>"12/20/2019 7:00:30 AM"</f>
        <v>12/20/2019 7:00:30 AM</v>
      </c>
      <c r="I1413" t="str">
        <f>""</f>
        <v/>
      </c>
      <c r="J1413" t="str">
        <f t="shared" si="582"/>
        <v>Elite</v>
      </c>
      <c r="K1413" t="str">
        <f t="shared" si="570"/>
        <v>Device</v>
      </c>
      <c r="L1413" t="str">
        <f t="shared" si="578"/>
        <v>777260431</v>
      </c>
      <c r="M1413" t="str">
        <f t="shared" si="579"/>
        <v>16758588</v>
      </c>
      <c r="N1413" t="str">
        <f t="shared" si="580"/>
        <v>5168-20</v>
      </c>
      <c r="O1413" t="str">
        <f t="shared" si="583"/>
        <v>TEXAS</v>
      </c>
      <c r="P1413" t="str">
        <f t="shared" si="584"/>
        <v>N A</v>
      </c>
      <c r="Q1413" t="str">
        <f t="shared" si="585"/>
        <v>N/A</v>
      </c>
      <c r="R1413" t="str">
        <f>"45SE MLPWB 01 611"</f>
        <v>45SE MLPWB 01 611</v>
      </c>
      <c r="S1413" t="str">
        <f>"12/19/2019 5:37:19 AM"</f>
        <v>12/19/2019 5:37:19 AM</v>
      </c>
      <c r="T1413" t="str">
        <f t="shared" si="572"/>
        <v>5</v>
      </c>
      <c r="U1413" t="str">
        <f t="shared" si="586"/>
        <v>N/A</v>
      </c>
      <c r="V1413" t="str">
        <f>"3.3000"</f>
        <v>3.3000</v>
      </c>
    </row>
    <row r="1414" spans="1:22" x14ac:dyDescent="0.25">
      <c r="A1414" s="1" t="str">
        <f t="shared" si="577"/>
        <v>5168-</v>
      </c>
      <c r="B1414" s="1" t="str">
        <f t="shared" si="587"/>
        <v>5168-</v>
      </c>
      <c r="C1414" s="1" t="s">
        <v>8915</v>
      </c>
      <c r="D1414" s="1" t="s">
        <v>8899</v>
      </c>
      <c r="E1414" s="1" t="s">
        <v>1738</v>
      </c>
      <c r="F1414" s="1" t="s">
        <v>22</v>
      </c>
      <c r="G1414" s="1" t="e">
        <f>VLOOKUP(C1414,'Master truck list'!E:R,14,0)</f>
        <v>#N/A</v>
      </c>
      <c r="H1414" t="str">
        <f>"12/20/2019 7:00:30 AM"</f>
        <v>12/20/2019 7:00:30 AM</v>
      </c>
      <c r="I1414" t="str">
        <f>""</f>
        <v/>
      </c>
      <c r="J1414" t="str">
        <f t="shared" si="582"/>
        <v>Elite</v>
      </c>
      <c r="K1414" t="str">
        <f t="shared" si="570"/>
        <v>Device</v>
      </c>
      <c r="L1414" t="str">
        <f t="shared" si="578"/>
        <v>777260431</v>
      </c>
      <c r="M1414" t="str">
        <f t="shared" si="579"/>
        <v>16758588</v>
      </c>
      <c r="N1414" t="str">
        <f t="shared" si="580"/>
        <v>5168-20</v>
      </c>
      <c r="O1414" t="str">
        <f t="shared" si="583"/>
        <v>TEXAS</v>
      </c>
      <c r="P1414" t="str">
        <f t="shared" si="584"/>
        <v>N A</v>
      </c>
      <c r="Q1414" t="str">
        <f t="shared" si="585"/>
        <v>N/A</v>
      </c>
      <c r="R1414" t="str">
        <f>"130 MGCRP 06 305"</f>
        <v>130 MGCRP 06 305</v>
      </c>
      <c r="S1414" t="str">
        <f>"12/19/2019 4:54:17 AM"</f>
        <v>12/19/2019 4:54:17 AM</v>
      </c>
      <c r="T1414" t="str">
        <f t="shared" si="572"/>
        <v>5</v>
      </c>
      <c r="U1414" t="str">
        <f t="shared" si="586"/>
        <v>N/A</v>
      </c>
      <c r="V1414" t="str">
        <f t="shared" ref="V1414:V1420" si="588">"5.5500"</f>
        <v>5.5500</v>
      </c>
    </row>
    <row r="1415" spans="1:22" x14ac:dyDescent="0.25">
      <c r="A1415" s="1" t="str">
        <f t="shared" si="577"/>
        <v>5168-</v>
      </c>
      <c r="B1415" s="1" t="str">
        <f t="shared" si="587"/>
        <v>5168-</v>
      </c>
      <c r="C1415" s="1" t="s">
        <v>8915</v>
      </c>
      <c r="D1415" s="1" t="s">
        <v>8899</v>
      </c>
      <c r="E1415" s="1" t="s">
        <v>1738</v>
      </c>
      <c r="F1415" s="1" t="s">
        <v>22</v>
      </c>
      <c r="G1415" s="1" t="e">
        <f>VLOOKUP(C1415,'Master truck list'!E:R,14,0)</f>
        <v>#N/A</v>
      </c>
      <c r="H1415" t="str">
        <f>"12/20/2019 7:00:30 AM"</f>
        <v>12/20/2019 7:00:30 AM</v>
      </c>
      <c r="I1415" t="str">
        <f>""</f>
        <v/>
      </c>
      <c r="J1415" t="str">
        <f t="shared" si="582"/>
        <v>Elite</v>
      </c>
      <c r="K1415" t="str">
        <f t="shared" si="570"/>
        <v>Device</v>
      </c>
      <c r="L1415" t="str">
        <f t="shared" si="578"/>
        <v>777260431</v>
      </c>
      <c r="M1415" t="str">
        <f t="shared" si="579"/>
        <v>16758588</v>
      </c>
      <c r="N1415" t="str">
        <f t="shared" si="580"/>
        <v>5168-20</v>
      </c>
      <c r="O1415" t="str">
        <f t="shared" si="583"/>
        <v>TEXAS</v>
      </c>
      <c r="P1415" t="str">
        <f t="shared" si="584"/>
        <v>N A</v>
      </c>
      <c r="Q1415" t="str">
        <f t="shared" si="585"/>
        <v>N/A</v>
      </c>
      <c r="R1415" t="str">
        <f>"130 DKCRP 06 307"</f>
        <v>130 DKCRP 06 307</v>
      </c>
      <c r="S1415" t="str">
        <f>"12/19/2019 5:19:47 AM"</f>
        <v>12/19/2019 5:19:47 AM</v>
      </c>
      <c r="T1415" t="str">
        <f t="shared" si="572"/>
        <v>5</v>
      </c>
      <c r="U1415" t="str">
        <f t="shared" si="586"/>
        <v>N/A</v>
      </c>
      <c r="V1415" t="str">
        <f t="shared" si="588"/>
        <v>5.5500</v>
      </c>
    </row>
    <row r="1416" spans="1:22" x14ac:dyDescent="0.25">
      <c r="A1416" s="1" t="str">
        <f t="shared" si="577"/>
        <v>5150-</v>
      </c>
      <c r="B1416" s="1" t="str">
        <f t="shared" si="587"/>
        <v>5150-</v>
      </c>
      <c r="C1416" s="1" t="s">
        <v>8914</v>
      </c>
      <c r="D1416" s="1" t="s">
        <v>8899</v>
      </c>
      <c r="E1416" s="1" t="s">
        <v>1738</v>
      </c>
      <c r="F1416" s="1" t="s">
        <v>22</v>
      </c>
      <c r="G1416" s="1" t="e">
        <f>VLOOKUP(C1416,'Master truck list'!E:R,14,0)</f>
        <v>#N/A</v>
      </c>
      <c r="H1416" t="str">
        <f>"12/17/2019 7:00:33 AM"</f>
        <v>12/17/2019 7:00:33 AM</v>
      </c>
      <c r="I1416" t="str">
        <f>""</f>
        <v/>
      </c>
      <c r="J1416" t="str">
        <f t="shared" si="582"/>
        <v>Elite</v>
      </c>
      <c r="K1416" t="str">
        <f t="shared" si="570"/>
        <v>Device</v>
      </c>
      <c r="L1416" t="str">
        <f t="shared" ref="L1416:L1433" si="589">"777260321"</f>
        <v>777260321</v>
      </c>
      <c r="M1416" t="str">
        <f t="shared" ref="M1416:M1433" si="590">"16758478"</f>
        <v>16758478</v>
      </c>
      <c r="N1416" t="str">
        <f t="shared" ref="N1416:N1433" si="591">"5150-20"</f>
        <v>5150-20</v>
      </c>
      <c r="O1416" t="str">
        <f t="shared" si="583"/>
        <v>TEXAS</v>
      </c>
      <c r="P1416" t="str">
        <f t="shared" si="584"/>
        <v>N A</v>
      </c>
      <c r="Q1416" t="str">
        <f t="shared" si="585"/>
        <v>N/A</v>
      </c>
      <c r="R1416" t="str">
        <f>"130 ARPTP 09 308"</f>
        <v>130 ARPTP 09 308</v>
      </c>
      <c r="S1416" t="str">
        <f>"12/16/2019 2:51:47 PM"</f>
        <v>12/16/2019 2:51:47 PM</v>
      </c>
      <c r="T1416" t="str">
        <f t="shared" si="572"/>
        <v>5</v>
      </c>
      <c r="U1416" t="str">
        <f t="shared" si="586"/>
        <v>N/A</v>
      </c>
      <c r="V1416" t="str">
        <f t="shared" si="588"/>
        <v>5.5500</v>
      </c>
    </row>
    <row r="1417" spans="1:22" x14ac:dyDescent="0.25">
      <c r="A1417" s="1" t="str">
        <f t="shared" si="577"/>
        <v>5150-</v>
      </c>
      <c r="B1417" s="1" t="str">
        <f t="shared" si="587"/>
        <v>5150-</v>
      </c>
      <c r="C1417" s="1" t="s">
        <v>8914</v>
      </c>
      <c r="D1417" s="1" t="s">
        <v>8899</v>
      </c>
      <c r="E1417" s="1" t="s">
        <v>1738</v>
      </c>
      <c r="F1417" s="1" t="s">
        <v>22</v>
      </c>
      <c r="G1417" s="1" t="e">
        <f>VLOOKUP(C1417,'Master truck list'!E:R,14,0)</f>
        <v>#N/A</v>
      </c>
      <c r="H1417" t="str">
        <f>"12/17/2019 7:00:33 AM"</f>
        <v>12/17/2019 7:00:33 AM</v>
      </c>
      <c r="I1417" t="str">
        <f>""</f>
        <v/>
      </c>
      <c r="J1417" t="str">
        <f t="shared" si="582"/>
        <v>Elite</v>
      </c>
      <c r="K1417" t="str">
        <f t="shared" si="570"/>
        <v>Device</v>
      </c>
      <c r="L1417" t="str">
        <f t="shared" si="589"/>
        <v>777260321</v>
      </c>
      <c r="M1417" t="str">
        <f t="shared" si="590"/>
        <v>16758478</v>
      </c>
      <c r="N1417" t="str">
        <f t="shared" si="591"/>
        <v>5150-20</v>
      </c>
      <c r="O1417" t="str">
        <f t="shared" si="583"/>
        <v>TEXAS</v>
      </c>
      <c r="P1417" t="str">
        <f t="shared" si="584"/>
        <v>N A</v>
      </c>
      <c r="Q1417" t="str">
        <f t="shared" si="585"/>
        <v>N/A</v>
      </c>
      <c r="R1417" t="str">
        <f>"130 CMRNP 12 306"</f>
        <v>130 CMRNP 12 306</v>
      </c>
      <c r="S1417" t="str">
        <f>"12/16/2019 3:09:24 PM"</f>
        <v>12/16/2019 3:09:24 PM</v>
      </c>
      <c r="T1417" t="str">
        <f t="shared" si="572"/>
        <v>5</v>
      </c>
      <c r="U1417" t="str">
        <f t="shared" si="586"/>
        <v>N/A</v>
      </c>
      <c r="V1417" t="str">
        <f t="shared" si="588"/>
        <v>5.5500</v>
      </c>
    </row>
    <row r="1418" spans="1:22" x14ac:dyDescent="0.25">
      <c r="A1418" s="1" t="str">
        <f t="shared" si="577"/>
        <v>5150-</v>
      </c>
      <c r="B1418" s="1" t="str">
        <f t="shared" si="587"/>
        <v>5150-</v>
      </c>
      <c r="C1418" s="1" t="s">
        <v>8914</v>
      </c>
      <c r="D1418" s="1" t="s">
        <v>8899</v>
      </c>
      <c r="E1418" s="1" t="s">
        <v>1738</v>
      </c>
      <c r="F1418" s="1" t="s">
        <v>22</v>
      </c>
      <c r="G1418" s="1" t="e">
        <f>VLOOKUP(C1418,'Master truck list'!E:R,14,0)</f>
        <v>#N/A</v>
      </c>
      <c r="H1418" t="str">
        <f>"12/19/2019 7:00:35 AM"</f>
        <v>12/19/2019 7:00:35 AM</v>
      </c>
      <c r="I1418" t="str">
        <f>""</f>
        <v/>
      </c>
      <c r="J1418" t="str">
        <f t="shared" si="582"/>
        <v>Elite</v>
      </c>
      <c r="K1418" t="str">
        <f t="shared" si="570"/>
        <v>Device</v>
      </c>
      <c r="L1418" t="str">
        <f t="shared" si="589"/>
        <v>777260321</v>
      </c>
      <c r="M1418" t="str">
        <f t="shared" si="590"/>
        <v>16758478</v>
      </c>
      <c r="N1418" t="str">
        <f t="shared" si="591"/>
        <v>5150-20</v>
      </c>
      <c r="O1418" t="str">
        <f t="shared" si="583"/>
        <v>TEXAS</v>
      </c>
      <c r="P1418" t="str">
        <f t="shared" si="584"/>
        <v>N A</v>
      </c>
      <c r="Q1418" t="str">
        <f t="shared" si="585"/>
        <v>N/A</v>
      </c>
      <c r="R1418" t="str">
        <f>"130 MGCRP 11 305"</f>
        <v>130 MGCRP 11 305</v>
      </c>
      <c r="S1418" t="str">
        <f>"12/18/2019 4:41:11 PM"</f>
        <v>12/18/2019 4:41:11 PM</v>
      </c>
      <c r="T1418" t="str">
        <f t="shared" si="572"/>
        <v>5</v>
      </c>
      <c r="U1418" t="str">
        <f t="shared" si="586"/>
        <v>N/A</v>
      </c>
      <c r="V1418" t="str">
        <f t="shared" si="588"/>
        <v>5.5500</v>
      </c>
    </row>
    <row r="1419" spans="1:22" x14ac:dyDescent="0.25">
      <c r="A1419" s="1" t="str">
        <f t="shared" si="577"/>
        <v>5150-</v>
      </c>
      <c r="B1419" s="1" t="str">
        <f t="shared" si="587"/>
        <v>5150-</v>
      </c>
      <c r="C1419" s="1" t="s">
        <v>8914</v>
      </c>
      <c r="D1419" s="1" t="s">
        <v>8899</v>
      </c>
      <c r="E1419" s="1" t="s">
        <v>1738</v>
      </c>
      <c r="F1419" s="1" t="s">
        <v>22</v>
      </c>
      <c r="G1419" s="1" t="e">
        <f>VLOOKUP(C1419,'Master truck list'!E:R,14,0)</f>
        <v>#N/A</v>
      </c>
      <c r="H1419" t="str">
        <f>"12/19/2019 7:00:35 AM"</f>
        <v>12/19/2019 7:00:35 AM</v>
      </c>
      <c r="I1419" t="str">
        <f>""</f>
        <v/>
      </c>
      <c r="J1419" t="str">
        <f t="shared" si="582"/>
        <v>Elite</v>
      </c>
      <c r="K1419" t="str">
        <f t="shared" si="570"/>
        <v>Device</v>
      </c>
      <c r="L1419" t="str">
        <f t="shared" si="589"/>
        <v>777260321</v>
      </c>
      <c r="M1419" t="str">
        <f t="shared" si="590"/>
        <v>16758478</v>
      </c>
      <c r="N1419" t="str">
        <f t="shared" si="591"/>
        <v>5150-20</v>
      </c>
      <c r="O1419" t="str">
        <f t="shared" si="583"/>
        <v>TEXAS</v>
      </c>
      <c r="P1419" t="str">
        <f t="shared" si="584"/>
        <v>N A</v>
      </c>
      <c r="Q1419" t="str">
        <f t="shared" si="585"/>
        <v>N/A</v>
      </c>
      <c r="R1419" t="str">
        <f>"130 CMRNP 13 306"</f>
        <v>130 CMRNP 13 306</v>
      </c>
      <c r="S1419" t="str">
        <f>"12/18/2019 4:29:42 PM"</f>
        <v>12/18/2019 4:29:42 PM</v>
      </c>
      <c r="T1419" t="str">
        <f t="shared" si="572"/>
        <v>5</v>
      </c>
      <c r="U1419" t="str">
        <f t="shared" si="586"/>
        <v>N/A</v>
      </c>
      <c r="V1419" t="str">
        <f t="shared" si="588"/>
        <v>5.5500</v>
      </c>
    </row>
    <row r="1420" spans="1:22" x14ac:dyDescent="0.25">
      <c r="A1420" s="1" t="str">
        <f t="shared" si="577"/>
        <v>5150-</v>
      </c>
      <c r="B1420" s="1" t="str">
        <f t="shared" si="587"/>
        <v>5150-</v>
      </c>
      <c r="C1420" s="1" t="s">
        <v>8914</v>
      </c>
      <c r="D1420" s="1" t="s">
        <v>8899</v>
      </c>
      <c r="E1420" s="1" t="s">
        <v>1738</v>
      </c>
      <c r="F1420" s="1" t="s">
        <v>22</v>
      </c>
      <c r="G1420" s="1" t="e">
        <f>VLOOKUP(C1420,'Master truck list'!E:R,14,0)</f>
        <v>#N/A</v>
      </c>
      <c r="H1420" t="str">
        <f>"12/19/2019 7:00:35 AM"</f>
        <v>12/19/2019 7:00:35 AM</v>
      </c>
      <c r="I1420" t="str">
        <f>""</f>
        <v/>
      </c>
      <c r="J1420" t="str">
        <f t="shared" si="582"/>
        <v>Elite</v>
      </c>
      <c r="K1420" t="str">
        <f t="shared" si="570"/>
        <v>Device</v>
      </c>
      <c r="L1420" t="str">
        <f t="shared" si="589"/>
        <v>777260321</v>
      </c>
      <c r="M1420" t="str">
        <f t="shared" si="590"/>
        <v>16758478</v>
      </c>
      <c r="N1420" t="str">
        <f t="shared" si="591"/>
        <v>5150-20</v>
      </c>
      <c r="O1420" t="str">
        <f t="shared" si="583"/>
        <v>TEXAS</v>
      </c>
      <c r="P1420" t="str">
        <f t="shared" si="584"/>
        <v>N A</v>
      </c>
      <c r="Q1420" t="str">
        <f t="shared" si="585"/>
        <v>N/A</v>
      </c>
      <c r="R1420" t="str">
        <f>"130 ARPTP 09 308"</f>
        <v>130 ARPTP 09 308</v>
      </c>
      <c r="S1420" t="str">
        <f>"12/18/2019 4:09:50 PM"</f>
        <v>12/18/2019 4:09:50 PM</v>
      </c>
      <c r="T1420" t="str">
        <f t="shared" si="572"/>
        <v>5</v>
      </c>
      <c r="U1420" t="str">
        <f t="shared" si="586"/>
        <v>N/A</v>
      </c>
      <c r="V1420" t="str">
        <f t="shared" si="588"/>
        <v>5.5500</v>
      </c>
    </row>
    <row r="1421" spans="1:22" x14ac:dyDescent="0.25">
      <c r="A1421" s="1" t="str">
        <f t="shared" si="577"/>
        <v>5150-</v>
      </c>
      <c r="B1421" s="1" t="str">
        <f t="shared" si="587"/>
        <v>5150-</v>
      </c>
      <c r="C1421" s="1" t="s">
        <v>8914</v>
      </c>
      <c r="D1421" s="1" t="s">
        <v>8899</v>
      </c>
      <c r="E1421" s="1" t="s">
        <v>1738</v>
      </c>
      <c r="F1421" s="1" t="s">
        <v>22</v>
      </c>
      <c r="G1421" s="1" t="e">
        <f>VLOOKUP(C1421,'Master truck list'!E:R,14,0)</f>
        <v>#N/A</v>
      </c>
      <c r="H1421" t="str">
        <f>"12/19/2019 7:00:35 AM"</f>
        <v>12/19/2019 7:00:35 AM</v>
      </c>
      <c r="I1421" t="str">
        <f>""</f>
        <v/>
      </c>
      <c r="J1421" t="str">
        <f t="shared" si="582"/>
        <v>Elite</v>
      </c>
      <c r="K1421" t="str">
        <f t="shared" si="570"/>
        <v>Device</v>
      </c>
      <c r="L1421" t="str">
        <f t="shared" si="589"/>
        <v>777260321</v>
      </c>
      <c r="M1421" t="str">
        <f t="shared" si="590"/>
        <v>16758478</v>
      </c>
      <c r="N1421" t="str">
        <f t="shared" si="591"/>
        <v>5150-20</v>
      </c>
      <c r="O1421" t="str">
        <f t="shared" si="583"/>
        <v>TEXAS</v>
      </c>
      <c r="P1421" t="str">
        <f t="shared" si="584"/>
        <v>N A</v>
      </c>
      <c r="Q1421" t="str">
        <f t="shared" si="585"/>
        <v>N/A</v>
      </c>
      <c r="R1421" t="str">
        <f>"130 BLUESP 01 4110"</f>
        <v>130 BLUESP 01 4110</v>
      </c>
      <c r="S1421" t="str">
        <f>"12/17/2019 3:50:11 PM"</f>
        <v>12/17/2019 3:50:11 PM</v>
      </c>
      <c r="T1421" t="str">
        <f>"15"</f>
        <v>15</v>
      </c>
      <c r="U1421" t="str">
        <f t="shared" si="586"/>
        <v>N/A</v>
      </c>
      <c r="V1421" t="str">
        <f>"20.4900"</f>
        <v>20.4900</v>
      </c>
    </row>
    <row r="1422" spans="1:22" x14ac:dyDescent="0.25">
      <c r="A1422" s="1" t="str">
        <f t="shared" si="577"/>
        <v>5150-</v>
      </c>
      <c r="B1422" s="1" t="str">
        <f t="shared" si="587"/>
        <v>5150-</v>
      </c>
      <c r="C1422" s="1" t="s">
        <v>8914</v>
      </c>
      <c r="D1422" s="1" t="s">
        <v>8899</v>
      </c>
      <c r="E1422" s="1" t="s">
        <v>1738</v>
      </c>
      <c r="F1422" s="1" t="s">
        <v>22</v>
      </c>
      <c r="G1422" s="1" t="e">
        <f>VLOOKUP(C1422,'Master truck list'!E:R,14,0)</f>
        <v>#N/A</v>
      </c>
      <c r="H1422" t="str">
        <f>"12/18/2019 7:00:28 AM"</f>
        <v>12/18/2019 7:00:28 AM</v>
      </c>
      <c r="I1422" t="str">
        <f>""</f>
        <v/>
      </c>
      <c r="J1422" t="str">
        <f t="shared" si="582"/>
        <v>Elite</v>
      </c>
      <c r="K1422" t="str">
        <f t="shared" si="570"/>
        <v>Device</v>
      </c>
      <c r="L1422" t="str">
        <f t="shared" si="589"/>
        <v>777260321</v>
      </c>
      <c r="M1422" t="str">
        <f t="shared" si="590"/>
        <v>16758478</v>
      </c>
      <c r="N1422" t="str">
        <f t="shared" si="591"/>
        <v>5150-20</v>
      </c>
      <c r="O1422" t="str">
        <f t="shared" si="583"/>
        <v>TEXAS</v>
      </c>
      <c r="P1422" t="str">
        <f t="shared" si="584"/>
        <v>N A</v>
      </c>
      <c r="Q1422" t="str">
        <f t="shared" si="585"/>
        <v>N/A</v>
      </c>
      <c r="R1422" t="str">
        <f>"130 DKCRP 06 307"</f>
        <v>130 DKCRP 06 307</v>
      </c>
      <c r="S1422" t="str">
        <f>"12/17/2019 3:17:56 PM"</f>
        <v>12/17/2019 3:17:56 PM</v>
      </c>
      <c r="T1422" t="str">
        <f t="shared" ref="T1422:T1428" si="592">"5"</f>
        <v>5</v>
      </c>
      <c r="U1422" t="str">
        <f t="shared" si="586"/>
        <v>N/A</v>
      </c>
      <c r="V1422" t="str">
        <f t="shared" ref="V1422:V1428" si="593">"5.5500"</f>
        <v>5.5500</v>
      </c>
    </row>
    <row r="1423" spans="1:22" x14ac:dyDescent="0.25">
      <c r="A1423" s="1" t="str">
        <f t="shared" si="577"/>
        <v>5150-</v>
      </c>
      <c r="B1423" s="1" t="str">
        <f t="shared" si="587"/>
        <v>5150-</v>
      </c>
      <c r="C1423" s="1" t="s">
        <v>8914</v>
      </c>
      <c r="D1423" s="1" t="s">
        <v>8899</v>
      </c>
      <c r="E1423" s="1" t="s">
        <v>1738</v>
      </c>
      <c r="F1423" s="1" t="s">
        <v>22</v>
      </c>
      <c r="G1423" s="1" t="e">
        <f>VLOOKUP(C1423,'Master truck list'!E:R,14,0)</f>
        <v>#N/A</v>
      </c>
      <c r="H1423" t="str">
        <f>"12/18/2019 7:00:28 AM"</f>
        <v>12/18/2019 7:00:28 AM</v>
      </c>
      <c r="I1423" t="str">
        <f>""</f>
        <v/>
      </c>
      <c r="J1423" t="str">
        <f t="shared" si="582"/>
        <v>Elite</v>
      </c>
      <c r="K1423" t="str">
        <f t="shared" si="570"/>
        <v>Device</v>
      </c>
      <c r="L1423" t="str">
        <f t="shared" si="589"/>
        <v>777260321</v>
      </c>
      <c r="M1423" t="str">
        <f t="shared" si="590"/>
        <v>16758478</v>
      </c>
      <c r="N1423" t="str">
        <f t="shared" si="591"/>
        <v>5150-20</v>
      </c>
      <c r="O1423" t="str">
        <f t="shared" si="583"/>
        <v>TEXAS</v>
      </c>
      <c r="P1423" t="str">
        <f t="shared" si="584"/>
        <v>N A</v>
      </c>
      <c r="Q1423" t="str">
        <f t="shared" si="585"/>
        <v>N/A</v>
      </c>
      <c r="R1423" t="str">
        <f>"130 MGCRP 06 305"</f>
        <v>130 MGCRP 06 305</v>
      </c>
      <c r="S1423" t="str">
        <f>"12/17/2019 2:56:26 PM"</f>
        <v>12/17/2019 2:56:26 PM</v>
      </c>
      <c r="T1423" t="str">
        <f t="shared" si="592"/>
        <v>5</v>
      </c>
      <c r="U1423" t="str">
        <f t="shared" si="586"/>
        <v>N/A</v>
      </c>
      <c r="V1423" t="str">
        <f t="shared" si="593"/>
        <v>5.5500</v>
      </c>
    </row>
    <row r="1424" spans="1:22" x14ac:dyDescent="0.25">
      <c r="A1424" s="1" t="str">
        <f t="shared" si="577"/>
        <v>5150-</v>
      </c>
      <c r="B1424" s="1" t="str">
        <f t="shared" si="587"/>
        <v>5150-</v>
      </c>
      <c r="C1424" s="1" t="s">
        <v>8914</v>
      </c>
      <c r="D1424" s="1" t="s">
        <v>8899</v>
      </c>
      <c r="E1424" s="1" t="s">
        <v>1738</v>
      </c>
      <c r="F1424" s="1" t="s">
        <v>22</v>
      </c>
      <c r="G1424" s="1" t="e">
        <f>VLOOKUP(C1424,'Master truck list'!E:R,14,0)</f>
        <v>#N/A</v>
      </c>
      <c r="H1424" t="str">
        <f>"12/17/2019 7:00:33 AM"</f>
        <v>12/17/2019 7:00:33 AM</v>
      </c>
      <c r="I1424" t="str">
        <f>""</f>
        <v/>
      </c>
      <c r="J1424" t="str">
        <f t="shared" si="582"/>
        <v>Elite</v>
      </c>
      <c r="K1424" t="str">
        <f t="shared" si="570"/>
        <v>Device</v>
      </c>
      <c r="L1424" t="str">
        <f t="shared" si="589"/>
        <v>777260321</v>
      </c>
      <c r="M1424" t="str">
        <f t="shared" si="590"/>
        <v>16758478</v>
      </c>
      <c r="N1424" t="str">
        <f t="shared" si="591"/>
        <v>5150-20</v>
      </c>
      <c r="O1424" t="str">
        <f t="shared" si="583"/>
        <v>TEXAS</v>
      </c>
      <c r="P1424" t="str">
        <f t="shared" si="584"/>
        <v>N A</v>
      </c>
      <c r="Q1424" t="str">
        <f t="shared" si="585"/>
        <v>N/A</v>
      </c>
      <c r="R1424" t="str">
        <f>"130 MGCRP 11 305"</f>
        <v>130 MGCRP 11 305</v>
      </c>
      <c r="S1424" t="str">
        <f>"12/16/2019 3:20:50 PM"</f>
        <v>12/16/2019 3:20:50 PM</v>
      </c>
      <c r="T1424" t="str">
        <f t="shared" si="592"/>
        <v>5</v>
      </c>
      <c r="U1424" t="str">
        <f t="shared" si="586"/>
        <v>N/A</v>
      </c>
      <c r="V1424" t="str">
        <f t="shared" si="593"/>
        <v>5.5500</v>
      </c>
    </row>
    <row r="1425" spans="1:22" x14ac:dyDescent="0.25">
      <c r="A1425" s="1" t="str">
        <f t="shared" si="577"/>
        <v>5150-</v>
      </c>
      <c r="B1425" s="1" t="str">
        <f t="shared" si="587"/>
        <v>5150-</v>
      </c>
      <c r="C1425" s="1" t="s">
        <v>8914</v>
      </c>
      <c r="D1425" s="1" t="s">
        <v>8899</v>
      </c>
      <c r="E1425" s="1" t="s">
        <v>1738</v>
      </c>
      <c r="F1425" s="1" t="s">
        <v>22</v>
      </c>
      <c r="G1425" s="1" t="e">
        <f>VLOOKUP(C1425,'Master truck list'!E:R,14,0)</f>
        <v>#N/A</v>
      </c>
      <c r="H1425" t="str">
        <f>"12/18/2019 7:00:28 AM"</f>
        <v>12/18/2019 7:00:28 AM</v>
      </c>
      <c r="I1425" t="str">
        <f>""</f>
        <v/>
      </c>
      <c r="J1425" t="str">
        <f t="shared" si="582"/>
        <v>Elite</v>
      </c>
      <c r="K1425" t="str">
        <f t="shared" si="570"/>
        <v>Device</v>
      </c>
      <c r="L1425" t="str">
        <f t="shared" si="589"/>
        <v>777260321</v>
      </c>
      <c r="M1425" t="str">
        <f t="shared" si="590"/>
        <v>16758478</v>
      </c>
      <c r="N1425" t="str">
        <f t="shared" si="591"/>
        <v>5150-20</v>
      </c>
      <c r="O1425" t="str">
        <f t="shared" si="583"/>
        <v>TEXAS</v>
      </c>
      <c r="P1425" t="str">
        <f t="shared" si="584"/>
        <v>N A</v>
      </c>
      <c r="Q1425" t="str">
        <f t="shared" si="585"/>
        <v>N/A</v>
      </c>
      <c r="R1425" t="str">
        <f>"130 ARPTP 05 308"</f>
        <v>130 ARPTP 05 308</v>
      </c>
      <c r="S1425" t="str">
        <f>"12/17/2019 3:24:56 PM"</f>
        <v>12/17/2019 3:24:56 PM</v>
      </c>
      <c r="T1425" t="str">
        <f t="shared" si="592"/>
        <v>5</v>
      </c>
      <c r="U1425" t="str">
        <f t="shared" si="586"/>
        <v>N/A</v>
      </c>
      <c r="V1425" t="str">
        <f t="shared" si="593"/>
        <v>5.5500</v>
      </c>
    </row>
    <row r="1426" spans="1:22" x14ac:dyDescent="0.25">
      <c r="A1426" s="1" t="str">
        <f t="shared" si="577"/>
        <v>5150-</v>
      </c>
      <c r="B1426" s="1" t="str">
        <f t="shared" si="587"/>
        <v>5150-</v>
      </c>
      <c r="C1426" s="1" t="s">
        <v>8914</v>
      </c>
      <c r="D1426" s="1" t="s">
        <v>8899</v>
      </c>
      <c r="E1426" s="1" t="s">
        <v>1738</v>
      </c>
      <c r="F1426" s="1" t="s">
        <v>22</v>
      </c>
      <c r="G1426" s="1" t="e">
        <f>VLOOKUP(C1426,'Master truck list'!E:R,14,0)</f>
        <v>#N/A</v>
      </c>
      <c r="H1426" t="str">
        <f>"12/17/2019 7:00:33 AM"</f>
        <v>12/17/2019 7:00:33 AM</v>
      </c>
      <c r="I1426" t="str">
        <f>""</f>
        <v/>
      </c>
      <c r="J1426" t="str">
        <f t="shared" si="582"/>
        <v>Elite</v>
      </c>
      <c r="K1426" t="str">
        <f t="shared" si="570"/>
        <v>Device</v>
      </c>
      <c r="L1426" t="str">
        <f t="shared" si="589"/>
        <v>777260321</v>
      </c>
      <c r="M1426" t="str">
        <f t="shared" si="590"/>
        <v>16758478</v>
      </c>
      <c r="N1426" t="str">
        <f t="shared" si="591"/>
        <v>5150-20</v>
      </c>
      <c r="O1426" t="str">
        <f t="shared" si="583"/>
        <v>TEXAS</v>
      </c>
      <c r="P1426" t="str">
        <f t="shared" si="584"/>
        <v>N A</v>
      </c>
      <c r="Q1426" t="str">
        <f t="shared" si="585"/>
        <v>N/A</v>
      </c>
      <c r="R1426" t="str">
        <f>"130 DKCRP 11 307"</f>
        <v>130 DKCRP 11 307</v>
      </c>
      <c r="S1426" t="str">
        <f>"12/16/2019 2:59:01 PM"</f>
        <v>12/16/2019 2:59:01 PM</v>
      </c>
      <c r="T1426" t="str">
        <f t="shared" si="592"/>
        <v>5</v>
      </c>
      <c r="U1426" t="str">
        <f t="shared" si="586"/>
        <v>N/A</v>
      </c>
      <c r="V1426" t="str">
        <f t="shared" si="593"/>
        <v>5.5500</v>
      </c>
    </row>
    <row r="1427" spans="1:22" x14ac:dyDescent="0.25">
      <c r="A1427" s="1" t="str">
        <f t="shared" si="577"/>
        <v>5150-</v>
      </c>
      <c r="B1427" s="1" t="str">
        <f t="shared" si="587"/>
        <v>5150-</v>
      </c>
      <c r="C1427" s="1" t="s">
        <v>8914</v>
      </c>
      <c r="D1427" s="1" t="s">
        <v>8899</v>
      </c>
      <c r="E1427" s="1" t="s">
        <v>1738</v>
      </c>
      <c r="F1427" s="1" t="s">
        <v>22</v>
      </c>
      <c r="G1427" s="1" t="e">
        <f>VLOOKUP(C1427,'Master truck list'!E:R,14,0)</f>
        <v>#N/A</v>
      </c>
      <c r="H1427" t="str">
        <f>"12/18/2019 7:00:28 AM"</f>
        <v>12/18/2019 7:00:28 AM</v>
      </c>
      <c r="I1427" t="str">
        <f>""</f>
        <v/>
      </c>
      <c r="J1427" t="str">
        <f t="shared" si="582"/>
        <v>Elite</v>
      </c>
      <c r="K1427" t="str">
        <f t="shared" si="570"/>
        <v>Device</v>
      </c>
      <c r="L1427" t="str">
        <f t="shared" si="589"/>
        <v>777260321</v>
      </c>
      <c r="M1427" t="str">
        <f t="shared" si="590"/>
        <v>16758478</v>
      </c>
      <c r="N1427" t="str">
        <f t="shared" si="591"/>
        <v>5150-20</v>
      </c>
      <c r="O1427" t="str">
        <f t="shared" si="583"/>
        <v>TEXAS</v>
      </c>
      <c r="P1427" t="str">
        <f t="shared" si="584"/>
        <v>N A</v>
      </c>
      <c r="Q1427" t="str">
        <f t="shared" si="585"/>
        <v>N/A</v>
      </c>
      <c r="R1427" t="str">
        <f>"130 CMRNP 08 306"</f>
        <v>130 CMRNP 08 306</v>
      </c>
      <c r="S1427" t="str">
        <f>"12/17/2019 3:07:25 PM"</f>
        <v>12/17/2019 3:07:25 PM</v>
      </c>
      <c r="T1427" t="str">
        <f t="shared" si="592"/>
        <v>5</v>
      </c>
      <c r="U1427" t="str">
        <f t="shared" si="586"/>
        <v>N/A</v>
      </c>
      <c r="V1427" t="str">
        <f t="shared" si="593"/>
        <v>5.5500</v>
      </c>
    </row>
    <row r="1428" spans="1:22" x14ac:dyDescent="0.25">
      <c r="A1428" s="1" t="str">
        <f t="shared" si="577"/>
        <v>5150-</v>
      </c>
      <c r="B1428" s="1" t="str">
        <f t="shared" si="587"/>
        <v>5150-</v>
      </c>
      <c r="C1428" s="1" t="s">
        <v>8914</v>
      </c>
      <c r="D1428" s="1" t="s">
        <v>8899</v>
      </c>
      <c r="E1428" s="1" t="s">
        <v>1738</v>
      </c>
      <c r="F1428" s="1" t="s">
        <v>22</v>
      </c>
      <c r="G1428" s="1" t="e">
        <f>VLOOKUP(C1428,'Master truck list'!E:R,14,0)</f>
        <v>#N/A</v>
      </c>
      <c r="H1428" t="str">
        <f>"12/20/2019 7:00:30 AM"</f>
        <v>12/20/2019 7:00:30 AM</v>
      </c>
      <c r="I1428" t="str">
        <f>""</f>
        <v/>
      </c>
      <c r="J1428" t="str">
        <f t="shared" si="582"/>
        <v>Elite</v>
      </c>
      <c r="K1428" t="str">
        <f t="shared" si="570"/>
        <v>Device</v>
      </c>
      <c r="L1428" t="str">
        <f t="shared" si="589"/>
        <v>777260321</v>
      </c>
      <c r="M1428" t="str">
        <f t="shared" si="590"/>
        <v>16758478</v>
      </c>
      <c r="N1428" t="str">
        <f t="shared" si="591"/>
        <v>5150-20</v>
      </c>
      <c r="O1428" t="str">
        <f t="shared" si="583"/>
        <v>TEXAS</v>
      </c>
      <c r="P1428" t="str">
        <f t="shared" si="584"/>
        <v>N A</v>
      </c>
      <c r="Q1428" t="str">
        <f t="shared" si="585"/>
        <v>N/A</v>
      </c>
      <c r="R1428" t="str">
        <f>"130 DKCRP 06 307"</f>
        <v>130 DKCRP 06 307</v>
      </c>
      <c r="S1428" t="str">
        <f>"12/19/2019 12:02:55 PM"</f>
        <v>12/19/2019 12:02:55 PM</v>
      </c>
      <c r="T1428" t="str">
        <f t="shared" si="592"/>
        <v>5</v>
      </c>
      <c r="U1428" t="str">
        <f t="shared" si="586"/>
        <v>N/A</v>
      </c>
      <c r="V1428" t="str">
        <f t="shared" si="593"/>
        <v>5.5500</v>
      </c>
    </row>
    <row r="1429" spans="1:22" x14ac:dyDescent="0.25">
      <c r="A1429" s="1" t="str">
        <f t="shared" si="577"/>
        <v>5150-</v>
      </c>
      <c r="B1429" s="1" t="str">
        <f t="shared" si="587"/>
        <v>5150-</v>
      </c>
      <c r="C1429" s="1" t="s">
        <v>8914</v>
      </c>
      <c r="D1429" s="1" t="s">
        <v>8899</v>
      </c>
      <c r="E1429" s="1" t="s">
        <v>1738</v>
      </c>
      <c r="F1429" s="1" t="s">
        <v>22</v>
      </c>
      <c r="G1429" s="1" t="e">
        <f>VLOOKUP(C1429,'Master truck list'!E:R,14,0)</f>
        <v>#N/A</v>
      </c>
      <c r="H1429" t="str">
        <f>"12/21/2019 7:00:28 AM"</f>
        <v>12/21/2019 7:00:28 AM</v>
      </c>
      <c r="I1429" t="str">
        <f>""</f>
        <v/>
      </c>
      <c r="J1429" t="str">
        <f t="shared" si="582"/>
        <v>Elite</v>
      </c>
      <c r="K1429" t="str">
        <f t="shared" si="570"/>
        <v>Device</v>
      </c>
      <c r="L1429" t="str">
        <f t="shared" si="589"/>
        <v>777260321</v>
      </c>
      <c r="M1429" t="str">
        <f t="shared" si="590"/>
        <v>16758478</v>
      </c>
      <c r="N1429" t="str">
        <f t="shared" si="591"/>
        <v>5150-20</v>
      </c>
      <c r="O1429" t="str">
        <f t="shared" si="583"/>
        <v>TEXAS</v>
      </c>
      <c r="P1429" t="str">
        <f t="shared" si="584"/>
        <v>N A</v>
      </c>
      <c r="Q1429" t="str">
        <f t="shared" si="585"/>
        <v>N/A</v>
      </c>
      <c r="R1429" t="str">
        <f>"130 BLUESP 01 4110"</f>
        <v>130 BLUESP 01 4110</v>
      </c>
      <c r="S1429" t="str">
        <f>"12/19/2019 12:35:59 PM"</f>
        <v>12/19/2019 12:35:59 PM</v>
      </c>
      <c r="T1429" t="str">
        <f>"15"</f>
        <v>15</v>
      </c>
      <c r="U1429" t="str">
        <f t="shared" si="586"/>
        <v>N/A</v>
      </c>
      <c r="V1429" t="str">
        <f>"20.4900"</f>
        <v>20.4900</v>
      </c>
    </row>
    <row r="1430" spans="1:22" x14ac:dyDescent="0.25">
      <c r="A1430" s="1" t="str">
        <f t="shared" si="577"/>
        <v>5150-</v>
      </c>
      <c r="B1430" s="1" t="str">
        <f t="shared" si="587"/>
        <v>5150-</v>
      </c>
      <c r="C1430" s="1" t="s">
        <v>8914</v>
      </c>
      <c r="D1430" s="1" t="s">
        <v>8899</v>
      </c>
      <c r="E1430" s="1" t="s">
        <v>1738</v>
      </c>
      <c r="F1430" s="1" t="s">
        <v>22</v>
      </c>
      <c r="G1430" s="1" t="e">
        <f>VLOOKUP(C1430,'Master truck list'!E:R,14,0)</f>
        <v>#N/A</v>
      </c>
      <c r="H1430" t="str">
        <f>"12/20/2019 7:00:30 AM"</f>
        <v>12/20/2019 7:00:30 AM</v>
      </c>
      <c r="I1430" t="str">
        <f>""</f>
        <v/>
      </c>
      <c r="J1430" t="str">
        <f t="shared" si="582"/>
        <v>Elite</v>
      </c>
      <c r="K1430" t="str">
        <f t="shared" si="570"/>
        <v>Device</v>
      </c>
      <c r="L1430" t="str">
        <f t="shared" si="589"/>
        <v>777260321</v>
      </c>
      <c r="M1430" t="str">
        <f t="shared" si="590"/>
        <v>16758478</v>
      </c>
      <c r="N1430" t="str">
        <f t="shared" si="591"/>
        <v>5150-20</v>
      </c>
      <c r="O1430" t="str">
        <f t="shared" si="583"/>
        <v>TEXAS</v>
      </c>
      <c r="P1430" t="str">
        <f t="shared" si="584"/>
        <v>N A</v>
      </c>
      <c r="Q1430" t="str">
        <f t="shared" si="585"/>
        <v>N/A</v>
      </c>
      <c r="R1430" t="str">
        <f>"130 MGCRP 06 305"</f>
        <v>130 MGCRP 06 305</v>
      </c>
      <c r="S1430" t="str">
        <f>"12/19/2019 11:41:43 AM"</f>
        <v>12/19/2019 11:41:43 AM</v>
      </c>
      <c r="T1430" t="str">
        <f>"5"</f>
        <v>5</v>
      </c>
      <c r="U1430" t="str">
        <f t="shared" si="586"/>
        <v>N/A</v>
      </c>
      <c r="V1430" t="str">
        <f>"5.5500"</f>
        <v>5.5500</v>
      </c>
    </row>
    <row r="1431" spans="1:22" x14ac:dyDescent="0.25">
      <c r="A1431" s="1" t="str">
        <f t="shared" si="577"/>
        <v>5150-</v>
      </c>
      <c r="B1431" s="1" t="str">
        <f t="shared" si="587"/>
        <v>5150-</v>
      </c>
      <c r="C1431" s="1" t="s">
        <v>8914</v>
      </c>
      <c r="D1431" s="1" t="s">
        <v>8899</v>
      </c>
      <c r="E1431" s="1" t="s">
        <v>1738</v>
      </c>
      <c r="F1431" s="1" t="s">
        <v>22</v>
      </c>
      <c r="G1431" s="1" t="e">
        <f>VLOOKUP(C1431,'Master truck list'!E:R,14,0)</f>
        <v>#N/A</v>
      </c>
      <c r="H1431" t="str">
        <f>"12/20/2019 7:00:30 AM"</f>
        <v>12/20/2019 7:00:30 AM</v>
      </c>
      <c r="I1431" t="str">
        <f>""</f>
        <v/>
      </c>
      <c r="J1431" t="str">
        <f t="shared" si="582"/>
        <v>Elite</v>
      </c>
      <c r="K1431" t="str">
        <f t="shared" si="570"/>
        <v>Device</v>
      </c>
      <c r="L1431" t="str">
        <f t="shared" si="589"/>
        <v>777260321</v>
      </c>
      <c r="M1431" t="str">
        <f t="shared" si="590"/>
        <v>16758478</v>
      </c>
      <c r="N1431" t="str">
        <f t="shared" si="591"/>
        <v>5150-20</v>
      </c>
      <c r="O1431" t="str">
        <f t="shared" si="583"/>
        <v>TEXAS</v>
      </c>
      <c r="P1431" t="str">
        <f t="shared" si="584"/>
        <v>N A</v>
      </c>
      <c r="Q1431" t="str">
        <f t="shared" si="585"/>
        <v>N/A</v>
      </c>
      <c r="R1431" t="str">
        <f>"130 CMRNP 08 306"</f>
        <v>130 CMRNP 08 306</v>
      </c>
      <c r="S1431" t="str">
        <f>"12/19/2019 11:52:49 AM"</f>
        <v>12/19/2019 11:52:49 AM</v>
      </c>
      <c r="T1431" t="str">
        <f>"5"</f>
        <v>5</v>
      </c>
      <c r="U1431" t="str">
        <f t="shared" si="586"/>
        <v>N/A</v>
      </c>
      <c r="V1431" t="str">
        <f>"5.5500"</f>
        <v>5.5500</v>
      </c>
    </row>
    <row r="1432" spans="1:22" x14ac:dyDescent="0.25">
      <c r="A1432" s="1" t="str">
        <f t="shared" si="577"/>
        <v>5150-</v>
      </c>
      <c r="B1432" s="1" t="str">
        <f t="shared" si="587"/>
        <v>5150-</v>
      </c>
      <c r="C1432" s="1" t="s">
        <v>8914</v>
      </c>
      <c r="D1432" s="1" t="s">
        <v>8899</v>
      </c>
      <c r="E1432" s="1" t="s">
        <v>1738</v>
      </c>
      <c r="F1432" s="1" t="s">
        <v>22</v>
      </c>
      <c r="G1432" s="1" t="e">
        <f>VLOOKUP(C1432,'Master truck list'!E:R,14,0)</f>
        <v>#N/A</v>
      </c>
      <c r="H1432" t="str">
        <f>"12/19/2019 7:00:35 AM"</f>
        <v>12/19/2019 7:00:35 AM</v>
      </c>
      <c r="I1432" t="str">
        <f>""</f>
        <v/>
      </c>
      <c r="J1432" t="str">
        <f t="shared" si="582"/>
        <v>Elite</v>
      </c>
      <c r="K1432" t="str">
        <f t="shared" si="570"/>
        <v>Device</v>
      </c>
      <c r="L1432" t="str">
        <f t="shared" si="589"/>
        <v>777260321</v>
      </c>
      <c r="M1432" t="str">
        <f t="shared" si="590"/>
        <v>16758478</v>
      </c>
      <c r="N1432" t="str">
        <f t="shared" si="591"/>
        <v>5150-20</v>
      </c>
      <c r="O1432" t="str">
        <f t="shared" si="583"/>
        <v>TEXAS</v>
      </c>
      <c r="P1432" t="str">
        <f t="shared" si="584"/>
        <v>N A</v>
      </c>
      <c r="Q1432" t="str">
        <f t="shared" si="585"/>
        <v>N/A</v>
      </c>
      <c r="R1432" t="str">
        <f>"130 DKCRP 11 307"</f>
        <v>130 DKCRP 11 307</v>
      </c>
      <c r="S1432" t="str">
        <f>"12/18/2019 4:17:04 PM"</f>
        <v>12/18/2019 4:17:04 PM</v>
      </c>
      <c r="T1432" t="str">
        <f>"5"</f>
        <v>5</v>
      </c>
      <c r="U1432" t="str">
        <f t="shared" si="586"/>
        <v>N/A</v>
      </c>
      <c r="V1432" t="str">
        <f>"5.5500"</f>
        <v>5.5500</v>
      </c>
    </row>
    <row r="1433" spans="1:22" x14ac:dyDescent="0.25">
      <c r="A1433" s="1" t="str">
        <f t="shared" si="577"/>
        <v>5150-</v>
      </c>
      <c r="B1433" s="1" t="str">
        <f t="shared" si="587"/>
        <v>5150-</v>
      </c>
      <c r="C1433" s="1" t="s">
        <v>8914</v>
      </c>
      <c r="D1433" s="1" t="s">
        <v>8899</v>
      </c>
      <c r="E1433" s="1" t="s">
        <v>1738</v>
      </c>
      <c r="F1433" s="1" t="s">
        <v>22</v>
      </c>
      <c r="G1433" s="1" t="e">
        <f>VLOOKUP(C1433,'Master truck list'!E:R,14,0)</f>
        <v>#N/A</v>
      </c>
      <c r="H1433" t="str">
        <f>"12/20/2019 7:00:30 AM"</f>
        <v>12/20/2019 7:00:30 AM</v>
      </c>
      <c r="I1433" t="str">
        <f>""</f>
        <v/>
      </c>
      <c r="J1433" t="str">
        <f t="shared" si="582"/>
        <v>Elite</v>
      </c>
      <c r="K1433" t="str">
        <f t="shared" ref="K1433:K1496" si="594">"Device"</f>
        <v>Device</v>
      </c>
      <c r="L1433" t="str">
        <f t="shared" si="589"/>
        <v>777260321</v>
      </c>
      <c r="M1433" t="str">
        <f t="shared" si="590"/>
        <v>16758478</v>
      </c>
      <c r="N1433" t="str">
        <f t="shared" si="591"/>
        <v>5150-20</v>
      </c>
      <c r="O1433" t="str">
        <f t="shared" si="583"/>
        <v>TEXAS</v>
      </c>
      <c r="P1433" t="str">
        <f t="shared" si="584"/>
        <v>N A</v>
      </c>
      <c r="Q1433" t="str">
        <f t="shared" si="585"/>
        <v>N/A</v>
      </c>
      <c r="R1433" t="str">
        <f>"130 ARPTP 04 308"</f>
        <v>130 ARPTP 04 308</v>
      </c>
      <c r="S1433" t="str">
        <f>"12/19/2019 12:09:56 PM"</f>
        <v>12/19/2019 12:09:56 PM</v>
      </c>
      <c r="T1433" t="str">
        <f>"5"</f>
        <v>5</v>
      </c>
      <c r="U1433" t="str">
        <f t="shared" si="586"/>
        <v>N/A</v>
      </c>
      <c r="V1433" t="str">
        <f>"5.5500"</f>
        <v>5.5500</v>
      </c>
    </row>
    <row r="1434" spans="1:22" x14ac:dyDescent="0.25">
      <c r="A1434" s="1" t="str">
        <f t="shared" si="577"/>
        <v>5157-</v>
      </c>
      <c r="B1434" s="1" t="str">
        <f t="shared" si="587"/>
        <v>5157-</v>
      </c>
      <c r="C1434" s="1" t="s">
        <v>8909</v>
      </c>
      <c r="D1434" s="1" t="s">
        <v>8899</v>
      </c>
      <c r="E1434" s="1" t="s">
        <v>1738</v>
      </c>
      <c r="F1434" s="1" t="s">
        <v>22</v>
      </c>
      <c r="G1434" s="1" t="e">
        <f>VLOOKUP(C1434,'Master truck list'!E:R,14,0)</f>
        <v>#N/A</v>
      </c>
      <c r="H1434" t="str">
        <f t="shared" ref="H1434:H1443" si="595">"12/19/2019 7:00:35 AM"</f>
        <v>12/19/2019 7:00:35 AM</v>
      </c>
      <c r="I1434" t="str">
        <f>""</f>
        <v/>
      </c>
      <c r="J1434" t="str">
        <f t="shared" si="582"/>
        <v>Elite</v>
      </c>
      <c r="K1434" t="str">
        <f t="shared" si="594"/>
        <v>Device</v>
      </c>
      <c r="L1434" t="str">
        <f t="shared" ref="L1434:L1439" si="596">"777260187"</f>
        <v>777260187</v>
      </c>
      <c r="M1434" t="str">
        <f t="shared" ref="M1434:M1439" si="597">"16758344"</f>
        <v>16758344</v>
      </c>
      <c r="N1434" t="str">
        <f t="shared" ref="N1434:N1439" si="598">"5157-20"</f>
        <v>5157-20</v>
      </c>
      <c r="O1434" t="str">
        <f t="shared" si="583"/>
        <v>TEXAS</v>
      </c>
      <c r="P1434" t="str">
        <f t="shared" si="584"/>
        <v>N A</v>
      </c>
      <c r="Q1434" t="str">
        <f t="shared" si="585"/>
        <v>N/A</v>
      </c>
      <c r="R1434" t="str">
        <f>"130 DKCRP 11 307"</f>
        <v>130 DKCRP 11 307</v>
      </c>
      <c r="S1434" t="str">
        <f>"12/18/2019 5:13:21 PM"</f>
        <v>12/18/2019 5:13:21 PM</v>
      </c>
      <c r="T1434" t="str">
        <f>"5"</f>
        <v>5</v>
      </c>
      <c r="U1434" t="str">
        <f t="shared" si="586"/>
        <v>N/A</v>
      </c>
      <c r="V1434" t="str">
        <f>"5.5500"</f>
        <v>5.5500</v>
      </c>
    </row>
    <row r="1435" spans="1:22" x14ac:dyDescent="0.25">
      <c r="A1435" s="1" t="str">
        <f t="shared" si="577"/>
        <v>5157-</v>
      </c>
      <c r="B1435" s="1" t="str">
        <f t="shared" si="587"/>
        <v>5157-</v>
      </c>
      <c r="C1435" s="1" t="s">
        <v>8909</v>
      </c>
      <c r="D1435" s="1" t="s">
        <v>8899</v>
      </c>
      <c r="E1435" s="1" t="s">
        <v>1738</v>
      </c>
      <c r="F1435" s="1" t="s">
        <v>22</v>
      </c>
      <c r="G1435" s="1" t="e">
        <f>VLOOKUP(C1435,'Master truck list'!E:R,14,0)</f>
        <v>#N/A</v>
      </c>
      <c r="H1435" t="str">
        <f t="shared" si="595"/>
        <v>12/19/2019 7:00:35 AM</v>
      </c>
      <c r="I1435" t="str">
        <f>""</f>
        <v/>
      </c>
      <c r="J1435" t="str">
        <f t="shared" si="582"/>
        <v>Elite</v>
      </c>
      <c r="K1435" t="str">
        <f t="shared" si="594"/>
        <v>Device</v>
      </c>
      <c r="L1435" t="str">
        <f t="shared" si="596"/>
        <v>777260187</v>
      </c>
      <c r="M1435" t="str">
        <f t="shared" si="597"/>
        <v>16758344</v>
      </c>
      <c r="N1435" t="str">
        <f t="shared" si="598"/>
        <v>5157-20</v>
      </c>
      <c r="O1435" t="str">
        <f t="shared" si="583"/>
        <v>TEXAS</v>
      </c>
      <c r="P1435" t="str">
        <f t="shared" si="584"/>
        <v>N A</v>
      </c>
      <c r="Q1435" t="str">
        <f t="shared" si="585"/>
        <v>N/A</v>
      </c>
      <c r="R1435" t="str">
        <f>"I820 35WS 32 35WS"</f>
        <v>I820 35WS 32 35WS</v>
      </c>
      <c r="S1435" t="str">
        <f>"12/18/2019 12:24:57 AM"</f>
        <v>12/18/2019 12:24:57 AM</v>
      </c>
      <c r="T1435" t="str">
        <f>"2"</f>
        <v>2</v>
      </c>
      <c r="U1435" t="str">
        <f t="shared" si="586"/>
        <v>N/A</v>
      </c>
      <c r="V1435" t="str">
        <f>"3.8000"</f>
        <v>3.8000</v>
      </c>
    </row>
    <row r="1436" spans="1:22" x14ac:dyDescent="0.25">
      <c r="A1436" s="1" t="str">
        <f t="shared" si="577"/>
        <v>5157-</v>
      </c>
      <c r="B1436" s="1" t="str">
        <f t="shared" si="587"/>
        <v>5157-</v>
      </c>
      <c r="C1436" s="1" t="s">
        <v>8909</v>
      </c>
      <c r="D1436" s="1" t="s">
        <v>8899</v>
      </c>
      <c r="E1436" s="1" t="s">
        <v>1738</v>
      </c>
      <c r="F1436" s="1" t="s">
        <v>22</v>
      </c>
      <c r="G1436" s="1" t="e">
        <f>VLOOKUP(C1436,'Master truck list'!E:R,14,0)</f>
        <v>#N/A</v>
      </c>
      <c r="H1436" t="str">
        <f t="shared" si="595"/>
        <v>12/19/2019 7:00:35 AM</v>
      </c>
      <c r="I1436" t="str">
        <f>""</f>
        <v/>
      </c>
      <c r="J1436" t="str">
        <f t="shared" si="582"/>
        <v>Elite</v>
      </c>
      <c r="K1436" t="str">
        <f t="shared" si="594"/>
        <v>Device</v>
      </c>
      <c r="L1436" t="str">
        <f t="shared" si="596"/>
        <v>777260187</v>
      </c>
      <c r="M1436" t="str">
        <f t="shared" si="597"/>
        <v>16758344</v>
      </c>
      <c r="N1436" t="str">
        <f t="shared" si="598"/>
        <v>5157-20</v>
      </c>
      <c r="O1436" t="str">
        <f t="shared" si="583"/>
        <v>TEXAS</v>
      </c>
      <c r="P1436" t="str">
        <f t="shared" si="584"/>
        <v>N A</v>
      </c>
      <c r="Q1436" t="str">
        <f t="shared" si="585"/>
        <v>N/A</v>
      </c>
      <c r="R1436" t="str">
        <f>"130 ARPTP 09 308"</f>
        <v>130 ARPTP 09 308</v>
      </c>
      <c r="S1436" t="str">
        <f>"12/18/2019 5:05:08 PM"</f>
        <v>12/18/2019 5:05:08 PM</v>
      </c>
      <c r="T1436" t="str">
        <f t="shared" ref="T1436:T1471" si="599">"5"</f>
        <v>5</v>
      </c>
      <c r="U1436" t="str">
        <f t="shared" si="586"/>
        <v>N/A</v>
      </c>
      <c r="V1436" t="str">
        <f>"5.5500"</f>
        <v>5.5500</v>
      </c>
    </row>
    <row r="1437" spans="1:22" x14ac:dyDescent="0.25">
      <c r="A1437" s="1" t="str">
        <f t="shared" si="577"/>
        <v>5157-</v>
      </c>
      <c r="B1437" s="1" t="str">
        <f t="shared" si="587"/>
        <v>5157-</v>
      </c>
      <c r="C1437" s="1" t="s">
        <v>8909</v>
      </c>
      <c r="D1437" s="1" t="s">
        <v>8899</v>
      </c>
      <c r="E1437" s="1" t="s">
        <v>1738</v>
      </c>
      <c r="F1437" s="1" t="s">
        <v>22</v>
      </c>
      <c r="G1437" s="1" t="e">
        <f>VLOOKUP(C1437,'Master truck list'!E:R,14,0)</f>
        <v>#N/A</v>
      </c>
      <c r="H1437" t="str">
        <f t="shared" si="595"/>
        <v>12/19/2019 7:00:35 AM</v>
      </c>
      <c r="I1437" t="str">
        <f>""</f>
        <v/>
      </c>
      <c r="J1437" t="str">
        <f t="shared" si="582"/>
        <v>Elite</v>
      </c>
      <c r="K1437" t="str">
        <f t="shared" si="594"/>
        <v>Device</v>
      </c>
      <c r="L1437" t="str">
        <f t="shared" si="596"/>
        <v>777260187</v>
      </c>
      <c r="M1437" t="str">
        <f t="shared" si="597"/>
        <v>16758344</v>
      </c>
      <c r="N1437" t="str">
        <f t="shared" si="598"/>
        <v>5157-20</v>
      </c>
      <c r="O1437" t="str">
        <f t="shared" si="583"/>
        <v>TEXAS</v>
      </c>
      <c r="P1437" t="str">
        <f t="shared" si="584"/>
        <v>N A</v>
      </c>
      <c r="Q1437" t="str">
        <f t="shared" si="585"/>
        <v>N/A</v>
      </c>
      <c r="R1437" t="str">
        <f>"130 CMRNP 13 306"</f>
        <v>130 CMRNP 13 306</v>
      </c>
      <c r="S1437" t="str">
        <f>"12/18/2019 5:31:15 PM"</f>
        <v>12/18/2019 5:31:15 PM</v>
      </c>
      <c r="T1437" t="str">
        <f t="shared" si="599"/>
        <v>5</v>
      </c>
      <c r="U1437" t="str">
        <f t="shared" si="586"/>
        <v>N/A</v>
      </c>
      <c r="V1437" t="str">
        <f>"5.5500"</f>
        <v>5.5500</v>
      </c>
    </row>
    <row r="1438" spans="1:22" x14ac:dyDescent="0.25">
      <c r="A1438" s="1" t="str">
        <f t="shared" si="577"/>
        <v>5157-</v>
      </c>
      <c r="B1438" s="1" t="str">
        <f t="shared" si="587"/>
        <v>5157-</v>
      </c>
      <c r="C1438" s="1" t="s">
        <v>8909</v>
      </c>
      <c r="D1438" s="1" t="s">
        <v>8899</v>
      </c>
      <c r="E1438" s="1" t="s">
        <v>1738</v>
      </c>
      <c r="F1438" s="1" t="s">
        <v>22</v>
      </c>
      <c r="G1438" s="1" t="e">
        <f>VLOOKUP(C1438,'Master truck list'!E:R,14,0)</f>
        <v>#N/A</v>
      </c>
      <c r="H1438" t="str">
        <f t="shared" si="595"/>
        <v>12/19/2019 7:00:35 AM</v>
      </c>
      <c r="I1438" t="str">
        <f>""</f>
        <v/>
      </c>
      <c r="J1438" t="str">
        <f t="shared" si="582"/>
        <v>Elite</v>
      </c>
      <c r="K1438" t="str">
        <f t="shared" si="594"/>
        <v>Device</v>
      </c>
      <c r="L1438" t="str">
        <f t="shared" si="596"/>
        <v>777260187</v>
      </c>
      <c r="M1438" t="str">
        <f t="shared" si="597"/>
        <v>16758344</v>
      </c>
      <c r="N1438" t="str">
        <f t="shared" si="598"/>
        <v>5157-20</v>
      </c>
      <c r="O1438" t="str">
        <f t="shared" si="583"/>
        <v>TEXAS</v>
      </c>
      <c r="P1438" t="str">
        <f t="shared" si="584"/>
        <v>N A</v>
      </c>
      <c r="Q1438" t="str">
        <f t="shared" si="585"/>
        <v>N/A</v>
      </c>
      <c r="R1438" t="str">
        <f>"130 MGCRP 11 305"</f>
        <v>130 MGCRP 11 305</v>
      </c>
      <c r="S1438" t="str">
        <f>"12/18/2019 5:42:30 PM"</f>
        <v>12/18/2019 5:42:30 PM</v>
      </c>
      <c r="T1438" t="str">
        <f t="shared" si="599"/>
        <v>5</v>
      </c>
      <c r="U1438" t="str">
        <f t="shared" si="586"/>
        <v>N/A</v>
      </c>
      <c r="V1438" t="str">
        <f>"5.5500"</f>
        <v>5.5500</v>
      </c>
    </row>
    <row r="1439" spans="1:22" x14ac:dyDescent="0.25">
      <c r="A1439" s="1" t="str">
        <f t="shared" si="577"/>
        <v>5157-</v>
      </c>
      <c r="B1439" s="1" t="str">
        <f t="shared" si="587"/>
        <v>5157-</v>
      </c>
      <c r="C1439" s="1" t="s">
        <v>8909</v>
      </c>
      <c r="D1439" s="1" t="s">
        <v>8899</v>
      </c>
      <c r="E1439" s="1" t="s">
        <v>1738</v>
      </c>
      <c r="F1439" s="1" t="s">
        <v>22</v>
      </c>
      <c r="G1439" s="1" t="e">
        <f>VLOOKUP(C1439,'Master truck list'!E:R,14,0)</f>
        <v>#N/A</v>
      </c>
      <c r="H1439" t="str">
        <f t="shared" si="595"/>
        <v>12/19/2019 7:00:35 AM</v>
      </c>
      <c r="I1439" t="str">
        <f>""</f>
        <v/>
      </c>
      <c r="J1439" t="str">
        <f t="shared" si="582"/>
        <v>Elite</v>
      </c>
      <c r="K1439" t="str">
        <f t="shared" si="594"/>
        <v>Device</v>
      </c>
      <c r="L1439" t="str">
        <f t="shared" si="596"/>
        <v>777260187</v>
      </c>
      <c r="M1439" t="str">
        <f t="shared" si="597"/>
        <v>16758344</v>
      </c>
      <c r="N1439" t="str">
        <f t="shared" si="598"/>
        <v>5157-20</v>
      </c>
      <c r="O1439" t="str">
        <f t="shared" si="583"/>
        <v>TEXAS</v>
      </c>
      <c r="P1439" t="str">
        <f t="shared" si="584"/>
        <v>N A</v>
      </c>
      <c r="Q1439" t="str">
        <f t="shared" si="585"/>
        <v>N/A</v>
      </c>
      <c r="R1439" t="str">
        <f>"45SE MLPEB 02 611"</f>
        <v>45SE MLPEB 02 611</v>
      </c>
      <c r="S1439" t="str">
        <f>"12/18/2019 4:54:33 PM"</f>
        <v>12/18/2019 4:54:33 PM</v>
      </c>
      <c r="T1439" t="str">
        <f t="shared" si="599"/>
        <v>5</v>
      </c>
      <c r="U1439" t="str">
        <f t="shared" si="586"/>
        <v>N/A</v>
      </c>
      <c r="V1439" t="str">
        <f>"3.3000"</f>
        <v>3.3000</v>
      </c>
    </row>
    <row r="1440" spans="1:22" x14ac:dyDescent="0.25">
      <c r="A1440" s="1" t="str">
        <f t="shared" si="577"/>
        <v>5174-</v>
      </c>
      <c r="B1440" s="1" t="str">
        <f t="shared" si="587"/>
        <v>5174-</v>
      </c>
      <c r="C1440" s="1" t="s">
        <v>8929</v>
      </c>
      <c r="D1440" s="1" t="s">
        <v>8899</v>
      </c>
      <c r="E1440" s="1" t="s">
        <v>1738</v>
      </c>
      <c r="F1440" s="1" t="s">
        <v>22</v>
      </c>
      <c r="G1440" s="1" t="e">
        <f>VLOOKUP(C1440,'Master truck list'!E:R,14,0)</f>
        <v>#N/A</v>
      </c>
      <c r="H1440" t="str">
        <f t="shared" si="595"/>
        <v>12/19/2019 7:00:35 AM</v>
      </c>
      <c r="I1440" t="str">
        <f>""</f>
        <v/>
      </c>
      <c r="J1440" t="str">
        <f t="shared" si="582"/>
        <v>Elite</v>
      </c>
      <c r="K1440" t="str">
        <f t="shared" si="594"/>
        <v>Device</v>
      </c>
      <c r="L1440" t="str">
        <f t="shared" ref="L1440:L1459" si="600">"777260079"</f>
        <v>777260079</v>
      </c>
      <c r="M1440" t="str">
        <f t="shared" ref="M1440:M1459" si="601">"16758236"</f>
        <v>16758236</v>
      </c>
      <c r="N1440" t="str">
        <f t="shared" ref="N1440:N1459" si="602">"5174-20"</f>
        <v>5174-20</v>
      </c>
      <c r="O1440" t="str">
        <f t="shared" si="583"/>
        <v>TEXAS</v>
      </c>
      <c r="P1440" t="str">
        <f t="shared" si="584"/>
        <v>N A</v>
      </c>
      <c r="Q1440" t="str">
        <f t="shared" si="585"/>
        <v>N/A</v>
      </c>
      <c r="R1440" t="str">
        <f>"45N HWLDP 13 202"</f>
        <v>45N HWLDP 13 202</v>
      </c>
      <c r="S1440" t="str">
        <f>"12/18/2019 11:52:25 AM"</f>
        <v>12/18/2019 11:52:25 AM</v>
      </c>
      <c r="T1440" t="str">
        <f t="shared" si="599"/>
        <v>5</v>
      </c>
      <c r="U1440" t="str">
        <f t="shared" si="586"/>
        <v>N/A</v>
      </c>
      <c r="V1440" t="str">
        <f>"4.4800"</f>
        <v>4.4800</v>
      </c>
    </row>
    <row r="1441" spans="1:22" x14ac:dyDescent="0.25">
      <c r="A1441" s="1" t="str">
        <f t="shared" si="577"/>
        <v>5174-</v>
      </c>
      <c r="B1441" s="1" t="str">
        <f t="shared" si="587"/>
        <v>5174-</v>
      </c>
      <c r="C1441" s="1" t="s">
        <v>8929</v>
      </c>
      <c r="D1441" s="1" t="s">
        <v>8899</v>
      </c>
      <c r="E1441" s="1" t="s">
        <v>1738</v>
      </c>
      <c r="F1441" s="1" t="s">
        <v>22</v>
      </c>
      <c r="G1441" s="1" t="e">
        <f>VLOOKUP(C1441,'Master truck list'!E:R,14,0)</f>
        <v>#N/A</v>
      </c>
      <c r="H1441" t="str">
        <f t="shared" si="595"/>
        <v>12/19/2019 7:00:35 AM</v>
      </c>
      <c r="I1441" t="str">
        <f>""</f>
        <v/>
      </c>
      <c r="J1441" t="str">
        <f t="shared" si="582"/>
        <v>Elite</v>
      </c>
      <c r="K1441" t="str">
        <f t="shared" si="594"/>
        <v>Device</v>
      </c>
      <c r="L1441" t="str">
        <f t="shared" si="600"/>
        <v>777260079</v>
      </c>
      <c r="M1441" t="str">
        <f t="shared" si="601"/>
        <v>16758236</v>
      </c>
      <c r="N1441" t="str">
        <f t="shared" si="602"/>
        <v>5174-20</v>
      </c>
      <c r="O1441" t="str">
        <f t="shared" si="583"/>
        <v>TEXAS</v>
      </c>
      <c r="P1441" t="str">
        <f t="shared" si="584"/>
        <v>N A</v>
      </c>
      <c r="Q1441" t="str">
        <f t="shared" si="585"/>
        <v>N/A</v>
      </c>
      <c r="R1441" t="str">
        <f>"45SE MLPWB 01 611"</f>
        <v>45SE MLPWB 01 611</v>
      </c>
      <c r="S1441" t="str">
        <f>"12/18/2019 12:24:57 PM"</f>
        <v>12/18/2019 12:24:57 PM</v>
      </c>
      <c r="T1441" t="str">
        <f t="shared" si="599"/>
        <v>5</v>
      </c>
      <c r="U1441" t="str">
        <f t="shared" si="586"/>
        <v>N/A</v>
      </c>
      <c r="V1441" t="str">
        <f>"3.3000"</f>
        <v>3.3000</v>
      </c>
    </row>
    <row r="1442" spans="1:22" x14ac:dyDescent="0.25">
      <c r="A1442" s="1" t="str">
        <f t="shared" si="577"/>
        <v>5174-</v>
      </c>
      <c r="B1442" s="1" t="str">
        <f t="shared" si="587"/>
        <v>5174-</v>
      </c>
      <c r="C1442" s="1" t="s">
        <v>8929</v>
      </c>
      <c r="D1442" s="1" t="s">
        <v>8899</v>
      </c>
      <c r="E1442" s="1" t="s">
        <v>1738</v>
      </c>
      <c r="F1442" s="1" t="s">
        <v>22</v>
      </c>
      <c r="G1442" s="1" t="e">
        <f>VLOOKUP(C1442,'Master truck list'!E:R,14,0)</f>
        <v>#N/A</v>
      </c>
      <c r="H1442" t="str">
        <f t="shared" si="595"/>
        <v>12/19/2019 7:00:35 AM</v>
      </c>
      <c r="I1442" t="str">
        <f>""</f>
        <v/>
      </c>
      <c r="J1442" t="str">
        <f t="shared" si="582"/>
        <v>Elite</v>
      </c>
      <c r="K1442" t="str">
        <f t="shared" si="594"/>
        <v>Device</v>
      </c>
      <c r="L1442" t="str">
        <f t="shared" si="600"/>
        <v>777260079</v>
      </c>
      <c r="M1442" t="str">
        <f t="shared" si="601"/>
        <v>16758236</v>
      </c>
      <c r="N1442" t="str">
        <f t="shared" si="602"/>
        <v>5174-20</v>
      </c>
      <c r="O1442" t="str">
        <f t="shared" si="583"/>
        <v>TEXAS</v>
      </c>
      <c r="P1442" t="str">
        <f t="shared" si="584"/>
        <v>N A</v>
      </c>
      <c r="Q1442" t="str">
        <f t="shared" si="585"/>
        <v>N/A</v>
      </c>
      <c r="R1442" t="str">
        <f>"130 CMRNP 08 306"</f>
        <v>130 CMRNP 08 306</v>
      </c>
      <c r="S1442" t="str">
        <f>"12/18/2019 11:57:14 AM"</f>
        <v>12/18/2019 11:57:14 AM</v>
      </c>
      <c r="T1442" t="str">
        <f t="shared" si="599"/>
        <v>5</v>
      </c>
      <c r="U1442" t="str">
        <f t="shared" si="586"/>
        <v>N/A</v>
      </c>
      <c r="V1442" t="str">
        <f t="shared" ref="V1442:V1447" si="603">"5.5500"</f>
        <v>5.5500</v>
      </c>
    </row>
    <row r="1443" spans="1:22" x14ac:dyDescent="0.25">
      <c r="A1443" s="1" t="str">
        <f t="shared" si="577"/>
        <v>5174-</v>
      </c>
      <c r="B1443" s="1" t="str">
        <f t="shared" si="587"/>
        <v>5174-</v>
      </c>
      <c r="C1443" s="1" t="s">
        <v>8929</v>
      </c>
      <c r="D1443" s="1" t="s">
        <v>8899</v>
      </c>
      <c r="E1443" s="1" t="s">
        <v>1738</v>
      </c>
      <c r="F1443" s="1" t="s">
        <v>22</v>
      </c>
      <c r="G1443" s="1" t="e">
        <f>VLOOKUP(C1443,'Master truck list'!E:R,14,0)</f>
        <v>#N/A</v>
      </c>
      <c r="H1443" t="str">
        <f t="shared" si="595"/>
        <v>12/19/2019 7:00:35 AM</v>
      </c>
      <c r="I1443" t="str">
        <f>""</f>
        <v/>
      </c>
      <c r="J1443" t="str">
        <f t="shared" si="582"/>
        <v>Elite</v>
      </c>
      <c r="K1443" t="str">
        <f t="shared" si="594"/>
        <v>Device</v>
      </c>
      <c r="L1443" t="str">
        <f t="shared" si="600"/>
        <v>777260079</v>
      </c>
      <c r="M1443" t="str">
        <f t="shared" si="601"/>
        <v>16758236</v>
      </c>
      <c r="N1443" t="str">
        <f t="shared" si="602"/>
        <v>5174-20</v>
      </c>
      <c r="O1443" t="str">
        <f t="shared" si="583"/>
        <v>TEXAS</v>
      </c>
      <c r="P1443" t="str">
        <f t="shared" si="584"/>
        <v>N A</v>
      </c>
      <c r="Q1443" t="str">
        <f t="shared" si="585"/>
        <v>N/A</v>
      </c>
      <c r="R1443" t="str">
        <f>"130 ARPTP 04 308"</f>
        <v>130 ARPTP 04 308</v>
      </c>
      <c r="S1443" t="str">
        <f>"12/18/2019 12:14:17 PM"</f>
        <v>12/18/2019 12:14:17 PM</v>
      </c>
      <c r="T1443" t="str">
        <f t="shared" si="599"/>
        <v>5</v>
      </c>
      <c r="U1443" t="str">
        <f t="shared" si="586"/>
        <v>N/A</v>
      </c>
      <c r="V1443" t="str">
        <f t="shared" si="603"/>
        <v>5.5500</v>
      </c>
    </row>
    <row r="1444" spans="1:22" x14ac:dyDescent="0.25">
      <c r="A1444" s="1" t="str">
        <f t="shared" si="577"/>
        <v>5174-</v>
      </c>
      <c r="B1444" s="1" t="str">
        <f t="shared" si="587"/>
        <v>5174-</v>
      </c>
      <c r="C1444" s="1" t="s">
        <v>8929</v>
      </c>
      <c r="D1444" s="1" t="s">
        <v>8899</v>
      </c>
      <c r="E1444" s="1" t="s">
        <v>1738</v>
      </c>
      <c r="F1444" s="1" t="s">
        <v>22</v>
      </c>
      <c r="G1444" s="1" t="e">
        <f>VLOOKUP(C1444,'Master truck list'!E:R,14,0)</f>
        <v>#N/A</v>
      </c>
      <c r="H1444" t="str">
        <f>"12/18/2019 7:00:28 AM"</f>
        <v>12/18/2019 7:00:28 AM</v>
      </c>
      <c r="I1444" t="str">
        <f>""</f>
        <v/>
      </c>
      <c r="J1444" t="str">
        <f t="shared" si="582"/>
        <v>Elite</v>
      </c>
      <c r="K1444" t="str">
        <f t="shared" si="594"/>
        <v>Device</v>
      </c>
      <c r="L1444" t="str">
        <f t="shared" si="600"/>
        <v>777260079</v>
      </c>
      <c r="M1444" t="str">
        <f t="shared" si="601"/>
        <v>16758236</v>
      </c>
      <c r="N1444" t="str">
        <f t="shared" si="602"/>
        <v>5174-20</v>
      </c>
      <c r="O1444" t="str">
        <f t="shared" si="583"/>
        <v>TEXAS</v>
      </c>
      <c r="P1444" t="str">
        <f t="shared" si="584"/>
        <v>N A</v>
      </c>
      <c r="Q1444" t="str">
        <f t="shared" si="585"/>
        <v>N/A</v>
      </c>
      <c r="R1444" t="str">
        <f>"130 DKCRP 11 307"</f>
        <v>130 DKCRP 11 307</v>
      </c>
      <c r="S1444" t="str">
        <f>"12/17/2019 10:18:03 AM"</f>
        <v>12/17/2019 10:18:03 AM</v>
      </c>
      <c r="T1444" t="str">
        <f t="shared" si="599"/>
        <v>5</v>
      </c>
      <c r="U1444" t="str">
        <f t="shared" si="586"/>
        <v>N/A</v>
      </c>
      <c r="V1444" t="str">
        <f t="shared" si="603"/>
        <v>5.5500</v>
      </c>
    </row>
    <row r="1445" spans="1:22" x14ac:dyDescent="0.25">
      <c r="A1445" s="1" t="str">
        <f t="shared" si="577"/>
        <v>5174-</v>
      </c>
      <c r="B1445" s="1" t="str">
        <f t="shared" si="587"/>
        <v>5174-</v>
      </c>
      <c r="C1445" s="1" t="s">
        <v>8929</v>
      </c>
      <c r="D1445" s="1" t="s">
        <v>8899</v>
      </c>
      <c r="E1445" s="1" t="s">
        <v>1738</v>
      </c>
      <c r="F1445" s="1" t="s">
        <v>22</v>
      </c>
      <c r="G1445" s="1" t="e">
        <f>VLOOKUP(C1445,'Master truck list'!E:R,14,0)</f>
        <v>#N/A</v>
      </c>
      <c r="H1445" t="str">
        <f>"12/18/2019 7:00:28 AM"</f>
        <v>12/18/2019 7:00:28 AM</v>
      </c>
      <c r="I1445" t="str">
        <f>""</f>
        <v/>
      </c>
      <c r="J1445" t="str">
        <f t="shared" si="582"/>
        <v>Elite</v>
      </c>
      <c r="K1445" t="str">
        <f t="shared" si="594"/>
        <v>Device</v>
      </c>
      <c r="L1445" t="str">
        <f t="shared" si="600"/>
        <v>777260079</v>
      </c>
      <c r="M1445" t="str">
        <f t="shared" si="601"/>
        <v>16758236</v>
      </c>
      <c r="N1445" t="str">
        <f t="shared" si="602"/>
        <v>5174-20</v>
      </c>
      <c r="O1445" t="str">
        <f t="shared" si="583"/>
        <v>TEXAS</v>
      </c>
      <c r="P1445" t="str">
        <f t="shared" si="584"/>
        <v>N A</v>
      </c>
      <c r="Q1445" t="str">
        <f t="shared" si="585"/>
        <v>N/A</v>
      </c>
      <c r="R1445" t="str">
        <f>"130 ARPTP 09 308"</f>
        <v>130 ARPTP 09 308</v>
      </c>
      <c r="S1445" t="str">
        <f>"12/17/2019 10:10:56 AM"</f>
        <v>12/17/2019 10:10:56 AM</v>
      </c>
      <c r="T1445" t="str">
        <f t="shared" si="599"/>
        <v>5</v>
      </c>
      <c r="U1445" t="str">
        <f t="shared" si="586"/>
        <v>N/A</v>
      </c>
      <c r="V1445" t="str">
        <f t="shared" si="603"/>
        <v>5.5500</v>
      </c>
    </row>
    <row r="1446" spans="1:22" x14ac:dyDescent="0.25">
      <c r="A1446" s="1" t="str">
        <f t="shared" si="577"/>
        <v>5174-</v>
      </c>
      <c r="B1446" s="1" t="str">
        <f t="shared" si="587"/>
        <v>5174-</v>
      </c>
      <c r="C1446" s="1" t="s">
        <v>8929</v>
      </c>
      <c r="D1446" s="1" t="s">
        <v>8899</v>
      </c>
      <c r="E1446" s="1" t="s">
        <v>1738</v>
      </c>
      <c r="F1446" s="1" t="s">
        <v>22</v>
      </c>
      <c r="G1446" s="1" t="e">
        <f>VLOOKUP(C1446,'Master truck list'!E:R,14,0)</f>
        <v>#N/A</v>
      </c>
      <c r="H1446" t="str">
        <f>"12/18/2019 7:00:28 AM"</f>
        <v>12/18/2019 7:00:28 AM</v>
      </c>
      <c r="I1446" t="str">
        <f>""</f>
        <v/>
      </c>
      <c r="J1446" t="str">
        <f t="shared" si="582"/>
        <v>Elite</v>
      </c>
      <c r="K1446" t="str">
        <f t="shared" si="594"/>
        <v>Device</v>
      </c>
      <c r="L1446" t="str">
        <f t="shared" si="600"/>
        <v>777260079</v>
      </c>
      <c r="M1446" t="str">
        <f t="shared" si="601"/>
        <v>16758236</v>
      </c>
      <c r="N1446" t="str">
        <f t="shared" si="602"/>
        <v>5174-20</v>
      </c>
      <c r="O1446" t="str">
        <f t="shared" si="583"/>
        <v>TEXAS</v>
      </c>
      <c r="P1446" t="str">
        <f t="shared" si="584"/>
        <v>N A</v>
      </c>
      <c r="Q1446" t="str">
        <f t="shared" si="585"/>
        <v>N/A</v>
      </c>
      <c r="R1446" t="str">
        <f>"130 CMRNP 13 306"</f>
        <v>130 CMRNP 13 306</v>
      </c>
      <c r="S1446" t="str">
        <f>"12/17/2019 10:28:45 AM"</f>
        <v>12/17/2019 10:28:45 AM</v>
      </c>
      <c r="T1446" t="str">
        <f t="shared" si="599"/>
        <v>5</v>
      </c>
      <c r="U1446" t="str">
        <f t="shared" si="586"/>
        <v>N/A</v>
      </c>
      <c r="V1446" t="str">
        <f t="shared" si="603"/>
        <v>5.5500</v>
      </c>
    </row>
    <row r="1447" spans="1:22" x14ac:dyDescent="0.25">
      <c r="A1447" s="1" t="str">
        <f t="shared" si="577"/>
        <v>5174-</v>
      </c>
      <c r="B1447" s="1" t="str">
        <f t="shared" si="587"/>
        <v>5174-</v>
      </c>
      <c r="C1447" s="1" t="s">
        <v>8929</v>
      </c>
      <c r="D1447" s="1" t="s">
        <v>8899</v>
      </c>
      <c r="E1447" s="1" t="s">
        <v>1738</v>
      </c>
      <c r="F1447" s="1" t="s">
        <v>22</v>
      </c>
      <c r="G1447" s="1" t="e">
        <f>VLOOKUP(C1447,'Master truck list'!E:R,14,0)</f>
        <v>#N/A</v>
      </c>
      <c r="H1447" t="str">
        <f>"12/18/2019 7:00:28 AM"</f>
        <v>12/18/2019 7:00:28 AM</v>
      </c>
      <c r="I1447" t="str">
        <f>""</f>
        <v/>
      </c>
      <c r="J1447" t="str">
        <f t="shared" si="582"/>
        <v>Elite</v>
      </c>
      <c r="K1447" t="str">
        <f t="shared" si="594"/>
        <v>Device</v>
      </c>
      <c r="L1447" t="str">
        <f t="shared" si="600"/>
        <v>777260079</v>
      </c>
      <c r="M1447" t="str">
        <f t="shared" si="601"/>
        <v>16758236</v>
      </c>
      <c r="N1447" t="str">
        <f t="shared" si="602"/>
        <v>5174-20</v>
      </c>
      <c r="O1447" t="str">
        <f t="shared" si="583"/>
        <v>TEXAS</v>
      </c>
      <c r="P1447" t="str">
        <f t="shared" si="584"/>
        <v>N A</v>
      </c>
      <c r="Q1447" t="str">
        <f t="shared" si="585"/>
        <v>N/A</v>
      </c>
      <c r="R1447" t="str">
        <f>"130 MGCRP 10 305"</f>
        <v>130 MGCRP 10 305</v>
      </c>
      <c r="S1447" t="str">
        <f>"12/17/2019 10:40:01 AM"</f>
        <v>12/17/2019 10:40:01 AM</v>
      </c>
      <c r="T1447" t="str">
        <f t="shared" si="599"/>
        <v>5</v>
      </c>
      <c r="U1447" t="str">
        <f t="shared" si="586"/>
        <v>N/A</v>
      </c>
      <c r="V1447" t="str">
        <f t="shared" si="603"/>
        <v>5.5500</v>
      </c>
    </row>
    <row r="1448" spans="1:22" x14ac:dyDescent="0.25">
      <c r="A1448" s="1" t="str">
        <f t="shared" si="577"/>
        <v>5174-</v>
      </c>
      <c r="B1448" s="1" t="str">
        <f t="shared" si="587"/>
        <v>5174-</v>
      </c>
      <c r="C1448" s="1" t="s">
        <v>8929</v>
      </c>
      <c r="D1448" s="1" t="s">
        <v>8899</v>
      </c>
      <c r="E1448" s="1" t="s">
        <v>1738</v>
      </c>
      <c r="F1448" s="1" t="s">
        <v>22</v>
      </c>
      <c r="G1448" s="1" t="e">
        <f>VLOOKUP(C1448,'Master truck list'!E:R,14,0)</f>
        <v>#N/A</v>
      </c>
      <c r="H1448" t="str">
        <f>"12/18/2019 7:00:28 AM"</f>
        <v>12/18/2019 7:00:28 AM</v>
      </c>
      <c r="I1448" t="str">
        <f>""</f>
        <v/>
      </c>
      <c r="J1448" t="str">
        <f t="shared" si="582"/>
        <v>Elite</v>
      </c>
      <c r="K1448" t="str">
        <f t="shared" si="594"/>
        <v>Device</v>
      </c>
      <c r="L1448" t="str">
        <f t="shared" si="600"/>
        <v>777260079</v>
      </c>
      <c r="M1448" t="str">
        <f t="shared" si="601"/>
        <v>16758236</v>
      </c>
      <c r="N1448" t="str">
        <f t="shared" si="602"/>
        <v>5174-20</v>
      </c>
      <c r="O1448" t="str">
        <f t="shared" si="583"/>
        <v>TEXAS</v>
      </c>
      <c r="P1448" t="str">
        <f t="shared" si="584"/>
        <v>N A</v>
      </c>
      <c r="Q1448" t="str">
        <f t="shared" si="585"/>
        <v>N/A</v>
      </c>
      <c r="R1448" t="str">
        <f>"45SE MLPEB 02 611"</f>
        <v>45SE MLPEB 02 611</v>
      </c>
      <c r="S1448" t="str">
        <f>"12/17/2019 10:00:15 AM"</f>
        <v>12/17/2019 10:00:15 AM</v>
      </c>
      <c r="T1448" t="str">
        <f t="shared" si="599"/>
        <v>5</v>
      </c>
      <c r="U1448" t="str">
        <f t="shared" si="586"/>
        <v>N/A</v>
      </c>
      <c r="V1448" t="str">
        <f>"3.3000"</f>
        <v>3.3000</v>
      </c>
    </row>
    <row r="1449" spans="1:22" x14ac:dyDescent="0.25">
      <c r="A1449" s="1" t="str">
        <f t="shared" si="577"/>
        <v>5174-</v>
      </c>
      <c r="B1449" s="1" t="str">
        <f t="shared" si="587"/>
        <v>5174-</v>
      </c>
      <c r="C1449" s="1" t="s">
        <v>8929</v>
      </c>
      <c r="D1449" s="1" t="s">
        <v>8899</v>
      </c>
      <c r="E1449" s="1" t="s">
        <v>1738</v>
      </c>
      <c r="F1449" s="1" t="s">
        <v>22</v>
      </c>
      <c r="G1449" s="1" t="e">
        <f>VLOOKUP(C1449,'Master truck list'!E:R,14,0)</f>
        <v>#N/A</v>
      </c>
      <c r="H1449" t="str">
        <f>"12/20/2019 7:00:30 AM"</f>
        <v>12/20/2019 7:00:30 AM</v>
      </c>
      <c r="I1449" t="str">
        <f>""</f>
        <v/>
      </c>
      <c r="J1449" t="str">
        <f t="shared" si="582"/>
        <v>Elite</v>
      </c>
      <c r="K1449" t="str">
        <f t="shared" si="594"/>
        <v>Device</v>
      </c>
      <c r="L1449" t="str">
        <f t="shared" si="600"/>
        <v>777260079</v>
      </c>
      <c r="M1449" t="str">
        <f t="shared" si="601"/>
        <v>16758236</v>
      </c>
      <c r="N1449" t="str">
        <f t="shared" si="602"/>
        <v>5174-20</v>
      </c>
      <c r="O1449" t="str">
        <f t="shared" si="583"/>
        <v>TEXAS</v>
      </c>
      <c r="P1449" t="str">
        <f t="shared" si="584"/>
        <v>N A</v>
      </c>
      <c r="Q1449" t="str">
        <f t="shared" si="585"/>
        <v>N/A</v>
      </c>
      <c r="R1449" t="str">
        <f>"PGBW MLG12 09 MLG1"</f>
        <v>PGBW MLG12 09 MLG1</v>
      </c>
      <c r="S1449" t="str">
        <f>"12/19/2019 6:41:46 PM"</f>
        <v>12/19/2019 6:41:46 PM</v>
      </c>
      <c r="T1449" t="str">
        <f t="shared" si="599"/>
        <v>5</v>
      </c>
      <c r="U1449" t="str">
        <f t="shared" si="586"/>
        <v>N/A</v>
      </c>
      <c r="V1449" t="str">
        <f>"4.6400"</f>
        <v>4.6400</v>
      </c>
    </row>
    <row r="1450" spans="1:22" x14ac:dyDescent="0.25">
      <c r="A1450" s="1" t="str">
        <f t="shared" si="577"/>
        <v>5174-</v>
      </c>
      <c r="B1450" s="1" t="str">
        <f t="shared" si="587"/>
        <v>5174-</v>
      </c>
      <c r="C1450" s="1" t="s">
        <v>8929</v>
      </c>
      <c r="D1450" s="1" t="s">
        <v>8899</v>
      </c>
      <c r="E1450" s="1" t="s">
        <v>1738</v>
      </c>
      <c r="F1450" s="1" t="s">
        <v>22</v>
      </c>
      <c r="G1450" s="1" t="e">
        <f>VLOOKUP(C1450,'Master truck list'!E:R,14,0)</f>
        <v>#N/A</v>
      </c>
      <c r="H1450" t="str">
        <f>"12/19/2019 7:00:35 AM"</f>
        <v>12/19/2019 7:00:35 AM</v>
      </c>
      <c r="I1450" t="str">
        <f>""</f>
        <v/>
      </c>
      <c r="J1450" t="str">
        <f t="shared" si="582"/>
        <v>Elite</v>
      </c>
      <c r="K1450" t="str">
        <f t="shared" si="594"/>
        <v>Device</v>
      </c>
      <c r="L1450" t="str">
        <f t="shared" si="600"/>
        <v>777260079</v>
      </c>
      <c r="M1450" t="str">
        <f t="shared" si="601"/>
        <v>16758236</v>
      </c>
      <c r="N1450" t="str">
        <f t="shared" si="602"/>
        <v>5174-20</v>
      </c>
      <c r="O1450" t="str">
        <f t="shared" si="583"/>
        <v>TEXAS</v>
      </c>
      <c r="P1450" t="str">
        <f t="shared" si="584"/>
        <v>N A</v>
      </c>
      <c r="Q1450" t="str">
        <f t="shared" si="585"/>
        <v>N/A</v>
      </c>
      <c r="R1450" t="str">
        <f>"130 DKCRP 06 307"</f>
        <v>130 DKCRP 06 307</v>
      </c>
      <c r="S1450" t="str">
        <f>"12/18/2019 12:07:20 PM"</f>
        <v>12/18/2019 12:07:20 PM</v>
      </c>
      <c r="T1450" t="str">
        <f t="shared" si="599"/>
        <v>5</v>
      </c>
      <c r="U1450" t="str">
        <f t="shared" si="586"/>
        <v>N/A</v>
      </c>
      <c r="V1450" t="str">
        <f>"5.5500"</f>
        <v>5.5500</v>
      </c>
    </row>
    <row r="1451" spans="1:22" x14ac:dyDescent="0.25">
      <c r="A1451" s="1" t="str">
        <f t="shared" si="577"/>
        <v>5174-</v>
      </c>
      <c r="B1451" s="1" t="str">
        <f t="shared" si="587"/>
        <v>5174-</v>
      </c>
      <c r="C1451" s="1" t="s">
        <v>8929</v>
      </c>
      <c r="D1451" s="1" t="s">
        <v>8899</v>
      </c>
      <c r="E1451" s="1" t="s">
        <v>1738</v>
      </c>
      <c r="F1451" s="1" t="s">
        <v>22</v>
      </c>
      <c r="G1451" s="1" t="e">
        <f>VLOOKUP(C1451,'Master truck list'!E:R,14,0)</f>
        <v>#N/A</v>
      </c>
      <c r="H1451" t="str">
        <f>"12/20/2019 7:00:30 AM"</f>
        <v>12/20/2019 7:00:30 AM</v>
      </c>
      <c r="I1451" t="str">
        <f>""</f>
        <v/>
      </c>
      <c r="J1451" t="str">
        <f t="shared" si="582"/>
        <v>Elite</v>
      </c>
      <c r="K1451" t="str">
        <f t="shared" si="594"/>
        <v>Device</v>
      </c>
      <c r="L1451" t="str">
        <f t="shared" si="600"/>
        <v>777260079</v>
      </c>
      <c r="M1451" t="str">
        <f t="shared" si="601"/>
        <v>16758236</v>
      </c>
      <c r="N1451" t="str">
        <f t="shared" si="602"/>
        <v>5174-20</v>
      </c>
      <c r="O1451" t="str">
        <f t="shared" si="583"/>
        <v>TEXAS</v>
      </c>
      <c r="P1451" t="str">
        <f t="shared" si="584"/>
        <v>N A</v>
      </c>
      <c r="Q1451" t="str">
        <f t="shared" si="585"/>
        <v>N/A</v>
      </c>
      <c r="R1451" t="str">
        <f>"130 CMRNP 13 306"</f>
        <v>130 CMRNP 13 306</v>
      </c>
      <c r="S1451" t="str">
        <f>"12/19/2019 3:39:44 PM"</f>
        <v>12/19/2019 3:39:44 PM</v>
      </c>
      <c r="T1451" t="str">
        <f t="shared" si="599"/>
        <v>5</v>
      </c>
      <c r="U1451" t="str">
        <f t="shared" si="586"/>
        <v>N/A</v>
      </c>
      <c r="V1451" t="str">
        <f>"5.5500"</f>
        <v>5.5500</v>
      </c>
    </row>
    <row r="1452" spans="1:22" x14ac:dyDescent="0.25">
      <c r="A1452" s="1" t="str">
        <f t="shared" si="577"/>
        <v>5174-</v>
      </c>
      <c r="B1452" s="1" t="str">
        <f t="shared" si="587"/>
        <v>5174-</v>
      </c>
      <c r="C1452" s="1" t="s">
        <v>8929</v>
      </c>
      <c r="D1452" s="1" t="s">
        <v>8899</v>
      </c>
      <c r="E1452" s="1" t="s">
        <v>1738</v>
      </c>
      <c r="F1452" s="1" t="s">
        <v>22</v>
      </c>
      <c r="G1452" s="1" t="e">
        <f>VLOOKUP(C1452,'Master truck list'!E:R,14,0)</f>
        <v>#N/A</v>
      </c>
      <c r="H1452" t="str">
        <f>"12/20/2019 7:00:30 AM"</f>
        <v>12/20/2019 7:00:30 AM</v>
      </c>
      <c r="I1452" t="str">
        <f>""</f>
        <v/>
      </c>
      <c r="J1452" t="str">
        <f t="shared" si="582"/>
        <v>Elite</v>
      </c>
      <c r="K1452" t="str">
        <f t="shared" si="594"/>
        <v>Device</v>
      </c>
      <c r="L1452" t="str">
        <f t="shared" si="600"/>
        <v>777260079</v>
      </c>
      <c r="M1452" t="str">
        <f t="shared" si="601"/>
        <v>16758236</v>
      </c>
      <c r="N1452" t="str">
        <f t="shared" si="602"/>
        <v>5174-20</v>
      </c>
      <c r="O1452" t="str">
        <f t="shared" si="583"/>
        <v>TEXAS</v>
      </c>
      <c r="P1452" t="str">
        <f t="shared" si="584"/>
        <v>N A</v>
      </c>
      <c r="Q1452" t="str">
        <f t="shared" si="585"/>
        <v>N/A</v>
      </c>
      <c r="R1452" t="str">
        <f>"130 ARPTP 09 308"</f>
        <v>130 ARPTP 09 308</v>
      </c>
      <c r="S1452" t="str">
        <f>"12/19/2019 3:08:08 PM"</f>
        <v>12/19/2019 3:08:08 PM</v>
      </c>
      <c r="T1452" t="str">
        <f t="shared" si="599"/>
        <v>5</v>
      </c>
      <c r="U1452" t="str">
        <f t="shared" si="586"/>
        <v>N/A</v>
      </c>
      <c r="V1452" t="str">
        <f>"5.5500"</f>
        <v>5.5500</v>
      </c>
    </row>
    <row r="1453" spans="1:22" x14ac:dyDescent="0.25">
      <c r="A1453" s="1" t="str">
        <f t="shared" si="577"/>
        <v>5174-</v>
      </c>
      <c r="B1453" s="1" t="str">
        <f t="shared" si="587"/>
        <v>5174-</v>
      </c>
      <c r="C1453" s="1" t="s">
        <v>8929</v>
      </c>
      <c r="D1453" s="1" t="s">
        <v>8899</v>
      </c>
      <c r="E1453" s="1" t="s">
        <v>1738</v>
      </c>
      <c r="F1453" s="1" t="s">
        <v>22</v>
      </c>
      <c r="G1453" s="1" t="e">
        <f>VLOOKUP(C1453,'Master truck list'!E:R,14,0)</f>
        <v>#N/A</v>
      </c>
      <c r="H1453" t="str">
        <f>"12/20/2019 7:00:30 AM"</f>
        <v>12/20/2019 7:00:30 AM</v>
      </c>
      <c r="I1453" t="str">
        <f>""</f>
        <v/>
      </c>
      <c r="J1453" t="str">
        <f t="shared" si="582"/>
        <v>Elite</v>
      </c>
      <c r="K1453" t="str">
        <f t="shared" si="594"/>
        <v>Device</v>
      </c>
      <c r="L1453" t="str">
        <f t="shared" si="600"/>
        <v>777260079</v>
      </c>
      <c r="M1453" t="str">
        <f t="shared" si="601"/>
        <v>16758236</v>
      </c>
      <c r="N1453" t="str">
        <f t="shared" si="602"/>
        <v>5174-20</v>
      </c>
      <c r="O1453" t="str">
        <f t="shared" si="583"/>
        <v>TEXAS</v>
      </c>
      <c r="P1453" t="str">
        <f t="shared" si="584"/>
        <v>N A</v>
      </c>
      <c r="Q1453" t="str">
        <f t="shared" si="585"/>
        <v>N/A</v>
      </c>
      <c r="R1453" t="str">
        <f>"130 MGCRP 11 305"</f>
        <v>130 MGCRP 11 305</v>
      </c>
      <c r="S1453" t="str">
        <f>"12/19/2019 3:50:45 PM"</f>
        <v>12/19/2019 3:50:45 PM</v>
      </c>
      <c r="T1453" t="str">
        <f t="shared" si="599"/>
        <v>5</v>
      </c>
      <c r="U1453" t="str">
        <f t="shared" si="586"/>
        <v>N/A</v>
      </c>
      <c r="V1453" t="str">
        <f>"5.5500"</f>
        <v>5.5500</v>
      </c>
    </row>
    <row r="1454" spans="1:22" x14ac:dyDescent="0.25">
      <c r="A1454" s="1" t="str">
        <f t="shared" ref="A1454:A1517" si="604">LEFT(N1454,5)</f>
        <v>5174-</v>
      </c>
      <c r="B1454" s="1" t="str">
        <f t="shared" si="587"/>
        <v>5174-</v>
      </c>
      <c r="C1454" s="1" t="s">
        <v>8929</v>
      </c>
      <c r="D1454" s="1" t="s">
        <v>8899</v>
      </c>
      <c r="E1454" s="1" t="s">
        <v>1738</v>
      </c>
      <c r="F1454" s="1" t="s">
        <v>22</v>
      </c>
      <c r="G1454" s="1" t="e">
        <f>VLOOKUP(C1454,'Master truck list'!E:R,14,0)</f>
        <v>#N/A</v>
      </c>
      <c r="H1454" t="str">
        <f>"12/20/2019 7:00:30 AM"</f>
        <v>12/20/2019 7:00:30 AM</v>
      </c>
      <c r="I1454" t="str">
        <f>""</f>
        <v/>
      </c>
      <c r="J1454" t="str">
        <f t="shared" si="582"/>
        <v>Elite</v>
      </c>
      <c r="K1454" t="str">
        <f t="shared" si="594"/>
        <v>Device</v>
      </c>
      <c r="L1454" t="str">
        <f t="shared" si="600"/>
        <v>777260079</v>
      </c>
      <c r="M1454" t="str">
        <f t="shared" si="601"/>
        <v>16758236</v>
      </c>
      <c r="N1454" t="str">
        <f t="shared" si="602"/>
        <v>5174-20</v>
      </c>
      <c r="O1454" t="str">
        <f t="shared" si="583"/>
        <v>TEXAS</v>
      </c>
      <c r="P1454" t="str">
        <f t="shared" si="584"/>
        <v>N A</v>
      </c>
      <c r="Q1454" t="str">
        <f t="shared" si="585"/>
        <v>N/A</v>
      </c>
      <c r="R1454" t="str">
        <f>"45SE MLPEB 02 611"</f>
        <v>45SE MLPEB 02 611</v>
      </c>
      <c r="S1454" t="str">
        <f>"12/19/2019 2:57:33 PM"</f>
        <v>12/19/2019 2:57:33 PM</v>
      </c>
      <c r="T1454" t="str">
        <f t="shared" si="599"/>
        <v>5</v>
      </c>
      <c r="U1454" t="str">
        <f t="shared" si="586"/>
        <v>N/A</v>
      </c>
      <c r="V1454" t="str">
        <f>"3.3000"</f>
        <v>3.3000</v>
      </c>
    </row>
    <row r="1455" spans="1:22" x14ac:dyDescent="0.25">
      <c r="A1455" s="1" t="str">
        <f t="shared" si="604"/>
        <v>5174-</v>
      </c>
      <c r="B1455" s="1" t="str">
        <f t="shared" si="587"/>
        <v>5174-</v>
      </c>
      <c r="C1455" s="1" t="s">
        <v>8929</v>
      </c>
      <c r="D1455" s="1" t="s">
        <v>8899</v>
      </c>
      <c r="E1455" s="1" t="s">
        <v>1738</v>
      </c>
      <c r="F1455" s="1" t="s">
        <v>22</v>
      </c>
      <c r="G1455" s="1" t="e">
        <f>VLOOKUP(C1455,'Master truck list'!E:R,14,0)</f>
        <v>#N/A</v>
      </c>
      <c r="H1455" t="str">
        <f>"12/21/2019 7:00:28 AM"</f>
        <v>12/21/2019 7:00:28 AM</v>
      </c>
      <c r="I1455" t="str">
        <f>""</f>
        <v/>
      </c>
      <c r="J1455" t="str">
        <f t="shared" si="582"/>
        <v>Elite</v>
      </c>
      <c r="K1455" t="str">
        <f t="shared" si="594"/>
        <v>Device</v>
      </c>
      <c r="L1455" t="str">
        <f t="shared" si="600"/>
        <v>777260079</v>
      </c>
      <c r="M1455" t="str">
        <f t="shared" si="601"/>
        <v>16758236</v>
      </c>
      <c r="N1455" t="str">
        <f t="shared" si="602"/>
        <v>5174-20</v>
      </c>
      <c r="O1455" t="str">
        <f t="shared" si="583"/>
        <v>TEXAS</v>
      </c>
      <c r="P1455" t="str">
        <f t="shared" si="584"/>
        <v>N A</v>
      </c>
      <c r="Q1455" t="str">
        <f t="shared" si="585"/>
        <v>N/A</v>
      </c>
      <c r="R1455" t="str">
        <f>"PGBW MLG12 02 MLG1"</f>
        <v>PGBW MLG12 02 MLG1</v>
      </c>
      <c r="S1455" t="str">
        <f>"12/19/2019 11:26:43 PM"</f>
        <v>12/19/2019 11:26:43 PM</v>
      </c>
      <c r="T1455" t="str">
        <f t="shared" si="599"/>
        <v>5</v>
      </c>
      <c r="U1455" t="str">
        <f t="shared" si="586"/>
        <v>N/A</v>
      </c>
      <c r="V1455" t="str">
        <f>"4.6400"</f>
        <v>4.6400</v>
      </c>
    </row>
    <row r="1456" spans="1:22" x14ac:dyDescent="0.25">
      <c r="A1456" s="1" t="str">
        <f t="shared" si="604"/>
        <v>5174-</v>
      </c>
      <c r="B1456" s="1" t="str">
        <f t="shared" si="587"/>
        <v>5174-</v>
      </c>
      <c r="C1456" s="1" t="s">
        <v>8929</v>
      </c>
      <c r="D1456" s="1" t="s">
        <v>8899</v>
      </c>
      <c r="E1456" s="1" t="s">
        <v>1738</v>
      </c>
      <c r="F1456" s="1" t="s">
        <v>22</v>
      </c>
      <c r="G1456" s="1" t="e">
        <f>VLOOKUP(C1456,'Master truck list'!E:R,14,0)</f>
        <v>#N/A</v>
      </c>
      <c r="H1456" t="str">
        <f>"12/21/2019 7:00:28 AM"</f>
        <v>12/21/2019 7:00:28 AM</v>
      </c>
      <c r="I1456" t="str">
        <f>""</f>
        <v/>
      </c>
      <c r="J1456" t="str">
        <f t="shared" si="582"/>
        <v>Elite</v>
      </c>
      <c r="K1456" t="str">
        <f t="shared" si="594"/>
        <v>Device</v>
      </c>
      <c r="L1456" t="str">
        <f t="shared" si="600"/>
        <v>777260079</v>
      </c>
      <c r="M1456" t="str">
        <f t="shared" si="601"/>
        <v>16758236</v>
      </c>
      <c r="N1456" t="str">
        <f t="shared" si="602"/>
        <v>5174-20</v>
      </c>
      <c r="O1456" t="str">
        <f t="shared" si="583"/>
        <v>TEXAS</v>
      </c>
      <c r="P1456" t="str">
        <f t="shared" si="584"/>
        <v>N A</v>
      </c>
      <c r="Q1456" t="str">
        <f t="shared" si="585"/>
        <v>N/A</v>
      </c>
      <c r="R1456" t="str">
        <f>"130 ARPTP 04 308"</f>
        <v>130 ARPTP 04 308</v>
      </c>
      <c r="S1456" t="str">
        <f>"12/20/2019 12:37:08 PM"</f>
        <v>12/20/2019 12:37:08 PM</v>
      </c>
      <c r="T1456" t="str">
        <f t="shared" si="599"/>
        <v>5</v>
      </c>
      <c r="U1456" t="str">
        <f t="shared" si="586"/>
        <v>N/A</v>
      </c>
      <c r="V1456" t="str">
        <f>"5.5500"</f>
        <v>5.5500</v>
      </c>
    </row>
    <row r="1457" spans="1:22" x14ac:dyDescent="0.25">
      <c r="A1457" s="1" t="str">
        <f t="shared" si="604"/>
        <v>5174-</v>
      </c>
      <c r="B1457" s="1" t="str">
        <f t="shared" si="587"/>
        <v>5174-</v>
      </c>
      <c r="C1457" s="1" t="s">
        <v>8929</v>
      </c>
      <c r="D1457" s="1" t="s">
        <v>8899</v>
      </c>
      <c r="E1457" s="1" t="s">
        <v>1738</v>
      </c>
      <c r="F1457" s="1" t="s">
        <v>22</v>
      </c>
      <c r="G1457" s="1" t="e">
        <f>VLOOKUP(C1457,'Master truck list'!E:R,14,0)</f>
        <v>#N/A</v>
      </c>
      <c r="H1457" t="str">
        <f>"12/20/2019 7:00:30 AM"</f>
        <v>12/20/2019 7:00:30 AM</v>
      </c>
      <c r="I1457" t="str">
        <f>""</f>
        <v/>
      </c>
      <c r="J1457" t="str">
        <f t="shared" si="582"/>
        <v>Elite</v>
      </c>
      <c r="K1457" t="str">
        <f t="shared" si="594"/>
        <v>Device</v>
      </c>
      <c r="L1457" t="str">
        <f t="shared" si="600"/>
        <v>777260079</v>
      </c>
      <c r="M1457" t="str">
        <f t="shared" si="601"/>
        <v>16758236</v>
      </c>
      <c r="N1457" t="str">
        <f t="shared" si="602"/>
        <v>5174-20</v>
      </c>
      <c r="O1457" t="str">
        <f t="shared" si="583"/>
        <v>TEXAS</v>
      </c>
      <c r="P1457" t="str">
        <f t="shared" si="584"/>
        <v>N A</v>
      </c>
      <c r="Q1457" t="str">
        <f t="shared" si="585"/>
        <v>N/A</v>
      </c>
      <c r="R1457" t="str">
        <f>"130 DKCRP 11 307"</f>
        <v>130 DKCRP 11 307</v>
      </c>
      <c r="S1457" t="str">
        <f>"12/19/2019 3:15:05 PM"</f>
        <v>12/19/2019 3:15:05 PM</v>
      </c>
      <c r="T1457" t="str">
        <f t="shared" si="599"/>
        <v>5</v>
      </c>
      <c r="U1457" t="str">
        <f t="shared" si="586"/>
        <v>N/A</v>
      </c>
      <c r="V1457" t="str">
        <f>"5.5500"</f>
        <v>5.5500</v>
      </c>
    </row>
    <row r="1458" spans="1:22" x14ac:dyDescent="0.25">
      <c r="A1458" s="1" t="str">
        <f t="shared" si="604"/>
        <v>5174-</v>
      </c>
      <c r="B1458" s="1" t="str">
        <f t="shared" si="587"/>
        <v>5174-</v>
      </c>
      <c r="C1458" s="1" t="s">
        <v>8929</v>
      </c>
      <c r="D1458" s="1" t="s">
        <v>8899</v>
      </c>
      <c r="E1458" s="1" t="s">
        <v>1738</v>
      </c>
      <c r="F1458" s="1" t="s">
        <v>22</v>
      </c>
      <c r="G1458" s="1" t="e">
        <f>VLOOKUP(C1458,'Master truck list'!E:R,14,0)</f>
        <v>#N/A</v>
      </c>
      <c r="H1458" t="str">
        <f>"12/21/2019 7:00:28 AM"</f>
        <v>12/21/2019 7:00:28 AM</v>
      </c>
      <c r="I1458" t="str">
        <f>""</f>
        <v/>
      </c>
      <c r="J1458" t="str">
        <f t="shared" si="582"/>
        <v>Elite</v>
      </c>
      <c r="K1458" t="str">
        <f t="shared" si="594"/>
        <v>Device</v>
      </c>
      <c r="L1458" t="str">
        <f t="shared" si="600"/>
        <v>777260079</v>
      </c>
      <c r="M1458" t="str">
        <f t="shared" si="601"/>
        <v>16758236</v>
      </c>
      <c r="N1458" t="str">
        <f t="shared" si="602"/>
        <v>5174-20</v>
      </c>
      <c r="O1458" t="str">
        <f t="shared" si="583"/>
        <v>TEXAS</v>
      </c>
      <c r="P1458" t="str">
        <f t="shared" si="584"/>
        <v>N A</v>
      </c>
      <c r="Q1458" t="str">
        <f t="shared" si="585"/>
        <v>N/A</v>
      </c>
      <c r="R1458" t="str">
        <f>"130 DKCRP 06 307"</f>
        <v>130 DKCRP 06 307</v>
      </c>
      <c r="S1458" t="str">
        <f>"12/20/2019 12:30:09 PM"</f>
        <v>12/20/2019 12:30:09 PM</v>
      </c>
      <c r="T1458" t="str">
        <f t="shared" si="599"/>
        <v>5</v>
      </c>
      <c r="U1458" t="str">
        <f t="shared" si="586"/>
        <v>N/A</v>
      </c>
      <c r="V1458" t="str">
        <f>"5.5500"</f>
        <v>5.5500</v>
      </c>
    </row>
    <row r="1459" spans="1:22" x14ac:dyDescent="0.25">
      <c r="A1459" s="1" t="str">
        <f t="shared" si="604"/>
        <v>5174-</v>
      </c>
      <c r="B1459" s="1" t="str">
        <f t="shared" si="587"/>
        <v>5174-</v>
      </c>
      <c r="C1459" s="1" t="s">
        <v>8929</v>
      </c>
      <c r="D1459" s="1" t="s">
        <v>8899</v>
      </c>
      <c r="E1459" s="1" t="s">
        <v>1738</v>
      </c>
      <c r="F1459" s="1" t="s">
        <v>22</v>
      </c>
      <c r="G1459" s="1" t="e">
        <f>VLOOKUP(C1459,'Master truck list'!E:R,14,0)</f>
        <v>#N/A</v>
      </c>
      <c r="H1459" t="str">
        <f>"12/21/2019 7:00:28 AM"</f>
        <v>12/21/2019 7:00:28 AM</v>
      </c>
      <c r="I1459" t="str">
        <f>""</f>
        <v/>
      </c>
      <c r="J1459" t="str">
        <f t="shared" si="582"/>
        <v>Elite</v>
      </c>
      <c r="K1459" t="str">
        <f t="shared" si="594"/>
        <v>Device</v>
      </c>
      <c r="L1459" t="str">
        <f t="shared" si="600"/>
        <v>777260079</v>
      </c>
      <c r="M1459" t="str">
        <f t="shared" si="601"/>
        <v>16758236</v>
      </c>
      <c r="N1459" t="str">
        <f t="shared" si="602"/>
        <v>5174-20</v>
      </c>
      <c r="O1459" t="str">
        <f t="shared" si="583"/>
        <v>TEXAS</v>
      </c>
      <c r="P1459" t="str">
        <f t="shared" si="584"/>
        <v>N A</v>
      </c>
      <c r="Q1459" t="str">
        <f t="shared" si="585"/>
        <v>N/A</v>
      </c>
      <c r="R1459" t="str">
        <f>"130 CMRNP 08 306"</f>
        <v>130 CMRNP 08 306</v>
      </c>
      <c r="S1459" t="str">
        <f>"12/20/2019 12:19:51 PM"</f>
        <v>12/20/2019 12:19:51 PM</v>
      </c>
      <c r="T1459" t="str">
        <f t="shared" si="599"/>
        <v>5</v>
      </c>
      <c r="U1459" t="str">
        <f t="shared" si="586"/>
        <v>N/A</v>
      </c>
      <c r="V1459" t="str">
        <f>"5.5500"</f>
        <v>5.5500</v>
      </c>
    </row>
    <row r="1460" spans="1:22" x14ac:dyDescent="0.25">
      <c r="A1460" s="1" t="str">
        <f t="shared" si="604"/>
        <v>2375-</v>
      </c>
      <c r="B1460" s="1" t="str">
        <f t="shared" si="587"/>
        <v>2375-</v>
      </c>
      <c r="C1460" s="1" t="s">
        <v>8930</v>
      </c>
      <c r="D1460" s="1" t="s">
        <v>8899</v>
      </c>
      <c r="E1460" s="1" t="s">
        <v>1738</v>
      </c>
      <c r="F1460" s="1" t="s">
        <v>22</v>
      </c>
      <c r="G1460" s="1" t="e">
        <f>VLOOKUP(C1460,'Master truck list'!E:R,14,0)</f>
        <v>#N/A</v>
      </c>
      <c r="H1460" t="str">
        <f>"12/20/2019 7:00:30 AM"</f>
        <v>12/20/2019 7:00:30 AM</v>
      </c>
      <c r="I1460" t="str">
        <f>""</f>
        <v/>
      </c>
      <c r="J1460" t="str">
        <f t="shared" si="582"/>
        <v>Elite</v>
      </c>
      <c r="K1460" t="str">
        <f t="shared" si="594"/>
        <v>Device</v>
      </c>
      <c r="L1460" t="str">
        <f>"777252063"</f>
        <v>777252063</v>
      </c>
      <c r="M1460" t="str">
        <f>"16719945"</f>
        <v>16719945</v>
      </c>
      <c r="N1460" t="str">
        <f>"2375-19A"</f>
        <v>2375-19A</v>
      </c>
      <c r="O1460" t="str">
        <f t="shared" si="583"/>
        <v>TEXAS</v>
      </c>
      <c r="P1460" t="str">
        <f t="shared" si="584"/>
        <v>N A</v>
      </c>
      <c r="Q1460" t="str">
        <f t="shared" si="585"/>
        <v>N/A</v>
      </c>
      <c r="R1460" t="str">
        <f>"SH550 DC N02 DC"</f>
        <v>SH550 DC N02 DC</v>
      </c>
      <c r="S1460" t="str">
        <f>"12/18/2019 7:11:55 PM"</f>
        <v>12/18/2019 7:11:55 PM</v>
      </c>
      <c r="T1460" t="str">
        <f t="shared" si="599"/>
        <v>5</v>
      </c>
      <c r="U1460" t="str">
        <f t="shared" si="586"/>
        <v>N/A</v>
      </c>
      <c r="V1460" t="str">
        <f>"2.0000"</f>
        <v>2.0000</v>
      </c>
    </row>
    <row r="1461" spans="1:22" x14ac:dyDescent="0.25">
      <c r="A1461" s="1" t="str">
        <f t="shared" si="604"/>
        <v>2375-</v>
      </c>
      <c r="B1461" s="1" t="str">
        <f t="shared" si="587"/>
        <v>2375-</v>
      </c>
      <c r="C1461" s="1" t="s">
        <v>8930</v>
      </c>
      <c r="D1461" s="1" t="s">
        <v>8899</v>
      </c>
      <c r="E1461" s="1" t="s">
        <v>1738</v>
      </c>
      <c r="F1461" s="1" t="s">
        <v>22</v>
      </c>
      <c r="G1461" s="1" t="e">
        <f>VLOOKUP(C1461,'Master truck list'!E:R,14,0)</f>
        <v>#N/A</v>
      </c>
      <c r="H1461" t="str">
        <f>"12/20/2019 7:00:30 AM"</f>
        <v>12/20/2019 7:00:30 AM</v>
      </c>
      <c r="I1461" t="str">
        <f>""</f>
        <v/>
      </c>
      <c r="J1461" t="str">
        <f t="shared" si="582"/>
        <v>Elite</v>
      </c>
      <c r="K1461" t="str">
        <f t="shared" si="594"/>
        <v>Device</v>
      </c>
      <c r="L1461" t="str">
        <f>"777252063"</f>
        <v>777252063</v>
      </c>
      <c r="M1461" t="str">
        <f>"16719945"</f>
        <v>16719945</v>
      </c>
      <c r="N1461" t="str">
        <f>"2375-19A"</f>
        <v>2375-19A</v>
      </c>
      <c r="O1461" t="str">
        <f t="shared" si="583"/>
        <v>TEXAS</v>
      </c>
      <c r="P1461" t="str">
        <f t="shared" si="584"/>
        <v>N A</v>
      </c>
      <c r="Q1461" t="str">
        <f t="shared" si="585"/>
        <v>N/A</v>
      </c>
      <c r="R1461" t="str">
        <f>"SH550 FM1847 02 FM18"</f>
        <v>SH550 FM1847 02 FM18</v>
      </c>
      <c r="S1461" t="str">
        <f>"12/18/2019 7:09:41 PM"</f>
        <v>12/18/2019 7:09:41 PM</v>
      </c>
      <c r="T1461" t="str">
        <f t="shared" si="599"/>
        <v>5</v>
      </c>
      <c r="U1461" t="str">
        <f t="shared" si="586"/>
        <v>N/A</v>
      </c>
      <c r="V1461" t="str">
        <f>"2.0000"</f>
        <v>2.0000</v>
      </c>
    </row>
    <row r="1462" spans="1:22" x14ac:dyDescent="0.25">
      <c r="A1462" s="1" t="str">
        <f t="shared" si="604"/>
        <v>2375-</v>
      </c>
      <c r="B1462" s="1" t="str">
        <f t="shared" si="587"/>
        <v>2375-</v>
      </c>
      <c r="C1462" s="1" t="s">
        <v>8930</v>
      </c>
      <c r="D1462" s="1" t="s">
        <v>8899</v>
      </c>
      <c r="E1462" s="1" t="s">
        <v>1738</v>
      </c>
      <c r="F1462" s="1" t="s">
        <v>22</v>
      </c>
      <c r="G1462" s="1" t="e">
        <f>VLOOKUP(C1462,'Master truck list'!E:R,14,0)</f>
        <v>#N/A</v>
      </c>
      <c r="H1462" t="str">
        <f>"12/20/2019 7:00:30 AM"</f>
        <v>12/20/2019 7:00:30 AM</v>
      </c>
      <c r="I1462" t="str">
        <f>""</f>
        <v/>
      </c>
      <c r="J1462" t="str">
        <f t="shared" si="582"/>
        <v>Elite</v>
      </c>
      <c r="K1462" t="str">
        <f t="shared" si="594"/>
        <v>Device</v>
      </c>
      <c r="L1462" t="str">
        <f>"777252063"</f>
        <v>777252063</v>
      </c>
      <c r="M1462" t="str">
        <f>"16719945"</f>
        <v>16719945</v>
      </c>
      <c r="N1462" t="str">
        <f>"2375-19A"</f>
        <v>2375-19A</v>
      </c>
      <c r="O1462" t="str">
        <f t="shared" si="583"/>
        <v>TEXAS</v>
      </c>
      <c r="P1462" t="str">
        <f t="shared" si="584"/>
        <v>N A</v>
      </c>
      <c r="Q1462" t="str">
        <f t="shared" si="585"/>
        <v>N/A</v>
      </c>
      <c r="R1462" t="str">
        <f>"SH550 FM1847 05 FM18"</f>
        <v>SH550 FM1847 05 FM18</v>
      </c>
      <c r="S1462" t="str">
        <f>"12/18/2019 5:11:57 PM"</f>
        <v>12/18/2019 5:11:57 PM</v>
      </c>
      <c r="T1462" t="str">
        <f t="shared" si="599"/>
        <v>5</v>
      </c>
      <c r="U1462" t="str">
        <f t="shared" si="586"/>
        <v>N/A</v>
      </c>
      <c r="V1462" t="str">
        <f>"2.0000"</f>
        <v>2.0000</v>
      </c>
    </row>
    <row r="1463" spans="1:22" x14ac:dyDescent="0.25">
      <c r="A1463" s="1" t="str">
        <f t="shared" si="604"/>
        <v>570-1</v>
      </c>
      <c r="B1463" s="1" t="str">
        <f t="shared" si="587"/>
        <v>570-1</v>
      </c>
      <c r="C1463" s="1" t="s">
        <v>4068</v>
      </c>
      <c r="D1463" s="1" t="s">
        <v>8899</v>
      </c>
      <c r="E1463" s="1" t="s">
        <v>1738</v>
      </c>
      <c r="F1463" s="1" t="s">
        <v>22</v>
      </c>
      <c r="G1463" s="1" t="e">
        <f>VLOOKUP(C1463,'Master truck list'!E:R,14,0)</f>
        <v>#N/A</v>
      </c>
      <c r="H1463" t="str">
        <f>"12/17/2019 7:00:33 AM"</f>
        <v>12/17/2019 7:00:33 AM</v>
      </c>
      <c r="I1463" t="str">
        <f>""</f>
        <v/>
      </c>
      <c r="J1463" t="str">
        <f t="shared" si="582"/>
        <v>Elite</v>
      </c>
      <c r="K1463" t="str">
        <f t="shared" si="594"/>
        <v>Device</v>
      </c>
      <c r="L1463" t="str">
        <f>"777248912"</f>
        <v>777248912</v>
      </c>
      <c r="M1463" t="str">
        <f>"16716794"</f>
        <v>16716794</v>
      </c>
      <c r="N1463" t="str">
        <f>"570-18A"</f>
        <v>570-18A</v>
      </c>
      <c r="O1463" t="str">
        <f t="shared" si="583"/>
        <v>TEXAS</v>
      </c>
      <c r="P1463" t="str">
        <f t="shared" si="584"/>
        <v>N A</v>
      </c>
      <c r="Q1463" t="str">
        <f t="shared" si="585"/>
        <v>N/A</v>
      </c>
      <c r="R1463" t="str">
        <f>"130 DKCRP 11 307"</f>
        <v>130 DKCRP 11 307</v>
      </c>
      <c r="S1463" t="str">
        <f>"12/16/2019 4:57:00 PM"</f>
        <v>12/16/2019 4:57:00 PM</v>
      </c>
      <c r="T1463" t="str">
        <f t="shared" si="599"/>
        <v>5</v>
      </c>
      <c r="U1463" t="str">
        <f t="shared" si="586"/>
        <v>N/A</v>
      </c>
      <c r="V1463" t="str">
        <f>"5.5500"</f>
        <v>5.5500</v>
      </c>
    </row>
    <row r="1464" spans="1:22" x14ac:dyDescent="0.25">
      <c r="A1464" s="1" t="str">
        <f t="shared" si="604"/>
        <v>570-1</v>
      </c>
      <c r="B1464" s="1" t="str">
        <f t="shared" si="587"/>
        <v>570-1</v>
      </c>
      <c r="C1464" s="1" t="s">
        <v>4068</v>
      </c>
      <c r="D1464" s="1" t="s">
        <v>8899</v>
      </c>
      <c r="E1464" s="1" t="s">
        <v>1738</v>
      </c>
      <c r="F1464" s="1" t="s">
        <v>22</v>
      </c>
      <c r="G1464" s="1" t="e">
        <f>VLOOKUP(C1464,'Master truck list'!E:R,14,0)</f>
        <v>#N/A</v>
      </c>
      <c r="H1464" t="str">
        <f>"12/17/2019 7:00:33 AM"</f>
        <v>12/17/2019 7:00:33 AM</v>
      </c>
      <c r="I1464" t="str">
        <f>""</f>
        <v/>
      </c>
      <c r="J1464" t="str">
        <f t="shared" si="582"/>
        <v>Elite</v>
      </c>
      <c r="K1464" t="str">
        <f t="shared" si="594"/>
        <v>Device</v>
      </c>
      <c r="L1464" t="str">
        <f>"777248912"</f>
        <v>777248912</v>
      </c>
      <c r="M1464" t="str">
        <f>"16716794"</f>
        <v>16716794</v>
      </c>
      <c r="N1464" t="str">
        <f>"570-18A"</f>
        <v>570-18A</v>
      </c>
      <c r="O1464" t="str">
        <f t="shared" si="583"/>
        <v>TEXAS</v>
      </c>
      <c r="P1464" t="str">
        <f t="shared" si="584"/>
        <v>N A</v>
      </c>
      <c r="Q1464" t="str">
        <f t="shared" si="585"/>
        <v>N/A</v>
      </c>
      <c r="R1464" t="str">
        <f>"45SE MLPEB 02 611"</f>
        <v>45SE MLPEB 02 611</v>
      </c>
      <c r="S1464" t="str">
        <f>"12/16/2019 4:38:07 PM"</f>
        <v>12/16/2019 4:38:07 PM</v>
      </c>
      <c r="T1464" t="str">
        <f t="shared" si="599"/>
        <v>5</v>
      </c>
      <c r="U1464" t="str">
        <f t="shared" si="586"/>
        <v>N/A</v>
      </c>
      <c r="V1464" t="str">
        <f>"3.3000"</f>
        <v>3.3000</v>
      </c>
    </row>
    <row r="1465" spans="1:22" x14ac:dyDescent="0.25">
      <c r="A1465" s="1" t="str">
        <f t="shared" si="604"/>
        <v>570-1</v>
      </c>
      <c r="B1465" s="1" t="str">
        <f t="shared" si="587"/>
        <v>570-1</v>
      </c>
      <c r="C1465" s="1" t="s">
        <v>4068</v>
      </c>
      <c r="D1465" s="1" t="s">
        <v>8899</v>
      </c>
      <c r="E1465" s="1" t="s">
        <v>1738</v>
      </c>
      <c r="F1465" s="1" t="s">
        <v>22</v>
      </c>
      <c r="G1465" s="1" t="e">
        <f>VLOOKUP(C1465,'Master truck list'!E:R,14,0)</f>
        <v>#N/A</v>
      </c>
      <c r="H1465" t="str">
        <f>"12/17/2019 7:00:33 AM"</f>
        <v>12/17/2019 7:00:33 AM</v>
      </c>
      <c r="I1465" t="str">
        <f>""</f>
        <v/>
      </c>
      <c r="J1465" t="str">
        <f t="shared" si="582"/>
        <v>Elite</v>
      </c>
      <c r="K1465" t="str">
        <f t="shared" si="594"/>
        <v>Device</v>
      </c>
      <c r="L1465" t="str">
        <f>"777248912"</f>
        <v>777248912</v>
      </c>
      <c r="M1465" t="str">
        <f>"16716794"</f>
        <v>16716794</v>
      </c>
      <c r="N1465" t="str">
        <f>"570-18A"</f>
        <v>570-18A</v>
      </c>
      <c r="O1465" t="str">
        <f t="shared" si="583"/>
        <v>TEXAS</v>
      </c>
      <c r="P1465" t="str">
        <f t="shared" si="584"/>
        <v>N A</v>
      </c>
      <c r="Q1465" t="str">
        <f t="shared" si="585"/>
        <v>N/A</v>
      </c>
      <c r="R1465" t="str">
        <f>"130 MGCRP 11 305"</f>
        <v>130 MGCRP 11 305</v>
      </c>
      <c r="S1465" t="str">
        <f>"12/16/2019 5:23:29 PM"</f>
        <v>12/16/2019 5:23:29 PM</v>
      </c>
      <c r="T1465" t="str">
        <f t="shared" si="599"/>
        <v>5</v>
      </c>
      <c r="U1465" t="str">
        <f t="shared" si="586"/>
        <v>N/A</v>
      </c>
      <c r="V1465" t="str">
        <f t="shared" ref="V1465:V1471" si="605">"5.5500"</f>
        <v>5.5500</v>
      </c>
    </row>
    <row r="1466" spans="1:22" x14ac:dyDescent="0.25">
      <c r="A1466" s="1" t="str">
        <f t="shared" si="604"/>
        <v>570-1</v>
      </c>
      <c r="B1466" s="1" t="str">
        <f t="shared" si="587"/>
        <v>570-1</v>
      </c>
      <c r="C1466" s="1" t="s">
        <v>4068</v>
      </c>
      <c r="D1466" s="1" t="s">
        <v>8899</v>
      </c>
      <c r="E1466" s="1" t="s">
        <v>1738</v>
      </c>
      <c r="F1466" s="1" t="s">
        <v>22</v>
      </c>
      <c r="G1466" s="1" t="e">
        <f>VLOOKUP(C1466,'Master truck list'!E:R,14,0)</f>
        <v>#N/A</v>
      </c>
      <c r="H1466" t="str">
        <f>"12/17/2019 7:00:33 AM"</f>
        <v>12/17/2019 7:00:33 AM</v>
      </c>
      <c r="I1466" t="str">
        <f>""</f>
        <v/>
      </c>
      <c r="J1466" t="str">
        <f t="shared" si="582"/>
        <v>Elite</v>
      </c>
      <c r="K1466" t="str">
        <f t="shared" si="594"/>
        <v>Device</v>
      </c>
      <c r="L1466" t="str">
        <f>"777248912"</f>
        <v>777248912</v>
      </c>
      <c r="M1466" t="str">
        <f>"16716794"</f>
        <v>16716794</v>
      </c>
      <c r="N1466" t="str">
        <f>"570-18A"</f>
        <v>570-18A</v>
      </c>
      <c r="O1466" t="str">
        <f t="shared" si="583"/>
        <v>TEXAS</v>
      </c>
      <c r="P1466" t="str">
        <f t="shared" si="584"/>
        <v>N A</v>
      </c>
      <c r="Q1466" t="str">
        <f t="shared" si="585"/>
        <v>N/A</v>
      </c>
      <c r="R1466" t="str">
        <f>"130 ARPTP 09 308"</f>
        <v>130 ARPTP 09 308</v>
      </c>
      <c r="S1466" t="str">
        <f>"12/16/2019 4:48:46 PM"</f>
        <v>12/16/2019 4:48:46 PM</v>
      </c>
      <c r="T1466" t="str">
        <f t="shared" si="599"/>
        <v>5</v>
      </c>
      <c r="U1466" t="str">
        <f t="shared" si="586"/>
        <v>N/A</v>
      </c>
      <c r="V1466" t="str">
        <f t="shared" si="605"/>
        <v>5.5500</v>
      </c>
    </row>
    <row r="1467" spans="1:22" x14ac:dyDescent="0.25">
      <c r="A1467" s="1" t="str">
        <f t="shared" si="604"/>
        <v>570-1</v>
      </c>
      <c r="B1467" s="1" t="str">
        <f t="shared" si="587"/>
        <v>570-1</v>
      </c>
      <c r="C1467" s="1" t="s">
        <v>4068</v>
      </c>
      <c r="D1467" s="1" t="s">
        <v>8899</v>
      </c>
      <c r="E1467" s="1" t="s">
        <v>1738</v>
      </c>
      <c r="F1467" s="1" t="s">
        <v>22</v>
      </c>
      <c r="G1467" s="1" t="e">
        <f>VLOOKUP(C1467,'Master truck list'!E:R,14,0)</f>
        <v>#N/A</v>
      </c>
      <c r="H1467" t="str">
        <f>"12/17/2019 7:00:33 AM"</f>
        <v>12/17/2019 7:00:33 AM</v>
      </c>
      <c r="I1467" t="str">
        <f>""</f>
        <v/>
      </c>
      <c r="J1467" t="str">
        <f t="shared" si="582"/>
        <v>Elite</v>
      </c>
      <c r="K1467" t="str">
        <f t="shared" si="594"/>
        <v>Device</v>
      </c>
      <c r="L1467" t="str">
        <f>"777248912"</f>
        <v>777248912</v>
      </c>
      <c r="M1467" t="str">
        <f>"16716794"</f>
        <v>16716794</v>
      </c>
      <c r="N1467" t="str">
        <f>"570-18A"</f>
        <v>570-18A</v>
      </c>
      <c r="O1467" t="str">
        <f t="shared" si="583"/>
        <v>TEXAS</v>
      </c>
      <c r="P1467" t="str">
        <f t="shared" si="584"/>
        <v>N A</v>
      </c>
      <c r="Q1467" t="str">
        <f t="shared" si="585"/>
        <v>N/A</v>
      </c>
      <c r="R1467" t="str">
        <f>"130 CMRNP 13 306"</f>
        <v>130 CMRNP 13 306</v>
      </c>
      <c r="S1467" t="str">
        <f>"12/16/2019 5:12:23 PM"</f>
        <v>12/16/2019 5:12:23 PM</v>
      </c>
      <c r="T1467" t="str">
        <f t="shared" si="599"/>
        <v>5</v>
      </c>
      <c r="U1467" t="str">
        <f t="shared" si="586"/>
        <v>N/A</v>
      </c>
      <c r="V1467" t="str">
        <f t="shared" si="605"/>
        <v>5.5500</v>
      </c>
    </row>
    <row r="1468" spans="1:22" x14ac:dyDescent="0.25">
      <c r="A1468" s="1" t="str">
        <f t="shared" si="604"/>
        <v>5183</v>
      </c>
      <c r="B1468" s="1" t="str">
        <f t="shared" si="587"/>
        <v>5183</v>
      </c>
      <c r="C1468" s="1">
        <v>5183</v>
      </c>
      <c r="D1468" s="1" t="s">
        <v>8899</v>
      </c>
      <c r="E1468" s="1" t="s">
        <v>1738</v>
      </c>
      <c r="F1468" s="1" t="s">
        <v>63</v>
      </c>
      <c r="G1468" s="1" t="e">
        <f>VLOOKUP(C1468,'Master truck list'!E:R,14,0)</f>
        <v>#N/A</v>
      </c>
      <c r="H1468" t="str">
        <f>"12/19/2019 7:00:35 AM"</f>
        <v>12/19/2019 7:00:35 AM</v>
      </c>
      <c r="I1468" t="str">
        <f>""</f>
        <v/>
      </c>
      <c r="J1468" t="str">
        <f t="shared" si="582"/>
        <v>Elite</v>
      </c>
      <c r="K1468" t="str">
        <f t="shared" si="594"/>
        <v>Device</v>
      </c>
      <c r="L1468" t="str">
        <f t="shared" ref="L1468:L1477" si="606">"777169735"</f>
        <v>777169735</v>
      </c>
      <c r="M1468" t="str">
        <f t="shared" ref="M1468:M1477" si="607">"16428810"</f>
        <v>16428810</v>
      </c>
      <c r="N1468" t="str">
        <f t="shared" ref="N1468:N1477" si="608">"5183"</f>
        <v>5183</v>
      </c>
      <c r="O1468" t="str">
        <f t="shared" si="583"/>
        <v>TEXAS</v>
      </c>
      <c r="P1468" t="str">
        <f t="shared" si="584"/>
        <v>N A</v>
      </c>
      <c r="Q1468" t="str">
        <f t="shared" si="585"/>
        <v>N/A</v>
      </c>
      <c r="R1468" t="str">
        <f>"130 CMRNP 13 306"</f>
        <v>130 CMRNP 13 306</v>
      </c>
      <c r="S1468" t="str">
        <f>"12/18/2019 8:59:14 PM"</f>
        <v>12/18/2019 8:59:14 PM</v>
      </c>
      <c r="T1468" t="str">
        <f t="shared" si="599"/>
        <v>5</v>
      </c>
      <c r="U1468" t="str">
        <f t="shared" si="586"/>
        <v>N/A</v>
      </c>
      <c r="V1468" t="str">
        <f t="shared" si="605"/>
        <v>5.5500</v>
      </c>
    </row>
    <row r="1469" spans="1:22" x14ac:dyDescent="0.25">
      <c r="A1469" s="1" t="str">
        <f t="shared" si="604"/>
        <v>5183</v>
      </c>
      <c r="B1469" s="1" t="str">
        <f t="shared" si="587"/>
        <v>5183</v>
      </c>
      <c r="C1469" s="1">
        <v>5183</v>
      </c>
      <c r="D1469" s="1" t="s">
        <v>8899</v>
      </c>
      <c r="E1469" s="1" t="s">
        <v>1738</v>
      </c>
      <c r="F1469" s="1" t="s">
        <v>63</v>
      </c>
      <c r="G1469" s="1" t="e">
        <f>VLOOKUP(C1469,'Master truck list'!E:R,14,0)</f>
        <v>#N/A</v>
      </c>
      <c r="H1469" t="str">
        <f>"12/19/2019 7:00:35 AM"</f>
        <v>12/19/2019 7:00:35 AM</v>
      </c>
      <c r="I1469" t="str">
        <f>""</f>
        <v/>
      </c>
      <c r="J1469" t="str">
        <f t="shared" si="582"/>
        <v>Elite</v>
      </c>
      <c r="K1469" t="str">
        <f t="shared" si="594"/>
        <v>Device</v>
      </c>
      <c r="L1469" t="str">
        <f t="shared" si="606"/>
        <v>777169735</v>
      </c>
      <c r="M1469" t="str">
        <f t="shared" si="607"/>
        <v>16428810</v>
      </c>
      <c r="N1469" t="str">
        <f t="shared" si="608"/>
        <v>5183</v>
      </c>
      <c r="O1469" t="str">
        <f t="shared" si="583"/>
        <v>TEXAS</v>
      </c>
      <c r="P1469" t="str">
        <f t="shared" si="584"/>
        <v>N A</v>
      </c>
      <c r="Q1469" t="str">
        <f t="shared" si="585"/>
        <v>N/A</v>
      </c>
      <c r="R1469" t="str">
        <f>"130 ARPTP 09 308"</f>
        <v>130 ARPTP 09 308</v>
      </c>
      <c r="S1469" t="str">
        <f>"12/18/2019 8:42:18 PM"</f>
        <v>12/18/2019 8:42:18 PM</v>
      </c>
      <c r="T1469" t="str">
        <f t="shared" si="599"/>
        <v>5</v>
      </c>
      <c r="U1469" t="str">
        <f t="shared" si="586"/>
        <v>N/A</v>
      </c>
      <c r="V1469" t="str">
        <f t="shared" si="605"/>
        <v>5.5500</v>
      </c>
    </row>
    <row r="1470" spans="1:22" x14ac:dyDescent="0.25">
      <c r="A1470" s="1" t="str">
        <f t="shared" si="604"/>
        <v>5183</v>
      </c>
      <c r="B1470" s="1" t="str">
        <f t="shared" si="587"/>
        <v>5183</v>
      </c>
      <c r="C1470" s="1">
        <v>5183</v>
      </c>
      <c r="D1470" s="1" t="s">
        <v>8899</v>
      </c>
      <c r="E1470" s="1" t="s">
        <v>1738</v>
      </c>
      <c r="F1470" s="1" t="s">
        <v>63</v>
      </c>
      <c r="G1470" s="1" t="e">
        <f>VLOOKUP(C1470,'Master truck list'!E:R,14,0)</f>
        <v>#N/A</v>
      </c>
      <c r="H1470" t="str">
        <f>"12/19/2019 7:00:35 AM"</f>
        <v>12/19/2019 7:00:35 AM</v>
      </c>
      <c r="I1470" t="str">
        <f>""</f>
        <v/>
      </c>
      <c r="J1470" t="str">
        <f t="shared" si="582"/>
        <v>Elite</v>
      </c>
      <c r="K1470" t="str">
        <f t="shared" si="594"/>
        <v>Device</v>
      </c>
      <c r="L1470" t="str">
        <f t="shared" si="606"/>
        <v>777169735</v>
      </c>
      <c r="M1470" t="str">
        <f t="shared" si="607"/>
        <v>16428810</v>
      </c>
      <c r="N1470" t="str">
        <f t="shared" si="608"/>
        <v>5183</v>
      </c>
      <c r="O1470" t="str">
        <f t="shared" si="583"/>
        <v>TEXAS</v>
      </c>
      <c r="P1470" t="str">
        <f t="shared" si="584"/>
        <v>N A</v>
      </c>
      <c r="Q1470" t="str">
        <f t="shared" si="585"/>
        <v>N/A</v>
      </c>
      <c r="R1470" t="str">
        <f>"130 CMRNP 08 306"</f>
        <v>130 CMRNP 08 306</v>
      </c>
      <c r="S1470" t="str">
        <f>"12/18/2019 7:32:54 AM"</f>
        <v>12/18/2019 7:32:54 AM</v>
      </c>
      <c r="T1470" t="str">
        <f t="shared" si="599"/>
        <v>5</v>
      </c>
      <c r="U1470" t="str">
        <f t="shared" si="586"/>
        <v>N/A</v>
      </c>
      <c r="V1470" t="str">
        <f t="shared" si="605"/>
        <v>5.5500</v>
      </c>
    </row>
    <row r="1471" spans="1:22" x14ac:dyDescent="0.25">
      <c r="A1471" s="1" t="str">
        <f t="shared" si="604"/>
        <v>5183</v>
      </c>
      <c r="B1471" s="1" t="str">
        <f t="shared" si="587"/>
        <v>5183</v>
      </c>
      <c r="C1471" s="1">
        <v>5183</v>
      </c>
      <c r="D1471" s="1" t="s">
        <v>8899</v>
      </c>
      <c r="E1471" s="1" t="s">
        <v>1738</v>
      </c>
      <c r="F1471" s="1" t="s">
        <v>63</v>
      </c>
      <c r="G1471" s="1" t="e">
        <f>VLOOKUP(C1471,'Master truck list'!E:R,14,0)</f>
        <v>#N/A</v>
      </c>
      <c r="H1471" t="str">
        <f>"12/19/2019 7:00:35 AM"</f>
        <v>12/19/2019 7:00:35 AM</v>
      </c>
      <c r="I1471" t="str">
        <f>""</f>
        <v/>
      </c>
      <c r="J1471" t="str">
        <f t="shared" si="582"/>
        <v>Elite</v>
      </c>
      <c r="K1471" t="str">
        <f t="shared" si="594"/>
        <v>Device</v>
      </c>
      <c r="L1471" t="str">
        <f t="shared" si="606"/>
        <v>777169735</v>
      </c>
      <c r="M1471" t="str">
        <f t="shared" si="607"/>
        <v>16428810</v>
      </c>
      <c r="N1471" t="str">
        <f t="shared" si="608"/>
        <v>5183</v>
      </c>
      <c r="O1471" t="str">
        <f t="shared" si="583"/>
        <v>TEXAS</v>
      </c>
      <c r="P1471" t="str">
        <f t="shared" si="584"/>
        <v>N A</v>
      </c>
      <c r="Q1471" t="str">
        <f t="shared" si="585"/>
        <v>N/A</v>
      </c>
      <c r="R1471" t="str">
        <f>"130 ARPTP 04 308"</f>
        <v>130 ARPTP 04 308</v>
      </c>
      <c r="S1471" t="str">
        <f>"12/18/2019 7:54:53 AM"</f>
        <v>12/18/2019 7:54:53 AM</v>
      </c>
      <c r="T1471" t="str">
        <f t="shared" si="599"/>
        <v>5</v>
      </c>
      <c r="U1471" t="str">
        <f t="shared" si="586"/>
        <v>N/A</v>
      </c>
      <c r="V1471" t="str">
        <f t="shared" si="605"/>
        <v>5.5500</v>
      </c>
    </row>
    <row r="1472" spans="1:22" x14ac:dyDescent="0.25">
      <c r="A1472" s="1" t="str">
        <f t="shared" si="604"/>
        <v>5183</v>
      </c>
      <c r="B1472" s="1" t="str">
        <f t="shared" si="587"/>
        <v>5183</v>
      </c>
      <c r="C1472" s="1">
        <v>5183</v>
      </c>
      <c r="D1472" s="1" t="s">
        <v>8899</v>
      </c>
      <c r="E1472" s="1" t="s">
        <v>1738</v>
      </c>
      <c r="F1472" s="1" t="s">
        <v>63</v>
      </c>
      <c r="G1472" s="1" t="e">
        <f>VLOOKUP(C1472,'Master truck list'!E:R,14,0)</f>
        <v>#N/A</v>
      </c>
      <c r="H1472" t="str">
        <f>"12/20/2019 7:00:30 AM"</f>
        <v>12/20/2019 7:00:30 AM</v>
      </c>
      <c r="I1472" t="str">
        <f>""</f>
        <v/>
      </c>
      <c r="J1472" t="str">
        <f t="shared" si="582"/>
        <v>Elite</v>
      </c>
      <c r="K1472" t="str">
        <f t="shared" si="594"/>
        <v>Device</v>
      </c>
      <c r="L1472" t="str">
        <f t="shared" si="606"/>
        <v>777169735</v>
      </c>
      <c r="M1472" t="str">
        <f t="shared" si="607"/>
        <v>16428810</v>
      </c>
      <c r="N1472" t="str">
        <f t="shared" si="608"/>
        <v>5183</v>
      </c>
      <c r="O1472" t="str">
        <f t="shared" si="583"/>
        <v>TEXAS</v>
      </c>
      <c r="P1472" t="str">
        <f t="shared" si="584"/>
        <v>N A</v>
      </c>
      <c r="Q1472" t="str">
        <f t="shared" si="585"/>
        <v>N/A</v>
      </c>
      <c r="R1472" t="str">
        <f>"130 BLUENP 01 4109"</f>
        <v>130 BLUENP 01 4109</v>
      </c>
      <c r="S1472" t="str">
        <f>"12/18/2019 8:16:59 PM"</f>
        <v>12/18/2019 8:16:59 PM</v>
      </c>
      <c r="T1472" t="str">
        <f>"15"</f>
        <v>15</v>
      </c>
      <c r="U1472" t="str">
        <f t="shared" si="586"/>
        <v>N/A</v>
      </c>
      <c r="V1472" t="str">
        <f>"20.4900"</f>
        <v>20.4900</v>
      </c>
    </row>
    <row r="1473" spans="1:22" x14ac:dyDescent="0.25">
      <c r="A1473" s="1" t="str">
        <f t="shared" si="604"/>
        <v>5183</v>
      </c>
      <c r="B1473" s="1" t="str">
        <f t="shared" si="587"/>
        <v>5183</v>
      </c>
      <c r="C1473" s="1">
        <v>5183</v>
      </c>
      <c r="D1473" s="1" t="s">
        <v>8899</v>
      </c>
      <c r="E1473" s="1" t="s">
        <v>1738</v>
      </c>
      <c r="F1473" s="1" t="s">
        <v>63</v>
      </c>
      <c r="G1473" s="1" t="e">
        <f>VLOOKUP(C1473,'Master truck list'!E:R,14,0)</f>
        <v>#N/A</v>
      </c>
      <c r="H1473" t="str">
        <f>"12/20/2019 7:00:30 AM"</f>
        <v>12/20/2019 7:00:30 AM</v>
      </c>
      <c r="I1473" t="str">
        <f>""</f>
        <v/>
      </c>
      <c r="J1473" t="str">
        <f t="shared" si="582"/>
        <v>Elite</v>
      </c>
      <c r="K1473" t="str">
        <f t="shared" si="594"/>
        <v>Device</v>
      </c>
      <c r="L1473" t="str">
        <f t="shared" si="606"/>
        <v>777169735</v>
      </c>
      <c r="M1473" t="str">
        <f t="shared" si="607"/>
        <v>16428810</v>
      </c>
      <c r="N1473" t="str">
        <f t="shared" si="608"/>
        <v>5183</v>
      </c>
      <c r="O1473" t="str">
        <f t="shared" si="583"/>
        <v>TEXAS</v>
      </c>
      <c r="P1473" t="str">
        <f t="shared" si="584"/>
        <v>N A</v>
      </c>
      <c r="Q1473" t="str">
        <f t="shared" si="585"/>
        <v>N/A</v>
      </c>
      <c r="R1473" t="str">
        <f>"130 SKYNP 01 4103"</f>
        <v>130 SKYNP 01 4103</v>
      </c>
      <c r="S1473" t="str">
        <f>"12/18/2019 8:30:15 PM"</f>
        <v>12/18/2019 8:30:15 PM</v>
      </c>
      <c r="T1473" t="str">
        <f>"15"</f>
        <v>15</v>
      </c>
      <c r="U1473" t="str">
        <f t="shared" si="586"/>
        <v>N/A</v>
      </c>
      <c r="V1473" t="str">
        <f>"9.3800"</f>
        <v>9.3800</v>
      </c>
    </row>
    <row r="1474" spans="1:22" x14ac:dyDescent="0.25">
      <c r="A1474" s="1" t="str">
        <f t="shared" si="604"/>
        <v>5183</v>
      </c>
      <c r="B1474" s="1" t="str">
        <f t="shared" si="587"/>
        <v>5183</v>
      </c>
      <c r="C1474" s="1">
        <v>5183</v>
      </c>
      <c r="D1474" s="1" t="s">
        <v>8899</v>
      </c>
      <c r="E1474" s="1" t="s">
        <v>1738</v>
      </c>
      <c r="F1474" s="1" t="s">
        <v>63</v>
      </c>
      <c r="G1474" s="1" t="e">
        <f>VLOOKUP(C1474,'Master truck list'!E:R,14,0)</f>
        <v>#N/A</v>
      </c>
      <c r="H1474" t="str">
        <f>"12/19/2019 7:00:35 AM"</f>
        <v>12/19/2019 7:00:35 AM</v>
      </c>
      <c r="I1474" t="str">
        <f>""</f>
        <v/>
      </c>
      <c r="J1474" t="str">
        <f t="shared" ref="J1474:J1537" si="609">"Elite"</f>
        <v>Elite</v>
      </c>
      <c r="K1474" t="str">
        <f t="shared" si="594"/>
        <v>Device</v>
      </c>
      <c r="L1474" t="str">
        <f t="shared" si="606"/>
        <v>777169735</v>
      </c>
      <c r="M1474" t="str">
        <f t="shared" si="607"/>
        <v>16428810</v>
      </c>
      <c r="N1474" t="str">
        <f t="shared" si="608"/>
        <v>5183</v>
      </c>
      <c r="O1474" t="str">
        <f t="shared" ref="O1474:O1537" si="610">"TEXAS"</f>
        <v>TEXAS</v>
      </c>
      <c r="P1474" t="str">
        <f t="shared" ref="P1474:P1537" si="611">"N A"</f>
        <v>N A</v>
      </c>
      <c r="Q1474" t="str">
        <f t="shared" ref="Q1474:Q1537" si="612">"N/A"</f>
        <v>N/A</v>
      </c>
      <c r="R1474" t="str">
        <f>"130 DKCRP 07 307"</f>
        <v>130 DKCRP 07 307</v>
      </c>
      <c r="S1474" t="str">
        <f>"12/18/2019 7:47:56 AM"</f>
        <v>12/18/2019 7:47:56 AM</v>
      </c>
      <c r="T1474" t="str">
        <f>"5"</f>
        <v>5</v>
      </c>
      <c r="U1474" t="str">
        <f t="shared" ref="U1474:U1537" si="613">"N/A"</f>
        <v>N/A</v>
      </c>
      <c r="V1474" t="str">
        <f>"5.5500"</f>
        <v>5.5500</v>
      </c>
    </row>
    <row r="1475" spans="1:22" x14ac:dyDescent="0.25">
      <c r="A1475" s="1" t="str">
        <f t="shared" si="604"/>
        <v>5183</v>
      </c>
      <c r="B1475" s="1" t="str">
        <f t="shared" ref="B1475:B1538" si="614">SUBSTITUTE(A1475," ","")</f>
        <v>5183</v>
      </c>
      <c r="C1475" s="1">
        <v>5183</v>
      </c>
      <c r="D1475" s="1" t="s">
        <v>8899</v>
      </c>
      <c r="E1475" s="1" t="s">
        <v>1738</v>
      </c>
      <c r="F1475" s="1" t="s">
        <v>63</v>
      </c>
      <c r="G1475" s="1" t="e">
        <f>VLOOKUP(C1475,'Master truck list'!E:R,14,0)</f>
        <v>#N/A</v>
      </c>
      <c r="H1475" t="str">
        <f>"12/19/2019 7:00:35 AM"</f>
        <v>12/19/2019 7:00:35 AM</v>
      </c>
      <c r="I1475" t="str">
        <f>""</f>
        <v/>
      </c>
      <c r="J1475" t="str">
        <f t="shared" si="609"/>
        <v>Elite</v>
      </c>
      <c r="K1475" t="str">
        <f t="shared" si="594"/>
        <v>Device</v>
      </c>
      <c r="L1475" t="str">
        <f t="shared" si="606"/>
        <v>777169735</v>
      </c>
      <c r="M1475" t="str">
        <f t="shared" si="607"/>
        <v>16428810</v>
      </c>
      <c r="N1475" t="str">
        <f t="shared" si="608"/>
        <v>5183</v>
      </c>
      <c r="O1475" t="str">
        <f t="shared" si="610"/>
        <v>TEXAS</v>
      </c>
      <c r="P1475" t="str">
        <f t="shared" si="611"/>
        <v>N A</v>
      </c>
      <c r="Q1475" t="str">
        <f t="shared" si="612"/>
        <v>N/A</v>
      </c>
      <c r="R1475" t="str">
        <f>"130 MGCRP 06 305"</f>
        <v>130 MGCRP 06 305</v>
      </c>
      <c r="S1475" t="str">
        <f>"12/18/2019 7:21:49 AM"</f>
        <v>12/18/2019 7:21:49 AM</v>
      </c>
      <c r="T1475" t="str">
        <f>"5"</f>
        <v>5</v>
      </c>
      <c r="U1475" t="str">
        <f t="shared" si="613"/>
        <v>N/A</v>
      </c>
      <c r="V1475" t="str">
        <f>"5.5500"</f>
        <v>5.5500</v>
      </c>
    </row>
    <row r="1476" spans="1:22" x14ac:dyDescent="0.25">
      <c r="A1476" s="1" t="str">
        <f t="shared" si="604"/>
        <v>5183</v>
      </c>
      <c r="B1476" s="1" t="str">
        <f t="shared" si="614"/>
        <v>5183</v>
      </c>
      <c r="C1476" s="1">
        <v>5183</v>
      </c>
      <c r="D1476" s="1" t="s">
        <v>8899</v>
      </c>
      <c r="E1476" s="1" t="s">
        <v>1738</v>
      </c>
      <c r="F1476" s="1" t="s">
        <v>63</v>
      </c>
      <c r="G1476" s="1" t="e">
        <f>VLOOKUP(C1476,'Master truck list'!E:R,14,0)</f>
        <v>#N/A</v>
      </c>
      <c r="H1476" t="str">
        <f>"12/19/2019 7:00:35 AM"</f>
        <v>12/19/2019 7:00:35 AM</v>
      </c>
      <c r="I1476" t="str">
        <f>""</f>
        <v/>
      </c>
      <c r="J1476" t="str">
        <f t="shared" si="609"/>
        <v>Elite</v>
      </c>
      <c r="K1476" t="str">
        <f t="shared" si="594"/>
        <v>Device</v>
      </c>
      <c r="L1476" t="str">
        <f t="shared" si="606"/>
        <v>777169735</v>
      </c>
      <c r="M1476" t="str">
        <f t="shared" si="607"/>
        <v>16428810</v>
      </c>
      <c r="N1476" t="str">
        <f t="shared" si="608"/>
        <v>5183</v>
      </c>
      <c r="O1476" t="str">
        <f t="shared" si="610"/>
        <v>TEXAS</v>
      </c>
      <c r="P1476" t="str">
        <f t="shared" si="611"/>
        <v>N A</v>
      </c>
      <c r="Q1476" t="str">
        <f t="shared" si="612"/>
        <v>N/A</v>
      </c>
      <c r="R1476" t="str">
        <f>"45SE MLPWB 02 611"</f>
        <v>45SE MLPWB 02 611</v>
      </c>
      <c r="S1476" t="str">
        <f>"12/18/2019 8:05:27 AM"</f>
        <v>12/18/2019 8:05:27 AM</v>
      </c>
      <c r="T1476" t="str">
        <f>"5"</f>
        <v>5</v>
      </c>
      <c r="U1476" t="str">
        <f t="shared" si="613"/>
        <v>N/A</v>
      </c>
      <c r="V1476" t="str">
        <f>"3.3000"</f>
        <v>3.3000</v>
      </c>
    </row>
    <row r="1477" spans="1:22" x14ac:dyDescent="0.25">
      <c r="A1477" s="1" t="str">
        <f t="shared" si="604"/>
        <v>5183</v>
      </c>
      <c r="B1477" s="1" t="str">
        <f t="shared" si="614"/>
        <v>5183</v>
      </c>
      <c r="C1477" s="1">
        <v>5183</v>
      </c>
      <c r="D1477" s="1" t="s">
        <v>8899</v>
      </c>
      <c r="E1477" s="1" t="s">
        <v>1738</v>
      </c>
      <c r="F1477" s="1" t="s">
        <v>63</v>
      </c>
      <c r="G1477" s="1" t="e">
        <f>VLOOKUP(C1477,'Master truck list'!E:R,14,0)</f>
        <v>#N/A</v>
      </c>
      <c r="H1477" t="str">
        <f>"12/19/2019 7:00:35 AM"</f>
        <v>12/19/2019 7:00:35 AM</v>
      </c>
      <c r="I1477" t="str">
        <f>""</f>
        <v/>
      </c>
      <c r="J1477" t="str">
        <f t="shared" si="609"/>
        <v>Elite</v>
      </c>
      <c r="K1477" t="str">
        <f t="shared" si="594"/>
        <v>Device</v>
      </c>
      <c r="L1477" t="str">
        <f t="shared" si="606"/>
        <v>777169735</v>
      </c>
      <c r="M1477" t="str">
        <f t="shared" si="607"/>
        <v>16428810</v>
      </c>
      <c r="N1477" t="str">
        <f t="shared" si="608"/>
        <v>5183</v>
      </c>
      <c r="O1477" t="str">
        <f t="shared" si="610"/>
        <v>TEXAS</v>
      </c>
      <c r="P1477" t="str">
        <f t="shared" si="611"/>
        <v>N A</v>
      </c>
      <c r="Q1477" t="str">
        <f t="shared" si="612"/>
        <v>N/A</v>
      </c>
      <c r="R1477" t="str">
        <f>"130 MGCRP 11 305"</f>
        <v>130 MGCRP 11 305</v>
      </c>
      <c r="S1477" t="str">
        <f>"12/18/2019 9:10:15 PM"</f>
        <v>12/18/2019 9:10:15 PM</v>
      </c>
      <c r="T1477" t="str">
        <f>"5"</f>
        <v>5</v>
      </c>
      <c r="U1477" t="str">
        <f t="shared" si="613"/>
        <v>N/A</v>
      </c>
      <c r="V1477" t="str">
        <f>"5.5500"</f>
        <v>5.5500</v>
      </c>
    </row>
    <row r="1478" spans="1:22" x14ac:dyDescent="0.25">
      <c r="A1478" s="1" t="str">
        <f t="shared" si="604"/>
        <v>2329-</v>
      </c>
      <c r="B1478" s="1" t="str">
        <f t="shared" si="614"/>
        <v>2329-</v>
      </c>
      <c r="C1478" s="1" t="str">
        <f>VLOOKUP(B1478,'Master truck list'!D:E,2,0)</f>
        <v>2329-18A</v>
      </c>
      <c r="D1478" s="1" t="s">
        <v>8899</v>
      </c>
      <c r="E1478" s="1" t="str">
        <f>VLOOKUP(C1478,'Master truck list'!E:M,9,0)</f>
        <v>CHARGER LOGISTICS USA INC</v>
      </c>
      <c r="F1478" s="1" t="str">
        <f>VLOOKUP(C1478,'Master truck list'!E:G,3,0)</f>
        <v>Company</v>
      </c>
      <c r="G1478" s="1">
        <f>VLOOKUP(C1478,'Master truck list'!E:R,14,0)</f>
        <v>1168</v>
      </c>
      <c r="H1478" t="str">
        <f>"12/21/2019 7:00:28 AM"</f>
        <v>12/21/2019 7:00:28 AM</v>
      </c>
      <c r="I1478" t="str">
        <f>""</f>
        <v/>
      </c>
      <c r="J1478" t="str">
        <f t="shared" si="609"/>
        <v>Elite</v>
      </c>
      <c r="K1478" t="str">
        <f t="shared" si="594"/>
        <v>Device</v>
      </c>
      <c r="L1478" t="str">
        <f>"777248848"</f>
        <v>777248848</v>
      </c>
      <c r="M1478" t="str">
        <f>"16716730"</f>
        <v>16716730</v>
      </c>
      <c r="N1478" t="str">
        <f>"2329-18A"</f>
        <v>2329-18A</v>
      </c>
      <c r="O1478" t="str">
        <f t="shared" si="610"/>
        <v>TEXAS</v>
      </c>
      <c r="P1478" t="str">
        <f t="shared" si="611"/>
        <v>N A</v>
      </c>
      <c r="Q1478" t="str">
        <f t="shared" si="612"/>
        <v>N/A</v>
      </c>
      <c r="R1478" t="str">
        <f>"I35WS US287S 22 US28"</f>
        <v>I35WS US287S 22 US28</v>
      </c>
      <c r="S1478" t="str">
        <f>"12/18/2019 9:45:36 PM"</f>
        <v>12/18/2019 9:45:36 PM</v>
      </c>
      <c r="T1478" t="str">
        <f>"2"</f>
        <v>2</v>
      </c>
      <c r="U1478" t="str">
        <f t="shared" si="613"/>
        <v>N/A</v>
      </c>
      <c r="V1478" t="str">
        <f>"3.8000"</f>
        <v>3.8000</v>
      </c>
    </row>
    <row r="1479" spans="1:22" x14ac:dyDescent="0.25">
      <c r="A1479" s="1" t="str">
        <f t="shared" si="604"/>
        <v>2329-</v>
      </c>
      <c r="B1479" s="1" t="str">
        <f t="shared" si="614"/>
        <v>2329-</v>
      </c>
      <c r="C1479" s="1" t="str">
        <f>VLOOKUP(B1479,'Master truck list'!D:E,2,0)</f>
        <v>2329-18A</v>
      </c>
      <c r="D1479" s="1" t="s">
        <v>8899</v>
      </c>
      <c r="E1479" s="1" t="s">
        <v>154</v>
      </c>
      <c r="F1479" s="1" t="str">
        <f>VLOOKUP(C1479,'Master truck list'!E:G,3,0)</f>
        <v>Company</v>
      </c>
      <c r="G1479" s="1">
        <f>VLOOKUP(C1479,'Master truck list'!E:R,14,0)</f>
        <v>1168</v>
      </c>
      <c r="H1479" t="str">
        <f>"12/21/2019 7:00:28 AM"</f>
        <v>12/21/2019 7:00:28 AM</v>
      </c>
      <c r="I1479" t="str">
        <f>""</f>
        <v/>
      </c>
      <c r="J1479" t="str">
        <f t="shared" si="609"/>
        <v>Elite</v>
      </c>
      <c r="K1479" t="str">
        <f t="shared" si="594"/>
        <v>Device</v>
      </c>
      <c r="L1479" t="str">
        <f>"777248848"</f>
        <v>777248848</v>
      </c>
      <c r="M1479" t="str">
        <f>"16716730"</f>
        <v>16716730</v>
      </c>
      <c r="N1479" t="str">
        <f>"2329-18A"</f>
        <v>2329-18A</v>
      </c>
      <c r="O1479" t="str">
        <f t="shared" si="610"/>
        <v>TEXAS</v>
      </c>
      <c r="P1479" t="str">
        <f t="shared" si="611"/>
        <v>N A</v>
      </c>
      <c r="Q1479" t="str">
        <f t="shared" si="612"/>
        <v>N/A</v>
      </c>
      <c r="R1479" t="str">
        <f>"I35WS 820 31 820"</f>
        <v>I35WS 820 31 820</v>
      </c>
      <c r="S1479" t="str">
        <f>"12/18/2019 9:48:30 PM"</f>
        <v>12/18/2019 9:48:30 PM</v>
      </c>
      <c r="T1479" t="str">
        <f>"2"</f>
        <v>2</v>
      </c>
      <c r="U1479" t="str">
        <f t="shared" si="613"/>
        <v>N/A</v>
      </c>
      <c r="V1479" t="str">
        <f>"3.8000"</f>
        <v>3.8000</v>
      </c>
    </row>
    <row r="1480" spans="1:22" x14ac:dyDescent="0.25">
      <c r="A1480" s="1" t="str">
        <f t="shared" si="604"/>
        <v>2329-</v>
      </c>
      <c r="B1480" s="1" t="str">
        <f t="shared" si="614"/>
        <v>2329-</v>
      </c>
      <c r="C1480" s="1" t="str">
        <f>VLOOKUP(B1480,'Master truck list'!D:E,2,0)</f>
        <v>2329-18A</v>
      </c>
      <c r="D1480" s="1" t="s">
        <v>8899</v>
      </c>
      <c r="E1480" s="1" t="str">
        <f>VLOOKUP(C1480,'Master truck list'!E:M,9,0)</f>
        <v>CHARGER LOGISTICS USA INC</v>
      </c>
      <c r="F1480" s="1" t="str">
        <f>VLOOKUP(C1480,'Master truck list'!E:G,3,0)</f>
        <v>Company</v>
      </c>
      <c r="G1480" s="1">
        <f>VLOOKUP(C1480,'Master truck list'!E:R,14,0)</f>
        <v>1168</v>
      </c>
      <c r="H1480" t="str">
        <f>"12/19/2019 7:00:35 AM"</f>
        <v>12/19/2019 7:00:35 AM</v>
      </c>
      <c r="I1480" t="str">
        <f>""</f>
        <v/>
      </c>
      <c r="J1480" t="str">
        <f t="shared" si="609"/>
        <v>Elite</v>
      </c>
      <c r="K1480" t="str">
        <f t="shared" si="594"/>
        <v>Device</v>
      </c>
      <c r="L1480" t="str">
        <f>"777248848"</f>
        <v>777248848</v>
      </c>
      <c r="M1480" t="str">
        <f>"16716730"</f>
        <v>16716730</v>
      </c>
      <c r="N1480" t="str">
        <f>"2329-18A"</f>
        <v>2329-18A</v>
      </c>
      <c r="O1480" t="str">
        <f t="shared" si="610"/>
        <v>TEXAS</v>
      </c>
      <c r="P1480" t="str">
        <f t="shared" si="611"/>
        <v>N A</v>
      </c>
      <c r="Q1480" t="str">
        <f t="shared" si="612"/>
        <v>N/A</v>
      </c>
      <c r="R1480" t="str">
        <f>"I35W NSIDEDR 34 NSID"</f>
        <v>I35W NSIDEDR 34 NSID</v>
      </c>
      <c r="S1480" t="str">
        <f>"12/17/2019 11:57:11 AM"</f>
        <v>12/17/2019 11:57:11 AM</v>
      </c>
      <c r="T1480" t="str">
        <f>"2"</f>
        <v>2</v>
      </c>
      <c r="U1480" t="str">
        <f t="shared" si="613"/>
        <v>N/A</v>
      </c>
      <c r="V1480" t="str">
        <f>"6.2000"</f>
        <v>6.2000</v>
      </c>
    </row>
    <row r="1481" spans="1:22" x14ac:dyDescent="0.25">
      <c r="A1481" s="1" t="str">
        <f t="shared" si="604"/>
        <v>2329-</v>
      </c>
      <c r="B1481" s="1" t="str">
        <f t="shared" si="614"/>
        <v>2329-</v>
      </c>
      <c r="C1481" s="1" t="str">
        <f>VLOOKUP(B1481,'Master truck list'!D:E,2,0)</f>
        <v>2329-18A</v>
      </c>
      <c r="D1481" s="1" t="s">
        <v>8899</v>
      </c>
      <c r="E1481" s="1" t="str">
        <f>VLOOKUP(C1481,'Master truck list'!E:M,9,0)</f>
        <v>CHARGER LOGISTICS USA INC</v>
      </c>
      <c r="F1481" s="1" t="str">
        <f>VLOOKUP(C1481,'Master truck list'!E:G,3,0)</f>
        <v>Company</v>
      </c>
      <c r="G1481" s="1">
        <f>VLOOKUP(C1481,'Master truck list'!E:R,14,0)</f>
        <v>1168</v>
      </c>
      <c r="H1481" t="str">
        <f>"12/19/2019 7:00:35 AM"</f>
        <v>12/19/2019 7:00:35 AM</v>
      </c>
      <c r="I1481" t="str">
        <f>""</f>
        <v/>
      </c>
      <c r="J1481" t="str">
        <f t="shared" si="609"/>
        <v>Elite</v>
      </c>
      <c r="K1481" t="str">
        <f t="shared" si="594"/>
        <v>Device</v>
      </c>
      <c r="L1481" t="str">
        <f>"777248848"</f>
        <v>777248848</v>
      </c>
      <c r="M1481" t="str">
        <f>"16716730"</f>
        <v>16716730</v>
      </c>
      <c r="N1481" t="str">
        <f>"2329-18A"</f>
        <v>2329-18A</v>
      </c>
      <c r="O1481" t="str">
        <f t="shared" si="610"/>
        <v>TEXAS</v>
      </c>
      <c r="P1481" t="str">
        <f t="shared" si="611"/>
        <v>N A</v>
      </c>
      <c r="Q1481" t="str">
        <f t="shared" si="612"/>
        <v>N/A</v>
      </c>
      <c r="R1481" t="str">
        <f>"I35WN 820 24 820"</f>
        <v>I35WN 820 24 820</v>
      </c>
      <c r="S1481" t="str">
        <f>"12/17/2019 12:01:22 PM"</f>
        <v>12/17/2019 12:01:22 PM</v>
      </c>
      <c r="T1481" t="str">
        <f>"2"</f>
        <v>2</v>
      </c>
      <c r="U1481" t="str">
        <f t="shared" si="613"/>
        <v>N/A</v>
      </c>
      <c r="V1481" t="str">
        <f>"8.0000"</f>
        <v>8.0000</v>
      </c>
    </row>
    <row r="1482" spans="1:22" x14ac:dyDescent="0.25">
      <c r="A1482" s="1" t="str">
        <f t="shared" si="604"/>
        <v>19383</v>
      </c>
      <c r="B1482" s="1" t="str">
        <f t="shared" si="614"/>
        <v>19383</v>
      </c>
      <c r="C1482" s="1">
        <v>19383</v>
      </c>
      <c r="D1482" s="1" t="s">
        <v>8899</v>
      </c>
      <c r="E1482" s="1" t="s">
        <v>37</v>
      </c>
      <c r="F1482" s="1" t="s">
        <v>22</v>
      </c>
      <c r="G1482" s="1" t="e">
        <f>VLOOKUP(C1482,'Master truck list'!E:R,14,0)</f>
        <v>#N/A</v>
      </c>
      <c r="H1482" t="str">
        <f>"12/17/2019 7:00:33 AM"</f>
        <v>12/17/2019 7:00:33 AM</v>
      </c>
      <c r="I1482" t="str">
        <f>""</f>
        <v/>
      </c>
      <c r="J1482" t="str">
        <f t="shared" si="609"/>
        <v>Elite</v>
      </c>
      <c r="K1482" t="str">
        <f t="shared" si="594"/>
        <v>Device</v>
      </c>
      <c r="L1482" t="str">
        <f>"777238008"</f>
        <v>777238008</v>
      </c>
      <c r="M1482" t="str">
        <f>"16670765"</f>
        <v>16670765</v>
      </c>
      <c r="N1482" t="str">
        <f>"19383-20"</f>
        <v>19383-20</v>
      </c>
      <c r="O1482" t="str">
        <f t="shared" si="610"/>
        <v>TEXAS</v>
      </c>
      <c r="P1482" t="str">
        <f t="shared" si="611"/>
        <v>N A</v>
      </c>
      <c r="Q1482" t="str">
        <f t="shared" si="612"/>
        <v>N/A</v>
      </c>
      <c r="R1482" t="str">
        <f>"130 CMRNP 13 306"</f>
        <v>130 CMRNP 13 306</v>
      </c>
      <c r="S1482" t="str">
        <f>"12/16/2019 5:27:47 PM"</f>
        <v>12/16/2019 5:27:47 PM</v>
      </c>
      <c r="T1482" t="str">
        <f t="shared" ref="T1482:T1531" si="615">"5"</f>
        <v>5</v>
      </c>
      <c r="U1482" t="str">
        <f t="shared" si="613"/>
        <v>N/A</v>
      </c>
      <c r="V1482" t="str">
        <f>"5.5500"</f>
        <v>5.5500</v>
      </c>
    </row>
    <row r="1483" spans="1:22" x14ac:dyDescent="0.25">
      <c r="A1483" s="1" t="str">
        <f t="shared" si="604"/>
        <v>19383</v>
      </c>
      <c r="B1483" s="1" t="str">
        <f t="shared" si="614"/>
        <v>19383</v>
      </c>
      <c r="C1483" s="1">
        <v>19383</v>
      </c>
      <c r="D1483" s="1" t="s">
        <v>8899</v>
      </c>
      <c r="E1483" s="1" t="s">
        <v>37</v>
      </c>
      <c r="F1483" s="1" t="s">
        <v>22</v>
      </c>
      <c r="G1483" s="1" t="e">
        <f>VLOOKUP(C1483,'Master truck list'!E:R,14,0)</f>
        <v>#N/A</v>
      </c>
      <c r="H1483" t="str">
        <f>"12/17/2019 7:00:33 AM"</f>
        <v>12/17/2019 7:00:33 AM</v>
      </c>
      <c r="I1483" t="str">
        <f>""</f>
        <v/>
      </c>
      <c r="J1483" t="str">
        <f t="shared" si="609"/>
        <v>Elite</v>
      </c>
      <c r="K1483" t="str">
        <f t="shared" si="594"/>
        <v>Device</v>
      </c>
      <c r="L1483" t="str">
        <f>"777238008"</f>
        <v>777238008</v>
      </c>
      <c r="M1483" t="str">
        <f>"16670765"</f>
        <v>16670765</v>
      </c>
      <c r="N1483" t="str">
        <f>"19383-20"</f>
        <v>19383-20</v>
      </c>
      <c r="O1483" t="str">
        <f t="shared" si="610"/>
        <v>TEXAS</v>
      </c>
      <c r="P1483" t="str">
        <f t="shared" si="611"/>
        <v>N A</v>
      </c>
      <c r="Q1483" t="str">
        <f t="shared" si="612"/>
        <v>N/A</v>
      </c>
      <c r="R1483" t="str">
        <f>"45SE MLPEB 01 611"</f>
        <v>45SE MLPEB 01 611</v>
      </c>
      <c r="S1483" t="str">
        <f>"12/16/2019 4:50:58 PM"</f>
        <v>12/16/2019 4:50:58 PM</v>
      </c>
      <c r="T1483" t="str">
        <f t="shared" si="615"/>
        <v>5</v>
      </c>
      <c r="U1483" t="str">
        <f t="shared" si="613"/>
        <v>N/A</v>
      </c>
      <c r="V1483" t="str">
        <f>"3.3000"</f>
        <v>3.3000</v>
      </c>
    </row>
    <row r="1484" spans="1:22" x14ac:dyDescent="0.25">
      <c r="A1484" s="1" t="str">
        <f t="shared" si="604"/>
        <v>19383</v>
      </c>
      <c r="B1484" s="1" t="str">
        <f t="shared" si="614"/>
        <v>19383</v>
      </c>
      <c r="C1484" s="1">
        <v>19383</v>
      </c>
      <c r="D1484" s="1" t="s">
        <v>8899</v>
      </c>
      <c r="E1484" s="1" t="s">
        <v>37</v>
      </c>
      <c r="F1484" s="1" t="s">
        <v>22</v>
      </c>
      <c r="G1484" s="1" t="e">
        <f>VLOOKUP(C1484,'Master truck list'!E:R,14,0)</f>
        <v>#N/A</v>
      </c>
      <c r="H1484" t="str">
        <f>"12/17/2019 7:00:33 AM"</f>
        <v>12/17/2019 7:00:33 AM</v>
      </c>
      <c r="I1484" t="str">
        <f>""</f>
        <v/>
      </c>
      <c r="J1484" t="str">
        <f t="shared" si="609"/>
        <v>Elite</v>
      </c>
      <c r="K1484" t="str">
        <f t="shared" si="594"/>
        <v>Device</v>
      </c>
      <c r="L1484" t="str">
        <f>"777238008"</f>
        <v>777238008</v>
      </c>
      <c r="M1484" t="str">
        <f>"16670765"</f>
        <v>16670765</v>
      </c>
      <c r="N1484" t="str">
        <f>"19383-20"</f>
        <v>19383-20</v>
      </c>
      <c r="O1484" t="str">
        <f t="shared" si="610"/>
        <v>TEXAS</v>
      </c>
      <c r="P1484" t="str">
        <f t="shared" si="611"/>
        <v>N A</v>
      </c>
      <c r="Q1484" t="str">
        <f t="shared" si="612"/>
        <v>N/A</v>
      </c>
      <c r="R1484" t="str">
        <f>"130 ARPTP 09 308"</f>
        <v>130 ARPTP 09 308</v>
      </c>
      <c r="S1484" t="str">
        <f>"12/16/2019 5:02:02 PM"</f>
        <v>12/16/2019 5:02:02 PM</v>
      </c>
      <c r="T1484" t="str">
        <f t="shared" si="615"/>
        <v>5</v>
      </c>
      <c r="U1484" t="str">
        <f t="shared" si="613"/>
        <v>N/A</v>
      </c>
      <c r="V1484" t="str">
        <f t="shared" ref="V1484:V1490" si="616">"5.5500"</f>
        <v>5.5500</v>
      </c>
    </row>
    <row r="1485" spans="1:22" x14ac:dyDescent="0.25">
      <c r="A1485" s="1" t="str">
        <f t="shared" si="604"/>
        <v>19383</v>
      </c>
      <c r="B1485" s="1" t="str">
        <f t="shared" si="614"/>
        <v>19383</v>
      </c>
      <c r="C1485" s="1">
        <v>19383</v>
      </c>
      <c r="D1485" s="1" t="s">
        <v>8899</v>
      </c>
      <c r="E1485" s="1" t="s">
        <v>37</v>
      </c>
      <c r="F1485" s="1" t="s">
        <v>22</v>
      </c>
      <c r="G1485" s="1" t="e">
        <f>VLOOKUP(C1485,'Master truck list'!E:R,14,0)</f>
        <v>#N/A</v>
      </c>
      <c r="H1485" t="str">
        <f>"12/17/2019 7:00:33 AM"</f>
        <v>12/17/2019 7:00:33 AM</v>
      </c>
      <c r="I1485" t="str">
        <f>""</f>
        <v/>
      </c>
      <c r="J1485" t="str">
        <f t="shared" si="609"/>
        <v>Elite</v>
      </c>
      <c r="K1485" t="str">
        <f t="shared" si="594"/>
        <v>Device</v>
      </c>
      <c r="L1485" t="str">
        <f>"777238008"</f>
        <v>777238008</v>
      </c>
      <c r="M1485" t="str">
        <f>"16670765"</f>
        <v>16670765</v>
      </c>
      <c r="N1485" t="str">
        <f>"19383-20"</f>
        <v>19383-20</v>
      </c>
      <c r="O1485" t="str">
        <f t="shared" si="610"/>
        <v>TEXAS</v>
      </c>
      <c r="P1485" t="str">
        <f t="shared" si="611"/>
        <v>N A</v>
      </c>
      <c r="Q1485" t="str">
        <f t="shared" si="612"/>
        <v>N/A</v>
      </c>
      <c r="R1485" t="str">
        <f>"130 MGCRP 11 305"</f>
        <v>130 MGCRP 11 305</v>
      </c>
      <c r="S1485" t="str">
        <f>"12/16/2019 5:39:47 PM"</f>
        <v>12/16/2019 5:39:47 PM</v>
      </c>
      <c r="T1485" t="str">
        <f t="shared" si="615"/>
        <v>5</v>
      </c>
      <c r="U1485" t="str">
        <f t="shared" si="613"/>
        <v>N/A</v>
      </c>
      <c r="V1485" t="str">
        <f t="shared" si="616"/>
        <v>5.5500</v>
      </c>
    </row>
    <row r="1486" spans="1:22" x14ac:dyDescent="0.25">
      <c r="A1486" s="1" t="str">
        <f t="shared" si="604"/>
        <v>19383</v>
      </c>
      <c r="B1486" s="1" t="str">
        <f t="shared" si="614"/>
        <v>19383</v>
      </c>
      <c r="C1486" s="1">
        <v>19383</v>
      </c>
      <c r="D1486" s="1" t="s">
        <v>8899</v>
      </c>
      <c r="E1486" s="1" t="s">
        <v>37</v>
      </c>
      <c r="F1486" s="1" t="s">
        <v>22</v>
      </c>
      <c r="G1486" s="1" t="e">
        <f>VLOOKUP(C1486,'Master truck list'!E:R,14,0)</f>
        <v>#N/A</v>
      </c>
      <c r="H1486" t="str">
        <f>"12/17/2019 7:00:33 AM"</f>
        <v>12/17/2019 7:00:33 AM</v>
      </c>
      <c r="I1486" t="str">
        <f>""</f>
        <v/>
      </c>
      <c r="J1486" t="str">
        <f t="shared" si="609"/>
        <v>Elite</v>
      </c>
      <c r="K1486" t="str">
        <f t="shared" si="594"/>
        <v>Device</v>
      </c>
      <c r="L1486" t="str">
        <f>"777238008"</f>
        <v>777238008</v>
      </c>
      <c r="M1486" t="str">
        <f>"16670765"</f>
        <v>16670765</v>
      </c>
      <c r="N1486" t="str">
        <f>"19383-20"</f>
        <v>19383-20</v>
      </c>
      <c r="O1486" t="str">
        <f t="shared" si="610"/>
        <v>TEXAS</v>
      </c>
      <c r="P1486" t="str">
        <f t="shared" si="611"/>
        <v>N A</v>
      </c>
      <c r="Q1486" t="str">
        <f t="shared" si="612"/>
        <v>N/A</v>
      </c>
      <c r="R1486" t="str">
        <f>"130 DKCRP 11 307"</f>
        <v>130 DKCRP 11 307</v>
      </c>
      <c r="S1486" t="str">
        <f>"12/16/2019 5:09:52 PM"</f>
        <v>12/16/2019 5:09:52 PM</v>
      </c>
      <c r="T1486" t="str">
        <f t="shared" si="615"/>
        <v>5</v>
      </c>
      <c r="U1486" t="str">
        <f t="shared" si="613"/>
        <v>N/A</v>
      </c>
      <c r="V1486" t="str">
        <f t="shared" si="616"/>
        <v>5.5500</v>
      </c>
    </row>
    <row r="1487" spans="1:22" x14ac:dyDescent="0.25">
      <c r="A1487" s="1" t="str">
        <f t="shared" si="604"/>
        <v>19388</v>
      </c>
      <c r="B1487" s="1" t="str">
        <f t="shared" si="614"/>
        <v>19388</v>
      </c>
      <c r="C1487" s="1" t="s">
        <v>8920</v>
      </c>
      <c r="D1487" s="1" t="s">
        <v>8899</v>
      </c>
      <c r="E1487" s="1" t="s">
        <v>37</v>
      </c>
      <c r="F1487" s="1" t="s">
        <v>22</v>
      </c>
      <c r="G1487" s="1" t="e">
        <f>VLOOKUP(C1487,'Master truck list'!E:R,14,0)</f>
        <v>#N/A</v>
      </c>
      <c r="H1487" t="str">
        <f t="shared" ref="H1487:H1496" si="617">"12/19/2019 7:00:35 AM"</f>
        <v>12/19/2019 7:00:35 AM</v>
      </c>
      <c r="I1487" t="str">
        <f>""</f>
        <v/>
      </c>
      <c r="J1487" t="str">
        <f t="shared" si="609"/>
        <v>Elite</v>
      </c>
      <c r="K1487" t="str">
        <f t="shared" si="594"/>
        <v>Device</v>
      </c>
      <c r="L1487" t="str">
        <f t="shared" ref="L1487:L1496" si="618">"777260325"</f>
        <v>777260325</v>
      </c>
      <c r="M1487" t="str">
        <f t="shared" ref="M1487:M1496" si="619">"16758482"</f>
        <v>16758482</v>
      </c>
      <c r="N1487" t="str">
        <f t="shared" ref="N1487:N1496" si="620">"19388-20"</f>
        <v>19388-20</v>
      </c>
      <c r="O1487" t="str">
        <f t="shared" si="610"/>
        <v>TEXAS</v>
      </c>
      <c r="P1487" t="str">
        <f t="shared" si="611"/>
        <v>N A</v>
      </c>
      <c r="Q1487" t="str">
        <f t="shared" si="612"/>
        <v>N/A</v>
      </c>
      <c r="R1487" t="str">
        <f>"130 ARPTP 04 308"</f>
        <v>130 ARPTP 04 308</v>
      </c>
      <c r="S1487" t="str">
        <f>"12/18/2019 5:21:49 AM"</f>
        <v>12/18/2019 5:21:49 AM</v>
      </c>
      <c r="T1487" t="str">
        <f t="shared" si="615"/>
        <v>5</v>
      </c>
      <c r="U1487" t="str">
        <f t="shared" si="613"/>
        <v>N/A</v>
      </c>
      <c r="V1487" t="str">
        <f t="shared" si="616"/>
        <v>5.5500</v>
      </c>
    </row>
    <row r="1488" spans="1:22" x14ac:dyDescent="0.25">
      <c r="A1488" s="1" t="str">
        <f t="shared" si="604"/>
        <v>19388</v>
      </c>
      <c r="B1488" s="1" t="str">
        <f t="shared" si="614"/>
        <v>19388</v>
      </c>
      <c r="C1488" s="1" t="s">
        <v>8920</v>
      </c>
      <c r="D1488" s="1" t="s">
        <v>8899</v>
      </c>
      <c r="E1488" s="1" t="s">
        <v>37</v>
      </c>
      <c r="F1488" s="1" t="s">
        <v>22</v>
      </c>
      <c r="G1488" s="1" t="e">
        <f>VLOOKUP(C1488,'Master truck list'!E:R,14,0)</f>
        <v>#N/A</v>
      </c>
      <c r="H1488" t="str">
        <f t="shared" si="617"/>
        <v>12/19/2019 7:00:35 AM</v>
      </c>
      <c r="I1488" t="str">
        <f>""</f>
        <v/>
      </c>
      <c r="J1488" t="str">
        <f t="shared" si="609"/>
        <v>Elite</v>
      </c>
      <c r="K1488" t="str">
        <f t="shared" si="594"/>
        <v>Device</v>
      </c>
      <c r="L1488" t="str">
        <f t="shared" si="618"/>
        <v>777260325</v>
      </c>
      <c r="M1488" t="str">
        <f t="shared" si="619"/>
        <v>16758482</v>
      </c>
      <c r="N1488" t="str">
        <f t="shared" si="620"/>
        <v>19388-20</v>
      </c>
      <c r="O1488" t="str">
        <f t="shared" si="610"/>
        <v>TEXAS</v>
      </c>
      <c r="P1488" t="str">
        <f t="shared" si="611"/>
        <v>N A</v>
      </c>
      <c r="Q1488" t="str">
        <f t="shared" si="612"/>
        <v>N/A</v>
      </c>
      <c r="R1488" t="str">
        <f>"130 CMRNP 08 306"</f>
        <v>130 CMRNP 08 306</v>
      </c>
      <c r="S1488" t="str">
        <f>"12/18/2019 4:52:34 AM"</f>
        <v>12/18/2019 4:52:34 AM</v>
      </c>
      <c r="T1488" t="str">
        <f t="shared" si="615"/>
        <v>5</v>
      </c>
      <c r="U1488" t="str">
        <f t="shared" si="613"/>
        <v>N/A</v>
      </c>
      <c r="V1488" t="str">
        <f t="shared" si="616"/>
        <v>5.5500</v>
      </c>
    </row>
    <row r="1489" spans="1:22" x14ac:dyDescent="0.25">
      <c r="A1489" s="1" t="str">
        <f t="shared" si="604"/>
        <v>19388</v>
      </c>
      <c r="B1489" s="1" t="str">
        <f t="shared" si="614"/>
        <v>19388</v>
      </c>
      <c r="C1489" s="1" t="s">
        <v>8920</v>
      </c>
      <c r="D1489" s="1" t="s">
        <v>8899</v>
      </c>
      <c r="E1489" s="1" t="s">
        <v>37</v>
      </c>
      <c r="F1489" s="1" t="s">
        <v>22</v>
      </c>
      <c r="G1489" s="1" t="e">
        <f>VLOOKUP(C1489,'Master truck list'!E:R,14,0)</f>
        <v>#N/A</v>
      </c>
      <c r="H1489" t="str">
        <f t="shared" si="617"/>
        <v>12/19/2019 7:00:35 AM</v>
      </c>
      <c r="I1489" t="str">
        <f>""</f>
        <v/>
      </c>
      <c r="J1489" t="str">
        <f t="shared" si="609"/>
        <v>Elite</v>
      </c>
      <c r="K1489" t="str">
        <f t="shared" si="594"/>
        <v>Device</v>
      </c>
      <c r="L1489" t="str">
        <f t="shared" si="618"/>
        <v>777260325</v>
      </c>
      <c r="M1489" t="str">
        <f t="shared" si="619"/>
        <v>16758482</v>
      </c>
      <c r="N1489" t="str">
        <f t="shared" si="620"/>
        <v>19388-20</v>
      </c>
      <c r="O1489" t="str">
        <f t="shared" si="610"/>
        <v>TEXAS</v>
      </c>
      <c r="P1489" t="str">
        <f t="shared" si="611"/>
        <v>N A</v>
      </c>
      <c r="Q1489" t="str">
        <f t="shared" si="612"/>
        <v>N/A</v>
      </c>
      <c r="R1489" t="str">
        <f>"130 ARPTP 09 308"</f>
        <v>130 ARPTP 09 308</v>
      </c>
      <c r="S1489" t="str">
        <f>"12/18/2019 5:13:06 PM"</f>
        <v>12/18/2019 5:13:06 PM</v>
      </c>
      <c r="T1489" t="str">
        <f t="shared" si="615"/>
        <v>5</v>
      </c>
      <c r="U1489" t="str">
        <f t="shared" si="613"/>
        <v>N/A</v>
      </c>
      <c r="V1489" t="str">
        <f t="shared" si="616"/>
        <v>5.5500</v>
      </c>
    </row>
    <row r="1490" spans="1:22" x14ac:dyDescent="0.25">
      <c r="A1490" s="1" t="str">
        <f t="shared" si="604"/>
        <v>19388</v>
      </c>
      <c r="B1490" s="1" t="str">
        <f t="shared" si="614"/>
        <v>19388</v>
      </c>
      <c r="C1490" s="1" t="s">
        <v>8920</v>
      </c>
      <c r="D1490" s="1" t="s">
        <v>8899</v>
      </c>
      <c r="E1490" s="1" t="s">
        <v>37</v>
      </c>
      <c r="F1490" s="1" t="s">
        <v>22</v>
      </c>
      <c r="G1490" s="1" t="e">
        <f>VLOOKUP(C1490,'Master truck list'!E:R,14,0)</f>
        <v>#N/A</v>
      </c>
      <c r="H1490" t="str">
        <f t="shared" si="617"/>
        <v>12/19/2019 7:00:35 AM</v>
      </c>
      <c r="I1490" t="str">
        <f>""</f>
        <v/>
      </c>
      <c r="J1490" t="str">
        <f t="shared" si="609"/>
        <v>Elite</v>
      </c>
      <c r="K1490" t="str">
        <f t="shared" si="594"/>
        <v>Device</v>
      </c>
      <c r="L1490" t="str">
        <f t="shared" si="618"/>
        <v>777260325</v>
      </c>
      <c r="M1490" t="str">
        <f t="shared" si="619"/>
        <v>16758482</v>
      </c>
      <c r="N1490" t="str">
        <f t="shared" si="620"/>
        <v>19388-20</v>
      </c>
      <c r="O1490" t="str">
        <f t="shared" si="610"/>
        <v>TEXAS</v>
      </c>
      <c r="P1490" t="str">
        <f t="shared" si="611"/>
        <v>N A</v>
      </c>
      <c r="Q1490" t="str">
        <f t="shared" si="612"/>
        <v>N/A</v>
      </c>
      <c r="R1490" t="str">
        <f>"130 CMRNP 13 306"</f>
        <v>130 CMRNP 13 306</v>
      </c>
      <c r="S1490" t="str">
        <f>"12/18/2019 5:37:56 PM"</f>
        <v>12/18/2019 5:37:56 PM</v>
      </c>
      <c r="T1490" t="str">
        <f t="shared" si="615"/>
        <v>5</v>
      </c>
      <c r="U1490" t="str">
        <f t="shared" si="613"/>
        <v>N/A</v>
      </c>
      <c r="V1490" t="str">
        <f t="shared" si="616"/>
        <v>5.5500</v>
      </c>
    </row>
    <row r="1491" spans="1:22" x14ac:dyDescent="0.25">
      <c r="A1491" s="1" t="str">
        <f t="shared" si="604"/>
        <v>19388</v>
      </c>
      <c r="B1491" s="1" t="str">
        <f t="shared" si="614"/>
        <v>19388</v>
      </c>
      <c r="C1491" s="1" t="s">
        <v>8920</v>
      </c>
      <c r="D1491" s="1" t="s">
        <v>8899</v>
      </c>
      <c r="E1491" s="1" t="s">
        <v>37</v>
      </c>
      <c r="F1491" s="1" t="s">
        <v>22</v>
      </c>
      <c r="G1491" s="1" t="e">
        <f>VLOOKUP(C1491,'Master truck list'!E:R,14,0)</f>
        <v>#N/A</v>
      </c>
      <c r="H1491" t="str">
        <f t="shared" si="617"/>
        <v>12/19/2019 7:00:35 AM</v>
      </c>
      <c r="I1491" t="str">
        <f>""</f>
        <v/>
      </c>
      <c r="J1491" t="str">
        <f t="shared" si="609"/>
        <v>Elite</v>
      </c>
      <c r="K1491" t="str">
        <f t="shared" si="594"/>
        <v>Device</v>
      </c>
      <c r="L1491" t="str">
        <f t="shared" si="618"/>
        <v>777260325</v>
      </c>
      <c r="M1491" t="str">
        <f t="shared" si="619"/>
        <v>16758482</v>
      </c>
      <c r="N1491" t="str">
        <f t="shared" si="620"/>
        <v>19388-20</v>
      </c>
      <c r="O1491" t="str">
        <f t="shared" si="610"/>
        <v>TEXAS</v>
      </c>
      <c r="P1491" t="str">
        <f t="shared" si="611"/>
        <v>N A</v>
      </c>
      <c r="Q1491" t="str">
        <f t="shared" si="612"/>
        <v>N/A</v>
      </c>
      <c r="R1491" t="str">
        <f>"45SE MLPWB 01 611"</f>
        <v>45SE MLPWB 01 611</v>
      </c>
      <c r="S1491" t="str">
        <f>"12/18/2019 5:32:56 AM"</f>
        <v>12/18/2019 5:32:56 AM</v>
      </c>
      <c r="T1491" t="str">
        <f t="shared" si="615"/>
        <v>5</v>
      </c>
      <c r="U1491" t="str">
        <f t="shared" si="613"/>
        <v>N/A</v>
      </c>
      <c r="V1491" t="str">
        <f>"3.3000"</f>
        <v>3.3000</v>
      </c>
    </row>
    <row r="1492" spans="1:22" x14ac:dyDescent="0.25">
      <c r="A1492" s="1" t="str">
        <f t="shared" si="604"/>
        <v>19388</v>
      </c>
      <c r="B1492" s="1" t="str">
        <f t="shared" si="614"/>
        <v>19388</v>
      </c>
      <c r="C1492" s="1" t="s">
        <v>8920</v>
      </c>
      <c r="D1492" s="1" t="s">
        <v>8899</v>
      </c>
      <c r="E1492" s="1" t="s">
        <v>37</v>
      </c>
      <c r="F1492" s="1" t="s">
        <v>22</v>
      </c>
      <c r="G1492" s="1" t="e">
        <f>VLOOKUP(C1492,'Master truck list'!E:R,14,0)</f>
        <v>#N/A</v>
      </c>
      <c r="H1492" t="str">
        <f t="shared" si="617"/>
        <v>12/19/2019 7:00:35 AM</v>
      </c>
      <c r="I1492" t="str">
        <f>""</f>
        <v/>
      </c>
      <c r="J1492" t="str">
        <f t="shared" si="609"/>
        <v>Elite</v>
      </c>
      <c r="K1492" t="str">
        <f t="shared" si="594"/>
        <v>Device</v>
      </c>
      <c r="L1492" t="str">
        <f t="shared" si="618"/>
        <v>777260325</v>
      </c>
      <c r="M1492" t="str">
        <f t="shared" si="619"/>
        <v>16758482</v>
      </c>
      <c r="N1492" t="str">
        <f t="shared" si="620"/>
        <v>19388-20</v>
      </c>
      <c r="O1492" t="str">
        <f t="shared" si="610"/>
        <v>TEXAS</v>
      </c>
      <c r="P1492" t="str">
        <f t="shared" si="611"/>
        <v>N A</v>
      </c>
      <c r="Q1492" t="str">
        <f t="shared" si="612"/>
        <v>N/A</v>
      </c>
      <c r="R1492" t="str">
        <f>"130 MGCRP 11 305"</f>
        <v>130 MGCRP 11 305</v>
      </c>
      <c r="S1492" t="str">
        <f>"12/18/2019 5:49:49 PM"</f>
        <v>12/18/2019 5:49:49 PM</v>
      </c>
      <c r="T1492" t="str">
        <f t="shared" si="615"/>
        <v>5</v>
      </c>
      <c r="U1492" t="str">
        <f t="shared" si="613"/>
        <v>N/A</v>
      </c>
      <c r="V1492" t="str">
        <f>"5.5500"</f>
        <v>5.5500</v>
      </c>
    </row>
    <row r="1493" spans="1:22" x14ac:dyDescent="0.25">
      <c r="A1493" s="1" t="str">
        <f t="shared" si="604"/>
        <v>19388</v>
      </c>
      <c r="B1493" s="1" t="str">
        <f t="shared" si="614"/>
        <v>19388</v>
      </c>
      <c r="C1493" s="1" t="s">
        <v>8920</v>
      </c>
      <c r="D1493" s="1" t="s">
        <v>8899</v>
      </c>
      <c r="E1493" s="1" t="s">
        <v>37</v>
      </c>
      <c r="F1493" s="1" t="s">
        <v>22</v>
      </c>
      <c r="G1493" s="1" t="e">
        <f>VLOOKUP(C1493,'Master truck list'!E:R,14,0)</f>
        <v>#N/A</v>
      </c>
      <c r="H1493" t="str">
        <f t="shared" si="617"/>
        <v>12/19/2019 7:00:35 AM</v>
      </c>
      <c r="I1493" t="str">
        <f>""</f>
        <v/>
      </c>
      <c r="J1493" t="str">
        <f t="shared" si="609"/>
        <v>Elite</v>
      </c>
      <c r="K1493" t="str">
        <f t="shared" si="594"/>
        <v>Device</v>
      </c>
      <c r="L1493" t="str">
        <f t="shared" si="618"/>
        <v>777260325</v>
      </c>
      <c r="M1493" t="str">
        <f t="shared" si="619"/>
        <v>16758482</v>
      </c>
      <c r="N1493" t="str">
        <f t="shared" si="620"/>
        <v>19388-20</v>
      </c>
      <c r="O1493" t="str">
        <f t="shared" si="610"/>
        <v>TEXAS</v>
      </c>
      <c r="P1493" t="str">
        <f t="shared" si="611"/>
        <v>N A</v>
      </c>
      <c r="Q1493" t="str">
        <f t="shared" si="612"/>
        <v>N/A</v>
      </c>
      <c r="R1493" t="str">
        <f>"45SE MLPEB 02 611"</f>
        <v>45SE MLPEB 02 611</v>
      </c>
      <c r="S1493" t="str">
        <f>"12/18/2019 4:54:43 PM"</f>
        <v>12/18/2019 4:54:43 PM</v>
      </c>
      <c r="T1493" t="str">
        <f t="shared" si="615"/>
        <v>5</v>
      </c>
      <c r="U1493" t="str">
        <f t="shared" si="613"/>
        <v>N/A</v>
      </c>
      <c r="V1493" t="str">
        <f>"3.3000"</f>
        <v>3.3000</v>
      </c>
    </row>
    <row r="1494" spans="1:22" x14ac:dyDescent="0.25">
      <c r="A1494" s="1" t="str">
        <f t="shared" si="604"/>
        <v>19388</v>
      </c>
      <c r="B1494" s="1" t="str">
        <f t="shared" si="614"/>
        <v>19388</v>
      </c>
      <c r="C1494" s="1" t="s">
        <v>8920</v>
      </c>
      <c r="D1494" s="1" t="s">
        <v>8899</v>
      </c>
      <c r="E1494" s="1" t="s">
        <v>37</v>
      </c>
      <c r="F1494" s="1" t="s">
        <v>22</v>
      </c>
      <c r="G1494" s="1" t="e">
        <f>VLOOKUP(C1494,'Master truck list'!E:R,14,0)</f>
        <v>#N/A</v>
      </c>
      <c r="H1494" t="str">
        <f t="shared" si="617"/>
        <v>12/19/2019 7:00:35 AM</v>
      </c>
      <c r="I1494" t="str">
        <f>""</f>
        <v/>
      </c>
      <c r="J1494" t="str">
        <f t="shared" si="609"/>
        <v>Elite</v>
      </c>
      <c r="K1494" t="str">
        <f t="shared" si="594"/>
        <v>Device</v>
      </c>
      <c r="L1494" t="str">
        <f t="shared" si="618"/>
        <v>777260325</v>
      </c>
      <c r="M1494" t="str">
        <f t="shared" si="619"/>
        <v>16758482</v>
      </c>
      <c r="N1494" t="str">
        <f t="shared" si="620"/>
        <v>19388-20</v>
      </c>
      <c r="O1494" t="str">
        <f t="shared" si="610"/>
        <v>TEXAS</v>
      </c>
      <c r="P1494" t="str">
        <f t="shared" si="611"/>
        <v>N A</v>
      </c>
      <c r="Q1494" t="str">
        <f t="shared" si="612"/>
        <v>N/A</v>
      </c>
      <c r="R1494" t="str">
        <f>"130 MGCRP 06 305"</f>
        <v>130 MGCRP 06 305</v>
      </c>
      <c r="S1494" t="str">
        <f>"12/18/2019 4:41:03 AM"</f>
        <v>12/18/2019 4:41:03 AM</v>
      </c>
      <c r="T1494" t="str">
        <f t="shared" si="615"/>
        <v>5</v>
      </c>
      <c r="U1494" t="str">
        <f t="shared" si="613"/>
        <v>N/A</v>
      </c>
      <c r="V1494" t="str">
        <f t="shared" ref="V1494:V1501" si="621">"5.5500"</f>
        <v>5.5500</v>
      </c>
    </row>
    <row r="1495" spans="1:22" x14ac:dyDescent="0.25">
      <c r="A1495" s="1" t="str">
        <f t="shared" si="604"/>
        <v>19388</v>
      </c>
      <c r="B1495" s="1" t="str">
        <f t="shared" si="614"/>
        <v>19388</v>
      </c>
      <c r="C1495" s="1" t="s">
        <v>8920</v>
      </c>
      <c r="D1495" s="1" t="s">
        <v>8899</v>
      </c>
      <c r="E1495" s="1" t="s">
        <v>37</v>
      </c>
      <c r="F1495" s="1" t="s">
        <v>22</v>
      </c>
      <c r="G1495" s="1" t="e">
        <f>VLOOKUP(C1495,'Master truck list'!E:R,14,0)</f>
        <v>#N/A</v>
      </c>
      <c r="H1495" t="str">
        <f t="shared" si="617"/>
        <v>12/19/2019 7:00:35 AM</v>
      </c>
      <c r="I1495" t="str">
        <f>""</f>
        <v/>
      </c>
      <c r="J1495" t="str">
        <f t="shared" si="609"/>
        <v>Elite</v>
      </c>
      <c r="K1495" t="str">
        <f t="shared" si="594"/>
        <v>Device</v>
      </c>
      <c r="L1495" t="str">
        <f t="shared" si="618"/>
        <v>777260325</v>
      </c>
      <c r="M1495" t="str">
        <f t="shared" si="619"/>
        <v>16758482</v>
      </c>
      <c r="N1495" t="str">
        <f t="shared" si="620"/>
        <v>19388-20</v>
      </c>
      <c r="O1495" t="str">
        <f t="shared" si="610"/>
        <v>TEXAS</v>
      </c>
      <c r="P1495" t="str">
        <f t="shared" si="611"/>
        <v>N A</v>
      </c>
      <c r="Q1495" t="str">
        <f t="shared" si="612"/>
        <v>N/A</v>
      </c>
      <c r="R1495" t="str">
        <f>"130 DKCRP 06 307"</f>
        <v>130 DKCRP 06 307</v>
      </c>
      <c r="S1495" t="str">
        <f>"12/18/2019 5:04:40 AM"</f>
        <v>12/18/2019 5:04:40 AM</v>
      </c>
      <c r="T1495" t="str">
        <f t="shared" si="615"/>
        <v>5</v>
      </c>
      <c r="U1495" t="str">
        <f t="shared" si="613"/>
        <v>N/A</v>
      </c>
      <c r="V1495" t="str">
        <f t="shared" si="621"/>
        <v>5.5500</v>
      </c>
    </row>
    <row r="1496" spans="1:22" x14ac:dyDescent="0.25">
      <c r="A1496" s="1" t="str">
        <f t="shared" si="604"/>
        <v>19388</v>
      </c>
      <c r="B1496" s="1" t="str">
        <f t="shared" si="614"/>
        <v>19388</v>
      </c>
      <c r="C1496" s="1" t="s">
        <v>8920</v>
      </c>
      <c r="D1496" s="1" t="s">
        <v>8899</v>
      </c>
      <c r="E1496" s="1" t="s">
        <v>37</v>
      </c>
      <c r="F1496" s="1" t="s">
        <v>22</v>
      </c>
      <c r="G1496" s="1" t="e">
        <f>VLOOKUP(C1496,'Master truck list'!E:R,14,0)</f>
        <v>#N/A</v>
      </c>
      <c r="H1496" t="str">
        <f t="shared" si="617"/>
        <v>12/19/2019 7:00:35 AM</v>
      </c>
      <c r="I1496" t="str">
        <f>""</f>
        <v/>
      </c>
      <c r="J1496" t="str">
        <f t="shared" si="609"/>
        <v>Elite</v>
      </c>
      <c r="K1496" t="str">
        <f t="shared" si="594"/>
        <v>Device</v>
      </c>
      <c r="L1496" t="str">
        <f t="shared" si="618"/>
        <v>777260325</v>
      </c>
      <c r="M1496" t="str">
        <f t="shared" si="619"/>
        <v>16758482</v>
      </c>
      <c r="N1496" t="str">
        <f t="shared" si="620"/>
        <v>19388-20</v>
      </c>
      <c r="O1496" t="str">
        <f t="shared" si="610"/>
        <v>TEXAS</v>
      </c>
      <c r="P1496" t="str">
        <f t="shared" si="611"/>
        <v>N A</v>
      </c>
      <c r="Q1496" t="str">
        <f t="shared" si="612"/>
        <v>N/A</v>
      </c>
      <c r="R1496" t="str">
        <f>"130 DKCRP 11 307"</f>
        <v>130 DKCRP 11 307</v>
      </c>
      <c r="S1496" t="str">
        <f>"12/18/2019 5:21:08 PM"</f>
        <v>12/18/2019 5:21:08 PM</v>
      </c>
      <c r="T1496" t="str">
        <f t="shared" si="615"/>
        <v>5</v>
      </c>
      <c r="U1496" t="str">
        <f t="shared" si="613"/>
        <v>N/A</v>
      </c>
      <c r="V1496" t="str">
        <f t="shared" si="621"/>
        <v>5.5500</v>
      </c>
    </row>
    <row r="1497" spans="1:22" x14ac:dyDescent="0.25">
      <c r="A1497" s="1" t="str">
        <f t="shared" si="604"/>
        <v>19390</v>
      </c>
      <c r="B1497" s="1" t="str">
        <f t="shared" si="614"/>
        <v>19390</v>
      </c>
      <c r="C1497" s="1" t="s">
        <v>8931</v>
      </c>
      <c r="D1497" s="1" t="s">
        <v>8899</v>
      </c>
      <c r="E1497" s="1" t="s">
        <v>37</v>
      </c>
      <c r="F1497" s="1" t="s">
        <v>22</v>
      </c>
      <c r="G1497" s="1" t="e">
        <f>VLOOKUP(C1497,'Master truck list'!E:R,14,0)</f>
        <v>#N/A</v>
      </c>
      <c r="H1497" t="str">
        <f>"12/20/2019 7:00:30 AM"</f>
        <v>12/20/2019 7:00:30 AM</v>
      </c>
      <c r="I1497" t="str">
        <f>""</f>
        <v/>
      </c>
      <c r="J1497" t="str">
        <f t="shared" si="609"/>
        <v>Elite</v>
      </c>
      <c r="K1497" t="str">
        <f t="shared" ref="K1497:K1543" si="622">"Device"</f>
        <v>Device</v>
      </c>
      <c r="L1497" t="str">
        <f t="shared" ref="L1497:L1506" si="623">"777260316"</f>
        <v>777260316</v>
      </c>
      <c r="M1497" t="str">
        <f t="shared" ref="M1497:M1506" si="624">"16758473"</f>
        <v>16758473</v>
      </c>
      <c r="N1497" t="str">
        <f t="shared" ref="N1497:N1506" si="625">"19390-20"</f>
        <v>19390-20</v>
      </c>
      <c r="O1497" t="str">
        <f t="shared" si="610"/>
        <v>TEXAS</v>
      </c>
      <c r="P1497" t="str">
        <f t="shared" si="611"/>
        <v>N A</v>
      </c>
      <c r="Q1497" t="str">
        <f t="shared" si="612"/>
        <v>N/A</v>
      </c>
      <c r="R1497" t="str">
        <f>"130 ARPTP 04 308"</f>
        <v>130 ARPTP 04 308</v>
      </c>
      <c r="S1497" t="str">
        <f>"12/19/2019 2:13:24 PM"</f>
        <v>12/19/2019 2:13:24 PM</v>
      </c>
      <c r="T1497" t="str">
        <f t="shared" si="615"/>
        <v>5</v>
      </c>
      <c r="U1497" t="str">
        <f t="shared" si="613"/>
        <v>N/A</v>
      </c>
      <c r="V1497" t="str">
        <f t="shared" si="621"/>
        <v>5.5500</v>
      </c>
    </row>
    <row r="1498" spans="1:22" x14ac:dyDescent="0.25">
      <c r="A1498" s="1" t="str">
        <f t="shared" si="604"/>
        <v>19390</v>
      </c>
      <c r="B1498" s="1" t="str">
        <f t="shared" si="614"/>
        <v>19390</v>
      </c>
      <c r="C1498" s="1" t="s">
        <v>8931</v>
      </c>
      <c r="D1498" s="1" t="s">
        <v>8899</v>
      </c>
      <c r="E1498" s="1" t="s">
        <v>37</v>
      </c>
      <c r="F1498" s="1" t="s">
        <v>22</v>
      </c>
      <c r="G1498" s="1" t="e">
        <f>VLOOKUP(C1498,'Master truck list'!E:R,14,0)</f>
        <v>#N/A</v>
      </c>
      <c r="H1498" t="str">
        <f>"12/20/2019 7:00:30 AM"</f>
        <v>12/20/2019 7:00:30 AM</v>
      </c>
      <c r="I1498" t="str">
        <f>""</f>
        <v/>
      </c>
      <c r="J1498" t="str">
        <f t="shared" si="609"/>
        <v>Elite</v>
      </c>
      <c r="K1498" t="str">
        <f t="shared" si="622"/>
        <v>Device</v>
      </c>
      <c r="L1498" t="str">
        <f t="shared" si="623"/>
        <v>777260316</v>
      </c>
      <c r="M1498" t="str">
        <f t="shared" si="624"/>
        <v>16758473</v>
      </c>
      <c r="N1498" t="str">
        <f t="shared" si="625"/>
        <v>19390-20</v>
      </c>
      <c r="O1498" t="str">
        <f t="shared" si="610"/>
        <v>TEXAS</v>
      </c>
      <c r="P1498" t="str">
        <f t="shared" si="611"/>
        <v>N A</v>
      </c>
      <c r="Q1498" t="str">
        <f t="shared" si="612"/>
        <v>N/A</v>
      </c>
      <c r="R1498" t="str">
        <f>"130 DKCRP 06 307"</f>
        <v>130 DKCRP 06 307</v>
      </c>
      <c r="S1498" t="str">
        <f>"12/19/2019 2:06:16 PM"</f>
        <v>12/19/2019 2:06:16 PM</v>
      </c>
      <c r="T1498" t="str">
        <f t="shared" si="615"/>
        <v>5</v>
      </c>
      <c r="U1498" t="str">
        <f t="shared" si="613"/>
        <v>N/A</v>
      </c>
      <c r="V1498" t="str">
        <f t="shared" si="621"/>
        <v>5.5500</v>
      </c>
    </row>
    <row r="1499" spans="1:22" x14ac:dyDescent="0.25">
      <c r="A1499" s="1" t="str">
        <f t="shared" si="604"/>
        <v>19390</v>
      </c>
      <c r="B1499" s="1" t="str">
        <f t="shared" si="614"/>
        <v>19390</v>
      </c>
      <c r="C1499" s="1" t="s">
        <v>8931</v>
      </c>
      <c r="D1499" s="1" t="s">
        <v>8899</v>
      </c>
      <c r="E1499" s="1" t="s">
        <v>37</v>
      </c>
      <c r="F1499" s="1" t="s">
        <v>22</v>
      </c>
      <c r="G1499" s="1" t="e">
        <f>VLOOKUP(C1499,'Master truck list'!E:R,14,0)</f>
        <v>#N/A</v>
      </c>
      <c r="H1499" t="str">
        <f>"12/21/2019 7:00:28 AM"</f>
        <v>12/21/2019 7:00:28 AM</v>
      </c>
      <c r="I1499" t="str">
        <f>""</f>
        <v/>
      </c>
      <c r="J1499" t="str">
        <f t="shared" si="609"/>
        <v>Elite</v>
      </c>
      <c r="K1499" t="str">
        <f t="shared" si="622"/>
        <v>Device</v>
      </c>
      <c r="L1499" t="str">
        <f t="shared" si="623"/>
        <v>777260316</v>
      </c>
      <c r="M1499" t="str">
        <f t="shared" si="624"/>
        <v>16758473</v>
      </c>
      <c r="N1499" t="str">
        <f t="shared" si="625"/>
        <v>19390-20</v>
      </c>
      <c r="O1499" t="str">
        <f t="shared" si="610"/>
        <v>TEXAS</v>
      </c>
      <c r="P1499" t="str">
        <f t="shared" si="611"/>
        <v>N A</v>
      </c>
      <c r="Q1499" t="str">
        <f t="shared" si="612"/>
        <v>N/A</v>
      </c>
      <c r="R1499" t="str">
        <f>"130 ARPTP 09 308"</f>
        <v>130 ARPTP 09 308</v>
      </c>
      <c r="S1499" t="str">
        <f>"12/20/2019 6:48:04 AM"</f>
        <v>12/20/2019 6:48:04 AM</v>
      </c>
      <c r="T1499" t="str">
        <f t="shared" si="615"/>
        <v>5</v>
      </c>
      <c r="U1499" t="str">
        <f t="shared" si="613"/>
        <v>N/A</v>
      </c>
      <c r="V1499" t="str">
        <f t="shared" si="621"/>
        <v>5.5500</v>
      </c>
    </row>
    <row r="1500" spans="1:22" x14ac:dyDescent="0.25">
      <c r="A1500" s="1" t="str">
        <f t="shared" si="604"/>
        <v>19390</v>
      </c>
      <c r="B1500" s="1" t="str">
        <f t="shared" si="614"/>
        <v>19390</v>
      </c>
      <c r="C1500" s="1" t="s">
        <v>8931</v>
      </c>
      <c r="D1500" s="1" t="s">
        <v>8899</v>
      </c>
      <c r="E1500" s="1" t="s">
        <v>37</v>
      </c>
      <c r="F1500" s="1" t="s">
        <v>22</v>
      </c>
      <c r="G1500" s="1" t="e">
        <f>VLOOKUP(C1500,'Master truck list'!E:R,14,0)</f>
        <v>#N/A</v>
      </c>
      <c r="H1500" t="str">
        <f>"12/21/2019 7:00:28 AM"</f>
        <v>12/21/2019 7:00:28 AM</v>
      </c>
      <c r="I1500" t="str">
        <f>""</f>
        <v/>
      </c>
      <c r="J1500" t="str">
        <f t="shared" si="609"/>
        <v>Elite</v>
      </c>
      <c r="K1500" t="str">
        <f t="shared" si="622"/>
        <v>Device</v>
      </c>
      <c r="L1500" t="str">
        <f t="shared" si="623"/>
        <v>777260316</v>
      </c>
      <c r="M1500" t="str">
        <f t="shared" si="624"/>
        <v>16758473</v>
      </c>
      <c r="N1500" t="str">
        <f t="shared" si="625"/>
        <v>19390-20</v>
      </c>
      <c r="O1500" t="str">
        <f t="shared" si="610"/>
        <v>TEXAS</v>
      </c>
      <c r="P1500" t="str">
        <f t="shared" si="611"/>
        <v>N A</v>
      </c>
      <c r="Q1500" t="str">
        <f t="shared" si="612"/>
        <v>N/A</v>
      </c>
      <c r="R1500" t="str">
        <f>"130 CMRNP 13 306"</f>
        <v>130 CMRNP 13 306</v>
      </c>
      <c r="S1500" t="str">
        <f>"12/20/2019 7:05:34 AM"</f>
        <v>12/20/2019 7:05:34 AM</v>
      </c>
      <c r="T1500" t="str">
        <f t="shared" si="615"/>
        <v>5</v>
      </c>
      <c r="U1500" t="str">
        <f t="shared" si="613"/>
        <v>N/A</v>
      </c>
      <c r="V1500" t="str">
        <f t="shared" si="621"/>
        <v>5.5500</v>
      </c>
    </row>
    <row r="1501" spans="1:22" x14ac:dyDescent="0.25">
      <c r="A1501" s="1" t="str">
        <f t="shared" si="604"/>
        <v>19390</v>
      </c>
      <c r="B1501" s="1" t="str">
        <f t="shared" si="614"/>
        <v>19390</v>
      </c>
      <c r="C1501" s="1" t="s">
        <v>8931</v>
      </c>
      <c r="D1501" s="1" t="s">
        <v>8899</v>
      </c>
      <c r="E1501" s="1" t="s">
        <v>37</v>
      </c>
      <c r="F1501" s="1" t="s">
        <v>22</v>
      </c>
      <c r="G1501" s="1" t="e">
        <f>VLOOKUP(C1501,'Master truck list'!E:R,14,0)</f>
        <v>#N/A</v>
      </c>
      <c r="H1501" t="str">
        <f>"12/20/2019 7:00:30 AM"</f>
        <v>12/20/2019 7:00:30 AM</v>
      </c>
      <c r="I1501" t="str">
        <f>""</f>
        <v/>
      </c>
      <c r="J1501" t="str">
        <f t="shared" si="609"/>
        <v>Elite</v>
      </c>
      <c r="K1501" t="str">
        <f t="shared" si="622"/>
        <v>Device</v>
      </c>
      <c r="L1501" t="str">
        <f t="shared" si="623"/>
        <v>777260316</v>
      </c>
      <c r="M1501" t="str">
        <f t="shared" si="624"/>
        <v>16758473</v>
      </c>
      <c r="N1501" t="str">
        <f t="shared" si="625"/>
        <v>19390-20</v>
      </c>
      <c r="O1501" t="str">
        <f t="shared" si="610"/>
        <v>TEXAS</v>
      </c>
      <c r="P1501" t="str">
        <f t="shared" si="611"/>
        <v>N A</v>
      </c>
      <c r="Q1501" t="str">
        <f t="shared" si="612"/>
        <v>N/A</v>
      </c>
      <c r="R1501" t="str">
        <f>"130 MGCRP 06 305"</f>
        <v>130 MGCRP 06 305</v>
      </c>
      <c r="S1501" t="str">
        <f>"12/19/2019 1:44:40 PM"</f>
        <v>12/19/2019 1:44:40 PM</v>
      </c>
      <c r="T1501" t="str">
        <f t="shared" si="615"/>
        <v>5</v>
      </c>
      <c r="U1501" t="str">
        <f t="shared" si="613"/>
        <v>N/A</v>
      </c>
      <c r="V1501" t="str">
        <f t="shared" si="621"/>
        <v>5.5500</v>
      </c>
    </row>
    <row r="1502" spans="1:22" x14ac:dyDescent="0.25">
      <c r="A1502" s="1" t="str">
        <f t="shared" si="604"/>
        <v>19390</v>
      </c>
      <c r="B1502" s="1" t="str">
        <f t="shared" si="614"/>
        <v>19390</v>
      </c>
      <c r="C1502" s="1" t="s">
        <v>8931</v>
      </c>
      <c r="D1502" s="1" t="s">
        <v>8899</v>
      </c>
      <c r="E1502" s="1" t="s">
        <v>37</v>
      </c>
      <c r="F1502" s="1" t="s">
        <v>22</v>
      </c>
      <c r="G1502" s="1" t="e">
        <f>VLOOKUP(C1502,'Master truck list'!E:R,14,0)</f>
        <v>#N/A</v>
      </c>
      <c r="H1502" t="str">
        <f>"12/20/2019 7:00:30 AM"</f>
        <v>12/20/2019 7:00:30 AM</v>
      </c>
      <c r="I1502" t="str">
        <f>""</f>
        <v/>
      </c>
      <c r="J1502" t="str">
        <f t="shared" si="609"/>
        <v>Elite</v>
      </c>
      <c r="K1502" t="str">
        <f t="shared" si="622"/>
        <v>Device</v>
      </c>
      <c r="L1502" t="str">
        <f t="shared" si="623"/>
        <v>777260316</v>
      </c>
      <c r="M1502" t="str">
        <f t="shared" si="624"/>
        <v>16758473</v>
      </c>
      <c r="N1502" t="str">
        <f t="shared" si="625"/>
        <v>19390-20</v>
      </c>
      <c r="O1502" t="str">
        <f t="shared" si="610"/>
        <v>TEXAS</v>
      </c>
      <c r="P1502" t="str">
        <f t="shared" si="611"/>
        <v>N A</v>
      </c>
      <c r="Q1502" t="str">
        <f t="shared" si="612"/>
        <v>N/A</v>
      </c>
      <c r="R1502" t="str">
        <f>"45SE MLPWB 01 611"</f>
        <v>45SE MLPWB 01 611</v>
      </c>
      <c r="S1502" t="str">
        <f>"12/19/2019 2:24:17 PM"</f>
        <v>12/19/2019 2:24:17 PM</v>
      </c>
      <c r="T1502" t="str">
        <f t="shared" si="615"/>
        <v>5</v>
      </c>
      <c r="U1502" t="str">
        <f t="shared" si="613"/>
        <v>N/A</v>
      </c>
      <c r="V1502" t="str">
        <f>"3.3000"</f>
        <v>3.3000</v>
      </c>
    </row>
    <row r="1503" spans="1:22" x14ac:dyDescent="0.25">
      <c r="A1503" s="1" t="str">
        <f t="shared" si="604"/>
        <v>19390</v>
      </c>
      <c r="B1503" s="1" t="str">
        <f t="shared" si="614"/>
        <v>19390</v>
      </c>
      <c r="C1503" s="1" t="s">
        <v>8931</v>
      </c>
      <c r="D1503" s="1" t="s">
        <v>8899</v>
      </c>
      <c r="E1503" s="1" t="s">
        <v>37</v>
      </c>
      <c r="F1503" s="1" t="s">
        <v>22</v>
      </c>
      <c r="G1503" s="1" t="e">
        <f>VLOOKUP(C1503,'Master truck list'!E:R,14,0)</f>
        <v>#N/A</v>
      </c>
      <c r="H1503" t="str">
        <f>"12/20/2019 7:00:30 AM"</f>
        <v>12/20/2019 7:00:30 AM</v>
      </c>
      <c r="I1503" t="str">
        <f>""</f>
        <v/>
      </c>
      <c r="J1503" t="str">
        <f t="shared" si="609"/>
        <v>Elite</v>
      </c>
      <c r="K1503" t="str">
        <f t="shared" si="622"/>
        <v>Device</v>
      </c>
      <c r="L1503" t="str">
        <f t="shared" si="623"/>
        <v>777260316</v>
      </c>
      <c r="M1503" t="str">
        <f t="shared" si="624"/>
        <v>16758473</v>
      </c>
      <c r="N1503" t="str">
        <f t="shared" si="625"/>
        <v>19390-20</v>
      </c>
      <c r="O1503" t="str">
        <f t="shared" si="610"/>
        <v>TEXAS</v>
      </c>
      <c r="P1503" t="str">
        <f t="shared" si="611"/>
        <v>N A</v>
      </c>
      <c r="Q1503" t="str">
        <f t="shared" si="612"/>
        <v>N/A</v>
      </c>
      <c r="R1503" t="str">
        <f>"130 CMRNP 08 306"</f>
        <v>130 CMRNP 08 306</v>
      </c>
      <c r="S1503" t="str">
        <f>"12/19/2019 1:55:59 PM"</f>
        <v>12/19/2019 1:55:59 PM</v>
      </c>
      <c r="T1503" t="str">
        <f t="shared" si="615"/>
        <v>5</v>
      </c>
      <c r="U1503" t="str">
        <f t="shared" si="613"/>
        <v>N/A</v>
      </c>
      <c r="V1503" t="str">
        <f>"5.5500"</f>
        <v>5.5500</v>
      </c>
    </row>
    <row r="1504" spans="1:22" x14ac:dyDescent="0.25">
      <c r="A1504" s="1" t="str">
        <f t="shared" si="604"/>
        <v>19390</v>
      </c>
      <c r="B1504" s="1" t="str">
        <f t="shared" si="614"/>
        <v>19390</v>
      </c>
      <c r="C1504" s="1" t="s">
        <v>8931</v>
      </c>
      <c r="D1504" s="1" t="s">
        <v>8899</v>
      </c>
      <c r="E1504" s="1" t="s">
        <v>37</v>
      </c>
      <c r="F1504" s="1" t="s">
        <v>22</v>
      </c>
      <c r="G1504" s="1" t="e">
        <f>VLOOKUP(C1504,'Master truck list'!E:R,14,0)</f>
        <v>#N/A</v>
      </c>
      <c r="H1504" t="str">
        <f>"12/21/2019 7:00:28 AM"</f>
        <v>12/21/2019 7:00:28 AM</v>
      </c>
      <c r="I1504" t="str">
        <f>""</f>
        <v/>
      </c>
      <c r="J1504" t="str">
        <f t="shared" si="609"/>
        <v>Elite</v>
      </c>
      <c r="K1504" t="str">
        <f t="shared" si="622"/>
        <v>Device</v>
      </c>
      <c r="L1504" t="str">
        <f t="shared" si="623"/>
        <v>777260316</v>
      </c>
      <c r="M1504" t="str">
        <f t="shared" si="624"/>
        <v>16758473</v>
      </c>
      <c r="N1504" t="str">
        <f t="shared" si="625"/>
        <v>19390-20</v>
      </c>
      <c r="O1504" t="str">
        <f t="shared" si="610"/>
        <v>TEXAS</v>
      </c>
      <c r="P1504" t="str">
        <f t="shared" si="611"/>
        <v>N A</v>
      </c>
      <c r="Q1504" t="str">
        <f t="shared" si="612"/>
        <v>N/A</v>
      </c>
      <c r="R1504" t="str">
        <f>"130 DKCRP 11 307"</f>
        <v>130 DKCRP 11 307</v>
      </c>
      <c r="S1504" t="str">
        <f>"12/20/2019 6:55:14 AM"</f>
        <v>12/20/2019 6:55:14 AM</v>
      </c>
      <c r="T1504" t="str">
        <f t="shared" si="615"/>
        <v>5</v>
      </c>
      <c r="U1504" t="str">
        <f t="shared" si="613"/>
        <v>N/A</v>
      </c>
      <c r="V1504" t="str">
        <f>"5.5500"</f>
        <v>5.5500</v>
      </c>
    </row>
    <row r="1505" spans="1:22" x14ac:dyDescent="0.25">
      <c r="A1505" s="1" t="str">
        <f t="shared" si="604"/>
        <v>19390</v>
      </c>
      <c r="B1505" s="1" t="str">
        <f t="shared" si="614"/>
        <v>19390</v>
      </c>
      <c r="C1505" s="1" t="s">
        <v>8931</v>
      </c>
      <c r="D1505" s="1" t="s">
        <v>8899</v>
      </c>
      <c r="E1505" s="1" t="s">
        <v>37</v>
      </c>
      <c r="F1505" s="1" t="s">
        <v>22</v>
      </c>
      <c r="G1505" s="1" t="e">
        <f>VLOOKUP(C1505,'Master truck list'!E:R,14,0)</f>
        <v>#N/A</v>
      </c>
      <c r="H1505" t="str">
        <f>"12/21/2019 7:00:28 AM"</f>
        <v>12/21/2019 7:00:28 AM</v>
      </c>
      <c r="I1505" t="str">
        <f>""</f>
        <v/>
      </c>
      <c r="J1505" t="str">
        <f t="shared" si="609"/>
        <v>Elite</v>
      </c>
      <c r="K1505" t="str">
        <f t="shared" si="622"/>
        <v>Device</v>
      </c>
      <c r="L1505" t="str">
        <f t="shared" si="623"/>
        <v>777260316</v>
      </c>
      <c r="M1505" t="str">
        <f t="shared" si="624"/>
        <v>16758473</v>
      </c>
      <c r="N1505" t="str">
        <f t="shared" si="625"/>
        <v>19390-20</v>
      </c>
      <c r="O1505" t="str">
        <f t="shared" si="610"/>
        <v>TEXAS</v>
      </c>
      <c r="P1505" t="str">
        <f t="shared" si="611"/>
        <v>N A</v>
      </c>
      <c r="Q1505" t="str">
        <f t="shared" si="612"/>
        <v>N/A</v>
      </c>
      <c r="R1505" t="str">
        <f>"45SE MLPEB 02 611"</f>
        <v>45SE MLPEB 02 611</v>
      </c>
      <c r="S1505" t="str">
        <f>"12/20/2019 6:37:10 AM"</f>
        <v>12/20/2019 6:37:10 AM</v>
      </c>
      <c r="T1505" t="str">
        <f t="shared" si="615"/>
        <v>5</v>
      </c>
      <c r="U1505" t="str">
        <f t="shared" si="613"/>
        <v>N/A</v>
      </c>
      <c r="V1505" t="str">
        <f>"3.3000"</f>
        <v>3.3000</v>
      </c>
    </row>
    <row r="1506" spans="1:22" x14ac:dyDescent="0.25">
      <c r="A1506" s="1" t="str">
        <f t="shared" si="604"/>
        <v>19390</v>
      </c>
      <c r="B1506" s="1" t="str">
        <f t="shared" si="614"/>
        <v>19390</v>
      </c>
      <c r="C1506" s="1" t="s">
        <v>8931</v>
      </c>
      <c r="D1506" s="1" t="s">
        <v>8899</v>
      </c>
      <c r="E1506" s="1" t="s">
        <v>37</v>
      </c>
      <c r="F1506" s="1" t="s">
        <v>22</v>
      </c>
      <c r="G1506" s="1" t="e">
        <f>VLOOKUP(C1506,'Master truck list'!E:R,14,0)</f>
        <v>#N/A</v>
      </c>
      <c r="H1506" t="str">
        <f>"12/21/2019 7:00:28 AM"</f>
        <v>12/21/2019 7:00:28 AM</v>
      </c>
      <c r="I1506" t="str">
        <f>""</f>
        <v/>
      </c>
      <c r="J1506" t="str">
        <f t="shared" si="609"/>
        <v>Elite</v>
      </c>
      <c r="K1506" t="str">
        <f t="shared" si="622"/>
        <v>Device</v>
      </c>
      <c r="L1506" t="str">
        <f t="shared" si="623"/>
        <v>777260316</v>
      </c>
      <c r="M1506" t="str">
        <f t="shared" si="624"/>
        <v>16758473</v>
      </c>
      <c r="N1506" t="str">
        <f t="shared" si="625"/>
        <v>19390-20</v>
      </c>
      <c r="O1506" t="str">
        <f t="shared" si="610"/>
        <v>TEXAS</v>
      </c>
      <c r="P1506" t="str">
        <f t="shared" si="611"/>
        <v>N A</v>
      </c>
      <c r="Q1506" t="str">
        <f t="shared" si="612"/>
        <v>N/A</v>
      </c>
      <c r="R1506" t="str">
        <f>"130 MGCRP 11 305"</f>
        <v>130 MGCRP 11 305</v>
      </c>
      <c r="S1506" t="str">
        <f>"12/20/2019 7:16:57 AM"</f>
        <v>12/20/2019 7:16:57 AM</v>
      </c>
      <c r="T1506" t="str">
        <f t="shared" si="615"/>
        <v>5</v>
      </c>
      <c r="U1506" t="str">
        <f t="shared" si="613"/>
        <v>N/A</v>
      </c>
      <c r="V1506" t="str">
        <f>"5.5500"</f>
        <v>5.5500</v>
      </c>
    </row>
    <row r="1507" spans="1:22" x14ac:dyDescent="0.25">
      <c r="A1507" s="1" t="str">
        <f t="shared" si="604"/>
        <v>19382</v>
      </c>
      <c r="B1507" s="1" t="str">
        <f t="shared" si="614"/>
        <v>19382</v>
      </c>
      <c r="C1507" s="1" t="s">
        <v>8913</v>
      </c>
      <c r="D1507" s="1" t="s">
        <v>8899</v>
      </c>
      <c r="E1507" s="1" t="s">
        <v>37</v>
      </c>
      <c r="F1507" s="1" t="s">
        <v>22</v>
      </c>
      <c r="G1507" s="1" t="e">
        <f>VLOOKUP(C1507,'Master truck list'!E:R,14,0)</f>
        <v>#N/A</v>
      </c>
      <c r="H1507" t="str">
        <f>"12/19/2019 7:00:35 AM"</f>
        <v>12/19/2019 7:00:35 AM</v>
      </c>
      <c r="I1507" t="str">
        <f>""</f>
        <v/>
      </c>
      <c r="J1507" t="str">
        <f t="shared" si="609"/>
        <v>Elite</v>
      </c>
      <c r="K1507" t="str">
        <f t="shared" si="622"/>
        <v>Device</v>
      </c>
      <c r="L1507" t="str">
        <f>"777260182"</f>
        <v>777260182</v>
      </c>
      <c r="M1507" t="str">
        <f>"16758339"</f>
        <v>16758339</v>
      </c>
      <c r="N1507" t="str">
        <f>"19382-20"</f>
        <v>19382-20</v>
      </c>
      <c r="O1507" t="str">
        <f t="shared" si="610"/>
        <v>TEXAS</v>
      </c>
      <c r="P1507" t="str">
        <f t="shared" si="611"/>
        <v>N A</v>
      </c>
      <c r="Q1507" t="str">
        <f t="shared" si="612"/>
        <v>N/A</v>
      </c>
      <c r="R1507" t="str">
        <f>"130 DKCRP 11 307"</f>
        <v>130 DKCRP 11 307</v>
      </c>
      <c r="S1507" t="str">
        <f>"12/18/2019 1:13:22 PM"</f>
        <v>12/18/2019 1:13:22 PM</v>
      </c>
      <c r="T1507" t="str">
        <f t="shared" si="615"/>
        <v>5</v>
      </c>
      <c r="U1507" t="str">
        <f t="shared" si="613"/>
        <v>N/A</v>
      </c>
      <c r="V1507" t="str">
        <f>"5.5500"</f>
        <v>5.5500</v>
      </c>
    </row>
    <row r="1508" spans="1:22" x14ac:dyDescent="0.25">
      <c r="A1508" s="1" t="str">
        <f t="shared" si="604"/>
        <v>19382</v>
      </c>
      <c r="B1508" s="1" t="str">
        <f t="shared" si="614"/>
        <v>19382</v>
      </c>
      <c r="C1508" s="1" t="s">
        <v>8913</v>
      </c>
      <c r="D1508" s="1" t="s">
        <v>8899</v>
      </c>
      <c r="E1508" s="1" t="s">
        <v>37</v>
      </c>
      <c r="F1508" s="1" t="s">
        <v>22</v>
      </c>
      <c r="G1508" s="1" t="e">
        <f>VLOOKUP(C1508,'Master truck list'!E:R,14,0)</f>
        <v>#N/A</v>
      </c>
      <c r="H1508" t="str">
        <f>"12/19/2019 7:00:35 AM"</f>
        <v>12/19/2019 7:00:35 AM</v>
      </c>
      <c r="I1508" t="str">
        <f>""</f>
        <v/>
      </c>
      <c r="J1508" t="str">
        <f t="shared" si="609"/>
        <v>Elite</v>
      </c>
      <c r="K1508" t="str">
        <f t="shared" si="622"/>
        <v>Device</v>
      </c>
      <c r="L1508" t="str">
        <f>"777260182"</f>
        <v>777260182</v>
      </c>
      <c r="M1508" t="str">
        <f>"16758339"</f>
        <v>16758339</v>
      </c>
      <c r="N1508" t="str">
        <f>"19382-20"</f>
        <v>19382-20</v>
      </c>
      <c r="O1508" t="str">
        <f t="shared" si="610"/>
        <v>TEXAS</v>
      </c>
      <c r="P1508" t="str">
        <f t="shared" si="611"/>
        <v>N A</v>
      </c>
      <c r="Q1508" t="str">
        <f t="shared" si="612"/>
        <v>N/A</v>
      </c>
      <c r="R1508" t="str">
        <f>"45SE MLPEB 02 611"</f>
        <v>45SE MLPEB 02 611</v>
      </c>
      <c r="S1508" t="str">
        <f>"12/18/2019 12:44:58 PM"</f>
        <v>12/18/2019 12:44:58 PM</v>
      </c>
      <c r="T1508" t="str">
        <f t="shared" si="615"/>
        <v>5</v>
      </c>
      <c r="U1508" t="str">
        <f t="shared" si="613"/>
        <v>N/A</v>
      </c>
      <c r="V1508" t="str">
        <f>"3.3000"</f>
        <v>3.3000</v>
      </c>
    </row>
    <row r="1509" spans="1:22" x14ac:dyDescent="0.25">
      <c r="A1509" s="1" t="str">
        <f t="shared" si="604"/>
        <v>19382</v>
      </c>
      <c r="B1509" s="1" t="str">
        <f t="shared" si="614"/>
        <v>19382</v>
      </c>
      <c r="C1509" s="1" t="s">
        <v>8913</v>
      </c>
      <c r="D1509" s="1" t="s">
        <v>8899</v>
      </c>
      <c r="E1509" s="1" t="s">
        <v>37</v>
      </c>
      <c r="F1509" s="1" t="s">
        <v>22</v>
      </c>
      <c r="G1509" s="1" t="e">
        <f>VLOOKUP(C1509,'Master truck list'!E:R,14,0)</f>
        <v>#N/A</v>
      </c>
      <c r="H1509" t="str">
        <f>"12/19/2019 7:00:35 AM"</f>
        <v>12/19/2019 7:00:35 AM</v>
      </c>
      <c r="I1509" t="str">
        <f>""</f>
        <v/>
      </c>
      <c r="J1509" t="str">
        <f t="shared" si="609"/>
        <v>Elite</v>
      </c>
      <c r="K1509" t="str">
        <f t="shared" si="622"/>
        <v>Device</v>
      </c>
      <c r="L1509" t="str">
        <f>"777260182"</f>
        <v>777260182</v>
      </c>
      <c r="M1509" t="str">
        <f>"16758339"</f>
        <v>16758339</v>
      </c>
      <c r="N1509" t="str">
        <f>"19382-20"</f>
        <v>19382-20</v>
      </c>
      <c r="O1509" t="str">
        <f t="shared" si="610"/>
        <v>TEXAS</v>
      </c>
      <c r="P1509" t="str">
        <f t="shared" si="611"/>
        <v>N A</v>
      </c>
      <c r="Q1509" t="str">
        <f t="shared" si="612"/>
        <v>N/A</v>
      </c>
      <c r="R1509" t="str">
        <f>"130 MGCRP 11 305"</f>
        <v>130 MGCRP 11 305</v>
      </c>
      <c r="S1509" t="str">
        <f>"12/18/2019 1:35:00 PM"</f>
        <v>12/18/2019 1:35:00 PM</v>
      </c>
      <c r="T1509" t="str">
        <f t="shared" si="615"/>
        <v>5</v>
      </c>
      <c r="U1509" t="str">
        <f t="shared" si="613"/>
        <v>N/A</v>
      </c>
      <c r="V1509" t="str">
        <f t="shared" ref="V1509:V1514" si="626">"5.5500"</f>
        <v>5.5500</v>
      </c>
    </row>
    <row r="1510" spans="1:22" x14ac:dyDescent="0.25">
      <c r="A1510" s="1" t="str">
        <f t="shared" si="604"/>
        <v>19382</v>
      </c>
      <c r="B1510" s="1" t="str">
        <f t="shared" si="614"/>
        <v>19382</v>
      </c>
      <c r="C1510" s="1" t="s">
        <v>8913</v>
      </c>
      <c r="D1510" s="1" t="s">
        <v>8899</v>
      </c>
      <c r="E1510" s="1" t="s">
        <v>37</v>
      </c>
      <c r="F1510" s="1" t="s">
        <v>22</v>
      </c>
      <c r="G1510" s="1" t="e">
        <f>VLOOKUP(C1510,'Master truck list'!E:R,14,0)</f>
        <v>#N/A</v>
      </c>
      <c r="H1510" t="str">
        <f>"12/19/2019 7:00:35 AM"</f>
        <v>12/19/2019 7:00:35 AM</v>
      </c>
      <c r="I1510" t="str">
        <f>""</f>
        <v/>
      </c>
      <c r="J1510" t="str">
        <f t="shared" si="609"/>
        <v>Elite</v>
      </c>
      <c r="K1510" t="str">
        <f t="shared" si="622"/>
        <v>Device</v>
      </c>
      <c r="L1510" t="str">
        <f>"777260182"</f>
        <v>777260182</v>
      </c>
      <c r="M1510" t="str">
        <f>"16758339"</f>
        <v>16758339</v>
      </c>
      <c r="N1510" t="str">
        <f>"19382-20"</f>
        <v>19382-20</v>
      </c>
      <c r="O1510" t="str">
        <f t="shared" si="610"/>
        <v>TEXAS</v>
      </c>
      <c r="P1510" t="str">
        <f t="shared" si="611"/>
        <v>N A</v>
      </c>
      <c r="Q1510" t="str">
        <f t="shared" si="612"/>
        <v>N/A</v>
      </c>
      <c r="R1510" t="str">
        <f>"130 CMRNP 13 306"</f>
        <v>130 CMRNP 13 306</v>
      </c>
      <c r="S1510" t="str">
        <f>"12/18/2019 1:23:39 PM"</f>
        <v>12/18/2019 1:23:39 PM</v>
      </c>
      <c r="T1510" t="str">
        <f t="shared" si="615"/>
        <v>5</v>
      </c>
      <c r="U1510" t="str">
        <f t="shared" si="613"/>
        <v>N/A</v>
      </c>
      <c r="V1510" t="str">
        <f t="shared" si="626"/>
        <v>5.5500</v>
      </c>
    </row>
    <row r="1511" spans="1:22" x14ac:dyDescent="0.25">
      <c r="A1511" s="1" t="str">
        <f t="shared" si="604"/>
        <v>19382</v>
      </c>
      <c r="B1511" s="1" t="str">
        <f t="shared" si="614"/>
        <v>19382</v>
      </c>
      <c r="C1511" s="1" t="s">
        <v>8913</v>
      </c>
      <c r="D1511" s="1" t="s">
        <v>8899</v>
      </c>
      <c r="E1511" s="1" t="s">
        <v>37</v>
      </c>
      <c r="F1511" s="1" t="s">
        <v>22</v>
      </c>
      <c r="G1511" s="1" t="e">
        <f>VLOOKUP(C1511,'Master truck list'!E:R,14,0)</f>
        <v>#N/A</v>
      </c>
      <c r="H1511" t="str">
        <f>"12/19/2019 7:00:35 AM"</f>
        <v>12/19/2019 7:00:35 AM</v>
      </c>
      <c r="I1511" t="str">
        <f>""</f>
        <v/>
      </c>
      <c r="J1511" t="str">
        <f t="shared" si="609"/>
        <v>Elite</v>
      </c>
      <c r="K1511" t="str">
        <f t="shared" si="622"/>
        <v>Device</v>
      </c>
      <c r="L1511" t="str">
        <f>"777260182"</f>
        <v>777260182</v>
      </c>
      <c r="M1511" t="str">
        <f>"16758339"</f>
        <v>16758339</v>
      </c>
      <c r="N1511" t="str">
        <f>"19382-20"</f>
        <v>19382-20</v>
      </c>
      <c r="O1511" t="str">
        <f t="shared" si="610"/>
        <v>TEXAS</v>
      </c>
      <c r="P1511" t="str">
        <f t="shared" si="611"/>
        <v>N A</v>
      </c>
      <c r="Q1511" t="str">
        <f t="shared" si="612"/>
        <v>N/A</v>
      </c>
      <c r="R1511" t="str">
        <f>"130 ARPTP 09 308"</f>
        <v>130 ARPTP 09 308</v>
      </c>
      <c r="S1511" t="str">
        <f>"12/18/2019 1:06:17 PM"</f>
        <v>12/18/2019 1:06:17 PM</v>
      </c>
      <c r="T1511" t="str">
        <f t="shared" si="615"/>
        <v>5</v>
      </c>
      <c r="U1511" t="str">
        <f t="shared" si="613"/>
        <v>N/A</v>
      </c>
      <c r="V1511" t="str">
        <f t="shared" si="626"/>
        <v>5.5500</v>
      </c>
    </row>
    <row r="1512" spans="1:22" x14ac:dyDescent="0.25">
      <c r="A1512" s="1" t="str">
        <f t="shared" si="604"/>
        <v>19387</v>
      </c>
      <c r="B1512" s="1" t="str">
        <f t="shared" si="614"/>
        <v>19387</v>
      </c>
      <c r="C1512" s="1" t="s">
        <v>8897</v>
      </c>
      <c r="D1512" s="1" t="s">
        <v>8899</v>
      </c>
      <c r="E1512" s="1" t="s">
        <v>37</v>
      </c>
      <c r="F1512" s="1" t="s">
        <v>22</v>
      </c>
      <c r="G1512" s="1" t="e">
        <f>VLOOKUP(C1512,'Master truck list'!E:R,14,0)</f>
        <v>#N/A</v>
      </c>
      <c r="H1512" t="str">
        <f>"12/20/2019 7:00:30 AM"</f>
        <v>12/20/2019 7:00:30 AM</v>
      </c>
      <c r="I1512" t="str">
        <f>""</f>
        <v/>
      </c>
      <c r="J1512" t="str">
        <f t="shared" si="609"/>
        <v>Elite</v>
      </c>
      <c r="K1512" t="str">
        <f t="shared" si="622"/>
        <v>Device</v>
      </c>
      <c r="L1512" t="str">
        <f>"777260216"</f>
        <v>777260216</v>
      </c>
      <c r="M1512" t="str">
        <f>"16758373"</f>
        <v>16758373</v>
      </c>
      <c r="N1512" t="str">
        <f>"19387-20"</f>
        <v>19387-20</v>
      </c>
      <c r="O1512" t="str">
        <f t="shared" si="610"/>
        <v>TEXAS</v>
      </c>
      <c r="P1512" t="str">
        <f t="shared" si="611"/>
        <v>N A</v>
      </c>
      <c r="Q1512" t="str">
        <f t="shared" si="612"/>
        <v>N/A</v>
      </c>
      <c r="R1512" t="str">
        <f>"130 ARPTP 09 308"</f>
        <v>130 ARPTP 09 308</v>
      </c>
      <c r="S1512" t="str">
        <f>"12/19/2019 4:32:35 PM"</f>
        <v>12/19/2019 4:32:35 PM</v>
      </c>
      <c r="T1512" t="str">
        <f t="shared" si="615"/>
        <v>5</v>
      </c>
      <c r="U1512" t="str">
        <f t="shared" si="613"/>
        <v>N/A</v>
      </c>
      <c r="V1512" t="str">
        <f t="shared" si="626"/>
        <v>5.5500</v>
      </c>
    </row>
    <row r="1513" spans="1:22" x14ac:dyDescent="0.25">
      <c r="A1513" s="1" t="str">
        <f t="shared" si="604"/>
        <v>19387</v>
      </c>
      <c r="B1513" s="1" t="str">
        <f t="shared" si="614"/>
        <v>19387</v>
      </c>
      <c r="C1513" s="1" t="s">
        <v>8897</v>
      </c>
      <c r="D1513" s="1" t="s">
        <v>8899</v>
      </c>
      <c r="E1513" s="1" t="s">
        <v>37</v>
      </c>
      <c r="F1513" s="1" t="s">
        <v>22</v>
      </c>
      <c r="G1513" s="1" t="e">
        <f>VLOOKUP(C1513,'Master truck list'!E:R,14,0)</f>
        <v>#N/A</v>
      </c>
      <c r="H1513" t="str">
        <f>"12/20/2019 7:00:30 AM"</f>
        <v>12/20/2019 7:00:30 AM</v>
      </c>
      <c r="I1513" t="str">
        <f>""</f>
        <v/>
      </c>
      <c r="J1513" t="str">
        <f t="shared" si="609"/>
        <v>Elite</v>
      </c>
      <c r="K1513" t="str">
        <f t="shared" si="622"/>
        <v>Device</v>
      </c>
      <c r="L1513" t="str">
        <f>"777260216"</f>
        <v>777260216</v>
      </c>
      <c r="M1513" t="str">
        <f>"16758373"</f>
        <v>16758373</v>
      </c>
      <c r="N1513" t="str">
        <f>"19387-20"</f>
        <v>19387-20</v>
      </c>
      <c r="O1513" t="str">
        <f t="shared" si="610"/>
        <v>TEXAS</v>
      </c>
      <c r="P1513" t="str">
        <f t="shared" si="611"/>
        <v>N A</v>
      </c>
      <c r="Q1513" t="str">
        <f t="shared" si="612"/>
        <v>N/A</v>
      </c>
      <c r="R1513" t="str">
        <f>"130 CMRNP 13 306"</f>
        <v>130 CMRNP 13 306</v>
      </c>
      <c r="S1513" t="str">
        <f>"12/19/2019 5:04:14 PM"</f>
        <v>12/19/2019 5:04:14 PM</v>
      </c>
      <c r="T1513" t="str">
        <f t="shared" si="615"/>
        <v>5</v>
      </c>
      <c r="U1513" t="str">
        <f t="shared" si="613"/>
        <v>N/A</v>
      </c>
      <c r="V1513" t="str">
        <f t="shared" si="626"/>
        <v>5.5500</v>
      </c>
    </row>
    <row r="1514" spans="1:22" x14ac:dyDescent="0.25">
      <c r="A1514" s="1" t="str">
        <f t="shared" si="604"/>
        <v>19387</v>
      </c>
      <c r="B1514" s="1" t="str">
        <f t="shared" si="614"/>
        <v>19387</v>
      </c>
      <c r="C1514" s="1" t="s">
        <v>8897</v>
      </c>
      <c r="D1514" s="1" t="s">
        <v>8899</v>
      </c>
      <c r="E1514" s="1" t="s">
        <v>37</v>
      </c>
      <c r="F1514" s="1" t="s">
        <v>22</v>
      </c>
      <c r="G1514" s="1" t="e">
        <f>VLOOKUP(C1514,'Master truck list'!E:R,14,0)</f>
        <v>#N/A</v>
      </c>
      <c r="H1514" t="str">
        <f>"12/20/2019 7:00:30 AM"</f>
        <v>12/20/2019 7:00:30 AM</v>
      </c>
      <c r="I1514" t="str">
        <f>""</f>
        <v/>
      </c>
      <c r="J1514" t="str">
        <f t="shared" si="609"/>
        <v>Elite</v>
      </c>
      <c r="K1514" t="str">
        <f t="shared" si="622"/>
        <v>Device</v>
      </c>
      <c r="L1514" t="str">
        <f>"777260216"</f>
        <v>777260216</v>
      </c>
      <c r="M1514" t="str">
        <f>"16758373"</f>
        <v>16758373</v>
      </c>
      <c r="N1514" t="str">
        <f>"19387-20"</f>
        <v>19387-20</v>
      </c>
      <c r="O1514" t="str">
        <f t="shared" si="610"/>
        <v>TEXAS</v>
      </c>
      <c r="P1514" t="str">
        <f t="shared" si="611"/>
        <v>N A</v>
      </c>
      <c r="Q1514" t="str">
        <f t="shared" si="612"/>
        <v>N/A</v>
      </c>
      <c r="R1514" t="str">
        <f>"130 MGCRP 11 305"</f>
        <v>130 MGCRP 11 305</v>
      </c>
      <c r="S1514" t="str">
        <f>"12/19/2019 5:17:10 PM"</f>
        <v>12/19/2019 5:17:10 PM</v>
      </c>
      <c r="T1514" t="str">
        <f t="shared" si="615"/>
        <v>5</v>
      </c>
      <c r="U1514" t="str">
        <f t="shared" si="613"/>
        <v>N/A</v>
      </c>
      <c r="V1514" t="str">
        <f t="shared" si="626"/>
        <v>5.5500</v>
      </c>
    </row>
    <row r="1515" spans="1:22" x14ac:dyDescent="0.25">
      <c r="A1515" s="1" t="str">
        <f t="shared" si="604"/>
        <v>19387</v>
      </c>
      <c r="B1515" s="1" t="str">
        <f t="shared" si="614"/>
        <v>19387</v>
      </c>
      <c r="C1515" s="1" t="s">
        <v>8897</v>
      </c>
      <c r="D1515" s="1" t="s">
        <v>8899</v>
      </c>
      <c r="E1515" s="1" t="s">
        <v>37</v>
      </c>
      <c r="F1515" s="1" t="s">
        <v>22</v>
      </c>
      <c r="G1515" s="1" t="e">
        <f>VLOOKUP(C1515,'Master truck list'!E:R,14,0)</f>
        <v>#N/A</v>
      </c>
      <c r="H1515" t="str">
        <f>"12/20/2019 7:00:30 AM"</f>
        <v>12/20/2019 7:00:30 AM</v>
      </c>
      <c r="I1515" t="str">
        <f>""</f>
        <v/>
      </c>
      <c r="J1515" t="str">
        <f t="shared" si="609"/>
        <v>Elite</v>
      </c>
      <c r="K1515" t="str">
        <f t="shared" si="622"/>
        <v>Device</v>
      </c>
      <c r="L1515" t="str">
        <f>"777260216"</f>
        <v>777260216</v>
      </c>
      <c r="M1515" t="str">
        <f>"16758373"</f>
        <v>16758373</v>
      </c>
      <c r="N1515" t="str">
        <f>"19387-20"</f>
        <v>19387-20</v>
      </c>
      <c r="O1515" t="str">
        <f t="shared" si="610"/>
        <v>TEXAS</v>
      </c>
      <c r="P1515" t="str">
        <f t="shared" si="611"/>
        <v>N A</v>
      </c>
      <c r="Q1515" t="str">
        <f t="shared" si="612"/>
        <v>N/A</v>
      </c>
      <c r="R1515" t="str">
        <f>"45SE MLPEB 02 611"</f>
        <v>45SE MLPEB 02 611</v>
      </c>
      <c r="S1515" t="str">
        <f>"12/19/2019 4:21:35 PM"</f>
        <v>12/19/2019 4:21:35 PM</v>
      </c>
      <c r="T1515" t="str">
        <f t="shared" si="615"/>
        <v>5</v>
      </c>
      <c r="U1515" t="str">
        <f t="shared" si="613"/>
        <v>N/A</v>
      </c>
      <c r="V1515" t="str">
        <f>"3.3000"</f>
        <v>3.3000</v>
      </c>
    </row>
    <row r="1516" spans="1:22" x14ac:dyDescent="0.25">
      <c r="A1516" s="1" t="str">
        <f t="shared" si="604"/>
        <v>19387</v>
      </c>
      <c r="B1516" s="1" t="str">
        <f t="shared" si="614"/>
        <v>19387</v>
      </c>
      <c r="C1516" s="1" t="s">
        <v>8897</v>
      </c>
      <c r="D1516" s="1" t="s">
        <v>8899</v>
      </c>
      <c r="E1516" s="1" t="s">
        <v>37</v>
      </c>
      <c r="F1516" s="1" t="s">
        <v>22</v>
      </c>
      <c r="G1516" s="1" t="e">
        <f>VLOOKUP(C1516,'Master truck list'!E:R,14,0)</f>
        <v>#N/A</v>
      </c>
      <c r="H1516" t="str">
        <f>"12/20/2019 7:00:30 AM"</f>
        <v>12/20/2019 7:00:30 AM</v>
      </c>
      <c r="I1516" t="str">
        <f>""</f>
        <v/>
      </c>
      <c r="J1516" t="str">
        <f t="shared" si="609"/>
        <v>Elite</v>
      </c>
      <c r="K1516" t="str">
        <f t="shared" si="622"/>
        <v>Device</v>
      </c>
      <c r="L1516" t="str">
        <f>"777260216"</f>
        <v>777260216</v>
      </c>
      <c r="M1516" t="str">
        <f>"16758373"</f>
        <v>16758373</v>
      </c>
      <c r="N1516" t="str">
        <f>"19387-20"</f>
        <v>19387-20</v>
      </c>
      <c r="O1516" t="str">
        <f t="shared" si="610"/>
        <v>TEXAS</v>
      </c>
      <c r="P1516" t="str">
        <f t="shared" si="611"/>
        <v>N A</v>
      </c>
      <c r="Q1516" t="str">
        <f t="shared" si="612"/>
        <v>N/A</v>
      </c>
      <c r="R1516" t="str">
        <f>"130 DKCRP 11 307"</f>
        <v>130 DKCRP 11 307</v>
      </c>
      <c r="S1516" t="str">
        <f>"12/19/2019 4:41:34 PM"</f>
        <v>12/19/2019 4:41:34 PM</v>
      </c>
      <c r="T1516" t="str">
        <f t="shared" si="615"/>
        <v>5</v>
      </c>
      <c r="U1516" t="str">
        <f t="shared" si="613"/>
        <v>N/A</v>
      </c>
      <c r="V1516" t="str">
        <f>"5.5500"</f>
        <v>5.5500</v>
      </c>
    </row>
    <row r="1517" spans="1:22" x14ac:dyDescent="0.25">
      <c r="A1517" s="1" t="str">
        <f t="shared" si="604"/>
        <v>2276-</v>
      </c>
      <c r="B1517" s="1" t="str">
        <f t="shared" si="614"/>
        <v>2276-</v>
      </c>
      <c r="C1517" s="1" t="str">
        <f>VLOOKUP(B1517,'Master truck list'!D:E,2,0)</f>
        <v>2276-18AT</v>
      </c>
      <c r="D1517" s="1" t="s">
        <v>8899</v>
      </c>
      <c r="E1517" s="1" t="str">
        <f>VLOOKUP(C1517,'Master truck list'!E:M,9,0)</f>
        <v>CHARGER LOGISTICS USA INC</v>
      </c>
      <c r="F1517" s="1" t="str">
        <f>VLOOKUP(C1517,'Master truck list'!E:G,3,0)</f>
        <v>Company</v>
      </c>
      <c r="G1517" s="1">
        <f>VLOOKUP(C1517,'Master truck list'!E:R,14,0)</f>
        <v>1033</v>
      </c>
      <c r="H1517" t="str">
        <f>"12/21/2019 7:00:28 AM"</f>
        <v>12/21/2019 7:00:28 AM</v>
      </c>
      <c r="I1517" t="str">
        <f>""</f>
        <v/>
      </c>
      <c r="J1517" t="str">
        <f t="shared" si="609"/>
        <v>Elite</v>
      </c>
      <c r="K1517" t="str">
        <f t="shared" si="622"/>
        <v>Device</v>
      </c>
      <c r="L1517" t="str">
        <f t="shared" ref="L1517:L1526" si="627">"777248852"</f>
        <v>777248852</v>
      </c>
      <c r="M1517" t="str">
        <f t="shared" ref="M1517:M1526" si="628">"16716734"</f>
        <v>16716734</v>
      </c>
      <c r="N1517" t="str">
        <f t="shared" ref="N1517:N1526" si="629">"2276-18A"</f>
        <v>2276-18A</v>
      </c>
      <c r="O1517" t="str">
        <f t="shared" si="610"/>
        <v>TEXAS</v>
      </c>
      <c r="P1517" t="str">
        <f t="shared" si="611"/>
        <v>N A</v>
      </c>
      <c r="Q1517" t="str">
        <f t="shared" si="612"/>
        <v>N/A</v>
      </c>
      <c r="R1517" t="str">
        <f>"130 ARPTP 09 308"</f>
        <v>130 ARPTP 09 308</v>
      </c>
      <c r="S1517" t="str">
        <f>"12/20/2019 1:14:04 PM"</f>
        <v>12/20/2019 1:14:04 PM</v>
      </c>
      <c r="T1517" t="str">
        <f t="shared" si="615"/>
        <v>5</v>
      </c>
      <c r="U1517" t="str">
        <f t="shared" si="613"/>
        <v>N/A</v>
      </c>
      <c r="V1517" t="str">
        <f>"5.5500"</f>
        <v>5.5500</v>
      </c>
    </row>
    <row r="1518" spans="1:22" x14ac:dyDescent="0.25">
      <c r="A1518" s="1" t="str">
        <f t="shared" ref="A1518:A1543" si="630">LEFT(N1518,5)</f>
        <v>2276-</v>
      </c>
      <c r="B1518" s="1" t="str">
        <f t="shared" si="614"/>
        <v>2276-</v>
      </c>
      <c r="C1518" s="1" t="str">
        <f>VLOOKUP(B1518,'Master truck list'!D:E,2,0)</f>
        <v>2276-18AT</v>
      </c>
      <c r="D1518" s="1" t="s">
        <v>8899</v>
      </c>
      <c r="E1518" s="1" t="str">
        <f>VLOOKUP(C1518,'Master truck list'!E:M,9,0)</f>
        <v>CHARGER LOGISTICS USA INC</v>
      </c>
      <c r="F1518" s="1" t="str">
        <f>VLOOKUP(C1518,'Master truck list'!E:G,3,0)</f>
        <v>Company</v>
      </c>
      <c r="G1518" s="1">
        <f>VLOOKUP(C1518,'Master truck list'!E:R,14,0)</f>
        <v>1033</v>
      </c>
      <c r="H1518" t="str">
        <f>"12/19/2019 7:00:35 AM"</f>
        <v>12/19/2019 7:00:35 AM</v>
      </c>
      <c r="I1518" t="str">
        <f>""</f>
        <v/>
      </c>
      <c r="J1518" t="str">
        <f t="shared" si="609"/>
        <v>Elite</v>
      </c>
      <c r="K1518" t="str">
        <f t="shared" si="622"/>
        <v>Device</v>
      </c>
      <c r="L1518" t="str">
        <f t="shared" si="627"/>
        <v>777248852</v>
      </c>
      <c r="M1518" t="str">
        <f t="shared" si="628"/>
        <v>16716734</v>
      </c>
      <c r="N1518" t="str">
        <f t="shared" si="629"/>
        <v>2276-18A</v>
      </c>
      <c r="O1518" t="str">
        <f t="shared" si="610"/>
        <v>TEXAS</v>
      </c>
      <c r="P1518" t="str">
        <f t="shared" si="611"/>
        <v>N A</v>
      </c>
      <c r="Q1518" t="str">
        <f t="shared" si="612"/>
        <v>N/A</v>
      </c>
      <c r="R1518" t="str">
        <f>"130 MGCRP 11 305"</f>
        <v>130 MGCRP 11 305</v>
      </c>
      <c r="S1518" t="str">
        <f>"12/18/2019 5:58:06 PM"</f>
        <v>12/18/2019 5:58:06 PM</v>
      </c>
      <c r="T1518" t="str">
        <f t="shared" si="615"/>
        <v>5</v>
      </c>
      <c r="U1518" t="str">
        <f t="shared" si="613"/>
        <v>N/A</v>
      </c>
      <c r="V1518" t="str">
        <f>"5.5500"</f>
        <v>5.5500</v>
      </c>
    </row>
    <row r="1519" spans="1:22" x14ac:dyDescent="0.25">
      <c r="A1519" s="1" t="str">
        <f t="shared" si="630"/>
        <v>2276-</v>
      </c>
      <c r="B1519" s="1" t="str">
        <f t="shared" si="614"/>
        <v>2276-</v>
      </c>
      <c r="C1519" s="1" t="str">
        <f>VLOOKUP(B1519,'Master truck list'!D:E,2,0)</f>
        <v>2276-18AT</v>
      </c>
      <c r="D1519" s="1" t="s">
        <v>8899</v>
      </c>
      <c r="E1519" s="1" t="str">
        <f>VLOOKUP(C1519,'Master truck list'!E:M,9,0)</f>
        <v>CHARGER LOGISTICS USA INC</v>
      </c>
      <c r="F1519" s="1" t="str">
        <f>VLOOKUP(C1519,'Master truck list'!E:G,3,0)</f>
        <v>Company</v>
      </c>
      <c r="G1519" s="1">
        <f>VLOOKUP(C1519,'Master truck list'!E:R,14,0)</f>
        <v>1033</v>
      </c>
      <c r="H1519" t="str">
        <f>"12/19/2019 7:00:35 AM"</f>
        <v>12/19/2019 7:00:35 AM</v>
      </c>
      <c r="I1519" t="str">
        <f>""</f>
        <v/>
      </c>
      <c r="J1519" t="str">
        <f t="shared" si="609"/>
        <v>Elite</v>
      </c>
      <c r="K1519" t="str">
        <f t="shared" si="622"/>
        <v>Device</v>
      </c>
      <c r="L1519" t="str">
        <f t="shared" si="627"/>
        <v>777248852</v>
      </c>
      <c r="M1519" t="str">
        <f t="shared" si="628"/>
        <v>16716734</v>
      </c>
      <c r="N1519" t="str">
        <f t="shared" si="629"/>
        <v>2276-18A</v>
      </c>
      <c r="O1519" t="str">
        <f t="shared" si="610"/>
        <v>TEXAS</v>
      </c>
      <c r="P1519" t="str">
        <f t="shared" si="611"/>
        <v>N A</v>
      </c>
      <c r="Q1519" t="str">
        <f t="shared" si="612"/>
        <v>N/A</v>
      </c>
      <c r="R1519" t="str">
        <f>"45SE MLPEB 02 611"</f>
        <v>45SE MLPEB 02 611</v>
      </c>
      <c r="S1519" t="str">
        <f>"12/18/2019 5:13:03 PM"</f>
        <v>12/18/2019 5:13:03 PM</v>
      </c>
      <c r="T1519" t="str">
        <f t="shared" si="615"/>
        <v>5</v>
      </c>
      <c r="U1519" t="str">
        <f t="shared" si="613"/>
        <v>N/A</v>
      </c>
      <c r="V1519" t="str">
        <f>"3.3000"</f>
        <v>3.3000</v>
      </c>
    </row>
    <row r="1520" spans="1:22" x14ac:dyDescent="0.25">
      <c r="A1520" s="1" t="str">
        <f t="shared" si="630"/>
        <v>2276-</v>
      </c>
      <c r="B1520" s="1" t="str">
        <f t="shared" si="614"/>
        <v>2276-</v>
      </c>
      <c r="C1520" s="1" t="str">
        <f>VLOOKUP(B1520,'Master truck list'!D:E,2,0)</f>
        <v>2276-18AT</v>
      </c>
      <c r="D1520" s="1" t="s">
        <v>8899</v>
      </c>
      <c r="E1520" s="1" t="str">
        <f>VLOOKUP(C1520,'Master truck list'!E:M,9,0)</f>
        <v>CHARGER LOGISTICS USA INC</v>
      </c>
      <c r="F1520" s="1" t="str">
        <f>VLOOKUP(C1520,'Master truck list'!E:G,3,0)</f>
        <v>Company</v>
      </c>
      <c r="G1520" s="1">
        <f>VLOOKUP(C1520,'Master truck list'!E:R,14,0)</f>
        <v>1033</v>
      </c>
      <c r="H1520" t="str">
        <f>"12/19/2019 7:00:35 AM"</f>
        <v>12/19/2019 7:00:35 AM</v>
      </c>
      <c r="I1520" t="str">
        <f>""</f>
        <v/>
      </c>
      <c r="J1520" t="str">
        <f t="shared" si="609"/>
        <v>Elite</v>
      </c>
      <c r="K1520" t="str">
        <f t="shared" si="622"/>
        <v>Device</v>
      </c>
      <c r="L1520" t="str">
        <f t="shared" si="627"/>
        <v>777248852</v>
      </c>
      <c r="M1520" t="str">
        <f t="shared" si="628"/>
        <v>16716734</v>
      </c>
      <c r="N1520" t="str">
        <f t="shared" si="629"/>
        <v>2276-18A</v>
      </c>
      <c r="O1520" t="str">
        <f t="shared" si="610"/>
        <v>TEXAS</v>
      </c>
      <c r="P1520" t="str">
        <f t="shared" si="611"/>
        <v>N A</v>
      </c>
      <c r="Q1520" t="str">
        <f t="shared" si="612"/>
        <v>N/A</v>
      </c>
      <c r="R1520" t="str">
        <f>"130 DKCRP 11 307"</f>
        <v>130 DKCRP 11 307</v>
      </c>
      <c r="S1520" t="str">
        <f>"12/18/2019 5:30:43 PM"</f>
        <v>12/18/2019 5:30:43 PM</v>
      </c>
      <c r="T1520" t="str">
        <f t="shared" si="615"/>
        <v>5</v>
      </c>
      <c r="U1520" t="str">
        <f t="shared" si="613"/>
        <v>N/A</v>
      </c>
      <c r="V1520" t="str">
        <f>"5.5500"</f>
        <v>5.5500</v>
      </c>
    </row>
    <row r="1521" spans="1:22" x14ac:dyDescent="0.25">
      <c r="A1521" s="1" t="str">
        <f t="shared" si="630"/>
        <v>2276-</v>
      </c>
      <c r="B1521" s="1" t="str">
        <f t="shared" si="614"/>
        <v>2276-</v>
      </c>
      <c r="C1521" s="1" t="str">
        <f>VLOOKUP(B1521,'Master truck list'!D:E,2,0)</f>
        <v>2276-18AT</v>
      </c>
      <c r="D1521" s="1" t="s">
        <v>8899</v>
      </c>
      <c r="E1521" s="1" t="str">
        <f>VLOOKUP(C1521,'Master truck list'!E:M,9,0)</f>
        <v>CHARGER LOGISTICS USA INC</v>
      </c>
      <c r="F1521" s="1" t="str">
        <f>VLOOKUP(C1521,'Master truck list'!E:G,3,0)</f>
        <v>Company</v>
      </c>
      <c r="G1521" s="1">
        <f>VLOOKUP(C1521,'Master truck list'!E:R,14,0)</f>
        <v>1033</v>
      </c>
      <c r="H1521" t="str">
        <f>"12/19/2019 7:00:35 AM"</f>
        <v>12/19/2019 7:00:35 AM</v>
      </c>
      <c r="I1521" t="str">
        <f>""</f>
        <v/>
      </c>
      <c r="J1521" t="str">
        <f t="shared" si="609"/>
        <v>Elite</v>
      </c>
      <c r="K1521" t="str">
        <f t="shared" si="622"/>
        <v>Device</v>
      </c>
      <c r="L1521" t="str">
        <f t="shared" si="627"/>
        <v>777248852</v>
      </c>
      <c r="M1521" t="str">
        <f t="shared" si="628"/>
        <v>16716734</v>
      </c>
      <c r="N1521" t="str">
        <f t="shared" si="629"/>
        <v>2276-18A</v>
      </c>
      <c r="O1521" t="str">
        <f t="shared" si="610"/>
        <v>TEXAS</v>
      </c>
      <c r="P1521" t="str">
        <f t="shared" si="611"/>
        <v>N A</v>
      </c>
      <c r="Q1521" t="str">
        <f t="shared" si="612"/>
        <v>N/A</v>
      </c>
      <c r="R1521" t="str">
        <f>"130 CMRNP 13 306"</f>
        <v>130 CMRNP 13 306</v>
      </c>
      <c r="S1521" t="str">
        <f>"12/18/2019 5:46:55 PM"</f>
        <v>12/18/2019 5:46:55 PM</v>
      </c>
      <c r="T1521" t="str">
        <f t="shared" si="615"/>
        <v>5</v>
      </c>
      <c r="U1521" t="str">
        <f t="shared" si="613"/>
        <v>N/A</v>
      </c>
      <c r="V1521" t="str">
        <f>"5.5500"</f>
        <v>5.5500</v>
      </c>
    </row>
    <row r="1522" spans="1:22" x14ac:dyDescent="0.25">
      <c r="A1522" s="1" t="str">
        <f t="shared" si="630"/>
        <v>2276-</v>
      </c>
      <c r="B1522" s="1" t="str">
        <f t="shared" si="614"/>
        <v>2276-</v>
      </c>
      <c r="C1522" s="1" t="str">
        <f>VLOOKUP(B1522,'Master truck list'!D:E,2,0)</f>
        <v>2276-18AT</v>
      </c>
      <c r="D1522" s="1" t="s">
        <v>8899</v>
      </c>
      <c r="E1522" s="1" t="str">
        <f>VLOOKUP(C1522,'Master truck list'!E:M,9,0)</f>
        <v>CHARGER LOGISTICS USA INC</v>
      </c>
      <c r="F1522" s="1" t="str">
        <f>VLOOKUP(C1522,'Master truck list'!E:G,3,0)</f>
        <v>Company</v>
      </c>
      <c r="G1522" s="1">
        <f>VLOOKUP(C1522,'Master truck list'!E:R,14,0)</f>
        <v>1033</v>
      </c>
      <c r="H1522" t="str">
        <f>"12/19/2019 7:00:35 AM"</f>
        <v>12/19/2019 7:00:35 AM</v>
      </c>
      <c r="I1522" t="str">
        <f>""</f>
        <v/>
      </c>
      <c r="J1522" t="str">
        <f t="shared" si="609"/>
        <v>Elite</v>
      </c>
      <c r="K1522" t="str">
        <f t="shared" si="622"/>
        <v>Device</v>
      </c>
      <c r="L1522" t="str">
        <f t="shared" si="627"/>
        <v>777248852</v>
      </c>
      <c r="M1522" t="str">
        <f t="shared" si="628"/>
        <v>16716734</v>
      </c>
      <c r="N1522" t="str">
        <f t="shared" si="629"/>
        <v>2276-18A</v>
      </c>
      <c r="O1522" t="str">
        <f t="shared" si="610"/>
        <v>TEXAS</v>
      </c>
      <c r="P1522" t="str">
        <f t="shared" si="611"/>
        <v>N A</v>
      </c>
      <c r="Q1522" t="str">
        <f t="shared" si="612"/>
        <v>N/A</v>
      </c>
      <c r="R1522" t="str">
        <f>"130 ARPTP 09 308"</f>
        <v>130 ARPTP 09 308</v>
      </c>
      <c r="S1522" t="str">
        <f>"12/18/2019 5:23:22 PM"</f>
        <v>12/18/2019 5:23:22 PM</v>
      </c>
      <c r="T1522" t="str">
        <f t="shared" si="615"/>
        <v>5</v>
      </c>
      <c r="U1522" t="str">
        <f t="shared" si="613"/>
        <v>N/A</v>
      </c>
      <c r="V1522" t="str">
        <f>"5.5500"</f>
        <v>5.5500</v>
      </c>
    </row>
    <row r="1523" spans="1:22" x14ac:dyDescent="0.25">
      <c r="A1523" s="1" t="str">
        <f t="shared" si="630"/>
        <v>2276-</v>
      </c>
      <c r="B1523" s="1" t="str">
        <f t="shared" si="614"/>
        <v>2276-</v>
      </c>
      <c r="C1523" s="1" t="str">
        <f>VLOOKUP(B1523,'Master truck list'!D:E,2,0)</f>
        <v>2276-18AT</v>
      </c>
      <c r="D1523" s="1" t="s">
        <v>8899</v>
      </c>
      <c r="E1523" s="1" t="str">
        <f>VLOOKUP(C1523,'Master truck list'!E:M,9,0)</f>
        <v>CHARGER LOGISTICS USA INC</v>
      </c>
      <c r="F1523" s="1" t="str">
        <f>VLOOKUP(C1523,'Master truck list'!E:G,3,0)</f>
        <v>Company</v>
      </c>
      <c r="G1523" s="1">
        <f>VLOOKUP(C1523,'Master truck list'!E:R,14,0)</f>
        <v>1033</v>
      </c>
      <c r="H1523" t="str">
        <f t="shared" ref="H1523:H1534" si="631">"12/21/2019 7:00:28 AM"</f>
        <v>12/21/2019 7:00:28 AM</v>
      </c>
      <c r="I1523" t="str">
        <f>""</f>
        <v/>
      </c>
      <c r="J1523" t="str">
        <f t="shared" si="609"/>
        <v>Elite</v>
      </c>
      <c r="K1523" t="str">
        <f t="shared" si="622"/>
        <v>Device</v>
      </c>
      <c r="L1523" t="str">
        <f t="shared" si="627"/>
        <v>777248852</v>
      </c>
      <c r="M1523" t="str">
        <f t="shared" si="628"/>
        <v>16716734</v>
      </c>
      <c r="N1523" t="str">
        <f t="shared" si="629"/>
        <v>2276-18A</v>
      </c>
      <c r="O1523" t="str">
        <f t="shared" si="610"/>
        <v>TEXAS</v>
      </c>
      <c r="P1523" t="str">
        <f t="shared" si="611"/>
        <v>N A</v>
      </c>
      <c r="Q1523" t="str">
        <f t="shared" si="612"/>
        <v>N/A</v>
      </c>
      <c r="R1523" t="str">
        <f>"130 MGCRP 11 305"</f>
        <v>130 MGCRP 11 305</v>
      </c>
      <c r="S1523" t="str">
        <f>"12/20/2019 1:42:27 PM"</f>
        <v>12/20/2019 1:42:27 PM</v>
      </c>
      <c r="T1523" t="str">
        <f t="shared" si="615"/>
        <v>5</v>
      </c>
      <c r="U1523" t="str">
        <f t="shared" si="613"/>
        <v>N/A</v>
      </c>
      <c r="V1523" t="str">
        <f>"5.5500"</f>
        <v>5.5500</v>
      </c>
    </row>
    <row r="1524" spans="1:22" x14ac:dyDescent="0.25">
      <c r="A1524" s="1" t="str">
        <f t="shared" si="630"/>
        <v>2276-</v>
      </c>
      <c r="B1524" s="1" t="str">
        <f t="shared" si="614"/>
        <v>2276-</v>
      </c>
      <c r="C1524" s="1" t="str">
        <f>VLOOKUP(B1524,'Master truck list'!D:E,2,0)</f>
        <v>2276-18AT</v>
      </c>
      <c r="D1524" s="1" t="s">
        <v>8899</v>
      </c>
      <c r="E1524" s="1" t="str">
        <f>VLOOKUP(C1524,'Master truck list'!E:M,9,0)</f>
        <v>CHARGER LOGISTICS USA INC</v>
      </c>
      <c r="F1524" s="1" t="str">
        <f>VLOOKUP(C1524,'Master truck list'!E:G,3,0)</f>
        <v>Company</v>
      </c>
      <c r="G1524" s="1">
        <f>VLOOKUP(C1524,'Master truck list'!E:R,14,0)</f>
        <v>1033</v>
      </c>
      <c r="H1524" t="str">
        <f t="shared" si="631"/>
        <v>12/21/2019 7:00:28 AM</v>
      </c>
      <c r="I1524" t="str">
        <f>""</f>
        <v/>
      </c>
      <c r="J1524" t="str">
        <f t="shared" si="609"/>
        <v>Elite</v>
      </c>
      <c r="K1524" t="str">
        <f t="shared" si="622"/>
        <v>Device</v>
      </c>
      <c r="L1524" t="str">
        <f t="shared" si="627"/>
        <v>777248852</v>
      </c>
      <c r="M1524" t="str">
        <f t="shared" si="628"/>
        <v>16716734</v>
      </c>
      <c r="N1524" t="str">
        <f t="shared" si="629"/>
        <v>2276-18A</v>
      </c>
      <c r="O1524" t="str">
        <f t="shared" si="610"/>
        <v>TEXAS</v>
      </c>
      <c r="P1524" t="str">
        <f t="shared" si="611"/>
        <v>N A</v>
      </c>
      <c r="Q1524" t="str">
        <f t="shared" si="612"/>
        <v>N/A</v>
      </c>
      <c r="R1524" t="str">
        <f>"130 CMRNP 12 306"</f>
        <v>130 CMRNP 12 306</v>
      </c>
      <c r="S1524" t="str">
        <f>"12/20/2019 1:31:23 PM"</f>
        <v>12/20/2019 1:31:23 PM</v>
      </c>
      <c r="T1524" t="str">
        <f t="shared" si="615"/>
        <v>5</v>
      </c>
      <c r="U1524" t="str">
        <f t="shared" si="613"/>
        <v>N/A</v>
      </c>
      <c r="V1524" t="str">
        <f>"5.5500"</f>
        <v>5.5500</v>
      </c>
    </row>
    <row r="1525" spans="1:22" x14ac:dyDescent="0.25">
      <c r="A1525" s="1" t="str">
        <f t="shared" si="630"/>
        <v>2276-</v>
      </c>
      <c r="B1525" s="1" t="str">
        <f t="shared" si="614"/>
        <v>2276-</v>
      </c>
      <c r="C1525" s="1" t="str">
        <f>VLOOKUP(B1525,'Master truck list'!D:E,2,0)</f>
        <v>2276-18AT</v>
      </c>
      <c r="D1525" s="1" t="s">
        <v>8899</v>
      </c>
      <c r="E1525" s="1" t="str">
        <f>VLOOKUP(C1525,'Master truck list'!E:M,9,0)</f>
        <v>CHARGER LOGISTICS USA INC</v>
      </c>
      <c r="F1525" s="1" t="str">
        <f>VLOOKUP(C1525,'Master truck list'!E:G,3,0)</f>
        <v>Company</v>
      </c>
      <c r="G1525" s="1">
        <f>VLOOKUP(C1525,'Master truck list'!E:R,14,0)</f>
        <v>1033</v>
      </c>
      <c r="H1525" t="str">
        <f t="shared" si="631"/>
        <v>12/21/2019 7:00:28 AM</v>
      </c>
      <c r="I1525" t="str">
        <f>""</f>
        <v/>
      </c>
      <c r="J1525" t="str">
        <f t="shared" si="609"/>
        <v>Elite</v>
      </c>
      <c r="K1525" t="str">
        <f t="shared" si="622"/>
        <v>Device</v>
      </c>
      <c r="L1525" t="str">
        <f t="shared" si="627"/>
        <v>777248852</v>
      </c>
      <c r="M1525" t="str">
        <f t="shared" si="628"/>
        <v>16716734</v>
      </c>
      <c r="N1525" t="str">
        <f t="shared" si="629"/>
        <v>2276-18A</v>
      </c>
      <c r="O1525" t="str">
        <f t="shared" si="610"/>
        <v>TEXAS</v>
      </c>
      <c r="P1525" t="str">
        <f t="shared" si="611"/>
        <v>N A</v>
      </c>
      <c r="Q1525" t="str">
        <f t="shared" si="612"/>
        <v>N/A</v>
      </c>
      <c r="R1525" t="str">
        <f>"45SE MLPEB 02 611"</f>
        <v>45SE MLPEB 02 611</v>
      </c>
      <c r="S1525" t="str">
        <f>"12/20/2019 1:03:29 PM"</f>
        <v>12/20/2019 1:03:29 PM</v>
      </c>
      <c r="T1525" t="str">
        <f t="shared" si="615"/>
        <v>5</v>
      </c>
      <c r="U1525" t="str">
        <f t="shared" si="613"/>
        <v>N/A</v>
      </c>
      <c r="V1525" t="str">
        <f>"3.3000"</f>
        <v>3.3000</v>
      </c>
    </row>
    <row r="1526" spans="1:22" x14ac:dyDescent="0.25">
      <c r="A1526" s="1" t="str">
        <f t="shared" si="630"/>
        <v>2276-</v>
      </c>
      <c r="B1526" s="1" t="str">
        <f t="shared" si="614"/>
        <v>2276-</v>
      </c>
      <c r="C1526" s="1" t="str">
        <f>VLOOKUP(B1526,'Master truck list'!D:E,2,0)</f>
        <v>2276-18AT</v>
      </c>
      <c r="D1526" s="1" t="s">
        <v>8899</v>
      </c>
      <c r="E1526" s="1" t="str">
        <f>VLOOKUP(C1526,'Master truck list'!E:M,9,0)</f>
        <v>CHARGER LOGISTICS USA INC</v>
      </c>
      <c r="F1526" s="1" t="str">
        <f>VLOOKUP(C1526,'Master truck list'!E:G,3,0)</f>
        <v>Company</v>
      </c>
      <c r="G1526" s="1">
        <f>VLOOKUP(C1526,'Master truck list'!E:R,14,0)</f>
        <v>1033</v>
      </c>
      <c r="H1526" t="str">
        <f t="shared" si="631"/>
        <v>12/21/2019 7:00:28 AM</v>
      </c>
      <c r="I1526" t="str">
        <f>""</f>
        <v/>
      </c>
      <c r="J1526" t="str">
        <f t="shared" si="609"/>
        <v>Elite</v>
      </c>
      <c r="K1526" t="str">
        <f t="shared" si="622"/>
        <v>Device</v>
      </c>
      <c r="L1526" t="str">
        <f t="shared" si="627"/>
        <v>777248852</v>
      </c>
      <c r="M1526" t="str">
        <f t="shared" si="628"/>
        <v>16716734</v>
      </c>
      <c r="N1526" t="str">
        <f t="shared" si="629"/>
        <v>2276-18A</v>
      </c>
      <c r="O1526" t="str">
        <f t="shared" si="610"/>
        <v>TEXAS</v>
      </c>
      <c r="P1526" t="str">
        <f t="shared" si="611"/>
        <v>N A</v>
      </c>
      <c r="Q1526" t="str">
        <f t="shared" si="612"/>
        <v>N/A</v>
      </c>
      <c r="R1526" t="str">
        <f>"130 DKCRP 11 307"</f>
        <v>130 DKCRP 11 307</v>
      </c>
      <c r="S1526" t="str">
        <f>"12/20/2019 1:21:06 PM"</f>
        <v>12/20/2019 1:21:06 PM</v>
      </c>
      <c r="T1526" t="str">
        <f t="shared" si="615"/>
        <v>5</v>
      </c>
      <c r="U1526" t="str">
        <f t="shared" si="613"/>
        <v>N/A</v>
      </c>
      <c r="V1526" t="str">
        <f>"5.5500"</f>
        <v>5.5500</v>
      </c>
    </row>
    <row r="1527" spans="1:22" x14ac:dyDescent="0.25">
      <c r="A1527" s="1" t="str">
        <f t="shared" si="630"/>
        <v>7502</v>
      </c>
      <c r="B1527" s="1" t="str">
        <f t="shared" si="614"/>
        <v>7502</v>
      </c>
      <c r="C1527" s="1">
        <v>7502</v>
      </c>
      <c r="D1527" s="1" t="s">
        <v>8899</v>
      </c>
      <c r="E1527" s="1" t="s">
        <v>1738</v>
      </c>
      <c r="F1527" s="1" t="s">
        <v>8923</v>
      </c>
      <c r="G1527" s="1" t="e">
        <f>VLOOKUP(C1527,'Master truck list'!E:R,14,0)</f>
        <v>#N/A</v>
      </c>
      <c r="H1527" t="str">
        <f t="shared" si="631"/>
        <v>12/21/2019 7:00:28 AM</v>
      </c>
      <c r="I1527" t="str">
        <f>""</f>
        <v/>
      </c>
      <c r="J1527" t="str">
        <f t="shared" si="609"/>
        <v>Elite</v>
      </c>
      <c r="K1527" t="str">
        <f t="shared" si="622"/>
        <v>Device</v>
      </c>
      <c r="L1527" t="str">
        <f>"777252518"</f>
        <v>777252518</v>
      </c>
      <c r="M1527" t="str">
        <f>"16720400"</f>
        <v>16720400</v>
      </c>
      <c r="N1527" t="str">
        <f>"7502"</f>
        <v>7502</v>
      </c>
      <c r="O1527" t="str">
        <f t="shared" si="610"/>
        <v>TEXAS</v>
      </c>
      <c r="P1527" t="str">
        <f t="shared" si="611"/>
        <v>N A</v>
      </c>
      <c r="Q1527" t="str">
        <f t="shared" si="612"/>
        <v>N/A</v>
      </c>
      <c r="R1527" t="str">
        <f>"130 DKCRP 06 307"</f>
        <v>130 DKCRP 06 307</v>
      </c>
      <c r="S1527" t="str">
        <f>"12/20/2019 6:40:30 PM"</f>
        <v>12/20/2019 6:40:30 PM</v>
      </c>
      <c r="T1527" t="str">
        <f t="shared" si="615"/>
        <v>5</v>
      </c>
      <c r="U1527" t="str">
        <f t="shared" si="613"/>
        <v>N/A</v>
      </c>
      <c r="V1527" t="str">
        <f>"5.5500"</f>
        <v>5.5500</v>
      </c>
    </row>
    <row r="1528" spans="1:22" x14ac:dyDescent="0.25">
      <c r="A1528" s="1" t="str">
        <f t="shared" si="630"/>
        <v>7502</v>
      </c>
      <c r="B1528" s="1" t="str">
        <f t="shared" si="614"/>
        <v>7502</v>
      </c>
      <c r="C1528" s="1">
        <v>7502</v>
      </c>
      <c r="D1528" s="1" t="s">
        <v>8899</v>
      </c>
      <c r="E1528" s="1" t="s">
        <v>1738</v>
      </c>
      <c r="F1528" s="1" t="s">
        <v>8923</v>
      </c>
      <c r="G1528" s="1" t="e">
        <f>VLOOKUP(C1528,'Master truck list'!E:R,14,0)</f>
        <v>#N/A</v>
      </c>
      <c r="H1528" t="str">
        <f t="shared" si="631"/>
        <v>12/21/2019 7:00:28 AM</v>
      </c>
      <c r="I1528" t="str">
        <f>""</f>
        <v/>
      </c>
      <c r="J1528" t="str">
        <f t="shared" si="609"/>
        <v>Elite</v>
      </c>
      <c r="K1528" t="str">
        <f t="shared" si="622"/>
        <v>Device</v>
      </c>
      <c r="L1528" t="str">
        <f>"777252518"</f>
        <v>777252518</v>
      </c>
      <c r="M1528" t="str">
        <f>"16720400"</f>
        <v>16720400</v>
      </c>
      <c r="N1528" t="str">
        <f>"7502"</f>
        <v>7502</v>
      </c>
      <c r="O1528" t="str">
        <f t="shared" si="610"/>
        <v>TEXAS</v>
      </c>
      <c r="P1528" t="str">
        <f t="shared" si="611"/>
        <v>N A</v>
      </c>
      <c r="Q1528" t="str">
        <f t="shared" si="612"/>
        <v>N/A</v>
      </c>
      <c r="R1528" t="str">
        <f>"130 MGCRP 06 305"</f>
        <v>130 MGCRP 06 305</v>
      </c>
      <c r="S1528" t="str">
        <f>"12/20/2019 6:18:55 PM"</f>
        <v>12/20/2019 6:18:55 PM</v>
      </c>
      <c r="T1528" t="str">
        <f t="shared" si="615"/>
        <v>5</v>
      </c>
      <c r="U1528" t="str">
        <f t="shared" si="613"/>
        <v>N/A</v>
      </c>
      <c r="V1528" t="str">
        <f>"5.5500"</f>
        <v>5.5500</v>
      </c>
    </row>
    <row r="1529" spans="1:22" x14ac:dyDescent="0.25">
      <c r="A1529" s="1" t="str">
        <f t="shared" si="630"/>
        <v>7502</v>
      </c>
      <c r="B1529" s="1" t="str">
        <f t="shared" si="614"/>
        <v>7502</v>
      </c>
      <c r="C1529" s="1">
        <v>7502</v>
      </c>
      <c r="D1529" s="1" t="s">
        <v>8899</v>
      </c>
      <c r="E1529" s="1" t="s">
        <v>1738</v>
      </c>
      <c r="F1529" s="1" t="s">
        <v>8923</v>
      </c>
      <c r="G1529" s="1" t="e">
        <f>VLOOKUP(C1529,'Master truck list'!E:R,14,0)</f>
        <v>#N/A</v>
      </c>
      <c r="H1529" t="str">
        <f t="shared" si="631"/>
        <v>12/21/2019 7:00:28 AM</v>
      </c>
      <c r="I1529" t="str">
        <f>""</f>
        <v/>
      </c>
      <c r="J1529" t="str">
        <f t="shared" si="609"/>
        <v>Elite</v>
      </c>
      <c r="K1529" t="str">
        <f t="shared" si="622"/>
        <v>Device</v>
      </c>
      <c r="L1529" t="str">
        <f>"777252518"</f>
        <v>777252518</v>
      </c>
      <c r="M1529" t="str">
        <f>"16720400"</f>
        <v>16720400</v>
      </c>
      <c r="N1529" t="str">
        <f>"7502"</f>
        <v>7502</v>
      </c>
      <c r="O1529" t="str">
        <f t="shared" si="610"/>
        <v>TEXAS</v>
      </c>
      <c r="P1529" t="str">
        <f t="shared" si="611"/>
        <v>N A</v>
      </c>
      <c r="Q1529" t="str">
        <f t="shared" si="612"/>
        <v>N/A</v>
      </c>
      <c r="R1529" t="str">
        <f>"130 CMRNP 08 306"</f>
        <v>130 CMRNP 08 306</v>
      </c>
      <c r="S1529" t="str">
        <f>"12/20/2019 6:30:06 PM"</f>
        <v>12/20/2019 6:30:06 PM</v>
      </c>
      <c r="T1529" t="str">
        <f t="shared" si="615"/>
        <v>5</v>
      </c>
      <c r="U1529" t="str">
        <f t="shared" si="613"/>
        <v>N/A</v>
      </c>
      <c r="V1529" t="str">
        <f>"5.5500"</f>
        <v>5.5500</v>
      </c>
    </row>
    <row r="1530" spans="1:22" x14ac:dyDescent="0.25">
      <c r="A1530" s="1" t="str">
        <f t="shared" si="630"/>
        <v>7502</v>
      </c>
      <c r="B1530" s="1" t="str">
        <f t="shared" si="614"/>
        <v>7502</v>
      </c>
      <c r="C1530" s="1">
        <v>7502</v>
      </c>
      <c r="D1530" s="1" t="s">
        <v>8899</v>
      </c>
      <c r="E1530" s="1" t="s">
        <v>1738</v>
      </c>
      <c r="F1530" s="1" t="s">
        <v>8923</v>
      </c>
      <c r="G1530" s="1" t="e">
        <f>VLOOKUP(C1530,'Master truck list'!E:R,14,0)</f>
        <v>#N/A</v>
      </c>
      <c r="H1530" t="str">
        <f t="shared" si="631"/>
        <v>12/21/2019 7:00:28 AM</v>
      </c>
      <c r="I1530" t="str">
        <f>""</f>
        <v/>
      </c>
      <c r="J1530" t="str">
        <f t="shared" si="609"/>
        <v>Elite</v>
      </c>
      <c r="K1530" t="str">
        <f t="shared" si="622"/>
        <v>Device</v>
      </c>
      <c r="L1530" t="str">
        <f>"777252518"</f>
        <v>777252518</v>
      </c>
      <c r="M1530" t="str">
        <f>"16720400"</f>
        <v>16720400</v>
      </c>
      <c r="N1530" t="str">
        <f>"7502"</f>
        <v>7502</v>
      </c>
      <c r="O1530" t="str">
        <f t="shared" si="610"/>
        <v>TEXAS</v>
      </c>
      <c r="P1530" t="str">
        <f t="shared" si="611"/>
        <v>N A</v>
      </c>
      <c r="Q1530" t="str">
        <f t="shared" si="612"/>
        <v>N/A</v>
      </c>
      <c r="R1530" t="str">
        <f>"45SE MLPWB 01 611"</f>
        <v>45SE MLPWB 01 611</v>
      </c>
      <c r="S1530" t="str">
        <f>"12/20/2019 6:58:55 PM"</f>
        <v>12/20/2019 6:58:55 PM</v>
      </c>
      <c r="T1530" t="str">
        <f t="shared" si="615"/>
        <v>5</v>
      </c>
      <c r="U1530" t="str">
        <f t="shared" si="613"/>
        <v>N/A</v>
      </c>
      <c r="V1530" t="str">
        <f>"3.3000"</f>
        <v>3.3000</v>
      </c>
    </row>
    <row r="1531" spans="1:22" x14ac:dyDescent="0.25">
      <c r="A1531" s="1" t="str">
        <f t="shared" si="630"/>
        <v>7502</v>
      </c>
      <c r="B1531" s="1" t="str">
        <f t="shared" si="614"/>
        <v>7502</v>
      </c>
      <c r="C1531" s="1">
        <v>7502</v>
      </c>
      <c r="D1531" s="1" t="s">
        <v>8899</v>
      </c>
      <c r="E1531" s="1" t="s">
        <v>1738</v>
      </c>
      <c r="F1531" s="1" t="s">
        <v>8923</v>
      </c>
      <c r="G1531" s="1" t="e">
        <f>VLOOKUP(C1531,'Master truck list'!E:R,14,0)</f>
        <v>#N/A</v>
      </c>
      <c r="H1531" t="str">
        <f t="shared" si="631"/>
        <v>12/21/2019 7:00:28 AM</v>
      </c>
      <c r="I1531" t="str">
        <f>""</f>
        <v/>
      </c>
      <c r="J1531" t="str">
        <f t="shared" si="609"/>
        <v>Elite</v>
      </c>
      <c r="K1531" t="str">
        <f t="shared" si="622"/>
        <v>Device</v>
      </c>
      <c r="L1531" t="str">
        <f>"777252518"</f>
        <v>777252518</v>
      </c>
      <c r="M1531" t="str">
        <f>"16720400"</f>
        <v>16720400</v>
      </c>
      <c r="N1531" t="str">
        <f>"7502"</f>
        <v>7502</v>
      </c>
      <c r="O1531" t="str">
        <f t="shared" si="610"/>
        <v>TEXAS</v>
      </c>
      <c r="P1531" t="str">
        <f t="shared" si="611"/>
        <v>N A</v>
      </c>
      <c r="Q1531" t="str">
        <f t="shared" si="612"/>
        <v>N/A</v>
      </c>
      <c r="R1531" t="str">
        <f>"130 ARPTP 04 308"</f>
        <v>130 ARPTP 04 308</v>
      </c>
      <c r="S1531" t="str">
        <f>"12/20/2019 6:47:48 PM"</f>
        <v>12/20/2019 6:47:48 PM</v>
      </c>
      <c r="T1531" t="str">
        <f t="shared" si="615"/>
        <v>5</v>
      </c>
      <c r="U1531" t="str">
        <f t="shared" si="613"/>
        <v>N/A</v>
      </c>
      <c r="V1531" t="str">
        <f>"5.5500"</f>
        <v>5.5500</v>
      </c>
    </row>
    <row r="1532" spans="1:22" x14ac:dyDescent="0.25">
      <c r="A1532" s="1" t="str">
        <f t="shared" si="630"/>
        <v>72567</v>
      </c>
      <c r="B1532" s="1" t="str">
        <f t="shared" si="614"/>
        <v>72567</v>
      </c>
      <c r="C1532" s="1" t="str">
        <f>VLOOKUP(B1532,'Master truck list'!D:E,2,0)</f>
        <v>72567</v>
      </c>
      <c r="D1532" s="1" t="s">
        <v>8899</v>
      </c>
      <c r="E1532" s="1" t="str">
        <f>VLOOKUP(C1532,'Master truck list'!E:M,9,0)</f>
        <v>CHARGER LOGISTICS USA INC</v>
      </c>
      <c r="F1532" s="1" t="str">
        <f>VLOOKUP(C1532,'Master truck list'!E:G,3,0)</f>
        <v>Owner Operator</v>
      </c>
      <c r="G1532" s="1">
        <f>VLOOKUP(C1532,'Master truck list'!E:R,14,0)</f>
        <v>2486</v>
      </c>
      <c r="H1532" t="str">
        <f t="shared" si="631"/>
        <v>12/21/2019 7:00:28 AM</v>
      </c>
      <c r="I1532" t="str">
        <f>""</f>
        <v/>
      </c>
      <c r="J1532" t="str">
        <f t="shared" si="609"/>
        <v>Elite</v>
      </c>
      <c r="K1532" t="str">
        <f t="shared" si="622"/>
        <v>Device</v>
      </c>
      <c r="L1532" t="str">
        <f>"777167633"</f>
        <v>777167633</v>
      </c>
      <c r="M1532" t="str">
        <f>"16426708"</f>
        <v>16426708</v>
      </c>
      <c r="N1532" t="str">
        <f>"72567"</f>
        <v>72567</v>
      </c>
      <c r="O1532" t="str">
        <f t="shared" si="610"/>
        <v>TEXAS</v>
      </c>
      <c r="P1532" t="str">
        <f t="shared" si="611"/>
        <v>N A</v>
      </c>
      <c r="Q1532" t="str">
        <f t="shared" si="612"/>
        <v>N/A</v>
      </c>
      <c r="R1532" t="str">
        <f>"I35WS 820 31 820"</f>
        <v>I35WS 820 31 820</v>
      </c>
      <c r="S1532" t="str">
        <f>"12/19/2019 10:24:54 AM"</f>
        <v>12/19/2019 10:24:54 AM</v>
      </c>
      <c r="T1532" t="str">
        <f>"2"</f>
        <v>2</v>
      </c>
      <c r="U1532" t="str">
        <f t="shared" si="613"/>
        <v>N/A</v>
      </c>
      <c r="V1532" t="str">
        <f>"12.6000"</f>
        <v>12.6000</v>
      </c>
    </row>
    <row r="1533" spans="1:22" x14ac:dyDescent="0.25">
      <c r="A1533" s="1" t="str">
        <f t="shared" si="630"/>
        <v>72567</v>
      </c>
      <c r="B1533" s="1" t="str">
        <f t="shared" si="614"/>
        <v>72567</v>
      </c>
      <c r="C1533" s="1" t="str">
        <f>VLOOKUP(B1533,'Master truck list'!D:E,2,0)</f>
        <v>72567</v>
      </c>
      <c r="D1533" s="1" t="s">
        <v>8899</v>
      </c>
      <c r="E1533" s="1" t="str">
        <f>VLOOKUP(C1533,'Master truck list'!E:M,9,0)</f>
        <v>CHARGER LOGISTICS USA INC</v>
      </c>
      <c r="F1533" s="1" t="str">
        <f>VLOOKUP(C1533,'Master truck list'!E:G,3,0)</f>
        <v>Owner Operator</v>
      </c>
      <c r="G1533" s="1">
        <f>VLOOKUP(C1533,'Master truck list'!E:R,14,0)</f>
        <v>2486</v>
      </c>
      <c r="H1533" t="str">
        <f t="shared" si="631"/>
        <v>12/21/2019 7:00:28 AM</v>
      </c>
      <c r="I1533" t="str">
        <f>""</f>
        <v/>
      </c>
      <c r="J1533" t="str">
        <f t="shared" si="609"/>
        <v>Elite</v>
      </c>
      <c r="K1533" t="str">
        <f t="shared" si="622"/>
        <v>Device</v>
      </c>
      <c r="L1533" t="str">
        <f>"777167633"</f>
        <v>777167633</v>
      </c>
      <c r="M1533" t="str">
        <f>"16426708"</f>
        <v>16426708</v>
      </c>
      <c r="N1533" t="str">
        <f>"72567"</f>
        <v>72567</v>
      </c>
      <c r="O1533" t="str">
        <f t="shared" si="610"/>
        <v>TEXAS</v>
      </c>
      <c r="P1533" t="str">
        <f t="shared" si="611"/>
        <v>N A</v>
      </c>
      <c r="Q1533" t="str">
        <f t="shared" si="612"/>
        <v>N/A</v>
      </c>
      <c r="R1533" t="str">
        <f>"I35WS US287S 22 US28"</f>
        <v>I35WS US287S 22 US28</v>
      </c>
      <c r="S1533" t="str">
        <f>"12/19/2019 10:21:54 AM"</f>
        <v>12/19/2019 10:21:54 AM</v>
      </c>
      <c r="T1533" t="str">
        <f>"2"</f>
        <v>2</v>
      </c>
      <c r="U1533" t="str">
        <f t="shared" si="613"/>
        <v>N/A</v>
      </c>
      <c r="V1533" t="str">
        <f>"8.0000"</f>
        <v>8.0000</v>
      </c>
    </row>
    <row r="1534" spans="1:22" x14ac:dyDescent="0.25">
      <c r="A1534" s="1" t="str">
        <f t="shared" si="630"/>
        <v>72587</v>
      </c>
      <c r="B1534" s="1" t="str">
        <f t="shared" si="614"/>
        <v>72587</v>
      </c>
      <c r="C1534" s="1">
        <v>72587</v>
      </c>
      <c r="D1534" s="1" t="s">
        <v>8899</v>
      </c>
      <c r="E1534" s="1" t="s">
        <v>8916</v>
      </c>
      <c r="F1534" s="1" t="s">
        <v>63</v>
      </c>
      <c r="G1534" s="1" t="e">
        <f>VLOOKUP(C1534,'Master truck list'!E:R,14,0)</f>
        <v>#N/A</v>
      </c>
      <c r="H1534" t="str">
        <f t="shared" si="631"/>
        <v>12/21/2019 7:00:28 AM</v>
      </c>
      <c r="I1534" t="str">
        <f>""</f>
        <v/>
      </c>
      <c r="J1534" t="str">
        <f t="shared" si="609"/>
        <v>Elite</v>
      </c>
      <c r="K1534" t="str">
        <f t="shared" si="622"/>
        <v>Device</v>
      </c>
      <c r="L1534" t="str">
        <f>"777260076"</f>
        <v>777260076</v>
      </c>
      <c r="M1534" t="str">
        <f>"16758233"</f>
        <v>16758233</v>
      </c>
      <c r="N1534" t="str">
        <f>"72587"</f>
        <v>72587</v>
      </c>
      <c r="O1534" t="str">
        <f t="shared" si="610"/>
        <v>TEXAS</v>
      </c>
      <c r="P1534" t="str">
        <f t="shared" si="611"/>
        <v>N A</v>
      </c>
      <c r="Q1534" t="str">
        <f t="shared" si="612"/>
        <v>N/A</v>
      </c>
      <c r="R1534" t="str">
        <f>"130 ARPTP 04 308"</f>
        <v>130 ARPTP 04 308</v>
      </c>
      <c r="S1534" t="str">
        <f>"12/20/2019 2:59:30 PM"</f>
        <v>12/20/2019 2:59:30 PM</v>
      </c>
      <c r="T1534" t="str">
        <f t="shared" ref="T1534:T1543" si="632">"5"</f>
        <v>5</v>
      </c>
      <c r="U1534" t="str">
        <f t="shared" si="613"/>
        <v>N/A</v>
      </c>
      <c r="V1534" t="str">
        <f>"5.5500"</f>
        <v>5.5500</v>
      </c>
    </row>
    <row r="1535" spans="1:22" x14ac:dyDescent="0.25">
      <c r="A1535" s="1" t="str">
        <f t="shared" si="630"/>
        <v>72587</v>
      </c>
      <c r="B1535" s="1" t="str">
        <f t="shared" si="614"/>
        <v>72587</v>
      </c>
      <c r="C1535" s="1">
        <v>72587</v>
      </c>
      <c r="D1535" s="1" t="s">
        <v>8899</v>
      </c>
      <c r="E1535" s="1" t="s">
        <v>8916</v>
      </c>
      <c r="F1535" s="1" t="s">
        <v>63</v>
      </c>
      <c r="G1535" s="1" t="e">
        <f>VLOOKUP(C1535,'Master truck list'!E:R,14,0)</f>
        <v>#N/A</v>
      </c>
      <c r="H1535" t="str">
        <f>"12/20/2019 7:00:30 AM"</f>
        <v>12/20/2019 7:00:30 AM</v>
      </c>
      <c r="I1535" t="str">
        <f>""</f>
        <v/>
      </c>
      <c r="J1535" t="str">
        <f t="shared" si="609"/>
        <v>Elite</v>
      </c>
      <c r="K1535" t="str">
        <f t="shared" si="622"/>
        <v>Device</v>
      </c>
      <c r="L1535" t="str">
        <f>"777260076"</f>
        <v>777260076</v>
      </c>
      <c r="M1535" t="str">
        <f>"16758233"</f>
        <v>16758233</v>
      </c>
      <c r="N1535" t="str">
        <f>"72587"</f>
        <v>72587</v>
      </c>
      <c r="O1535" t="str">
        <f t="shared" si="610"/>
        <v>TEXAS</v>
      </c>
      <c r="P1535" t="str">
        <f t="shared" si="611"/>
        <v>N A</v>
      </c>
      <c r="Q1535" t="str">
        <f t="shared" si="612"/>
        <v>N/A</v>
      </c>
      <c r="R1535" t="str">
        <f>"DNT BELRD 05 BELR"</f>
        <v>DNT BELRD 05 BELR</v>
      </c>
      <c r="S1535" t="str">
        <f>"12/19/2019 5:59:30 PM"</f>
        <v>12/19/2019 5:59:30 PM</v>
      </c>
      <c r="T1535" t="str">
        <f t="shared" si="632"/>
        <v>5</v>
      </c>
      <c r="U1535" t="str">
        <f t="shared" si="613"/>
        <v>N/A</v>
      </c>
      <c r="V1535" t="str">
        <f>"1.5200"</f>
        <v>1.5200</v>
      </c>
    </row>
    <row r="1536" spans="1:22" x14ac:dyDescent="0.25">
      <c r="A1536" s="1" t="str">
        <f t="shared" si="630"/>
        <v>72587</v>
      </c>
      <c r="B1536" s="1" t="str">
        <f t="shared" si="614"/>
        <v>72587</v>
      </c>
      <c r="C1536" s="1">
        <v>72587</v>
      </c>
      <c r="D1536" s="1" t="s">
        <v>8899</v>
      </c>
      <c r="E1536" s="1" t="s">
        <v>8916</v>
      </c>
      <c r="F1536" s="1" t="s">
        <v>63</v>
      </c>
      <c r="G1536" s="1" t="e">
        <f>VLOOKUP(C1536,'Master truck list'!E:R,14,0)</f>
        <v>#N/A</v>
      </c>
      <c r="H1536" t="str">
        <f>"12/21/2019 7:00:28 AM"</f>
        <v>12/21/2019 7:00:28 AM</v>
      </c>
      <c r="I1536" t="str">
        <f>""</f>
        <v/>
      </c>
      <c r="J1536" t="str">
        <f t="shared" si="609"/>
        <v>Elite</v>
      </c>
      <c r="K1536" t="str">
        <f t="shared" si="622"/>
        <v>Device</v>
      </c>
      <c r="L1536" t="str">
        <f>"777260076"</f>
        <v>777260076</v>
      </c>
      <c r="M1536" t="str">
        <f>"16758233"</f>
        <v>16758233</v>
      </c>
      <c r="N1536" t="str">
        <f>"72587"</f>
        <v>72587</v>
      </c>
      <c r="O1536" t="str">
        <f t="shared" si="610"/>
        <v>TEXAS</v>
      </c>
      <c r="P1536" t="str">
        <f t="shared" si="611"/>
        <v>N A</v>
      </c>
      <c r="Q1536" t="str">
        <f t="shared" si="612"/>
        <v>N/A</v>
      </c>
      <c r="R1536" t="str">
        <f>"130 CMRNP 08 306"</f>
        <v>130 CMRNP 08 306</v>
      </c>
      <c r="S1536" t="str">
        <f>"12/20/2019 2:41:28 PM"</f>
        <v>12/20/2019 2:41:28 PM</v>
      </c>
      <c r="T1536" t="str">
        <f t="shared" si="632"/>
        <v>5</v>
      </c>
      <c r="U1536" t="str">
        <f t="shared" si="613"/>
        <v>N/A</v>
      </c>
      <c r="V1536" t="str">
        <f>"5.5500"</f>
        <v>5.5500</v>
      </c>
    </row>
    <row r="1537" spans="1:22" x14ac:dyDescent="0.25">
      <c r="A1537" s="1" t="str">
        <f t="shared" si="630"/>
        <v>72587</v>
      </c>
      <c r="B1537" s="1" t="str">
        <f t="shared" si="614"/>
        <v>72587</v>
      </c>
      <c r="C1537" s="1">
        <v>72587</v>
      </c>
      <c r="D1537" s="1" t="s">
        <v>8899</v>
      </c>
      <c r="E1537" s="1" t="s">
        <v>8916</v>
      </c>
      <c r="F1537" s="1" t="s">
        <v>63</v>
      </c>
      <c r="G1537" s="1" t="e">
        <f>VLOOKUP(C1537,'Master truck list'!E:R,14,0)</f>
        <v>#N/A</v>
      </c>
      <c r="H1537" t="str">
        <f>"12/21/2019 7:00:28 AM"</f>
        <v>12/21/2019 7:00:28 AM</v>
      </c>
      <c r="I1537" t="str">
        <f>""</f>
        <v/>
      </c>
      <c r="J1537" t="str">
        <f t="shared" si="609"/>
        <v>Elite</v>
      </c>
      <c r="K1537" t="str">
        <f t="shared" si="622"/>
        <v>Device</v>
      </c>
      <c r="L1537" t="str">
        <f>"777260076"</f>
        <v>777260076</v>
      </c>
      <c r="M1537" t="str">
        <f>"16758233"</f>
        <v>16758233</v>
      </c>
      <c r="N1537" t="str">
        <f>"72587"</f>
        <v>72587</v>
      </c>
      <c r="O1537" t="str">
        <f t="shared" si="610"/>
        <v>TEXAS</v>
      </c>
      <c r="P1537" t="str">
        <f t="shared" si="611"/>
        <v>N A</v>
      </c>
      <c r="Q1537" t="str">
        <f t="shared" si="612"/>
        <v>N/A</v>
      </c>
      <c r="R1537" t="str">
        <f>"130 MGCRP 06 305"</f>
        <v>130 MGCRP 06 305</v>
      </c>
      <c r="S1537" t="str">
        <f>"12/20/2019 2:31:08 PM"</f>
        <v>12/20/2019 2:31:08 PM</v>
      </c>
      <c r="T1537" t="str">
        <f t="shared" si="632"/>
        <v>5</v>
      </c>
      <c r="U1537" t="str">
        <f t="shared" si="613"/>
        <v>N/A</v>
      </c>
      <c r="V1537" t="str">
        <f>"5.5500"</f>
        <v>5.5500</v>
      </c>
    </row>
    <row r="1538" spans="1:22" x14ac:dyDescent="0.25">
      <c r="A1538" s="1" t="str">
        <f t="shared" si="630"/>
        <v>72587</v>
      </c>
      <c r="B1538" s="1" t="str">
        <f t="shared" si="614"/>
        <v>72587</v>
      </c>
      <c r="C1538" s="1">
        <v>72587</v>
      </c>
      <c r="D1538" s="1" t="s">
        <v>8899</v>
      </c>
      <c r="E1538" s="1" t="s">
        <v>8916</v>
      </c>
      <c r="F1538" s="1" t="s">
        <v>63</v>
      </c>
      <c r="G1538" s="1" t="e">
        <f>VLOOKUP(C1538,'Master truck list'!E:R,14,0)</f>
        <v>#N/A</v>
      </c>
      <c r="H1538" t="str">
        <f>"12/21/2019 7:00:28 AM"</f>
        <v>12/21/2019 7:00:28 AM</v>
      </c>
      <c r="I1538" t="str">
        <f>""</f>
        <v/>
      </c>
      <c r="J1538" t="str">
        <f t="shared" ref="J1538:J1543" si="633">"Elite"</f>
        <v>Elite</v>
      </c>
      <c r="K1538" t="str">
        <f t="shared" si="622"/>
        <v>Device</v>
      </c>
      <c r="L1538" t="str">
        <f>"777260076"</f>
        <v>777260076</v>
      </c>
      <c r="M1538" t="str">
        <f>"16758233"</f>
        <v>16758233</v>
      </c>
      <c r="N1538" t="str">
        <f>"72587"</f>
        <v>72587</v>
      </c>
      <c r="O1538" t="str">
        <f t="shared" ref="O1538:O1543" si="634">"TEXAS"</f>
        <v>TEXAS</v>
      </c>
      <c r="P1538" t="str">
        <f t="shared" ref="P1538:P1543" si="635">"N A"</f>
        <v>N A</v>
      </c>
      <c r="Q1538" t="str">
        <f t="shared" ref="Q1538:Q1543" si="636">"N/A"</f>
        <v>N/A</v>
      </c>
      <c r="R1538" t="str">
        <f>"130 DKCRP 06 307"</f>
        <v>130 DKCRP 06 307</v>
      </c>
      <c r="S1538" t="str">
        <f>"12/20/2019 2:51:48 PM"</f>
        <v>12/20/2019 2:51:48 PM</v>
      </c>
      <c r="T1538" t="str">
        <f t="shared" si="632"/>
        <v>5</v>
      </c>
      <c r="U1538" t="str">
        <f t="shared" ref="U1538:U1543" si="637">"N/A"</f>
        <v>N/A</v>
      </c>
      <c r="V1538" t="str">
        <f>"5.5500"</f>
        <v>5.5500</v>
      </c>
    </row>
    <row r="1539" spans="1:22" x14ac:dyDescent="0.25">
      <c r="A1539" s="1" t="str">
        <f t="shared" si="630"/>
        <v>2626-</v>
      </c>
      <c r="B1539" s="1" t="str">
        <f t="shared" ref="B1539:B1543" si="638">SUBSTITUTE(A1539," ","")</f>
        <v>2626-</v>
      </c>
      <c r="C1539" s="1">
        <v>2626</v>
      </c>
      <c r="D1539" s="1" t="s">
        <v>8899</v>
      </c>
      <c r="E1539" s="1" t="s">
        <v>8916</v>
      </c>
      <c r="F1539" s="1" t="s">
        <v>22</v>
      </c>
      <c r="G1539" s="1" t="e">
        <f>VLOOKUP(C1539,'Master truck list'!E:R,14,0)</f>
        <v>#N/A</v>
      </c>
      <c r="H1539" t="str">
        <f>"12/20/2019 7:00:30 AM"</f>
        <v>12/20/2019 7:00:30 AM</v>
      </c>
      <c r="I1539" t="str">
        <f>""</f>
        <v/>
      </c>
      <c r="J1539" t="str">
        <f t="shared" si="633"/>
        <v>Elite</v>
      </c>
      <c r="K1539" t="str">
        <f t="shared" si="622"/>
        <v>Device</v>
      </c>
      <c r="L1539" t="str">
        <f>"777233821"</f>
        <v>777233821</v>
      </c>
      <c r="M1539" t="str">
        <f>"16607778"</f>
        <v>16607778</v>
      </c>
      <c r="N1539" t="str">
        <f>"2626-20S"</f>
        <v>2626-20S</v>
      </c>
      <c r="O1539" t="str">
        <f t="shared" si="634"/>
        <v>TEXAS</v>
      </c>
      <c r="P1539" t="str">
        <f t="shared" si="635"/>
        <v>N A</v>
      </c>
      <c r="Q1539" t="str">
        <f t="shared" si="636"/>
        <v>N/A</v>
      </c>
      <c r="R1539" t="str">
        <f>"130 DKCRP 06 307"</f>
        <v>130 DKCRP 06 307</v>
      </c>
      <c r="S1539" t="str">
        <f>"12/19/2019 12:03:36 PM"</f>
        <v>12/19/2019 12:03:36 PM</v>
      </c>
      <c r="T1539" t="str">
        <f t="shared" si="632"/>
        <v>5</v>
      </c>
      <c r="U1539" t="str">
        <f t="shared" si="637"/>
        <v>N/A</v>
      </c>
      <c r="V1539" t="str">
        <f>"5.5500"</f>
        <v>5.5500</v>
      </c>
    </row>
    <row r="1540" spans="1:22" x14ac:dyDescent="0.25">
      <c r="A1540" s="1" t="str">
        <f t="shared" si="630"/>
        <v>2626-</v>
      </c>
      <c r="B1540" s="1" t="str">
        <f t="shared" si="638"/>
        <v>2626-</v>
      </c>
      <c r="C1540" s="1">
        <v>2626</v>
      </c>
      <c r="D1540" s="1" t="s">
        <v>8899</v>
      </c>
      <c r="E1540" s="1" t="s">
        <v>8916</v>
      </c>
      <c r="F1540" s="1" t="s">
        <v>22</v>
      </c>
      <c r="G1540" s="1" t="e">
        <f>VLOOKUP(C1540,'Master truck list'!E:R,14,0)</f>
        <v>#N/A</v>
      </c>
      <c r="H1540" t="str">
        <f>"12/20/2019 7:00:30 AM"</f>
        <v>12/20/2019 7:00:30 AM</v>
      </c>
      <c r="I1540" t="str">
        <f>""</f>
        <v/>
      </c>
      <c r="J1540" t="str">
        <f t="shared" si="633"/>
        <v>Elite</v>
      </c>
      <c r="K1540" t="str">
        <f t="shared" si="622"/>
        <v>Device</v>
      </c>
      <c r="L1540" t="str">
        <f>"777233821"</f>
        <v>777233821</v>
      </c>
      <c r="M1540" t="str">
        <f>"16607778"</f>
        <v>16607778</v>
      </c>
      <c r="N1540" t="str">
        <f>"2626-20S"</f>
        <v>2626-20S</v>
      </c>
      <c r="O1540" t="str">
        <f t="shared" si="634"/>
        <v>TEXAS</v>
      </c>
      <c r="P1540" t="str">
        <f t="shared" si="635"/>
        <v>N A</v>
      </c>
      <c r="Q1540" t="str">
        <f t="shared" si="636"/>
        <v>N/A</v>
      </c>
      <c r="R1540" t="str">
        <f>"45SE MLPWB 01 611"</f>
        <v>45SE MLPWB 01 611</v>
      </c>
      <c r="S1540" t="str">
        <f>"12/19/2019 12:21:09 PM"</f>
        <v>12/19/2019 12:21:09 PM</v>
      </c>
      <c r="T1540" t="str">
        <f t="shared" si="632"/>
        <v>5</v>
      </c>
      <c r="U1540" t="str">
        <f t="shared" si="637"/>
        <v>N/A</v>
      </c>
      <c r="V1540" t="str">
        <f>"3.3000"</f>
        <v>3.3000</v>
      </c>
    </row>
    <row r="1541" spans="1:22" x14ac:dyDescent="0.25">
      <c r="A1541" s="1" t="str">
        <f t="shared" si="630"/>
        <v>2626-</v>
      </c>
      <c r="B1541" s="1" t="str">
        <f t="shared" si="638"/>
        <v>2626-</v>
      </c>
      <c r="C1541" s="1">
        <v>2626</v>
      </c>
      <c r="D1541" s="1" t="s">
        <v>8899</v>
      </c>
      <c r="E1541" s="1" t="s">
        <v>8916</v>
      </c>
      <c r="F1541" s="1" t="s">
        <v>22</v>
      </c>
      <c r="G1541" s="1" t="e">
        <f>VLOOKUP(C1541,'Master truck list'!E:R,14,0)</f>
        <v>#N/A</v>
      </c>
      <c r="H1541" t="str">
        <f>"12/20/2019 7:00:30 AM"</f>
        <v>12/20/2019 7:00:30 AM</v>
      </c>
      <c r="I1541" t="str">
        <f>""</f>
        <v/>
      </c>
      <c r="J1541" t="str">
        <f t="shared" si="633"/>
        <v>Elite</v>
      </c>
      <c r="K1541" t="str">
        <f t="shared" si="622"/>
        <v>Device</v>
      </c>
      <c r="L1541" t="str">
        <f>"777233821"</f>
        <v>777233821</v>
      </c>
      <c r="M1541" t="str">
        <f>"16607778"</f>
        <v>16607778</v>
      </c>
      <c r="N1541" t="str">
        <f>"2626-20S"</f>
        <v>2626-20S</v>
      </c>
      <c r="O1541" t="str">
        <f t="shared" si="634"/>
        <v>TEXAS</v>
      </c>
      <c r="P1541" t="str">
        <f t="shared" si="635"/>
        <v>N A</v>
      </c>
      <c r="Q1541" t="str">
        <f t="shared" si="636"/>
        <v>N/A</v>
      </c>
      <c r="R1541" t="str">
        <f>"130 MGCRP 06 305"</f>
        <v>130 MGCRP 06 305</v>
      </c>
      <c r="S1541" t="str">
        <f>"12/19/2019 11:42:25 AM"</f>
        <v>12/19/2019 11:42:25 AM</v>
      </c>
      <c r="T1541" t="str">
        <f t="shared" si="632"/>
        <v>5</v>
      </c>
      <c r="U1541" t="str">
        <f t="shared" si="637"/>
        <v>N/A</v>
      </c>
      <c r="V1541" t="str">
        <f>"5.5500"</f>
        <v>5.5500</v>
      </c>
    </row>
    <row r="1542" spans="1:22" x14ac:dyDescent="0.25">
      <c r="A1542" s="1" t="str">
        <f t="shared" si="630"/>
        <v>2626-</v>
      </c>
      <c r="B1542" s="1" t="str">
        <f t="shared" si="638"/>
        <v>2626-</v>
      </c>
      <c r="C1542" s="1">
        <v>2626</v>
      </c>
      <c r="D1542" s="1" t="s">
        <v>8899</v>
      </c>
      <c r="E1542" s="1" t="s">
        <v>8916</v>
      </c>
      <c r="F1542" s="1" t="s">
        <v>22</v>
      </c>
      <c r="G1542" s="1" t="e">
        <f>VLOOKUP(C1542,'Master truck list'!E:R,14,0)</f>
        <v>#N/A</v>
      </c>
      <c r="H1542" t="str">
        <f>"12/20/2019 7:00:30 AM"</f>
        <v>12/20/2019 7:00:30 AM</v>
      </c>
      <c r="I1542" t="str">
        <f>""</f>
        <v/>
      </c>
      <c r="J1542" t="str">
        <f t="shared" si="633"/>
        <v>Elite</v>
      </c>
      <c r="K1542" t="str">
        <f t="shared" si="622"/>
        <v>Device</v>
      </c>
      <c r="L1542" t="str">
        <f>"777233821"</f>
        <v>777233821</v>
      </c>
      <c r="M1542" t="str">
        <f>"16607778"</f>
        <v>16607778</v>
      </c>
      <c r="N1542" t="str">
        <f>"2626-20S"</f>
        <v>2626-20S</v>
      </c>
      <c r="O1542" t="str">
        <f t="shared" si="634"/>
        <v>TEXAS</v>
      </c>
      <c r="P1542" t="str">
        <f t="shared" si="635"/>
        <v>N A</v>
      </c>
      <c r="Q1542" t="str">
        <f t="shared" si="636"/>
        <v>N/A</v>
      </c>
      <c r="R1542" t="str">
        <f>"130 CMRNP 08 306"</f>
        <v>130 CMRNP 08 306</v>
      </c>
      <c r="S1542" t="str">
        <f>"12/19/2019 11:53:25 AM"</f>
        <v>12/19/2019 11:53:25 AM</v>
      </c>
      <c r="T1542" t="str">
        <f t="shared" si="632"/>
        <v>5</v>
      </c>
      <c r="U1542" t="str">
        <f t="shared" si="637"/>
        <v>N/A</v>
      </c>
      <c r="V1542" t="str">
        <f>"5.5500"</f>
        <v>5.5500</v>
      </c>
    </row>
    <row r="1543" spans="1:22" x14ac:dyDescent="0.25">
      <c r="A1543" s="1" t="str">
        <f t="shared" si="630"/>
        <v>2626-</v>
      </c>
      <c r="B1543" s="1" t="str">
        <f t="shared" si="638"/>
        <v>2626-</v>
      </c>
      <c r="C1543" s="1">
        <v>2626</v>
      </c>
      <c r="D1543" s="1" t="s">
        <v>8899</v>
      </c>
      <c r="E1543" s="1" t="s">
        <v>8916</v>
      </c>
      <c r="F1543" s="1" t="s">
        <v>22</v>
      </c>
      <c r="G1543" s="1" t="e">
        <f>VLOOKUP(C1543,'Master truck list'!E:R,14,0)</f>
        <v>#N/A</v>
      </c>
      <c r="H1543" t="str">
        <f>"12/20/2019 7:00:30 AM"</f>
        <v>12/20/2019 7:00:30 AM</v>
      </c>
      <c r="I1543" t="str">
        <f>""</f>
        <v/>
      </c>
      <c r="J1543" t="str">
        <f t="shared" si="633"/>
        <v>Elite</v>
      </c>
      <c r="K1543" t="str">
        <f t="shared" si="622"/>
        <v>Device</v>
      </c>
      <c r="L1543" t="str">
        <f>"777233821"</f>
        <v>777233821</v>
      </c>
      <c r="M1543" t="str">
        <f>"16607778"</f>
        <v>16607778</v>
      </c>
      <c r="N1543" t="str">
        <f>"2626-20S"</f>
        <v>2626-20S</v>
      </c>
      <c r="O1543" t="str">
        <f t="shared" si="634"/>
        <v>TEXAS</v>
      </c>
      <c r="P1543" t="str">
        <f t="shared" si="635"/>
        <v>N A</v>
      </c>
      <c r="Q1543" t="str">
        <f t="shared" si="636"/>
        <v>N/A</v>
      </c>
      <c r="R1543" t="str">
        <f>"130 ARPTP 04 308"</f>
        <v>130 ARPTP 04 308</v>
      </c>
      <c r="S1543" t="str">
        <f>"12/19/2019 12:10:35 PM"</f>
        <v>12/19/2019 12:10:35 PM</v>
      </c>
      <c r="T1543" t="str">
        <f t="shared" si="632"/>
        <v>5</v>
      </c>
      <c r="U1543" t="str">
        <f t="shared" si="637"/>
        <v>N/A</v>
      </c>
      <c r="V1543" t="str">
        <f>"5.5500"</f>
        <v>5.5500</v>
      </c>
    </row>
    <row r="1544" spans="1:22" x14ac:dyDescent="0.25">
      <c r="A1544" s="1" t="str">
        <f t="shared" ref="A1544:A1571" si="639">LEFT(N1746,5)</f>
        <v/>
      </c>
      <c r="B1544" s="1" t="str">
        <f t="shared" ref="B1544:B1592" si="640">SUBSTITUTE(A1544," ","")</f>
        <v/>
      </c>
      <c r="C1544" s="1" t="e">
        <f>VLOOKUP(B1544,'Master truck list'!D:E,2,0)</f>
        <v>#N/A</v>
      </c>
      <c r="D1544" s="1" t="e">
        <f>VLOOKUP(C1544,'Master truck list'!E:F,2,0)</f>
        <v>#N/A</v>
      </c>
      <c r="E1544" s="1" t="e">
        <f>VLOOKUP(C1544,'Master truck list'!E:M,9,0)</f>
        <v>#N/A</v>
      </c>
      <c r="F1544" s="1" t="e">
        <f>VLOOKUP(C1544,'Master truck list'!E:G,3,0)</f>
        <v>#N/A</v>
      </c>
      <c r="G1544" s="1" t="e">
        <f>VLOOKUP(C1544,'Master truck list'!E:R,14,0)</f>
        <v>#N/A</v>
      </c>
    </row>
    <row r="1545" spans="1:22" x14ac:dyDescent="0.25">
      <c r="A1545" s="1" t="str">
        <f t="shared" si="639"/>
        <v/>
      </c>
      <c r="B1545" s="1" t="str">
        <f t="shared" si="640"/>
        <v/>
      </c>
      <c r="C1545" s="1" t="e">
        <f>VLOOKUP(B1545,'Master truck list'!D:E,2,0)</f>
        <v>#N/A</v>
      </c>
      <c r="D1545" s="1" t="e">
        <f>VLOOKUP(C1545,'Master truck list'!E:F,2,0)</f>
        <v>#N/A</v>
      </c>
      <c r="E1545" s="1" t="e">
        <f>VLOOKUP(C1545,'Master truck list'!E:M,9,0)</f>
        <v>#N/A</v>
      </c>
      <c r="F1545" s="1" t="e">
        <f>VLOOKUP(C1545,'Master truck list'!E:G,3,0)</f>
        <v>#N/A</v>
      </c>
      <c r="G1545" s="1" t="e">
        <f>VLOOKUP(C1545,'Master truck list'!E:R,14,0)</f>
        <v>#N/A</v>
      </c>
    </row>
    <row r="1546" spans="1:22" x14ac:dyDescent="0.25">
      <c r="A1546" s="1" t="str">
        <f t="shared" si="639"/>
        <v/>
      </c>
      <c r="B1546" s="1" t="str">
        <f t="shared" si="640"/>
        <v/>
      </c>
      <c r="C1546" s="1" t="e">
        <f>VLOOKUP(B1546,'Master truck list'!D:E,2,0)</f>
        <v>#N/A</v>
      </c>
      <c r="D1546" s="1" t="e">
        <f>VLOOKUP(C1546,'Master truck list'!E:F,2,0)</f>
        <v>#N/A</v>
      </c>
      <c r="E1546" s="1" t="e">
        <f>VLOOKUP(C1546,'Master truck list'!E:M,9,0)</f>
        <v>#N/A</v>
      </c>
      <c r="F1546" s="1" t="e">
        <f>VLOOKUP(C1546,'Master truck list'!E:G,3,0)</f>
        <v>#N/A</v>
      </c>
      <c r="G1546" s="1" t="e">
        <f>VLOOKUP(C1546,'Master truck list'!E:R,14,0)</f>
        <v>#N/A</v>
      </c>
    </row>
    <row r="1547" spans="1:22" x14ac:dyDescent="0.25">
      <c r="A1547" s="1" t="str">
        <f t="shared" si="639"/>
        <v/>
      </c>
      <c r="B1547" s="1" t="str">
        <f t="shared" si="640"/>
        <v/>
      </c>
      <c r="C1547" s="1" t="e">
        <f>VLOOKUP(B1547,'Master truck list'!D:E,2,0)</f>
        <v>#N/A</v>
      </c>
      <c r="D1547" s="1" t="e">
        <f>VLOOKUP(C1547,'Master truck list'!E:F,2,0)</f>
        <v>#N/A</v>
      </c>
      <c r="E1547" s="1" t="e">
        <f>VLOOKUP(C1547,'Master truck list'!E:M,9,0)</f>
        <v>#N/A</v>
      </c>
      <c r="F1547" s="1" t="e">
        <f>VLOOKUP(C1547,'Master truck list'!E:G,3,0)</f>
        <v>#N/A</v>
      </c>
      <c r="G1547" s="1" t="e">
        <f>VLOOKUP(C1547,'Master truck list'!E:R,14,0)</f>
        <v>#N/A</v>
      </c>
    </row>
    <row r="1548" spans="1:22" x14ac:dyDescent="0.25">
      <c r="A1548" s="1" t="str">
        <f t="shared" si="639"/>
        <v/>
      </c>
      <c r="B1548" s="1" t="str">
        <f t="shared" si="640"/>
        <v/>
      </c>
      <c r="C1548" s="1" t="e">
        <f>VLOOKUP(B1548,'Master truck list'!D:E,2,0)</f>
        <v>#N/A</v>
      </c>
      <c r="D1548" s="1" t="e">
        <f>VLOOKUP(C1548,'Master truck list'!E:F,2,0)</f>
        <v>#N/A</v>
      </c>
      <c r="E1548" s="1" t="e">
        <f>VLOOKUP(C1548,'Master truck list'!E:M,9,0)</f>
        <v>#N/A</v>
      </c>
      <c r="F1548" s="1" t="e">
        <f>VLOOKUP(C1548,'Master truck list'!E:G,3,0)</f>
        <v>#N/A</v>
      </c>
      <c r="G1548" s="1" t="e">
        <f>VLOOKUP(C1548,'Master truck list'!E:R,14,0)</f>
        <v>#N/A</v>
      </c>
    </row>
    <row r="1549" spans="1:22" x14ac:dyDescent="0.25">
      <c r="A1549" s="1" t="str">
        <f t="shared" si="639"/>
        <v/>
      </c>
      <c r="B1549" s="1" t="str">
        <f t="shared" si="640"/>
        <v/>
      </c>
      <c r="C1549" s="1" t="e">
        <f>VLOOKUP(B1549,'Master truck list'!D:E,2,0)</f>
        <v>#N/A</v>
      </c>
      <c r="D1549" s="1" t="e">
        <f>VLOOKUP(C1549,'Master truck list'!E:F,2,0)</f>
        <v>#N/A</v>
      </c>
      <c r="E1549" s="1" t="e">
        <f>VLOOKUP(C1549,'Master truck list'!E:M,9,0)</f>
        <v>#N/A</v>
      </c>
      <c r="F1549" s="1" t="e">
        <f>VLOOKUP(C1549,'Master truck list'!E:G,3,0)</f>
        <v>#N/A</v>
      </c>
      <c r="G1549" s="1" t="e">
        <f>VLOOKUP(C1549,'Master truck list'!E:R,14,0)</f>
        <v>#N/A</v>
      </c>
    </row>
    <row r="1550" spans="1:22" x14ac:dyDescent="0.25">
      <c r="A1550" s="1" t="str">
        <f t="shared" si="639"/>
        <v/>
      </c>
      <c r="B1550" s="1" t="str">
        <f t="shared" si="640"/>
        <v/>
      </c>
      <c r="C1550" s="1" t="e">
        <f>VLOOKUP(B1550,'Master truck list'!D:E,2,0)</f>
        <v>#N/A</v>
      </c>
      <c r="D1550" s="1" t="e">
        <f>VLOOKUP(C1550,'Master truck list'!E:F,2,0)</f>
        <v>#N/A</v>
      </c>
      <c r="E1550" s="1" t="e">
        <f>VLOOKUP(C1550,'Master truck list'!E:M,9,0)</f>
        <v>#N/A</v>
      </c>
      <c r="F1550" s="1" t="e">
        <f>VLOOKUP(C1550,'Master truck list'!E:G,3,0)</f>
        <v>#N/A</v>
      </c>
      <c r="G1550" s="1" t="e">
        <f>VLOOKUP(C1550,'Master truck list'!E:R,14,0)</f>
        <v>#N/A</v>
      </c>
    </row>
    <row r="1551" spans="1:22" x14ac:dyDescent="0.25">
      <c r="A1551" s="1" t="str">
        <f t="shared" si="639"/>
        <v/>
      </c>
      <c r="B1551" s="1" t="str">
        <f t="shared" si="640"/>
        <v/>
      </c>
      <c r="C1551" s="1" t="e">
        <f>VLOOKUP(B1551,'Master truck list'!D:E,2,0)</f>
        <v>#N/A</v>
      </c>
      <c r="D1551" s="1" t="e">
        <f>VLOOKUP(C1551,'Master truck list'!E:F,2,0)</f>
        <v>#N/A</v>
      </c>
      <c r="E1551" s="1" t="e">
        <f>VLOOKUP(C1551,'Master truck list'!E:M,9,0)</f>
        <v>#N/A</v>
      </c>
      <c r="F1551" s="1" t="e">
        <f>VLOOKUP(C1551,'Master truck list'!E:G,3,0)</f>
        <v>#N/A</v>
      </c>
      <c r="G1551" s="1" t="e">
        <f>VLOOKUP(C1551,'Master truck list'!E:R,14,0)</f>
        <v>#N/A</v>
      </c>
    </row>
    <row r="1552" spans="1:22" x14ac:dyDescent="0.25">
      <c r="A1552" s="1" t="str">
        <f t="shared" si="639"/>
        <v/>
      </c>
      <c r="B1552" s="1" t="str">
        <f t="shared" si="640"/>
        <v/>
      </c>
      <c r="C1552" s="1" t="e">
        <f>VLOOKUP(B1552,'Master truck list'!D:E,2,0)</f>
        <v>#N/A</v>
      </c>
      <c r="D1552" s="1" t="e">
        <f>VLOOKUP(C1552,'Master truck list'!E:F,2,0)</f>
        <v>#N/A</v>
      </c>
      <c r="E1552" s="1" t="e">
        <f>VLOOKUP(C1552,'Master truck list'!E:M,9,0)</f>
        <v>#N/A</v>
      </c>
      <c r="F1552" s="1" t="e">
        <f>VLOOKUP(C1552,'Master truck list'!E:G,3,0)</f>
        <v>#N/A</v>
      </c>
      <c r="G1552" s="1" t="e">
        <f>VLOOKUP(C1552,'Master truck list'!E:R,14,0)</f>
        <v>#N/A</v>
      </c>
    </row>
    <row r="1553" spans="1:7" x14ac:dyDescent="0.25">
      <c r="A1553" s="1" t="str">
        <f t="shared" si="639"/>
        <v/>
      </c>
      <c r="B1553" s="1" t="str">
        <f t="shared" si="640"/>
        <v/>
      </c>
      <c r="C1553" s="1" t="e">
        <f>VLOOKUP(B1553,'Master truck list'!D:E,2,0)</f>
        <v>#N/A</v>
      </c>
      <c r="D1553" s="1" t="e">
        <f>VLOOKUP(C1553,'Master truck list'!E:F,2,0)</f>
        <v>#N/A</v>
      </c>
      <c r="E1553" s="1" t="e">
        <f>VLOOKUP(C1553,'Master truck list'!E:M,9,0)</f>
        <v>#N/A</v>
      </c>
      <c r="F1553" s="1" t="e">
        <f>VLOOKUP(C1553,'Master truck list'!E:G,3,0)</f>
        <v>#N/A</v>
      </c>
      <c r="G1553" s="1" t="e">
        <f>VLOOKUP(C1553,'Master truck list'!E:R,14,0)</f>
        <v>#N/A</v>
      </c>
    </row>
    <row r="1554" spans="1:7" x14ac:dyDescent="0.25">
      <c r="A1554" s="1" t="str">
        <f t="shared" si="639"/>
        <v/>
      </c>
      <c r="B1554" s="1" t="str">
        <f t="shared" si="640"/>
        <v/>
      </c>
      <c r="C1554" s="1" t="e">
        <f>VLOOKUP(B1554,'Master truck list'!D:E,2,0)</f>
        <v>#N/A</v>
      </c>
      <c r="D1554" s="1" t="e">
        <f>VLOOKUP(C1554,'Master truck list'!E:F,2,0)</f>
        <v>#N/A</v>
      </c>
      <c r="E1554" s="1" t="e">
        <f>VLOOKUP(C1554,'Master truck list'!E:M,9,0)</f>
        <v>#N/A</v>
      </c>
      <c r="F1554" s="1" t="e">
        <f>VLOOKUP(C1554,'Master truck list'!E:G,3,0)</f>
        <v>#N/A</v>
      </c>
      <c r="G1554" s="1" t="e">
        <f>VLOOKUP(C1554,'Master truck list'!E:R,14,0)</f>
        <v>#N/A</v>
      </c>
    </row>
    <row r="1555" spans="1:7" x14ac:dyDescent="0.25">
      <c r="A1555" s="1" t="str">
        <f t="shared" si="639"/>
        <v/>
      </c>
      <c r="B1555" s="1" t="str">
        <f t="shared" si="640"/>
        <v/>
      </c>
      <c r="C1555" s="1" t="e">
        <f>VLOOKUP(B1555,'Master truck list'!D:E,2,0)</f>
        <v>#N/A</v>
      </c>
      <c r="D1555" s="1" t="e">
        <f>VLOOKUP(C1555,'Master truck list'!E:F,2,0)</f>
        <v>#N/A</v>
      </c>
      <c r="E1555" s="1" t="e">
        <f>VLOOKUP(C1555,'Master truck list'!E:M,9,0)</f>
        <v>#N/A</v>
      </c>
      <c r="F1555" s="1" t="e">
        <f>VLOOKUP(C1555,'Master truck list'!E:G,3,0)</f>
        <v>#N/A</v>
      </c>
      <c r="G1555" s="1" t="e">
        <f>VLOOKUP(C1555,'Master truck list'!E:R,14,0)</f>
        <v>#N/A</v>
      </c>
    </row>
    <row r="1556" spans="1:7" x14ac:dyDescent="0.25">
      <c r="A1556" s="1" t="str">
        <f t="shared" si="639"/>
        <v/>
      </c>
      <c r="B1556" s="1" t="str">
        <f t="shared" si="640"/>
        <v/>
      </c>
      <c r="C1556" s="1" t="e">
        <f>VLOOKUP(B1556,'Master truck list'!D:E,2,0)</f>
        <v>#N/A</v>
      </c>
      <c r="D1556" s="1" t="e">
        <f>VLOOKUP(C1556,'Master truck list'!E:F,2,0)</f>
        <v>#N/A</v>
      </c>
      <c r="E1556" s="1" t="e">
        <f>VLOOKUP(C1556,'Master truck list'!E:M,9,0)</f>
        <v>#N/A</v>
      </c>
      <c r="F1556" s="1" t="e">
        <f>VLOOKUP(C1556,'Master truck list'!E:G,3,0)</f>
        <v>#N/A</v>
      </c>
      <c r="G1556" s="1" t="e">
        <f>VLOOKUP(C1556,'Master truck list'!E:R,14,0)</f>
        <v>#N/A</v>
      </c>
    </row>
    <row r="1557" spans="1:7" x14ac:dyDescent="0.25">
      <c r="A1557" s="1" t="str">
        <f t="shared" si="639"/>
        <v/>
      </c>
      <c r="B1557" s="1" t="str">
        <f t="shared" si="640"/>
        <v/>
      </c>
      <c r="C1557" s="1" t="e">
        <f>VLOOKUP(B1557,'Master truck list'!D:E,2,0)</f>
        <v>#N/A</v>
      </c>
      <c r="D1557" s="1" t="e">
        <f>VLOOKUP(C1557,'Master truck list'!E:F,2,0)</f>
        <v>#N/A</v>
      </c>
      <c r="E1557" s="1" t="e">
        <f>VLOOKUP(C1557,'Master truck list'!E:M,9,0)</f>
        <v>#N/A</v>
      </c>
      <c r="F1557" s="1" t="e">
        <f>VLOOKUP(C1557,'Master truck list'!E:G,3,0)</f>
        <v>#N/A</v>
      </c>
      <c r="G1557" s="1" t="e">
        <f>VLOOKUP(C1557,'Master truck list'!E:R,14,0)</f>
        <v>#N/A</v>
      </c>
    </row>
    <row r="1558" spans="1:7" x14ac:dyDescent="0.25">
      <c r="A1558" s="1" t="str">
        <f t="shared" si="639"/>
        <v/>
      </c>
      <c r="B1558" s="1" t="str">
        <f t="shared" si="640"/>
        <v/>
      </c>
      <c r="C1558" s="1" t="e">
        <f>VLOOKUP(B1558,'Master truck list'!D:E,2,0)</f>
        <v>#N/A</v>
      </c>
      <c r="D1558" s="1" t="e">
        <f>VLOOKUP(C1558,'Master truck list'!E:F,2,0)</f>
        <v>#N/A</v>
      </c>
      <c r="E1558" s="1" t="e">
        <f>VLOOKUP(C1558,'Master truck list'!E:M,9,0)</f>
        <v>#N/A</v>
      </c>
      <c r="F1558" s="1" t="e">
        <f>VLOOKUP(C1558,'Master truck list'!E:G,3,0)</f>
        <v>#N/A</v>
      </c>
      <c r="G1558" s="1" t="e">
        <f>VLOOKUP(C1558,'Master truck list'!E:R,14,0)</f>
        <v>#N/A</v>
      </c>
    </row>
    <row r="1559" spans="1:7" x14ac:dyDescent="0.25">
      <c r="A1559" s="1" t="str">
        <f t="shared" si="639"/>
        <v/>
      </c>
      <c r="B1559" s="1" t="str">
        <f t="shared" si="640"/>
        <v/>
      </c>
      <c r="C1559" s="1" t="e">
        <f>VLOOKUP(B1559,'Master truck list'!D:E,2,0)</f>
        <v>#N/A</v>
      </c>
      <c r="D1559" s="1" t="e">
        <f>VLOOKUP(C1559,'Master truck list'!E:F,2,0)</f>
        <v>#N/A</v>
      </c>
      <c r="E1559" s="1" t="e">
        <f>VLOOKUP(C1559,'Master truck list'!E:M,9,0)</f>
        <v>#N/A</v>
      </c>
      <c r="F1559" s="1" t="e">
        <f>VLOOKUP(C1559,'Master truck list'!E:G,3,0)</f>
        <v>#N/A</v>
      </c>
      <c r="G1559" s="1" t="e">
        <f>VLOOKUP(C1559,'Master truck list'!E:R,14,0)</f>
        <v>#N/A</v>
      </c>
    </row>
    <row r="1560" spans="1:7" x14ac:dyDescent="0.25">
      <c r="A1560" s="1" t="str">
        <f t="shared" si="639"/>
        <v/>
      </c>
      <c r="B1560" s="1" t="str">
        <f t="shared" si="640"/>
        <v/>
      </c>
      <c r="C1560" s="1" t="e">
        <f>VLOOKUP(B1560,'Master truck list'!D:E,2,0)</f>
        <v>#N/A</v>
      </c>
      <c r="D1560" s="1" t="e">
        <f>VLOOKUP(C1560,'Master truck list'!E:F,2,0)</f>
        <v>#N/A</v>
      </c>
      <c r="E1560" s="1" t="e">
        <f>VLOOKUP(C1560,'Master truck list'!E:M,9,0)</f>
        <v>#N/A</v>
      </c>
      <c r="F1560" s="1" t="e">
        <f>VLOOKUP(C1560,'Master truck list'!E:G,3,0)</f>
        <v>#N/A</v>
      </c>
      <c r="G1560" s="1" t="e">
        <f>VLOOKUP(C1560,'Master truck list'!E:R,14,0)</f>
        <v>#N/A</v>
      </c>
    </row>
    <row r="1561" spans="1:7" x14ac:dyDescent="0.25">
      <c r="A1561" s="1" t="str">
        <f t="shared" si="639"/>
        <v/>
      </c>
      <c r="B1561" s="1" t="str">
        <f t="shared" si="640"/>
        <v/>
      </c>
      <c r="C1561" s="1" t="e">
        <f>VLOOKUP(B1561,'Master truck list'!D:E,2,0)</f>
        <v>#N/A</v>
      </c>
      <c r="D1561" s="1" t="e">
        <f>VLOOKUP(C1561,'Master truck list'!E:F,2,0)</f>
        <v>#N/A</v>
      </c>
      <c r="E1561" s="1" t="e">
        <f>VLOOKUP(C1561,'Master truck list'!E:M,9,0)</f>
        <v>#N/A</v>
      </c>
      <c r="F1561" s="1" t="e">
        <f>VLOOKUP(C1561,'Master truck list'!E:G,3,0)</f>
        <v>#N/A</v>
      </c>
      <c r="G1561" s="1" t="e">
        <f>VLOOKUP(C1561,'Master truck list'!E:R,14,0)</f>
        <v>#N/A</v>
      </c>
    </row>
    <row r="1562" spans="1:7" x14ac:dyDescent="0.25">
      <c r="A1562" s="1" t="str">
        <f t="shared" si="639"/>
        <v/>
      </c>
      <c r="B1562" s="1" t="str">
        <f t="shared" si="640"/>
        <v/>
      </c>
      <c r="C1562" s="1" t="e">
        <f>VLOOKUP(B1562,'Master truck list'!D:E,2,0)</f>
        <v>#N/A</v>
      </c>
      <c r="D1562" s="1" t="e">
        <f>VLOOKUP(C1562,'Master truck list'!E:F,2,0)</f>
        <v>#N/A</v>
      </c>
      <c r="E1562" s="1" t="e">
        <f>VLOOKUP(C1562,'Master truck list'!E:M,9,0)</f>
        <v>#N/A</v>
      </c>
      <c r="F1562" s="1" t="e">
        <f>VLOOKUP(C1562,'Master truck list'!E:G,3,0)</f>
        <v>#N/A</v>
      </c>
      <c r="G1562" s="1" t="e">
        <f>VLOOKUP(C1562,'Master truck list'!E:R,14,0)</f>
        <v>#N/A</v>
      </c>
    </row>
    <row r="1563" spans="1:7" x14ac:dyDescent="0.25">
      <c r="A1563" s="1" t="str">
        <f t="shared" si="639"/>
        <v/>
      </c>
      <c r="B1563" s="1" t="str">
        <f t="shared" si="640"/>
        <v/>
      </c>
      <c r="C1563" s="1" t="e">
        <f>VLOOKUP(B1563,'Master truck list'!D:E,2,0)</f>
        <v>#N/A</v>
      </c>
      <c r="D1563" s="1" t="e">
        <f>VLOOKUP(C1563,'Master truck list'!E:F,2,0)</f>
        <v>#N/A</v>
      </c>
      <c r="E1563" s="1" t="e">
        <f>VLOOKUP(C1563,'Master truck list'!E:M,9,0)</f>
        <v>#N/A</v>
      </c>
      <c r="F1563" s="1" t="e">
        <f>VLOOKUP(C1563,'Master truck list'!E:G,3,0)</f>
        <v>#N/A</v>
      </c>
      <c r="G1563" s="1" t="e">
        <f>VLOOKUP(C1563,'Master truck list'!E:R,14,0)</f>
        <v>#N/A</v>
      </c>
    </row>
    <row r="1564" spans="1:7" x14ac:dyDescent="0.25">
      <c r="A1564" s="1" t="str">
        <f t="shared" si="639"/>
        <v/>
      </c>
      <c r="B1564" s="1" t="str">
        <f t="shared" si="640"/>
        <v/>
      </c>
      <c r="C1564" s="1" t="e">
        <f>VLOOKUP(B1564,'Master truck list'!D:E,2,0)</f>
        <v>#N/A</v>
      </c>
      <c r="D1564" s="1" t="e">
        <f>VLOOKUP(C1564,'Master truck list'!E:F,2,0)</f>
        <v>#N/A</v>
      </c>
      <c r="E1564" s="1" t="e">
        <f>VLOOKUP(C1564,'Master truck list'!E:M,9,0)</f>
        <v>#N/A</v>
      </c>
      <c r="F1564" s="1" t="e">
        <f>VLOOKUP(C1564,'Master truck list'!E:G,3,0)</f>
        <v>#N/A</v>
      </c>
      <c r="G1564" s="1" t="e">
        <f>VLOOKUP(C1564,'Master truck list'!E:R,14,0)</f>
        <v>#N/A</v>
      </c>
    </row>
    <row r="1565" spans="1:7" x14ac:dyDescent="0.25">
      <c r="A1565" s="1" t="str">
        <f t="shared" si="639"/>
        <v/>
      </c>
      <c r="B1565" s="1" t="str">
        <f t="shared" si="640"/>
        <v/>
      </c>
      <c r="C1565" s="1" t="e">
        <f>VLOOKUP(B1565,'Master truck list'!D:E,2,0)</f>
        <v>#N/A</v>
      </c>
      <c r="D1565" s="1" t="e">
        <f>VLOOKUP(C1565,'Master truck list'!E:F,2,0)</f>
        <v>#N/A</v>
      </c>
      <c r="E1565" s="1" t="e">
        <f>VLOOKUP(C1565,'Master truck list'!E:M,9,0)</f>
        <v>#N/A</v>
      </c>
      <c r="F1565" s="1" t="e">
        <f>VLOOKUP(C1565,'Master truck list'!E:G,3,0)</f>
        <v>#N/A</v>
      </c>
      <c r="G1565" s="1" t="e">
        <f>VLOOKUP(C1565,'Master truck list'!E:R,14,0)</f>
        <v>#N/A</v>
      </c>
    </row>
    <row r="1566" spans="1:7" x14ac:dyDescent="0.25">
      <c r="A1566" s="1" t="str">
        <f t="shared" si="639"/>
        <v/>
      </c>
      <c r="B1566" s="1" t="str">
        <f t="shared" si="640"/>
        <v/>
      </c>
      <c r="C1566" s="1" t="e">
        <f>VLOOKUP(B1566,'Master truck list'!D:E,2,0)</f>
        <v>#N/A</v>
      </c>
      <c r="D1566" s="1" t="e">
        <f>VLOOKUP(C1566,'Master truck list'!E:F,2,0)</f>
        <v>#N/A</v>
      </c>
      <c r="E1566" s="1" t="e">
        <f>VLOOKUP(C1566,'Master truck list'!E:M,9,0)</f>
        <v>#N/A</v>
      </c>
      <c r="F1566" s="1" t="e">
        <f>VLOOKUP(C1566,'Master truck list'!E:G,3,0)</f>
        <v>#N/A</v>
      </c>
      <c r="G1566" s="1" t="e">
        <f>VLOOKUP(C1566,'Master truck list'!E:R,14,0)</f>
        <v>#N/A</v>
      </c>
    </row>
    <row r="1567" spans="1:7" x14ac:dyDescent="0.25">
      <c r="A1567" s="1" t="str">
        <f t="shared" si="639"/>
        <v/>
      </c>
      <c r="B1567" s="1" t="str">
        <f t="shared" si="640"/>
        <v/>
      </c>
      <c r="C1567" s="1" t="e">
        <f>VLOOKUP(B1567,'Master truck list'!D:E,2,0)</f>
        <v>#N/A</v>
      </c>
      <c r="D1567" s="1" t="e">
        <f>VLOOKUP(C1567,'Master truck list'!E:F,2,0)</f>
        <v>#N/A</v>
      </c>
      <c r="E1567" s="1" t="e">
        <f>VLOOKUP(C1567,'Master truck list'!E:M,9,0)</f>
        <v>#N/A</v>
      </c>
      <c r="F1567" s="1" t="e">
        <f>VLOOKUP(C1567,'Master truck list'!E:G,3,0)</f>
        <v>#N/A</v>
      </c>
      <c r="G1567" s="1" t="e">
        <f>VLOOKUP(C1567,'Master truck list'!E:R,14,0)</f>
        <v>#N/A</v>
      </c>
    </row>
    <row r="1568" spans="1:7" x14ac:dyDescent="0.25">
      <c r="A1568" s="1" t="str">
        <f t="shared" si="639"/>
        <v/>
      </c>
      <c r="B1568" s="1" t="str">
        <f t="shared" si="640"/>
        <v/>
      </c>
      <c r="C1568" s="1" t="e">
        <f>VLOOKUP(B1568,'Master truck list'!D:E,2,0)</f>
        <v>#N/A</v>
      </c>
      <c r="D1568" s="1" t="e">
        <f>VLOOKUP(C1568,'Master truck list'!E:F,2,0)</f>
        <v>#N/A</v>
      </c>
      <c r="E1568" s="1" t="e">
        <f>VLOOKUP(C1568,'Master truck list'!E:M,9,0)</f>
        <v>#N/A</v>
      </c>
      <c r="F1568" s="1" t="e">
        <f>VLOOKUP(C1568,'Master truck list'!E:G,3,0)</f>
        <v>#N/A</v>
      </c>
      <c r="G1568" s="1" t="e">
        <f>VLOOKUP(C1568,'Master truck list'!E:R,14,0)</f>
        <v>#N/A</v>
      </c>
    </row>
    <row r="1569" spans="1:7" x14ac:dyDescent="0.25">
      <c r="A1569" s="1" t="str">
        <f t="shared" si="639"/>
        <v/>
      </c>
      <c r="B1569" s="1" t="str">
        <f t="shared" si="640"/>
        <v/>
      </c>
      <c r="C1569" s="1" t="e">
        <f>VLOOKUP(B1569,'Master truck list'!D:E,2,0)</f>
        <v>#N/A</v>
      </c>
      <c r="D1569" s="1" t="e">
        <f>VLOOKUP(C1569,'Master truck list'!E:F,2,0)</f>
        <v>#N/A</v>
      </c>
      <c r="E1569" s="1" t="e">
        <f>VLOOKUP(C1569,'Master truck list'!E:M,9,0)</f>
        <v>#N/A</v>
      </c>
      <c r="F1569" s="1" t="e">
        <f>VLOOKUP(C1569,'Master truck list'!E:G,3,0)</f>
        <v>#N/A</v>
      </c>
      <c r="G1569" s="1" t="e">
        <f>VLOOKUP(C1569,'Master truck list'!E:R,14,0)</f>
        <v>#N/A</v>
      </c>
    </row>
    <row r="1570" spans="1:7" x14ac:dyDescent="0.25">
      <c r="A1570" s="1" t="str">
        <f t="shared" si="639"/>
        <v/>
      </c>
      <c r="B1570" s="1" t="str">
        <f t="shared" si="640"/>
        <v/>
      </c>
      <c r="C1570" s="1" t="e">
        <f>VLOOKUP(B1570,'Master truck list'!D:E,2,0)</f>
        <v>#N/A</v>
      </c>
      <c r="D1570" s="1" t="e">
        <f>VLOOKUP(C1570,'Master truck list'!E:F,2,0)</f>
        <v>#N/A</v>
      </c>
      <c r="E1570" s="1" t="e">
        <f>VLOOKUP(C1570,'Master truck list'!E:M,9,0)</f>
        <v>#N/A</v>
      </c>
      <c r="F1570" s="1" t="e">
        <f>VLOOKUP(C1570,'Master truck list'!E:G,3,0)</f>
        <v>#N/A</v>
      </c>
      <c r="G1570" s="1" t="e">
        <f>VLOOKUP(C1570,'Master truck list'!E:R,14,0)</f>
        <v>#N/A</v>
      </c>
    </row>
    <row r="1571" spans="1:7" x14ac:dyDescent="0.25">
      <c r="A1571" s="1" t="str">
        <f t="shared" si="639"/>
        <v/>
      </c>
      <c r="B1571" s="1" t="str">
        <f t="shared" si="640"/>
        <v/>
      </c>
      <c r="C1571" s="1" t="e">
        <f>VLOOKUP(B1571,'Master truck list'!D:E,2,0)</f>
        <v>#N/A</v>
      </c>
      <c r="D1571" s="1" t="e">
        <f>VLOOKUP(C1571,'Master truck list'!E:F,2,0)</f>
        <v>#N/A</v>
      </c>
      <c r="E1571" s="1" t="e">
        <f>VLOOKUP(C1571,'Master truck list'!E:M,9,0)</f>
        <v>#N/A</v>
      </c>
      <c r="F1571" s="1" t="e">
        <f>VLOOKUP(C1571,'Master truck list'!E:G,3,0)</f>
        <v>#N/A</v>
      </c>
      <c r="G1571" s="1" t="e">
        <f>VLOOKUP(C1571,'Master truck list'!E:R,14,0)</f>
        <v>#N/A</v>
      </c>
    </row>
    <row r="1572" spans="1:7" x14ac:dyDescent="0.25">
      <c r="A1572" s="1" t="str">
        <f t="shared" ref="A1572:A1635" si="641">LEFT(N1774,5)</f>
        <v/>
      </c>
      <c r="B1572" s="1" t="str">
        <f t="shared" si="640"/>
        <v/>
      </c>
      <c r="C1572" s="1" t="e">
        <f>VLOOKUP(B1572,'Master truck list'!D:E,2,0)</f>
        <v>#N/A</v>
      </c>
      <c r="D1572" s="1" t="e">
        <f>VLOOKUP(C1572,'Master truck list'!E:F,2,0)</f>
        <v>#N/A</v>
      </c>
      <c r="E1572" s="1" t="e">
        <f>VLOOKUP(C1572,'Master truck list'!E:M,9,0)</f>
        <v>#N/A</v>
      </c>
      <c r="F1572" s="1" t="e">
        <f>VLOOKUP(C1572,'Master truck list'!E:G,3,0)</f>
        <v>#N/A</v>
      </c>
      <c r="G1572" s="1" t="e">
        <f>VLOOKUP(C1572,'Master truck list'!E:R,14,0)</f>
        <v>#N/A</v>
      </c>
    </row>
    <row r="1573" spans="1:7" x14ac:dyDescent="0.25">
      <c r="A1573" s="1" t="str">
        <f t="shared" si="641"/>
        <v/>
      </c>
      <c r="B1573" s="1" t="str">
        <f t="shared" si="640"/>
        <v/>
      </c>
      <c r="C1573" s="1" t="e">
        <f>VLOOKUP(B1573,'Master truck list'!D:E,2,0)</f>
        <v>#N/A</v>
      </c>
      <c r="D1573" s="1" t="e">
        <f>VLOOKUP(C1573,'Master truck list'!E:F,2,0)</f>
        <v>#N/A</v>
      </c>
      <c r="E1573" s="1" t="e">
        <f>VLOOKUP(C1573,'Master truck list'!E:M,9,0)</f>
        <v>#N/A</v>
      </c>
      <c r="F1573" s="1" t="e">
        <f>VLOOKUP(C1573,'Master truck list'!E:G,3,0)</f>
        <v>#N/A</v>
      </c>
      <c r="G1573" s="1" t="e">
        <f>VLOOKUP(C1573,'Master truck list'!E:R,14,0)</f>
        <v>#N/A</v>
      </c>
    </row>
    <row r="1574" spans="1:7" x14ac:dyDescent="0.25">
      <c r="A1574" s="1" t="str">
        <f t="shared" si="641"/>
        <v/>
      </c>
      <c r="B1574" s="1" t="str">
        <f t="shared" si="640"/>
        <v/>
      </c>
      <c r="C1574" s="1" t="e">
        <f>VLOOKUP(B1574,'Master truck list'!D:E,2,0)</f>
        <v>#N/A</v>
      </c>
      <c r="D1574" s="1" t="e">
        <f>VLOOKUP(C1574,'Master truck list'!E:F,2,0)</f>
        <v>#N/A</v>
      </c>
      <c r="E1574" s="1" t="e">
        <f>VLOOKUP(C1574,'Master truck list'!E:M,9,0)</f>
        <v>#N/A</v>
      </c>
      <c r="F1574" s="1" t="e">
        <f>VLOOKUP(C1574,'Master truck list'!E:G,3,0)</f>
        <v>#N/A</v>
      </c>
      <c r="G1574" s="1" t="e">
        <f>VLOOKUP(C1574,'Master truck list'!E:R,14,0)</f>
        <v>#N/A</v>
      </c>
    </row>
    <row r="1575" spans="1:7" x14ac:dyDescent="0.25">
      <c r="A1575" s="1" t="str">
        <f t="shared" si="641"/>
        <v/>
      </c>
      <c r="B1575" s="1" t="str">
        <f t="shared" si="640"/>
        <v/>
      </c>
      <c r="C1575" s="1" t="e">
        <f>VLOOKUP(B1575,'Master truck list'!D:E,2,0)</f>
        <v>#N/A</v>
      </c>
      <c r="D1575" s="1" t="e">
        <f>VLOOKUP(C1575,'Master truck list'!E:F,2,0)</f>
        <v>#N/A</v>
      </c>
      <c r="E1575" s="1" t="e">
        <f>VLOOKUP(C1575,'Master truck list'!E:M,9,0)</f>
        <v>#N/A</v>
      </c>
      <c r="F1575" s="1" t="e">
        <f>VLOOKUP(C1575,'Master truck list'!E:G,3,0)</f>
        <v>#N/A</v>
      </c>
      <c r="G1575" s="1" t="e">
        <f>VLOOKUP(C1575,'Master truck list'!E:R,14,0)</f>
        <v>#N/A</v>
      </c>
    </row>
    <row r="1576" spans="1:7" x14ac:dyDescent="0.25">
      <c r="A1576" s="1" t="str">
        <f t="shared" si="641"/>
        <v/>
      </c>
      <c r="B1576" s="1" t="str">
        <f t="shared" si="640"/>
        <v/>
      </c>
      <c r="C1576" s="1" t="e">
        <f>VLOOKUP(B1576,'Master truck list'!D:E,2,0)</f>
        <v>#N/A</v>
      </c>
      <c r="D1576" s="1" t="e">
        <f>VLOOKUP(C1576,'Master truck list'!E:F,2,0)</f>
        <v>#N/A</v>
      </c>
      <c r="E1576" s="1" t="e">
        <f>VLOOKUP(C1576,'Master truck list'!E:M,9,0)</f>
        <v>#N/A</v>
      </c>
      <c r="F1576" s="1" t="e">
        <f>VLOOKUP(C1576,'Master truck list'!E:G,3,0)</f>
        <v>#N/A</v>
      </c>
      <c r="G1576" s="1" t="e">
        <f>VLOOKUP(C1576,'Master truck list'!E:R,14,0)</f>
        <v>#N/A</v>
      </c>
    </row>
    <row r="1577" spans="1:7" x14ac:dyDescent="0.25">
      <c r="A1577" s="1" t="str">
        <f t="shared" si="641"/>
        <v/>
      </c>
      <c r="B1577" s="1" t="str">
        <f t="shared" si="640"/>
        <v/>
      </c>
      <c r="C1577" s="1" t="e">
        <f>VLOOKUP(B1577,'Master truck list'!D:E,2,0)</f>
        <v>#N/A</v>
      </c>
      <c r="D1577" s="1" t="e">
        <f>VLOOKUP(C1577,'Master truck list'!E:F,2,0)</f>
        <v>#N/A</v>
      </c>
      <c r="E1577" s="1" t="e">
        <f>VLOOKUP(C1577,'Master truck list'!E:M,9,0)</f>
        <v>#N/A</v>
      </c>
      <c r="F1577" s="1" t="e">
        <f>VLOOKUP(C1577,'Master truck list'!E:G,3,0)</f>
        <v>#N/A</v>
      </c>
      <c r="G1577" s="1" t="e">
        <f>VLOOKUP(C1577,'Master truck list'!E:R,14,0)</f>
        <v>#N/A</v>
      </c>
    </row>
    <row r="1578" spans="1:7" x14ac:dyDescent="0.25">
      <c r="A1578" s="1" t="str">
        <f t="shared" si="641"/>
        <v/>
      </c>
      <c r="B1578" s="1" t="str">
        <f t="shared" si="640"/>
        <v/>
      </c>
      <c r="C1578" s="1" t="e">
        <f>VLOOKUP(B1578,'Master truck list'!D:E,2,0)</f>
        <v>#N/A</v>
      </c>
      <c r="D1578" s="1" t="e">
        <f>VLOOKUP(C1578,'Master truck list'!E:F,2,0)</f>
        <v>#N/A</v>
      </c>
      <c r="E1578" s="1" t="e">
        <f>VLOOKUP(C1578,'Master truck list'!E:M,9,0)</f>
        <v>#N/A</v>
      </c>
      <c r="F1578" s="1" t="e">
        <f>VLOOKUP(C1578,'Master truck list'!E:G,3,0)</f>
        <v>#N/A</v>
      </c>
      <c r="G1578" s="1" t="e">
        <f>VLOOKUP(C1578,'Master truck list'!E:R,14,0)</f>
        <v>#N/A</v>
      </c>
    </row>
    <row r="1579" spans="1:7" x14ac:dyDescent="0.25">
      <c r="A1579" s="1" t="str">
        <f t="shared" si="641"/>
        <v/>
      </c>
      <c r="B1579" s="1" t="str">
        <f t="shared" si="640"/>
        <v/>
      </c>
      <c r="C1579" s="1" t="e">
        <f>VLOOKUP(B1579,'Master truck list'!D:E,2,0)</f>
        <v>#N/A</v>
      </c>
      <c r="D1579" s="1" t="e">
        <f>VLOOKUP(C1579,'Master truck list'!E:F,2,0)</f>
        <v>#N/A</v>
      </c>
      <c r="E1579" s="1" t="e">
        <f>VLOOKUP(C1579,'Master truck list'!E:M,9,0)</f>
        <v>#N/A</v>
      </c>
      <c r="F1579" s="1" t="e">
        <f>VLOOKUP(C1579,'Master truck list'!E:G,3,0)</f>
        <v>#N/A</v>
      </c>
      <c r="G1579" s="1" t="e">
        <f>VLOOKUP(C1579,'Master truck list'!E:R,14,0)</f>
        <v>#N/A</v>
      </c>
    </row>
    <row r="1580" spans="1:7" x14ac:dyDescent="0.25">
      <c r="A1580" s="1" t="str">
        <f t="shared" si="641"/>
        <v/>
      </c>
      <c r="B1580" s="1" t="str">
        <f t="shared" si="640"/>
        <v/>
      </c>
      <c r="C1580" s="1" t="e">
        <f>VLOOKUP(B1580,'Master truck list'!D:E,2,0)</f>
        <v>#N/A</v>
      </c>
      <c r="D1580" s="1" t="e">
        <f>VLOOKUP(C1580,'Master truck list'!E:F,2,0)</f>
        <v>#N/A</v>
      </c>
      <c r="E1580" s="1" t="e">
        <f>VLOOKUP(C1580,'Master truck list'!E:M,9,0)</f>
        <v>#N/A</v>
      </c>
      <c r="F1580" s="1" t="e">
        <f>VLOOKUP(C1580,'Master truck list'!E:G,3,0)</f>
        <v>#N/A</v>
      </c>
      <c r="G1580" s="1" t="e">
        <f>VLOOKUP(C1580,'Master truck list'!E:R,14,0)</f>
        <v>#N/A</v>
      </c>
    </row>
    <row r="1581" spans="1:7" x14ac:dyDescent="0.25">
      <c r="A1581" s="1" t="str">
        <f t="shared" si="641"/>
        <v/>
      </c>
      <c r="B1581" s="1" t="str">
        <f t="shared" si="640"/>
        <v/>
      </c>
      <c r="C1581" s="1" t="e">
        <f>VLOOKUP(B1581,'Master truck list'!D:E,2,0)</f>
        <v>#N/A</v>
      </c>
      <c r="D1581" s="1" t="e">
        <f>VLOOKUP(C1581,'Master truck list'!E:F,2,0)</f>
        <v>#N/A</v>
      </c>
      <c r="E1581" s="1" t="e">
        <f>VLOOKUP(C1581,'Master truck list'!E:M,9,0)</f>
        <v>#N/A</v>
      </c>
      <c r="F1581" s="1" t="e">
        <f>VLOOKUP(C1581,'Master truck list'!E:G,3,0)</f>
        <v>#N/A</v>
      </c>
      <c r="G1581" s="1" t="e">
        <f>VLOOKUP(C1581,'Master truck list'!E:R,14,0)</f>
        <v>#N/A</v>
      </c>
    </row>
    <row r="1582" spans="1:7" x14ac:dyDescent="0.25">
      <c r="A1582" s="1" t="str">
        <f t="shared" si="641"/>
        <v/>
      </c>
      <c r="B1582" s="1" t="str">
        <f t="shared" si="640"/>
        <v/>
      </c>
      <c r="C1582" s="1" t="e">
        <f>VLOOKUP(B1582,'Master truck list'!D:E,2,0)</f>
        <v>#N/A</v>
      </c>
      <c r="D1582" s="1" t="e">
        <f>VLOOKUP(C1582,'Master truck list'!E:F,2,0)</f>
        <v>#N/A</v>
      </c>
      <c r="E1582" s="1" t="e">
        <f>VLOOKUP(C1582,'Master truck list'!E:M,9,0)</f>
        <v>#N/A</v>
      </c>
      <c r="F1582" s="1" t="e">
        <f>VLOOKUP(C1582,'Master truck list'!E:G,3,0)</f>
        <v>#N/A</v>
      </c>
      <c r="G1582" s="1" t="e">
        <f>VLOOKUP(C1582,'Master truck list'!E:R,14,0)</f>
        <v>#N/A</v>
      </c>
    </row>
    <row r="1583" spans="1:7" x14ac:dyDescent="0.25">
      <c r="A1583" s="1" t="str">
        <f t="shared" si="641"/>
        <v/>
      </c>
      <c r="B1583" s="1" t="str">
        <f t="shared" si="640"/>
        <v/>
      </c>
      <c r="C1583" s="1" t="e">
        <f>VLOOKUP(B1583,'Master truck list'!D:E,2,0)</f>
        <v>#N/A</v>
      </c>
      <c r="D1583" s="1" t="e">
        <f>VLOOKUP(C1583,'Master truck list'!E:F,2,0)</f>
        <v>#N/A</v>
      </c>
      <c r="E1583" s="1" t="e">
        <f>VLOOKUP(C1583,'Master truck list'!E:M,9,0)</f>
        <v>#N/A</v>
      </c>
      <c r="F1583" s="1" t="e">
        <f>VLOOKUP(C1583,'Master truck list'!E:G,3,0)</f>
        <v>#N/A</v>
      </c>
      <c r="G1583" s="1" t="e">
        <f>VLOOKUP(C1583,'Master truck list'!E:R,14,0)</f>
        <v>#N/A</v>
      </c>
    </row>
    <row r="1584" spans="1:7" x14ac:dyDescent="0.25">
      <c r="A1584" s="1" t="str">
        <f t="shared" si="641"/>
        <v/>
      </c>
      <c r="B1584" s="1" t="str">
        <f t="shared" si="640"/>
        <v/>
      </c>
      <c r="C1584" s="1" t="e">
        <f>VLOOKUP(B1584,'Master truck list'!D:E,2,0)</f>
        <v>#N/A</v>
      </c>
      <c r="D1584" s="1" t="e">
        <f>VLOOKUP(C1584,'Master truck list'!E:F,2,0)</f>
        <v>#N/A</v>
      </c>
      <c r="E1584" s="1" t="e">
        <f>VLOOKUP(C1584,'Master truck list'!E:M,9,0)</f>
        <v>#N/A</v>
      </c>
      <c r="F1584" s="1" t="e">
        <f>VLOOKUP(C1584,'Master truck list'!E:G,3,0)</f>
        <v>#N/A</v>
      </c>
      <c r="G1584" s="1" t="e">
        <f>VLOOKUP(C1584,'Master truck list'!E:R,14,0)</f>
        <v>#N/A</v>
      </c>
    </row>
    <row r="1585" spans="1:7" x14ac:dyDescent="0.25">
      <c r="A1585" s="1" t="str">
        <f t="shared" si="641"/>
        <v/>
      </c>
      <c r="B1585" s="1" t="str">
        <f t="shared" si="640"/>
        <v/>
      </c>
      <c r="C1585" s="1" t="e">
        <f>VLOOKUP(B1585,'Master truck list'!D:E,2,0)</f>
        <v>#N/A</v>
      </c>
      <c r="D1585" s="1" t="e">
        <f>VLOOKUP(C1585,'Master truck list'!E:F,2,0)</f>
        <v>#N/A</v>
      </c>
      <c r="E1585" s="1" t="e">
        <f>VLOOKUP(C1585,'Master truck list'!E:M,9,0)</f>
        <v>#N/A</v>
      </c>
      <c r="F1585" s="1" t="e">
        <f>VLOOKUP(C1585,'Master truck list'!E:G,3,0)</f>
        <v>#N/A</v>
      </c>
      <c r="G1585" s="1" t="e">
        <f>VLOOKUP(C1585,'Master truck list'!E:R,14,0)</f>
        <v>#N/A</v>
      </c>
    </row>
    <row r="1586" spans="1:7" x14ac:dyDescent="0.25">
      <c r="A1586" s="1" t="str">
        <f t="shared" si="641"/>
        <v/>
      </c>
      <c r="B1586" s="1" t="str">
        <f t="shared" si="640"/>
        <v/>
      </c>
      <c r="C1586" s="1" t="e">
        <f>VLOOKUP(B1586,'Master truck list'!D:E,2,0)</f>
        <v>#N/A</v>
      </c>
      <c r="D1586" s="1" t="e">
        <f>VLOOKUP(C1586,'Master truck list'!E:F,2,0)</f>
        <v>#N/A</v>
      </c>
      <c r="E1586" s="1" t="e">
        <f>VLOOKUP(C1586,'Master truck list'!E:M,9,0)</f>
        <v>#N/A</v>
      </c>
      <c r="F1586" s="1" t="e">
        <f>VLOOKUP(C1586,'Master truck list'!E:G,3,0)</f>
        <v>#N/A</v>
      </c>
      <c r="G1586" s="1" t="e">
        <f>VLOOKUP(C1586,'Master truck list'!E:R,14,0)</f>
        <v>#N/A</v>
      </c>
    </row>
    <row r="1587" spans="1:7" x14ac:dyDescent="0.25">
      <c r="A1587" s="1" t="str">
        <f t="shared" si="641"/>
        <v/>
      </c>
      <c r="B1587" s="1" t="str">
        <f t="shared" si="640"/>
        <v/>
      </c>
      <c r="C1587" s="1" t="e">
        <f>VLOOKUP(B1587,'Master truck list'!D:E,2,0)</f>
        <v>#N/A</v>
      </c>
      <c r="D1587" s="1" t="e">
        <f>VLOOKUP(C1587,'Master truck list'!E:F,2,0)</f>
        <v>#N/A</v>
      </c>
      <c r="E1587" s="1" t="e">
        <f>VLOOKUP(C1587,'Master truck list'!E:M,9,0)</f>
        <v>#N/A</v>
      </c>
      <c r="F1587" s="1" t="e">
        <f>VLOOKUP(C1587,'Master truck list'!E:G,3,0)</f>
        <v>#N/A</v>
      </c>
      <c r="G1587" s="1" t="e">
        <f>VLOOKUP(C1587,'Master truck list'!E:R,14,0)</f>
        <v>#N/A</v>
      </c>
    </row>
    <row r="1588" spans="1:7" x14ac:dyDescent="0.25">
      <c r="A1588" s="1" t="str">
        <f t="shared" si="641"/>
        <v/>
      </c>
      <c r="B1588" s="1" t="str">
        <f t="shared" si="640"/>
        <v/>
      </c>
      <c r="C1588" s="1" t="e">
        <f>VLOOKUP(B1588,'Master truck list'!D:E,2,0)</f>
        <v>#N/A</v>
      </c>
      <c r="D1588" s="1" t="e">
        <f>VLOOKUP(C1588,'Master truck list'!E:F,2,0)</f>
        <v>#N/A</v>
      </c>
      <c r="E1588" s="1" t="e">
        <f>VLOOKUP(C1588,'Master truck list'!E:M,9,0)</f>
        <v>#N/A</v>
      </c>
      <c r="F1588" s="1" t="e">
        <f>VLOOKUP(C1588,'Master truck list'!E:G,3,0)</f>
        <v>#N/A</v>
      </c>
      <c r="G1588" s="1" t="e">
        <f>VLOOKUP(C1588,'Master truck list'!E:R,14,0)</f>
        <v>#N/A</v>
      </c>
    </row>
    <row r="1589" spans="1:7" x14ac:dyDescent="0.25">
      <c r="A1589" s="1" t="str">
        <f t="shared" si="641"/>
        <v/>
      </c>
      <c r="B1589" s="1" t="str">
        <f t="shared" si="640"/>
        <v/>
      </c>
      <c r="C1589" s="1" t="e">
        <f>VLOOKUP(B1589,'Master truck list'!D:E,2,0)</f>
        <v>#N/A</v>
      </c>
      <c r="D1589" s="1" t="e">
        <f>VLOOKUP(C1589,'Master truck list'!E:F,2,0)</f>
        <v>#N/A</v>
      </c>
      <c r="E1589" s="1" t="e">
        <f>VLOOKUP(C1589,'Master truck list'!E:M,9,0)</f>
        <v>#N/A</v>
      </c>
      <c r="F1589" s="1" t="e">
        <f>VLOOKUP(C1589,'Master truck list'!E:G,3,0)</f>
        <v>#N/A</v>
      </c>
      <c r="G1589" s="1" t="e">
        <f>VLOOKUP(C1589,'Master truck list'!E:R,14,0)</f>
        <v>#N/A</v>
      </c>
    </row>
    <row r="1590" spans="1:7" x14ac:dyDescent="0.25">
      <c r="A1590" s="1" t="str">
        <f t="shared" si="641"/>
        <v/>
      </c>
      <c r="B1590" s="1" t="str">
        <f t="shared" si="640"/>
        <v/>
      </c>
      <c r="C1590" s="1" t="e">
        <f>VLOOKUP(B1590,'Master truck list'!D:E,2,0)</f>
        <v>#N/A</v>
      </c>
      <c r="D1590" s="1" t="e">
        <f>VLOOKUP(C1590,'Master truck list'!E:F,2,0)</f>
        <v>#N/A</v>
      </c>
      <c r="E1590" s="1" t="e">
        <f>VLOOKUP(C1590,'Master truck list'!E:M,9,0)</f>
        <v>#N/A</v>
      </c>
      <c r="F1590" s="1" t="e">
        <f>VLOOKUP(C1590,'Master truck list'!E:G,3,0)</f>
        <v>#N/A</v>
      </c>
      <c r="G1590" s="1" t="e">
        <f>VLOOKUP(C1590,'Master truck list'!E:R,14,0)</f>
        <v>#N/A</v>
      </c>
    </row>
    <row r="1591" spans="1:7" x14ac:dyDescent="0.25">
      <c r="A1591" s="1" t="str">
        <f t="shared" si="641"/>
        <v/>
      </c>
      <c r="B1591" s="1" t="str">
        <f t="shared" si="640"/>
        <v/>
      </c>
      <c r="C1591" s="1" t="e">
        <f>VLOOKUP(B1591,'Master truck list'!D:E,2,0)</f>
        <v>#N/A</v>
      </c>
      <c r="D1591" s="1" t="e">
        <f>VLOOKUP(C1591,'Master truck list'!E:F,2,0)</f>
        <v>#N/A</v>
      </c>
      <c r="E1591" s="1" t="e">
        <f>VLOOKUP(C1591,'Master truck list'!E:M,9,0)</f>
        <v>#N/A</v>
      </c>
      <c r="F1591" s="1" t="e">
        <f>VLOOKUP(C1591,'Master truck list'!E:G,3,0)</f>
        <v>#N/A</v>
      </c>
      <c r="G1591" s="1" t="e">
        <f>VLOOKUP(C1591,'Master truck list'!E:R,14,0)</f>
        <v>#N/A</v>
      </c>
    </row>
    <row r="1592" spans="1:7" x14ac:dyDescent="0.25">
      <c r="A1592" s="1" t="str">
        <f t="shared" si="641"/>
        <v/>
      </c>
      <c r="B1592" s="1" t="str">
        <f t="shared" si="640"/>
        <v/>
      </c>
      <c r="C1592" s="1" t="e">
        <f>VLOOKUP(B1592,'Master truck list'!D:E,2,0)</f>
        <v>#N/A</v>
      </c>
      <c r="D1592" s="1" t="e">
        <f>VLOOKUP(C1592,'Master truck list'!E:F,2,0)</f>
        <v>#N/A</v>
      </c>
      <c r="E1592" s="1" t="e">
        <f>VLOOKUP(C1592,'Master truck list'!E:M,9,0)</f>
        <v>#N/A</v>
      </c>
      <c r="F1592" s="1" t="e">
        <f>VLOOKUP(C1592,'Master truck list'!E:G,3,0)</f>
        <v>#N/A</v>
      </c>
      <c r="G1592" s="1" t="e">
        <f>VLOOKUP(C1592,'Master truck list'!E:R,14,0)</f>
        <v>#N/A</v>
      </c>
    </row>
    <row r="1593" spans="1:7" x14ac:dyDescent="0.25">
      <c r="A1593" s="1" t="str">
        <f t="shared" si="641"/>
        <v/>
      </c>
      <c r="B1593" s="1" t="str">
        <f t="shared" ref="B1593:B1656" si="642">SUBSTITUTE(A1593," ","")</f>
        <v/>
      </c>
      <c r="C1593" s="1" t="e">
        <f>VLOOKUP(B1593,'Master truck list'!D:E,2,0)</f>
        <v>#N/A</v>
      </c>
      <c r="D1593" s="1" t="e">
        <f>VLOOKUP(C1593,'Master truck list'!E:F,2,0)</f>
        <v>#N/A</v>
      </c>
      <c r="E1593" s="1" t="e">
        <f>VLOOKUP(C1593,'Master truck list'!E:M,9,0)</f>
        <v>#N/A</v>
      </c>
      <c r="F1593" s="1" t="e">
        <f>VLOOKUP(C1593,'Master truck list'!E:G,3,0)</f>
        <v>#N/A</v>
      </c>
      <c r="G1593" s="1" t="e">
        <f>VLOOKUP(C1593,'Master truck list'!E:R,14,0)</f>
        <v>#N/A</v>
      </c>
    </row>
    <row r="1594" spans="1:7" x14ac:dyDescent="0.25">
      <c r="A1594" s="1" t="str">
        <f t="shared" si="641"/>
        <v/>
      </c>
      <c r="B1594" s="1" t="str">
        <f t="shared" si="642"/>
        <v/>
      </c>
      <c r="C1594" s="1" t="e">
        <f>VLOOKUP(B1594,'Master truck list'!D:E,2,0)</f>
        <v>#N/A</v>
      </c>
      <c r="D1594" s="1" t="e">
        <f>VLOOKUP(C1594,'Master truck list'!E:F,2,0)</f>
        <v>#N/A</v>
      </c>
      <c r="E1594" s="1" t="e">
        <f>VLOOKUP(C1594,'Master truck list'!E:M,9,0)</f>
        <v>#N/A</v>
      </c>
      <c r="F1594" s="1" t="e">
        <f>VLOOKUP(C1594,'Master truck list'!E:G,3,0)</f>
        <v>#N/A</v>
      </c>
      <c r="G1594" s="1" t="e">
        <f>VLOOKUP(C1594,'Master truck list'!E:R,14,0)</f>
        <v>#N/A</v>
      </c>
    </row>
    <row r="1595" spans="1:7" x14ac:dyDescent="0.25">
      <c r="A1595" s="1" t="str">
        <f t="shared" si="641"/>
        <v/>
      </c>
      <c r="B1595" s="1" t="str">
        <f t="shared" si="642"/>
        <v/>
      </c>
      <c r="C1595" s="1" t="e">
        <f>VLOOKUP(B1595,'Master truck list'!D:E,2,0)</f>
        <v>#N/A</v>
      </c>
      <c r="D1595" s="1" t="e">
        <f>VLOOKUP(C1595,'Master truck list'!E:F,2,0)</f>
        <v>#N/A</v>
      </c>
      <c r="E1595" s="1" t="e">
        <f>VLOOKUP(C1595,'Master truck list'!E:M,9,0)</f>
        <v>#N/A</v>
      </c>
      <c r="F1595" s="1" t="e">
        <f>VLOOKUP(C1595,'Master truck list'!E:G,3,0)</f>
        <v>#N/A</v>
      </c>
      <c r="G1595" s="1" t="e">
        <f>VLOOKUP(C1595,'Master truck list'!E:R,14,0)</f>
        <v>#N/A</v>
      </c>
    </row>
    <row r="1596" spans="1:7" x14ac:dyDescent="0.25">
      <c r="A1596" s="1" t="str">
        <f t="shared" si="641"/>
        <v/>
      </c>
      <c r="B1596" s="1" t="str">
        <f t="shared" si="642"/>
        <v/>
      </c>
      <c r="C1596" s="1" t="e">
        <f>VLOOKUP(B1596,'Master truck list'!D:E,2,0)</f>
        <v>#N/A</v>
      </c>
      <c r="D1596" s="1" t="e">
        <f>VLOOKUP(C1596,'Master truck list'!E:F,2,0)</f>
        <v>#N/A</v>
      </c>
      <c r="E1596" s="1" t="e">
        <f>VLOOKUP(C1596,'Master truck list'!E:M,9,0)</f>
        <v>#N/A</v>
      </c>
      <c r="F1596" s="1" t="e">
        <f>VLOOKUP(C1596,'Master truck list'!E:G,3,0)</f>
        <v>#N/A</v>
      </c>
      <c r="G1596" s="1" t="e">
        <f>VLOOKUP(C1596,'Master truck list'!E:R,14,0)</f>
        <v>#N/A</v>
      </c>
    </row>
    <row r="1597" spans="1:7" x14ac:dyDescent="0.25">
      <c r="A1597" s="1" t="str">
        <f t="shared" si="641"/>
        <v/>
      </c>
      <c r="B1597" s="1" t="str">
        <f t="shared" si="642"/>
        <v/>
      </c>
      <c r="C1597" s="1" t="e">
        <f>VLOOKUP(B1597,'Master truck list'!D:E,2,0)</f>
        <v>#N/A</v>
      </c>
      <c r="D1597" s="1" t="e">
        <f>VLOOKUP(C1597,'Master truck list'!E:F,2,0)</f>
        <v>#N/A</v>
      </c>
      <c r="E1597" s="1" t="e">
        <f>VLOOKUP(C1597,'Master truck list'!E:M,9,0)</f>
        <v>#N/A</v>
      </c>
      <c r="F1597" s="1" t="e">
        <f>VLOOKUP(C1597,'Master truck list'!E:G,3,0)</f>
        <v>#N/A</v>
      </c>
      <c r="G1597" s="1" t="e">
        <f>VLOOKUP(C1597,'Master truck list'!E:R,14,0)</f>
        <v>#N/A</v>
      </c>
    </row>
    <row r="1598" spans="1:7" x14ac:dyDescent="0.25">
      <c r="A1598" s="1" t="str">
        <f t="shared" si="641"/>
        <v/>
      </c>
      <c r="B1598" s="1" t="str">
        <f t="shared" si="642"/>
        <v/>
      </c>
      <c r="C1598" s="1" t="e">
        <f>VLOOKUP(B1598,'Master truck list'!D:E,2,0)</f>
        <v>#N/A</v>
      </c>
      <c r="D1598" s="1" t="e">
        <f>VLOOKUP(C1598,'Master truck list'!E:F,2,0)</f>
        <v>#N/A</v>
      </c>
      <c r="E1598" s="1" t="e">
        <f>VLOOKUP(C1598,'Master truck list'!E:M,9,0)</f>
        <v>#N/A</v>
      </c>
      <c r="F1598" s="1" t="e">
        <f>VLOOKUP(C1598,'Master truck list'!E:G,3,0)</f>
        <v>#N/A</v>
      </c>
      <c r="G1598" s="1" t="e">
        <f>VLOOKUP(C1598,'Master truck list'!E:R,14,0)</f>
        <v>#N/A</v>
      </c>
    </row>
    <row r="1599" spans="1:7" x14ac:dyDescent="0.25">
      <c r="A1599" s="1" t="str">
        <f t="shared" si="641"/>
        <v/>
      </c>
      <c r="B1599" s="1" t="str">
        <f t="shared" si="642"/>
        <v/>
      </c>
      <c r="C1599" s="1" t="e">
        <f>VLOOKUP(B1599,'Master truck list'!D:E,2,0)</f>
        <v>#N/A</v>
      </c>
      <c r="D1599" s="1" t="e">
        <f>VLOOKUP(C1599,'Master truck list'!E:F,2,0)</f>
        <v>#N/A</v>
      </c>
      <c r="E1599" s="1" t="e">
        <f>VLOOKUP(C1599,'Master truck list'!E:M,9,0)</f>
        <v>#N/A</v>
      </c>
      <c r="F1599" s="1" t="e">
        <f>VLOOKUP(C1599,'Master truck list'!E:G,3,0)</f>
        <v>#N/A</v>
      </c>
      <c r="G1599" s="1" t="e">
        <f>VLOOKUP(C1599,'Master truck list'!E:R,14,0)</f>
        <v>#N/A</v>
      </c>
    </row>
    <row r="1600" spans="1:7" x14ac:dyDescent="0.25">
      <c r="A1600" s="1" t="str">
        <f t="shared" si="641"/>
        <v/>
      </c>
      <c r="B1600" s="1" t="str">
        <f t="shared" si="642"/>
        <v/>
      </c>
      <c r="C1600" s="1" t="e">
        <f>VLOOKUP(B1600,'Master truck list'!D:E,2,0)</f>
        <v>#N/A</v>
      </c>
      <c r="D1600" s="1" t="e">
        <f>VLOOKUP(C1600,'Master truck list'!E:F,2,0)</f>
        <v>#N/A</v>
      </c>
      <c r="E1600" s="1" t="e">
        <f>VLOOKUP(C1600,'Master truck list'!E:M,9,0)</f>
        <v>#N/A</v>
      </c>
      <c r="F1600" s="1" t="e">
        <f>VLOOKUP(C1600,'Master truck list'!E:G,3,0)</f>
        <v>#N/A</v>
      </c>
      <c r="G1600" s="1" t="e">
        <f>VLOOKUP(C1600,'Master truck list'!E:R,14,0)</f>
        <v>#N/A</v>
      </c>
    </row>
    <row r="1601" spans="1:7" x14ac:dyDescent="0.25">
      <c r="A1601" s="1" t="str">
        <f t="shared" si="641"/>
        <v/>
      </c>
      <c r="B1601" s="1" t="str">
        <f t="shared" si="642"/>
        <v/>
      </c>
      <c r="C1601" s="1" t="e">
        <f>VLOOKUP(B1601,'Master truck list'!D:E,2,0)</f>
        <v>#N/A</v>
      </c>
      <c r="D1601" s="1" t="e">
        <f>VLOOKUP(C1601,'Master truck list'!E:F,2,0)</f>
        <v>#N/A</v>
      </c>
      <c r="E1601" s="1" t="e">
        <f>VLOOKUP(C1601,'Master truck list'!E:M,9,0)</f>
        <v>#N/A</v>
      </c>
      <c r="F1601" s="1" t="e">
        <f>VLOOKUP(C1601,'Master truck list'!E:G,3,0)</f>
        <v>#N/A</v>
      </c>
      <c r="G1601" s="1" t="e">
        <f>VLOOKUP(C1601,'Master truck list'!E:R,14,0)</f>
        <v>#N/A</v>
      </c>
    </row>
    <row r="1602" spans="1:7" x14ac:dyDescent="0.25">
      <c r="A1602" s="1" t="str">
        <f t="shared" si="641"/>
        <v/>
      </c>
      <c r="B1602" s="1" t="str">
        <f t="shared" si="642"/>
        <v/>
      </c>
      <c r="C1602" s="1" t="e">
        <f>VLOOKUP(B1602,'Master truck list'!D:E,2,0)</f>
        <v>#N/A</v>
      </c>
      <c r="D1602" s="1" t="e">
        <f>VLOOKUP(C1602,'Master truck list'!E:F,2,0)</f>
        <v>#N/A</v>
      </c>
      <c r="E1602" s="1" t="e">
        <f>VLOOKUP(C1602,'Master truck list'!E:M,9,0)</f>
        <v>#N/A</v>
      </c>
      <c r="F1602" s="1" t="e">
        <f>VLOOKUP(C1602,'Master truck list'!E:G,3,0)</f>
        <v>#N/A</v>
      </c>
      <c r="G1602" s="1" t="e">
        <f>VLOOKUP(C1602,'Master truck list'!E:R,14,0)</f>
        <v>#N/A</v>
      </c>
    </row>
    <row r="1603" spans="1:7" x14ac:dyDescent="0.25">
      <c r="A1603" s="1" t="str">
        <f t="shared" si="641"/>
        <v/>
      </c>
      <c r="B1603" s="1" t="str">
        <f t="shared" si="642"/>
        <v/>
      </c>
      <c r="C1603" s="1" t="e">
        <f>VLOOKUP(B1603,'Master truck list'!D:E,2,0)</f>
        <v>#N/A</v>
      </c>
      <c r="D1603" s="1" t="e">
        <f>VLOOKUP(C1603,'Master truck list'!E:F,2,0)</f>
        <v>#N/A</v>
      </c>
      <c r="E1603" s="1" t="e">
        <f>VLOOKUP(C1603,'Master truck list'!E:M,9,0)</f>
        <v>#N/A</v>
      </c>
      <c r="F1603" s="1" t="e">
        <f>VLOOKUP(C1603,'Master truck list'!E:G,3,0)</f>
        <v>#N/A</v>
      </c>
      <c r="G1603" s="1" t="e">
        <f>VLOOKUP(C1603,'Master truck list'!E:R,14,0)</f>
        <v>#N/A</v>
      </c>
    </row>
    <row r="1604" spans="1:7" x14ac:dyDescent="0.25">
      <c r="A1604" s="1" t="str">
        <f t="shared" si="641"/>
        <v/>
      </c>
      <c r="B1604" s="1" t="str">
        <f t="shared" si="642"/>
        <v/>
      </c>
      <c r="C1604" s="1" t="e">
        <f>VLOOKUP(B1604,'Master truck list'!D:E,2,0)</f>
        <v>#N/A</v>
      </c>
      <c r="D1604" s="1" t="e">
        <f>VLOOKUP(C1604,'Master truck list'!E:F,2,0)</f>
        <v>#N/A</v>
      </c>
      <c r="E1604" s="1" t="e">
        <f>VLOOKUP(C1604,'Master truck list'!E:M,9,0)</f>
        <v>#N/A</v>
      </c>
      <c r="F1604" s="1" t="e">
        <f>VLOOKUP(C1604,'Master truck list'!E:G,3,0)</f>
        <v>#N/A</v>
      </c>
      <c r="G1604" s="1" t="e">
        <f>VLOOKUP(C1604,'Master truck list'!E:R,14,0)</f>
        <v>#N/A</v>
      </c>
    </row>
    <row r="1605" spans="1:7" x14ac:dyDescent="0.25">
      <c r="A1605" s="1" t="str">
        <f t="shared" si="641"/>
        <v/>
      </c>
      <c r="B1605" s="1" t="str">
        <f t="shared" si="642"/>
        <v/>
      </c>
      <c r="C1605" s="1" t="e">
        <f>VLOOKUP(B1605,'Master truck list'!D:E,2,0)</f>
        <v>#N/A</v>
      </c>
      <c r="D1605" s="1" t="e">
        <f>VLOOKUP(C1605,'Master truck list'!E:F,2,0)</f>
        <v>#N/A</v>
      </c>
      <c r="E1605" s="1" t="e">
        <f>VLOOKUP(C1605,'Master truck list'!E:M,9,0)</f>
        <v>#N/A</v>
      </c>
      <c r="F1605" s="1" t="e">
        <f>VLOOKUP(C1605,'Master truck list'!E:G,3,0)</f>
        <v>#N/A</v>
      </c>
      <c r="G1605" s="1" t="e">
        <f>VLOOKUP(C1605,'Master truck list'!E:R,14,0)</f>
        <v>#N/A</v>
      </c>
    </row>
    <row r="1606" spans="1:7" x14ac:dyDescent="0.25">
      <c r="A1606" s="1" t="str">
        <f t="shared" si="641"/>
        <v/>
      </c>
      <c r="B1606" s="1" t="str">
        <f t="shared" si="642"/>
        <v/>
      </c>
      <c r="C1606" s="1" t="e">
        <f>VLOOKUP(B1606,'Master truck list'!D:E,2,0)</f>
        <v>#N/A</v>
      </c>
      <c r="D1606" s="1" t="e">
        <f>VLOOKUP(C1606,'Master truck list'!E:F,2,0)</f>
        <v>#N/A</v>
      </c>
      <c r="E1606" s="1" t="e">
        <f>VLOOKUP(C1606,'Master truck list'!E:M,9,0)</f>
        <v>#N/A</v>
      </c>
      <c r="F1606" s="1" t="e">
        <f>VLOOKUP(C1606,'Master truck list'!E:G,3,0)</f>
        <v>#N/A</v>
      </c>
      <c r="G1606" s="1" t="e">
        <f>VLOOKUP(C1606,'Master truck list'!E:R,14,0)</f>
        <v>#N/A</v>
      </c>
    </row>
    <row r="1607" spans="1:7" x14ac:dyDescent="0.25">
      <c r="A1607" s="1" t="str">
        <f t="shared" si="641"/>
        <v/>
      </c>
      <c r="B1607" s="1" t="str">
        <f t="shared" si="642"/>
        <v/>
      </c>
      <c r="C1607" s="1" t="e">
        <f>VLOOKUP(B1607,'Master truck list'!D:E,2,0)</f>
        <v>#N/A</v>
      </c>
      <c r="D1607" s="1" t="e">
        <f>VLOOKUP(C1607,'Master truck list'!E:F,2,0)</f>
        <v>#N/A</v>
      </c>
      <c r="E1607" s="1" t="e">
        <f>VLOOKUP(C1607,'Master truck list'!E:M,9,0)</f>
        <v>#N/A</v>
      </c>
      <c r="F1607" s="1" t="e">
        <f>VLOOKUP(C1607,'Master truck list'!E:G,3,0)</f>
        <v>#N/A</v>
      </c>
      <c r="G1607" s="1" t="e">
        <f>VLOOKUP(C1607,'Master truck list'!E:R,14,0)</f>
        <v>#N/A</v>
      </c>
    </row>
    <row r="1608" spans="1:7" x14ac:dyDescent="0.25">
      <c r="A1608" s="1" t="str">
        <f t="shared" si="641"/>
        <v/>
      </c>
      <c r="B1608" s="1" t="str">
        <f t="shared" si="642"/>
        <v/>
      </c>
      <c r="C1608" s="1" t="e">
        <f>VLOOKUP(B1608,'Master truck list'!D:E,2,0)</f>
        <v>#N/A</v>
      </c>
      <c r="D1608" s="1" t="e">
        <f>VLOOKUP(C1608,'Master truck list'!E:F,2,0)</f>
        <v>#N/A</v>
      </c>
      <c r="E1608" s="1" t="e">
        <f>VLOOKUP(C1608,'Master truck list'!E:M,9,0)</f>
        <v>#N/A</v>
      </c>
      <c r="F1608" s="1" t="e">
        <f>VLOOKUP(C1608,'Master truck list'!E:G,3,0)</f>
        <v>#N/A</v>
      </c>
      <c r="G1608" s="1" t="e">
        <f>VLOOKUP(C1608,'Master truck list'!E:R,14,0)</f>
        <v>#N/A</v>
      </c>
    </row>
    <row r="1609" spans="1:7" x14ac:dyDescent="0.25">
      <c r="A1609" s="1" t="str">
        <f t="shared" si="641"/>
        <v/>
      </c>
      <c r="B1609" s="1" t="str">
        <f t="shared" si="642"/>
        <v/>
      </c>
      <c r="C1609" s="1" t="e">
        <f>VLOOKUP(B1609,'Master truck list'!D:E,2,0)</f>
        <v>#N/A</v>
      </c>
      <c r="D1609" s="1" t="e">
        <f>VLOOKUP(C1609,'Master truck list'!E:F,2,0)</f>
        <v>#N/A</v>
      </c>
      <c r="E1609" s="1" t="e">
        <f>VLOOKUP(C1609,'Master truck list'!E:M,9,0)</f>
        <v>#N/A</v>
      </c>
      <c r="F1609" s="1" t="e">
        <f>VLOOKUP(C1609,'Master truck list'!E:G,3,0)</f>
        <v>#N/A</v>
      </c>
      <c r="G1609" s="1" t="e">
        <f>VLOOKUP(C1609,'Master truck list'!E:R,14,0)</f>
        <v>#N/A</v>
      </c>
    </row>
    <row r="1610" spans="1:7" x14ac:dyDescent="0.25">
      <c r="A1610" s="1" t="str">
        <f t="shared" si="641"/>
        <v/>
      </c>
      <c r="B1610" s="1" t="str">
        <f t="shared" si="642"/>
        <v/>
      </c>
      <c r="C1610" s="1" t="e">
        <f>VLOOKUP(B1610,'Master truck list'!D:E,2,0)</f>
        <v>#N/A</v>
      </c>
      <c r="D1610" s="1" t="e">
        <f>VLOOKUP(C1610,'Master truck list'!E:F,2,0)</f>
        <v>#N/A</v>
      </c>
      <c r="E1610" s="1" t="e">
        <f>VLOOKUP(C1610,'Master truck list'!E:M,9,0)</f>
        <v>#N/A</v>
      </c>
      <c r="F1610" s="1" t="e">
        <f>VLOOKUP(C1610,'Master truck list'!E:G,3,0)</f>
        <v>#N/A</v>
      </c>
      <c r="G1610" s="1" t="e">
        <f>VLOOKUP(C1610,'Master truck list'!E:R,14,0)</f>
        <v>#N/A</v>
      </c>
    </row>
    <row r="1611" spans="1:7" x14ac:dyDescent="0.25">
      <c r="A1611" s="1" t="str">
        <f t="shared" si="641"/>
        <v/>
      </c>
      <c r="B1611" s="1" t="str">
        <f t="shared" si="642"/>
        <v/>
      </c>
      <c r="C1611" s="1" t="e">
        <f>VLOOKUP(B1611,'Master truck list'!D:E,2,0)</f>
        <v>#N/A</v>
      </c>
      <c r="D1611" s="1" t="e">
        <f>VLOOKUP(C1611,'Master truck list'!E:F,2,0)</f>
        <v>#N/A</v>
      </c>
      <c r="E1611" s="1" t="e">
        <f>VLOOKUP(C1611,'Master truck list'!E:M,9,0)</f>
        <v>#N/A</v>
      </c>
      <c r="F1611" s="1" t="e">
        <f>VLOOKUP(C1611,'Master truck list'!E:G,3,0)</f>
        <v>#N/A</v>
      </c>
      <c r="G1611" s="1" t="e">
        <f>VLOOKUP(C1611,'Master truck list'!E:R,14,0)</f>
        <v>#N/A</v>
      </c>
    </row>
    <row r="1612" spans="1:7" x14ac:dyDescent="0.25">
      <c r="A1612" s="1" t="str">
        <f t="shared" si="641"/>
        <v/>
      </c>
      <c r="B1612" s="1" t="str">
        <f t="shared" si="642"/>
        <v/>
      </c>
      <c r="C1612" s="1" t="e">
        <f>VLOOKUP(B1612,'Master truck list'!D:E,2,0)</f>
        <v>#N/A</v>
      </c>
      <c r="D1612" s="1" t="e">
        <f>VLOOKUP(C1612,'Master truck list'!E:F,2,0)</f>
        <v>#N/A</v>
      </c>
      <c r="E1612" s="1" t="e">
        <f>VLOOKUP(C1612,'Master truck list'!E:M,9,0)</f>
        <v>#N/A</v>
      </c>
      <c r="F1612" s="1" t="e">
        <f>VLOOKUP(C1612,'Master truck list'!E:G,3,0)</f>
        <v>#N/A</v>
      </c>
      <c r="G1612" s="1" t="e">
        <f>VLOOKUP(C1612,'Master truck list'!E:R,14,0)</f>
        <v>#N/A</v>
      </c>
    </row>
    <row r="1613" spans="1:7" x14ac:dyDescent="0.25">
      <c r="A1613" s="1" t="str">
        <f t="shared" si="641"/>
        <v/>
      </c>
      <c r="B1613" s="1" t="str">
        <f t="shared" si="642"/>
        <v/>
      </c>
      <c r="C1613" s="1" t="e">
        <f>VLOOKUP(B1613,'Master truck list'!D:E,2,0)</f>
        <v>#N/A</v>
      </c>
      <c r="D1613" s="1" t="e">
        <f>VLOOKUP(C1613,'Master truck list'!E:F,2,0)</f>
        <v>#N/A</v>
      </c>
      <c r="E1613" s="1" t="e">
        <f>VLOOKUP(C1613,'Master truck list'!E:M,9,0)</f>
        <v>#N/A</v>
      </c>
      <c r="F1613" s="1" t="e">
        <f>VLOOKUP(C1613,'Master truck list'!E:G,3,0)</f>
        <v>#N/A</v>
      </c>
      <c r="G1613" s="1" t="e">
        <f>VLOOKUP(C1613,'Master truck list'!E:R,14,0)</f>
        <v>#N/A</v>
      </c>
    </row>
    <row r="1614" spans="1:7" x14ac:dyDescent="0.25">
      <c r="A1614" s="1" t="str">
        <f t="shared" si="641"/>
        <v/>
      </c>
      <c r="B1614" s="1" t="str">
        <f t="shared" si="642"/>
        <v/>
      </c>
      <c r="C1614" s="1" t="e">
        <f>VLOOKUP(B1614,'Master truck list'!D:E,2,0)</f>
        <v>#N/A</v>
      </c>
      <c r="D1614" s="1" t="e">
        <f>VLOOKUP(C1614,'Master truck list'!E:F,2,0)</f>
        <v>#N/A</v>
      </c>
      <c r="E1614" s="1" t="e">
        <f>VLOOKUP(C1614,'Master truck list'!E:M,9,0)</f>
        <v>#N/A</v>
      </c>
      <c r="F1614" s="1" t="e">
        <f>VLOOKUP(C1614,'Master truck list'!E:G,3,0)</f>
        <v>#N/A</v>
      </c>
      <c r="G1614" s="1" t="e">
        <f>VLOOKUP(C1614,'Master truck list'!E:R,14,0)</f>
        <v>#N/A</v>
      </c>
    </row>
    <row r="1615" spans="1:7" x14ac:dyDescent="0.25">
      <c r="A1615" s="1" t="str">
        <f t="shared" si="641"/>
        <v/>
      </c>
      <c r="B1615" s="1" t="str">
        <f t="shared" si="642"/>
        <v/>
      </c>
      <c r="C1615" s="1" t="e">
        <f>VLOOKUP(B1615,'Master truck list'!D:E,2,0)</f>
        <v>#N/A</v>
      </c>
      <c r="D1615" s="1" t="e">
        <f>VLOOKUP(C1615,'Master truck list'!E:F,2,0)</f>
        <v>#N/A</v>
      </c>
      <c r="E1615" s="1" t="e">
        <f>VLOOKUP(C1615,'Master truck list'!E:M,9,0)</f>
        <v>#N/A</v>
      </c>
      <c r="F1615" s="1" t="e">
        <f>VLOOKUP(C1615,'Master truck list'!E:G,3,0)</f>
        <v>#N/A</v>
      </c>
      <c r="G1615" s="1" t="e">
        <f>VLOOKUP(C1615,'Master truck list'!E:R,14,0)</f>
        <v>#N/A</v>
      </c>
    </row>
    <row r="1616" spans="1:7" x14ac:dyDescent="0.25">
      <c r="A1616" s="1" t="str">
        <f t="shared" si="641"/>
        <v/>
      </c>
      <c r="B1616" s="1" t="str">
        <f t="shared" si="642"/>
        <v/>
      </c>
      <c r="C1616" s="1" t="e">
        <f>VLOOKUP(B1616,'Master truck list'!D:E,2,0)</f>
        <v>#N/A</v>
      </c>
      <c r="D1616" s="1" t="e">
        <f>VLOOKUP(C1616,'Master truck list'!E:F,2,0)</f>
        <v>#N/A</v>
      </c>
      <c r="E1616" s="1" t="e">
        <f>VLOOKUP(C1616,'Master truck list'!E:M,9,0)</f>
        <v>#N/A</v>
      </c>
      <c r="F1616" s="1" t="e">
        <f>VLOOKUP(C1616,'Master truck list'!E:G,3,0)</f>
        <v>#N/A</v>
      </c>
      <c r="G1616" s="1" t="e">
        <f>VLOOKUP(C1616,'Master truck list'!E:R,14,0)</f>
        <v>#N/A</v>
      </c>
    </row>
    <row r="1617" spans="1:7" x14ac:dyDescent="0.25">
      <c r="A1617" s="1" t="str">
        <f t="shared" si="641"/>
        <v/>
      </c>
      <c r="B1617" s="1" t="str">
        <f t="shared" si="642"/>
        <v/>
      </c>
      <c r="C1617" s="1" t="e">
        <f>VLOOKUP(B1617,'Master truck list'!D:E,2,0)</f>
        <v>#N/A</v>
      </c>
      <c r="D1617" s="1" t="e">
        <f>VLOOKUP(C1617,'Master truck list'!E:F,2,0)</f>
        <v>#N/A</v>
      </c>
      <c r="E1617" s="1" t="e">
        <f>VLOOKUP(C1617,'Master truck list'!E:M,9,0)</f>
        <v>#N/A</v>
      </c>
      <c r="F1617" s="1" t="e">
        <f>VLOOKUP(C1617,'Master truck list'!E:G,3,0)</f>
        <v>#N/A</v>
      </c>
      <c r="G1617" s="1" t="e">
        <f>VLOOKUP(C1617,'Master truck list'!E:R,14,0)</f>
        <v>#N/A</v>
      </c>
    </row>
    <row r="1618" spans="1:7" x14ac:dyDescent="0.25">
      <c r="A1618" s="1" t="str">
        <f t="shared" si="641"/>
        <v/>
      </c>
      <c r="B1618" s="1" t="str">
        <f t="shared" si="642"/>
        <v/>
      </c>
      <c r="C1618" s="1" t="e">
        <f>VLOOKUP(B1618,'Master truck list'!D:E,2,0)</f>
        <v>#N/A</v>
      </c>
      <c r="D1618" s="1" t="e">
        <f>VLOOKUP(C1618,'Master truck list'!E:F,2,0)</f>
        <v>#N/A</v>
      </c>
      <c r="E1618" s="1" t="e">
        <f>VLOOKUP(C1618,'Master truck list'!E:M,9,0)</f>
        <v>#N/A</v>
      </c>
      <c r="F1618" s="1" t="e">
        <f>VLOOKUP(C1618,'Master truck list'!E:G,3,0)</f>
        <v>#N/A</v>
      </c>
      <c r="G1618" s="1" t="e">
        <f>VLOOKUP(C1618,'Master truck list'!E:R,14,0)</f>
        <v>#N/A</v>
      </c>
    </row>
    <row r="1619" spans="1:7" x14ac:dyDescent="0.25">
      <c r="A1619" s="1" t="str">
        <f t="shared" si="641"/>
        <v/>
      </c>
      <c r="B1619" s="1" t="str">
        <f t="shared" si="642"/>
        <v/>
      </c>
      <c r="C1619" s="1" t="e">
        <f>VLOOKUP(B1619,'Master truck list'!D:E,2,0)</f>
        <v>#N/A</v>
      </c>
      <c r="D1619" s="1" t="e">
        <f>VLOOKUP(C1619,'Master truck list'!E:F,2,0)</f>
        <v>#N/A</v>
      </c>
      <c r="E1619" s="1" t="e">
        <f>VLOOKUP(C1619,'Master truck list'!E:M,9,0)</f>
        <v>#N/A</v>
      </c>
      <c r="F1619" s="1" t="e">
        <f>VLOOKUP(C1619,'Master truck list'!E:G,3,0)</f>
        <v>#N/A</v>
      </c>
      <c r="G1619" s="1" t="e">
        <f>VLOOKUP(C1619,'Master truck list'!E:R,14,0)</f>
        <v>#N/A</v>
      </c>
    </row>
    <row r="1620" spans="1:7" x14ac:dyDescent="0.25">
      <c r="A1620" s="1" t="str">
        <f t="shared" si="641"/>
        <v/>
      </c>
      <c r="B1620" s="1" t="str">
        <f t="shared" si="642"/>
        <v/>
      </c>
      <c r="C1620" s="1" t="e">
        <f>VLOOKUP(B1620,'Master truck list'!D:E,2,0)</f>
        <v>#N/A</v>
      </c>
      <c r="D1620" s="1" t="e">
        <f>VLOOKUP(C1620,'Master truck list'!E:F,2,0)</f>
        <v>#N/A</v>
      </c>
      <c r="E1620" s="1" t="e">
        <f>VLOOKUP(C1620,'Master truck list'!E:M,9,0)</f>
        <v>#N/A</v>
      </c>
      <c r="F1620" s="1" t="e">
        <f>VLOOKUP(C1620,'Master truck list'!E:G,3,0)</f>
        <v>#N/A</v>
      </c>
      <c r="G1620" s="1" t="e">
        <f>VLOOKUP(C1620,'Master truck list'!E:R,14,0)</f>
        <v>#N/A</v>
      </c>
    </row>
    <row r="1621" spans="1:7" x14ac:dyDescent="0.25">
      <c r="A1621" s="1" t="str">
        <f t="shared" si="641"/>
        <v/>
      </c>
      <c r="B1621" s="1" t="str">
        <f t="shared" si="642"/>
        <v/>
      </c>
      <c r="C1621" s="1" t="e">
        <f>VLOOKUP(B1621,'Master truck list'!D:E,2,0)</f>
        <v>#N/A</v>
      </c>
      <c r="D1621" s="1" t="e">
        <f>VLOOKUP(C1621,'Master truck list'!E:F,2,0)</f>
        <v>#N/A</v>
      </c>
      <c r="E1621" s="1" t="e">
        <f>VLOOKUP(C1621,'Master truck list'!E:M,9,0)</f>
        <v>#N/A</v>
      </c>
      <c r="F1621" s="1" t="e">
        <f>VLOOKUP(C1621,'Master truck list'!E:G,3,0)</f>
        <v>#N/A</v>
      </c>
      <c r="G1621" s="1" t="e">
        <f>VLOOKUP(C1621,'Master truck list'!E:R,14,0)</f>
        <v>#N/A</v>
      </c>
    </row>
    <row r="1622" spans="1:7" x14ac:dyDescent="0.25">
      <c r="A1622" s="1" t="str">
        <f t="shared" si="641"/>
        <v/>
      </c>
      <c r="B1622" s="1" t="str">
        <f t="shared" si="642"/>
        <v/>
      </c>
      <c r="C1622" s="1" t="e">
        <f>VLOOKUP(B1622,'Master truck list'!D:E,2,0)</f>
        <v>#N/A</v>
      </c>
      <c r="D1622" s="1" t="e">
        <f>VLOOKUP(C1622,'Master truck list'!E:F,2,0)</f>
        <v>#N/A</v>
      </c>
      <c r="E1622" s="1" t="e">
        <f>VLOOKUP(C1622,'Master truck list'!E:M,9,0)</f>
        <v>#N/A</v>
      </c>
      <c r="F1622" s="1" t="e">
        <f>VLOOKUP(C1622,'Master truck list'!E:G,3,0)</f>
        <v>#N/A</v>
      </c>
      <c r="G1622" s="1" t="e">
        <f>VLOOKUP(C1622,'Master truck list'!E:R,14,0)</f>
        <v>#N/A</v>
      </c>
    </row>
    <row r="1623" spans="1:7" x14ac:dyDescent="0.25">
      <c r="A1623" s="1" t="str">
        <f t="shared" si="641"/>
        <v/>
      </c>
      <c r="B1623" s="1" t="str">
        <f t="shared" si="642"/>
        <v/>
      </c>
      <c r="C1623" s="1" t="e">
        <f>VLOOKUP(B1623,'Master truck list'!D:E,2,0)</f>
        <v>#N/A</v>
      </c>
      <c r="D1623" s="1" t="e">
        <f>VLOOKUP(C1623,'Master truck list'!E:F,2,0)</f>
        <v>#N/A</v>
      </c>
      <c r="E1623" s="1" t="e">
        <f>VLOOKUP(C1623,'Master truck list'!E:M,9,0)</f>
        <v>#N/A</v>
      </c>
      <c r="F1623" s="1" t="e">
        <f>VLOOKUP(C1623,'Master truck list'!E:G,3,0)</f>
        <v>#N/A</v>
      </c>
      <c r="G1623" s="1" t="e">
        <f>VLOOKUP(C1623,'Master truck list'!E:R,14,0)</f>
        <v>#N/A</v>
      </c>
    </row>
    <row r="1624" spans="1:7" x14ac:dyDescent="0.25">
      <c r="A1624" s="1" t="str">
        <f t="shared" si="641"/>
        <v/>
      </c>
      <c r="B1624" s="1" t="str">
        <f t="shared" si="642"/>
        <v/>
      </c>
      <c r="C1624" s="1" t="e">
        <f>VLOOKUP(B1624,'Master truck list'!D:E,2,0)</f>
        <v>#N/A</v>
      </c>
      <c r="D1624" s="1" t="e">
        <f>VLOOKUP(C1624,'Master truck list'!E:F,2,0)</f>
        <v>#N/A</v>
      </c>
      <c r="E1624" s="1" t="e">
        <f>VLOOKUP(C1624,'Master truck list'!E:M,9,0)</f>
        <v>#N/A</v>
      </c>
      <c r="F1624" s="1" t="e">
        <f>VLOOKUP(C1624,'Master truck list'!E:G,3,0)</f>
        <v>#N/A</v>
      </c>
      <c r="G1624" s="1" t="e">
        <f>VLOOKUP(C1624,'Master truck list'!E:R,14,0)</f>
        <v>#N/A</v>
      </c>
    </row>
    <row r="1625" spans="1:7" x14ac:dyDescent="0.25">
      <c r="A1625" s="1" t="str">
        <f t="shared" si="641"/>
        <v/>
      </c>
      <c r="B1625" s="1" t="str">
        <f t="shared" si="642"/>
        <v/>
      </c>
      <c r="C1625" s="1" t="e">
        <f>VLOOKUP(B1625,'Master truck list'!D:E,2,0)</f>
        <v>#N/A</v>
      </c>
      <c r="D1625" s="1" t="e">
        <f>VLOOKUP(C1625,'Master truck list'!E:F,2,0)</f>
        <v>#N/A</v>
      </c>
      <c r="E1625" s="1" t="e">
        <f>VLOOKUP(C1625,'Master truck list'!E:M,9,0)</f>
        <v>#N/A</v>
      </c>
      <c r="F1625" s="1" t="e">
        <f>VLOOKUP(C1625,'Master truck list'!E:G,3,0)</f>
        <v>#N/A</v>
      </c>
      <c r="G1625" s="1" t="e">
        <f>VLOOKUP(C1625,'Master truck list'!E:R,14,0)</f>
        <v>#N/A</v>
      </c>
    </row>
    <row r="1626" spans="1:7" x14ac:dyDescent="0.25">
      <c r="A1626" s="1" t="str">
        <f t="shared" si="641"/>
        <v/>
      </c>
      <c r="B1626" s="1" t="str">
        <f t="shared" si="642"/>
        <v/>
      </c>
      <c r="C1626" s="1" t="e">
        <f>VLOOKUP(B1626,'Master truck list'!D:E,2,0)</f>
        <v>#N/A</v>
      </c>
      <c r="D1626" s="1" t="e">
        <f>VLOOKUP(C1626,'Master truck list'!E:F,2,0)</f>
        <v>#N/A</v>
      </c>
      <c r="E1626" s="1" t="e">
        <f>VLOOKUP(C1626,'Master truck list'!E:M,9,0)</f>
        <v>#N/A</v>
      </c>
      <c r="F1626" s="1" t="e">
        <f>VLOOKUP(C1626,'Master truck list'!E:G,3,0)</f>
        <v>#N/A</v>
      </c>
      <c r="G1626" s="1" t="e">
        <f>VLOOKUP(C1626,'Master truck list'!E:R,14,0)</f>
        <v>#N/A</v>
      </c>
    </row>
    <row r="1627" spans="1:7" x14ac:dyDescent="0.25">
      <c r="A1627" s="1" t="str">
        <f t="shared" si="641"/>
        <v/>
      </c>
      <c r="B1627" s="1" t="str">
        <f t="shared" si="642"/>
        <v/>
      </c>
      <c r="C1627" s="1" t="e">
        <f>VLOOKUP(B1627,'Master truck list'!D:E,2,0)</f>
        <v>#N/A</v>
      </c>
      <c r="D1627" s="1" t="e">
        <f>VLOOKUP(C1627,'Master truck list'!E:F,2,0)</f>
        <v>#N/A</v>
      </c>
      <c r="E1627" s="1" t="e">
        <f>VLOOKUP(C1627,'Master truck list'!E:M,9,0)</f>
        <v>#N/A</v>
      </c>
      <c r="F1627" s="1" t="e">
        <f>VLOOKUP(C1627,'Master truck list'!E:G,3,0)</f>
        <v>#N/A</v>
      </c>
      <c r="G1627" s="1" t="e">
        <f>VLOOKUP(C1627,'Master truck list'!E:R,14,0)</f>
        <v>#N/A</v>
      </c>
    </row>
    <row r="1628" spans="1:7" x14ac:dyDescent="0.25">
      <c r="A1628" s="1" t="str">
        <f t="shared" si="641"/>
        <v/>
      </c>
      <c r="B1628" s="1" t="str">
        <f t="shared" si="642"/>
        <v/>
      </c>
      <c r="C1628" s="1" t="e">
        <f>VLOOKUP(B1628,'Master truck list'!D:E,2,0)</f>
        <v>#N/A</v>
      </c>
      <c r="D1628" s="1" t="e">
        <f>VLOOKUP(C1628,'Master truck list'!E:F,2,0)</f>
        <v>#N/A</v>
      </c>
      <c r="E1628" s="1" t="e">
        <f>VLOOKUP(C1628,'Master truck list'!E:M,9,0)</f>
        <v>#N/A</v>
      </c>
      <c r="F1628" s="1" t="e">
        <f>VLOOKUP(C1628,'Master truck list'!E:G,3,0)</f>
        <v>#N/A</v>
      </c>
      <c r="G1628" s="1" t="e">
        <f>VLOOKUP(C1628,'Master truck list'!E:R,14,0)</f>
        <v>#N/A</v>
      </c>
    </row>
    <row r="1629" spans="1:7" x14ac:dyDescent="0.25">
      <c r="A1629" s="1" t="str">
        <f t="shared" si="641"/>
        <v/>
      </c>
      <c r="B1629" s="1" t="str">
        <f t="shared" si="642"/>
        <v/>
      </c>
      <c r="C1629" s="1" t="e">
        <f>VLOOKUP(B1629,'Master truck list'!D:E,2,0)</f>
        <v>#N/A</v>
      </c>
      <c r="D1629" s="1" t="e">
        <f>VLOOKUP(C1629,'Master truck list'!E:F,2,0)</f>
        <v>#N/A</v>
      </c>
      <c r="E1629" s="1" t="e">
        <f>VLOOKUP(C1629,'Master truck list'!E:M,9,0)</f>
        <v>#N/A</v>
      </c>
      <c r="F1629" s="1" t="e">
        <f>VLOOKUP(C1629,'Master truck list'!E:G,3,0)</f>
        <v>#N/A</v>
      </c>
      <c r="G1629" s="1" t="e">
        <f>VLOOKUP(C1629,'Master truck list'!E:R,14,0)</f>
        <v>#N/A</v>
      </c>
    </row>
    <row r="1630" spans="1:7" x14ac:dyDescent="0.25">
      <c r="A1630" s="1" t="str">
        <f t="shared" si="641"/>
        <v/>
      </c>
      <c r="B1630" s="1" t="str">
        <f t="shared" si="642"/>
        <v/>
      </c>
      <c r="C1630" s="1" t="e">
        <f>VLOOKUP(B1630,'Master truck list'!D:E,2,0)</f>
        <v>#N/A</v>
      </c>
      <c r="D1630" s="1" t="e">
        <f>VLOOKUP(C1630,'Master truck list'!E:F,2,0)</f>
        <v>#N/A</v>
      </c>
      <c r="E1630" s="1" t="e">
        <f>VLOOKUP(C1630,'Master truck list'!E:M,9,0)</f>
        <v>#N/A</v>
      </c>
      <c r="F1630" s="1" t="e">
        <f>VLOOKUP(C1630,'Master truck list'!E:G,3,0)</f>
        <v>#N/A</v>
      </c>
      <c r="G1630" s="1" t="e">
        <f>VLOOKUP(C1630,'Master truck list'!E:R,14,0)</f>
        <v>#N/A</v>
      </c>
    </row>
    <row r="1631" spans="1:7" x14ac:dyDescent="0.25">
      <c r="A1631" s="1" t="str">
        <f t="shared" si="641"/>
        <v/>
      </c>
      <c r="B1631" s="1" t="str">
        <f t="shared" si="642"/>
        <v/>
      </c>
      <c r="C1631" s="1" t="e">
        <f>VLOOKUP(B1631,'Master truck list'!D:E,2,0)</f>
        <v>#N/A</v>
      </c>
      <c r="D1631" s="1" t="e">
        <f>VLOOKUP(C1631,'Master truck list'!E:F,2,0)</f>
        <v>#N/A</v>
      </c>
      <c r="E1631" s="1" t="e">
        <f>VLOOKUP(C1631,'Master truck list'!E:M,9,0)</f>
        <v>#N/A</v>
      </c>
      <c r="F1631" s="1" t="e">
        <f>VLOOKUP(C1631,'Master truck list'!E:G,3,0)</f>
        <v>#N/A</v>
      </c>
      <c r="G1631" s="1" t="e">
        <f>VLOOKUP(C1631,'Master truck list'!E:R,14,0)</f>
        <v>#N/A</v>
      </c>
    </row>
    <row r="1632" spans="1:7" x14ac:dyDescent="0.25">
      <c r="A1632" s="1" t="str">
        <f t="shared" si="641"/>
        <v/>
      </c>
      <c r="B1632" s="1" t="str">
        <f t="shared" si="642"/>
        <v/>
      </c>
      <c r="C1632" s="1" t="e">
        <f>VLOOKUP(B1632,'Master truck list'!D:E,2,0)</f>
        <v>#N/A</v>
      </c>
      <c r="D1632" s="1" t="e">
        <f>VLOOKUP(C1632,'Master truck list'!E:F,2,0)</f>
        <v>#N/A</v>
      </c>
      <c r="E1632" s="1" t="e">
        <f>VLOOKUP(C1632,'Master truck list'!E:M,9,0)</f>
        <v>#N/A</v>
      </c>
      <c r="F1632" s="1" t="e">
        <f>VLOOKUP(C1632,'Master truck list'!E:G,3,0)</f>
        <v>#N/A</v>
      </c>
      <c r="G1632" s="1" t="e">
        <f>VLOOKUP(C1632,'Master truck list'!E:R,14,0)</f>
        <v>#N/A</v>
      </c>
    </row>
    <row r="1633" spans="1:7" x14ac:dyDescent="0.25">
      <c r="A1633" s="1" t="str">
        <f t="shared" si="641"/>
        <v/>
      </c>
      <c r="B1633" s="1" t="str">
        <f t="shared" si="642"/>
        <v/>
      </c>
      <c r="C1633" s="1" t="e">
        <f>VLOOKUP(B1633,'Master truck list'!D:E,2,0)</f>
        <v>#N/A</v>
      </c>
      <c r="D1633" s="1" t="e">
        <f>VLOOKUP(C1633,'Master truck list'!E:F,2,0)</f>
        <v>#N/A</v>
      </c>
      <c r="E1633" s="1" t="e">
        <f>VLOOKUP(C1633,'Master truck list'!E:M,9,0)</f>
        <v>#N/A</v>
      </c>
      <c r="F1633" s="1" t="e">
        <f>VLOOKUP(C1633,'Master truck list'!E:G,3,0)</f>
        <v>#N/A</v>
      </c>
      <c r="G1633" s="1" t="e">
        <f>VLOOKUP(C1633,'Master truck list'!E:R,14,0)</f>
        <v>#N/A</v>
      </c>
    </row>
    <row r="1634" spans="1:7" x14ac:dyDescent="0.25">
      <c r="A1634" s="1" t="str">
        <f t="shared" si="641"/>
        <v/>
      </c>
      <c r="B1634" s="1" t="str">
        <f t="shared" si="642"/>
        <v/>
      </c>
      <c r="C1634" s="1" t="e">
        <f>VLOOKUP(B1634,'Master truck list'!D:E,2,0)</f>
        <v>#N/A</v>
      </c>
      <c r="D1634" s="1" t="e">
        <f>VLOOKUP(C1634,'Master truck list'!E:F,2,0)</f>
        <v>#N/A</v>
      </c>
      <c r="E1634" s="1" t="e">
        <f>VLOOKUP(C1634,'Master truck list'!E:M,9,0)</f>
        <v>#N/A</v>
      </c>
      <c r="F1634" s="1" t="e">
        <f>VLOOKUP(C1634,'Master truck list'!E:G,3,0)</f>
        <v>#N/A</v>
      </c>
      <c r="G1634" s="1" t="e">
        <f>VLOOKUP(C1634,'Master truck list'!E:R,14,0)</f>
        <v>#N/A</v>
      </c>
    </row>
    <row r="1635" spans="1:7" x14ac:dyDescent="0.25">
      <c r="A1635" s="1" t="str">
        <f t="shared" si="641"/>
        <v/>
      </c>
      <c r="B1635" s="1" t="str">
        <f t="shared" si="642"/>
        <v/>
      </c>
      <c r="C1635" s="1" t="e">
        <f>VLOOKUP(B1635,'Master truck list'!D:E,2,0)</f>
        <v>#N/A</v>
      </c>
      <c r="D1635" s="1" t="e">
        <f>VLOOKUP(C1635,'Master truck list'!E:F,2,0)</f>
        <v>#N/A</v>
      </c>
      <c r="E1635" s="1" t="e">
        <f>VLOOKUP(C1635,'Master truck list'!E:M,9,0)</f>
        <v>#N/A</v>
      </c>
      <c r="F1635" s="1" t="e">
        <f>VLOOKUP(C1635,'Master truck list'!E:G,3,0)</f>
        <v>#N/A</v>
      </c>
      <c r="G1635" s="1" t="e">
        <f>VLOOKUP(C1635,'Master truck list'!E:R,14,0)</f>
        <v>#N/A</v>
      </c>
    </row>
    <row r="1636" spans="1:7" x14ac:dyDescent="0.25">
      <c r="A1636" s="1" t="str">
        <f t="shared" ref="A1636:A1699" si="643">LEFT(N1838,5)</f>
        <v/>
      </c>
      <c r="B1636" s="1" t="str">
        <f t="shared" si="642"/>
        <v/>
      </c>
      <c r="C1636" s="1" t="e">
        <f>VLOOKUP(B1636,'Master truck list'!D:E,2,0)</f>
        <v>#N/A</v>
      </c>
      <c r="D1636" s="1" t="e">
        <f>VLOOKUP(C1636,'Master truck list'!E:F,2,0)</f>
        <v>#N/A</v>
      </c>
      <c r="E1636" s="1" t="e">
        <f>VLOOKUP(C1636,'Master truck list'!E:M,9,0)</f>
        <v>#N/A</v>
      </c>
      <c r="F1636" s="1" t="e">
        <f>VLOOKUP(C1636,'Master truck list'!E:G,3,0)</f>
        <v>#N/A</v>
      </c>
      <c r="G1636" s="1" t="e">
        <f>VLOOKUP(C1636,'Master truck list'!E:R,14,0)</f>
        <v>#N/A</v>
      </c>
    </row>
    <row r="1637" spans="1:7" x14ac:dyDescent="0.25">
      <c r="A1637" s="1" t="str">
        <f t="shared" si="643"/>
        <v/>
      </c>
      <c r="B1637" s="1" t="str">
        <f t="shared" si="642"/>
        <v/>
      </c>
      <c r="C1637" s="1" t="e">
        <f>VLOOKUP(B1637,'Master truck list'!D:E,2,0)</f>
        <v>#N/A</v>
      </c>
      <c r="D1637" s="1" t="e">
        <f>VLOOKUP(C1637,'Master truck list'!E:F,2,0)</f>
        <v>#N/A</v>
      </c>
      <c r="E1637" s="1" t="e">
        <f>VLOOKUP(C1637,'Master truck list'!E:M,9,0)</f>
        <v>#N/A</v>
      </c>
      <c r="F1637" s="1" t="e">
        <f>VLOOKUP(C1637,'Master truck list'!E:G,3,0)</f>
        <v>#N/A</v>
      </c>
      <c r="G1637" s="1" t="e">
        <f>VLOOKUP(C1637,'Master truck list'!E:R,14,0)</f>
        <v>#N/A</v>
      </c>
    </row>
    <row r="1638" spans="1:7" x14ac:dyDescent="0.25">
      <c r="A1638" s="1" t="str">
        <f t="shared" si="643"/>
        <v/>
      </c>
      <c r="B1638" s="1" t="str">
        <f t="shared" si="642"/>
        <v/>
      </c>
      <c r="C1638" s="1" t="e">
        <f>VLOOKUP(B1638,'Master truck list'!D:E,2,0)</f>
        <v>#N/A</v>
      </c>
      <c r="D1638" s="1" t="e">
        <f>VLOOKUP(C1638,'Master truck list'!E:F,2,0)</f>
        <v>#N/A</v>
      </c>
      <c r="E1638" s="1" t="e">
        <f>VLOOKUP(C1638,'Master truck list'!E:M,9,0)</f>
        <v>#N/A</v>
      </c>
      <c r="F1638" s="1" t="e">
        <f>VLOOKUP(C1638,'Master truck list'!E:G,3,0)</f>
        <v>#N/A</v>
      </c>
      <c r="G1638" s="1" t="e">
        <f>VLOOKUP(C1638,'Master truck list'!E:R,14,0)</f>
        <v>#N/A</v>
      </c>
    </row>
    <row r="1639" spans="1:7" x14ac:dyDescent="0.25">
      <c r="A1639" s="1" t="str">
        <f t="shared" si="643"/>
        <v/>
      </c>
      <c r="B1639" s="1" t="str">
        <f t="shared" si="642"/>
        <v/>
      </c>
      <c r="C1639" s="1" t="e">
        <f>VLOOKUP(B1639,'Master truck list'!D:E,2,0)</f>
        <v>#N/A</v>
      </c>
      <c r="D1639" s="1" t="e">
        <f>VLOOKUP(C1639,'Master truck list'!E:F,2,0)</f>
        <v>#N/A</v>
      </c>
      <c r="E1639" s="1" t="e">
        <f>VLOOKUP(C1639,'Master truck list'!E:M,9,0)</f>
        <v>#N/A</v>
      </c>
      <c r="F1639" s="1" t="e">
        <f>VLOOKUP(C1639,'Master truck list'!E:G,3,0)</f>
        <v>#N/A</v>
      </c>
      <c r="G1639" s="1" t="e">
        <f>VLOOKUP(C1639,'Master truck list'!E:R,14,0)</f>
        <v>#N/A</v>
      </c>
    </row>
    <row r="1640" spans="1:7" x14ac:dyDescent="0.25">
      <c r="A1640" s="1" t="str">
        <f t="shared" si="643"/>
        <v/>
      </c>
      <c r="B1640" s="1" t="str">
        <f t="shared" si="642"/>
        <v/>
      </c>
      <c r="C1640" s="1" t="e">
        <f>VLOOKUP(B1640,'Master truck list'!D:E,2,0)</f>
        <v>#N/A</v>
      </c>
      <c r="D1640" s="1" t="e">
        <f>VLOOKUP(C1640,'Master truck list'!E:F,2,0)</f>
        <v>#N/A</v>
      </c>
      <c r="E1640" s="1" t="e">
        <f>VLOOKUP(C1640,'Master truck list'!E:M,9,0)</f>
        <v>#N/A</v>
      </c>
      <c r="F1640" s="1" t="e">
        <f>VLOOKUP(C1640,'Master truck list'!E:G,3,0)</f>
        <v>#N/A</v>
      </c>
      <c r="G1640" s="1" t="e">
        <f>VLOOKUP(C1640,'Master truck list'!E:R,14,0)</f>
        <v>#N/A</v>
      </c>
    </row>
    <row r="1641" spans="1:7" x14ac:dyDescent="0.25">
      <c r="A1641" s="1" t="str">
        <f t="shared" si="643"/>
        <v/>
      </c>
      <c r="B1641" s="1" t="str">
        <f t="shared" si="642"/>
        <v/>
      </c>
      <c r="C1641" s="1" t="e">
        <f>VLOOKUP(B1641,'Master truck list'!D:E,2,0)</f>
        <v>#N/A</v>
      </c>
      <c r="D1641" s="1" t="e">
        <f>VLOOKUP(C1641,'Master truck list'!E:F,2,0)</f>
        <v>#N/A</v>
      </c>
      <c r="E1641" s="1" t="e">
        <f>VLOOKUP(C1641,'Master truck list'!E:M,9,0)</f>
        <v>#N/A</v>
      </c>
      <c r="F1641" s="1" t="e">
        <f>VLOOKUP(C1641,'Master truck list'!E:G,3,0)</f>
        <v>#N/A</v>
      </c>
      <c r="G1641" s="1" t="e">
        <f>VLOOKUP(C1641,'Master truck list'!E:R,14,0)</f>
        <v>#N/A</v>
      </c>
    </row>
    <row r="1642" spans="1:7" x14ac:dyDescent="0.25">
      <c r="A1642" s="1" t="str">
        <f t="shared" si="643"/>
        <v/>
      </c>
      <c r="B1642" s="1" t="str">
        <f t="shared" si="642"/>
        <v/>
      </c>
      <c r="C1642" s="1" t="e">
        <f>VLOOKUP(B1642,'Master truck list'!D:E,2,0)</f>
        <v>#N/A</v>
      </c>
      <c r="D1642" s="1" t="e">
        <f>VLOOKUP(C1642,'Master truck list'!E:F,2,0)</f>
        <v>#N/A</v>
      </c>
      <c r="E1642" s="1" t="e">
        <f>VLOOKUP(C1642,'Master truck list'!E:M,9,0)</f>
        <v>#N/A</v>
      </c>
      <c r="F1642" s="1" t="e">
        <f>VLOOKUP(C1642,'Master truck list'!E:G,3,0)</f>
        <v>#N/A</v>
      </c>
      <c r="G1642" s="1" t="e">
        <f>VLOOKUP(C1642,'Master truck list'!E:R,14,0)</f>
        <v>#N/A</v>
      </c>
    </row>
    <row r="1643" spans="1:7" x14ac:dyDescent="0.25">
      <c r="A1643" s="1" t="str">
        <f t="shared" si="643"/>
        <v/>
      </c>
      <c r="B1643" s="1" t="str">
        <f t="shared" si="642"/>
        <v/>
      </c>
      <c r="C1643" s="1" t="e">
        <f>VLOOKUP(B1643,'Master truck list'!D:E,2,0)</f>
        <v>#N/A</v>
      </c>
      <c r="D1643" s="1" t="e">
        <f>VLOOKUP(C1643,'Master truck list'!E:F,2,0)</f>
        <v>#N/A</v>
      </c>
      <c r="E1643" s="1" t="e">
        <f>VLOOKUP(C1643,'Master truck list'!E:M,9,0)</f>
        <v>#N/A</v>
      </c>
      <c r="F1643" s="1" t="e">
        <f>VLOOKUP(C1643,'Master truck list'!E:G,3,0)</f>
        <v>#N/A</v>
      </c>
      <c r="G1643" s="1" t="e">
        <f>VLOOKUP(C1643,'Master truck list'!E:R,14,0)</f>
        <v>#N/A</v>
      </c>
    </row>
    <row r="1644" spans="1:7" x14ac:dyDescent="0.25">
      <c r="A1644" s="1" t="str">
        <f t="shared" si="643"/>
        <v/>
      </c>
      <c r="B1644" s="1" t="str">
        <f t="shared" si="642"/>
        <v/>
      </c>
      <c r="C1644" s="1" t="e">
        <f>VLOOKUP(B1644,'Master truck list'!D:E,2,0)</f>
        <v>#N/A</v>
      </c>
      <c r="D1644" s="1" t="e">
        <f>VLOOKUP(C1644,'Master truck list'!E:F,2,0)</f>
        <v>#N/A</v>
      </c>
      <c r="E1644" s="1" t="e">
        <f>VLOOKUP(C1644,'Master truck list'!E:M,9,0)</f>
        <v>#N/A</v>
      </c>
      <c r="F1644" s="1" t="e">
        <f>VLOOKUP(C1644,'Master truck list'!E:G,3,0)</f>
        <v>#N/A</v>
      </c>
      <c r="G1644" s="1" t="e">
        <f>VLOOKUP(C1644,'Master truck list'!E:R,14,0)</f>
        <v>#N/A</v>
      </c>
    </row>
    <row r="1645" spans="1:7" x14ac:dyDescent="0.25">
      <c r="A1645" s="1" t="str">
        <f t="shared" si="643"/>
        <v/>
      </c>
      <c r="B1645" s="1" t="str">
        <f t="shared" si="642"/>
        <v/>
      </c>
      <c r="C1645" s="1" t="e">
        <f>VLOOKUP(B1645,'Master truck list'!D:E,2,0)</f>
        <v>#N/A</v>
      </c>
      <c r="D1645" s="1" t="e">
        <f>VLOOKUP(C1645,'Master truck list'!E:F,2,0)</f>
        <v>#N/A</v>
      </c>
      <c r="E1645" s="1" t="e">
        <f>VLOOKUP(C1645,'Master truck list'!E:M,9,0)</f>
        <v>#N/A</v>
      </c>
      <c r="F1645" s="1" t="e">
        <f>VLOOKUP(C1645,'Master truck list'!E:G,3,0)</f>
        <v>#N/A</v>
      </c>
      <c r="G1645" s="1" t="e">
        <f>VLOOKUP(C1645,'Master truck list'!E:R,14,0)</f>
        <v>#N/A</v>
      </c>
    </row>
    <row r="1646" spans="1:7" x14ac:dyDescent="0.25">
      <c r="A1646" s="1" t="str">
        <f t="shared" si="643"/>
        <v/>
      </c>
      <c r="B1646" s="1" t="str">
        <f t="shared" si="642"/>
        <v/>
      </c>
      <c r="C1646" s="1" t="e">
        <f>VLOOKUP(B1646,'Master truck list'!D:E,2,0)</f>
        <v>#N/A</v>
      </c>
      <c r="D1646" s="1" t="e">
        <f>VLOOKUP(C1646,'Master truck list'!E:F,2,0)</f>
        <v>#N/A</v>
      </c>
      <c r="E1646" s="1" t="e">
        <f>VLOOKUP(C1646,'Master truck list'!E:M,9,0)</f>
        <v>#N/A</v>
      </c>
      <c r="F1646" s="1" t="e">
        <f>VLOOKUP(C1646,'Master truck list'!E:G,3,0)</f>
        <v>#N/A</v>
      </c>
      <c r="G1646" s="1" t="e">
        <f>VLOOKUP(C1646,'Master truck list'!E:R,14,0)</f>
        <v>#N/A</v>
      </c>
    </row>
    <row r="1647" spans="1:7" x14ac:dyDescent="0.25">
      <c r="A1647" s="1" t="str">
        <f t="shared" si="643"/>
        <v/>
      </c>
      <c r="B1647" s="1" t="str">
        <f t="shared" si="642"/>
        <v/>
      </c>
      <c r="C1647" s="1" t="e">
        <f>VLOOKUP(B1647,'Master truck list'!D:E,2,0)</f>
        <v>#N/A</v>
      </c>
      <c r="D1647" s="1" t="e">
        <f>VLOOKUP(C1647,'Master truck list'!E:F,2,0)</f>
        <v>#N/A</v>
      </c>
      <c r="E1647" s="1" t="e">
        <f>VLOOKUP(C1647,'Master truck list'!E:M,9,0)</f>
        <v>#N/A</v>
      </c>
      <c r="F1647" s="1" t="e">
        <f>VLOOKUP(C1647,'Master truck list'!E:G,3,0)</f>
        <v>#N/A</v>
      </c>
      <c r="G1647" s="1" t="e">
        <f>VLOOKUP(C1647,'Master truck list'!E:R,14,0)</f>
        <v>#N/A</v>
      </c>
    </row>
    <row r="1648" spans="1:7" x14ac:dyDescent="0.25">
      <c r="A1648" s="1" t="str">
        <f t="shared" si="643"/>
        <v/>
      </c>
      <c r="B1648" s="1" t="str">
        <f t="shared" si="642"/>
        <v/>
      </c>
      <c r="C1648" s="1" t="e">
        <f>VLOOKUP(B1648,'Master truck list'!D:E,2,0)</f>
        <v>#N/A</v>
      </c>
      <c r="D1648" s="1" t="e">
        <f>VLOOKUP(C1648,'Master truck list'!E:F,2,0)</f>
        <v>#N/A</v>
      </c>
      <c r="E1648" s="1" t="e">
        <f>VLOOKUP(C1648,'Master truck list'!E:M,9,0)</f>
        <v>#N/A</v>
      </c>
      <c r="F1648" s="1" t="e">
        <f>VLOOKUP(C1648,'Master truck list'!E:G,3,0)</f>
        <v>#N/A</v>
      </c>
      <c r="G1648" s="1" t="e">
        <f>VLOOKUP(C1648,'Master truck list'!E:R,14,0)</f>
        <v>#N/A</v>
      </c>
    </row>
    <row r="1649" spans="1:7" x14ac:dyDescent="0.25">
      <c r="A1649" s="1" t="str">
        <f t="shared" si="643"/>
        <v/>
      </c>
      <c r="B1649" s="1" t="str">
        <f t="shared" si="642"/>
        <v/>
      </c>
      <c r="C1649" s="1" t="e">
        <f>VLOOKUP(B1649,'Master truck list'!D:E,2,0)</f>
        <v>#N/A</v>
      </c>
      <c r="D1649" s="1" t="e">
        <f>VLOOKUP(C1649,'Master truck list'!E:F,2,0)</f>
        <v>#N/A</v>
      </c>
      <c r="E1649" s="1" t="e">
        <f>VLOOKUP(C1649,'Master truck list'!E:M,9,0)</f>
        <v>#N/A</v>
      </c>
      <c r="F1649" s="1" t="e">
        <f>VLOOKUP(C1649,'Master truck list'!E:G,3,0)</f>
        <v>#N/A</v>
      </c>
      <c r="G1649" s="1" t="e">
        <f>VLOOKUP(C1649,'Master truck list'!E:R,14,0)</f>
        <v>#N/A</v>
      </c>
    </row>
    <row r="1650" spans="1:7" x14ac:dyDescent="0.25">
      <c r="A1650" s="1" t="str">
        <f t="shared" si="643"/>
        <v/>
      </c>
      <c r="B1650" s="1" t="str">
        <f t="shared" si="642"/>
        <v/>
      </c>
      <c r="C1650" s="1" t="e">
        <f>VLOOKUP(B1650,'Master truck list'!D:E,2,0)</f>
        <v>#N/A</v>
      </c>
      <c r="D1650" s="1" t="e">
        <f>VLOOKUP(C1650,'Master truck list'!E:F,2,0)</f>
        <v>#N/A</v>
      </c>
      <c r="E1650" s="1" t="e">
        <f>VLOOKUP(C1650,'Master truck list'!E:M,9,0)</f>
        <v>#N/A</v>
      </c>
      <c r="F1650" s="1" t="e">
        <f>VLOOKUP(C1650,'Master truck list'!E:G,3,0)</f>
        <v>#N/A</v>
      </c>
      <c r="G1650" s="1" t="e">
        <f>VLOOKUP(C1650,'Master truck list'!E:R,14,0)</f>
        <v>#N/A</v>
      </c>
    </row>
    <row r="1651" spans="1:7" x14ac:dyDescent="0.25">
      <c r="A1651" s="1" t="str">
        <f t="shared" si="643"/>
        <v/>
      </c>
      <c r="B1651" s="1" t="str">
        <f t="shared" si="642"/>
        <v/>
      </c>
      <c r="C1651" s="1" t="e">
        <f>VLOOKUP(B1651,'Master truck list'!D:E,2,0)</f>
        <v>#N/A</v>
      </c>
      <c r="D1651" s="1" t="e">
        <f>VLOOKUP(C1651,'Master truck list'!E:F,2,0)</f>
        <v>#N/A</v>
      </c>
      <c r="E1651" s="1" t="e">
        <f>VLOOKUP(C1651,'Master truck list'!E:M,9,0)</f>
        <v>#N/A</v>
      </c>
      <c r="F1651" s="1" t="e">
        <f>VLOOKUP(C1651,'Master truck list'!E:G,3,0)</f>
        <v>#N/A</v>
      </c>
      <c r="G1651" s="1" t="e">
        <f>VLOOKUP(C1651,'Master truck list'!E:R,14,0)</f>
        <v>#N/A</v>
      </c>
    </row>
    <row r="1652" spans="1:7" x14ac:dyDescent="0.25">
      <c r="A1652" s="1" t="str">
        <f t="shared" si="643"/>
        <v/>
      </c>
      <c r="B1652" s="1" t="str">
        <f t="shared" si="642"/>
        <v/>
      </c>
      <c r="C1652" s="1" t="e">
        <f>VLOOKUP(B1652,'Master truck list'!D:E,2,0)</f>
        <v>#N/A</v>
      </c>
      <c r="D1652" s="1" t="e">
        <f>VLOOKUP(C1652,'Master truck list'!E:F,2,0)</f>
        <v>#N/A</v>
      </c>
      <c r="E1652" s="1" t="e">
        <f>VLOOKUP(C1652,'Master truck list'!E:M,9,0)</f>
        <v>#N/A</v>
      </c>
      <c r="F1652" s="1" t="e">
        <f>VLOOKUP(C1652,'Master truck list'!E:G,3,0)</f>
        <v>#N/A</v>
      </c>
      <c r="G1652" s="1" t="e">
        <f>VLOOKUP(C1652,'Master truck list'!E:R,14,0)</f>
        <v>#N/A</v>
      </c>
    </row>
    <row r="1653" spans="1:7" x14ac:dyDescent="0.25">
      <c r="A1653" s="1" t="str">
        <f t="shared" si="643"/>
        <v/>
      </c>
      <c r="B1653" s="1" t="str">
        <f t="shared" si="642"/>
        <v/>
      </c>
      <c r="C1653" s="1" t="e">
        <f>VLOOKUP(B1653,'Master truck list'!D:E,2,0)</f>
        <v>#N/A</v>
      </c>
      <c r="D1653" s="1" t="e">
        <f>VLOOKUP(C1653,'Master truck list'!E:F,2,0)</f>
        <v>#N/A</v>
      </c>
      <c r="E1653" s="1" t="e">
        <f>VLOOKUP(C1653,'Master truck list'!E:M,9,0)</f>
        <v>#N/A</v>
      </c>
      <c r="F1653" s="1" t="e">
        <f>VLOOKUP(C1653,'Master truck list'!E:G,3,0)</f>
        <v>#N/A</v>
      </c>
      <c r="G1653" s="1" t="e">
        <f>VLOOKUP(C1653,'Master truck list'!E:R,14,0)</f>
        <v>#N/A</v>
      </c>
    </row>
    <row r="1654" spans="1:7" x14ac:dyDescent="0.25">
      <c r="A1654" s="1" t="str">
        <f t="shared" si="643"/>
        <v/>
      </c>
      <c r="B1654" s="1" t="str">
        <f t="shared" si="642"/>
        <v/>
      </c>
      <c r="C1654" s="1" t="e">
        <f>VLOOKUP(B1654,'Master truck list'!D:E,2,0)</f>
        <v>#N/A</v>
      </c>
      <c r="D1654" s="1" t="e">
        <f>VLOOKUP(C1654,'Master truck list'!E:F,2,0)</f>
        <v>#N/A</v>
      </c>
      <c r="E1654" s="1" t="e">
        <f>VLOOKUP(C1654,'Master truck list'!E:M,9,0)</f>
        <v>#N/A</v>
      </c>
      <c r="F1654" s="1" t="e">
        <f>VLOOKUP(C1654,'Master truck list'!E:G,3,0)</f>
        <v>#N/A</v>
      </c>
      <c r="G1654" s="1" t="e">
        <f>VLOOKUP(C1654,'Master truck list'!E:R,14,0)</f>
        <v>#N/A</v>
      </c>
    </row>
    <row r="1655" spans="1:7" x14ac:dyDescent="0.25">
      <c r="A1655" s="1" t="str">
        <f t="shared" si="643"/>
        <v/>
      </c>
      <c r="B1655" s="1" t="str">
        <f t="shared" si="642"/>
        <v/>
      </c>
      <c r="C1655" s="1" t="e">
        <f>VLOOKUP(B1655,'Master truck list'!D:E,2,0)</f>
        <v>#N/A</v>
      </c>
      <c r="D1655" s="1" t="e">
        <f>VLOOKUP(C1655,'Master truck list'!E:F,2,0)</f>
        <v>#N/A</v>
      </c>
      <c r="E1655" s="1" t="e">
        <f>VLOOKUP(C1655,'Master truck list'!E:M,9,0)</f>
        <v>#N/A</v>
      </c>
      <c r="F1655" s="1" t="e">
        <f>VLOOKUP(C1655,'Master truck list'!E:G,3,0)</f>
        <v>#N/A</v>
      </c>
      <c r="G1655" s="1" t="e">
        <f>VLOOKUP(C1655,'Master truck list'!E:R,14,0)</f>
        <v>#N/A</v>
      </c>
    </row>
    <row r="1656" spans="1:7" x14ac:dyDescent="0.25">
      <c r="A1656" s="1" t="str">
        <f t="shared" si="643"/>
        <v/>
      </c>
      <c r="B1656" s="1" t="str">
        <f t="shared" si="642"/>
        <v/>
      </c>
      <c r="C1656" s="1" t="e">
        <f>VLOOKUP(B1656,'Master truck list'!D:E,2,0)</f>
        <v>#N/A</v>
      </c>
      <c r="D1656" s="1" t="e">
        <f>VLOOKUP(C1656,'Master truck list'!E:F,2,0)</f>
        <v>#N/A</v>
      </c>
      <c r="E1656" s="1" t="e">
        <f>VLOOKUP(C1656,'Master truck list'!E:M,9,0)</f>
        <v>#N/A</v>
      </c>
      <c r="F1656" s="1" t="e">
        <f>VLOOKUP(C1656,'Master truck list'!E:G,3,0)</f>
        <v>#N/A</v>
      </c>
      <c r="G1656" s="1" t="e">
        <f>VLOOKUP(C1656,'Master truck list'!E:R,14,0)</f>
        <v>#N/A</v>
      </c>
    </row>
    <row r="1657" spans="1:7" x14ac:dyDescent="0.25">
      <c r="A1657" s="1" t="str">
        <f t="shared" si="643"/>
        <v/>
      </c>
      <c r="B1657" s="1" t="str">
        <f t="shared" ref="B1657:B1720" si="644">SUBSTITUTE(A1657," ","")</f>
        <v/>
      </c>
      <c r="C1657" s="1" t="e">
        <f>VLOOKUP(B1657,'Master truck list'!D:E,2,0)</f>
        <v>#N/A</v>
      </c>
      <c r="D1657" s="1" t="e">
        <f>VLOOKUP(C1657,'Master truck list'!E:F,2,0)</f>
        <v>#N/A</v>
      </c>
      <c r="E1657" s="1" t="e">
        <f>VLOOKUP(C1657,'Master truck list'!E:M,9,0)</f>
        <v>#N/A</v>
      </c>
      <c r="F1657" s="1" t="e">
        <f>VLOOKUP(C1657,'Master truck list'!E:G,3,0)</f>
        <v>#N/A</v>
      </c>
      <c r="G1657" s="1" t="e">
        <f>VLOOKUP(C1657,'Master truck list'!E:R,14,0)</f>
        <v>#N/A</v>
      </c>
    </row>
    <row r="1658" spans="1:7" x14ac:dyDescent="0.25">
      <c r="A1658" s="1" t="str">
        <f t="shared" si="643"/>
        <v/>
      </c>
      <c r="B1658" s="1" t="str">
        <f t="shared" si="644"/>
        <v/>
      </c>
      <c r="C1658" s="1" t="e">
        <f>VLOOKUP(B1658,'Master truck list'!D:E,2,0)</f>
        <v>#N/A</v>
      </c>
      <c r="D1658" s="1" t="e">
        <f>VLOOKUP(C1658,'Master truck list'!E:F,2,0)</f>
        <v>#N/A</v>
      </c>
      <c r="E1658" s="1" t="e">
        <f>VLOOKUP(C1658,'Master truck list'!E:M,9,0)</f>
        <v>#N/A</v>
      </c>
      <c r="F1658" s="1" t="e">
        <f>VLOOKUP(C1658,'Master truck list'!E:G,3,0)</f>
        <v>#N/A</v>
      </c>
      <c r="G1658" s="1" t="e">
        <f>VLOOKUP(C1658,'Master truck list'!E:R,14,0)</f>
        <v>#N/A</v>
      </c>
    </row>
    <row r="1659" spans="1:7" x14ac:dyDescent="0.25">
      <c r="A1659" s="1" t="str">
        <f t="shared" si="643"/>
        <v/>
      </c>
      <c r="B1659" s="1" t="str">
        <f t="shared" si="644"/>
        <v/>
      </c>
      <c r="C1659" s="1" t="e">
        <f>VLOOKUP(B1659,'Master truck list'!D:E,2,0)</f>
        <v>#N/A</v>
      </c>
      <c r="D1659" s="1" t="e">
        <f>VLOOKUP(C1659,'Master truck list'!E:F,2,0)</f>
        <v>#N/A</v>
      </c>
      <c r="E1659" s="1" t="e">
        <f>VLOOKUP(C1659,'Master truck list'!E:M,9,0)</f>
        <v>#N/A</v>
      </c>
      <c r="F1659" s="1" t="e">
        <f>VLOOKUP(C1659,'Master truck list'!E:G,3,0)</f>
        <v>#N/A</v>
      </c>
      <c r="G1659" s="1" t="e">
        <f>VLOOKUP(C1659,'Master truck list'!E:R,14,0)</f>
        <v>#N/A</v>
      </c>
    </row>
    <row r="1660" spans="1:7" x14ac:dyDescent="0.25">
      <c r="A1660" s="1" t="str">
        <f t="shared" si="643"/>
        <v/>
      </c>
      <c r="B1660" s="1" t="str">
        <f t="shared" si="644"/>
        <v/>
      </c>
      <c r="C1660" s="1" t="e">
        <f>VLOOKUP(B1660,'Master truck list'!D:E,2,0)</f>
        <v>#N/A</v>
      </c>
      <c r="D1660" s="1" t="e">
        <f>VLOOKUP(C1660,'Master truck list'!E:F,2,0)</f>
        <v>#N/A</v>
      </c>
      <c r="E1660" s="1" t="e">
        <f>VLOOKUP(C1660,'Master truck list'!E:M,9,0)</f>
        <v>#N/A</v>
      </c>
      <c r="F1660" s="1" t="e">
        <f>VLOOKUP(C1660,'Master truck list'!E:G,3,0)</f>
        <v>#N/A</v>
      </c>
      <c r="G1660" s="1" t="e">
        <f>VLOOKUP(C1660,'Master truck list'!E:R,14,0)</f>
        <v>#N/A</v>
      </c>
    </row>
    <row r="1661" spans="1:7" x14ac:dyDescent="0.25">
      <c r="A1661" s="1" t="str">
        <f t="shared" si="643"/>
        <v/>
      </c>
      <c r="B1661" s="1" t="str">
        <f t="shared" si="644"/>
        <v/>
      </c>
      <c r="C1661" s="1" t="e">
        <f>VLOOKUP(B1661,'Master truck list'!D:E,2,0)</f>
        <v>#N/A</v>
      </c>
      <c r="D1661" s="1" t="e">
        <f>VLOOKUP(C1661,'Master truck list'!E:F,2,0)</f>
        <v>#N/A</v>
      </c>
      <c r="E1661" s="1" t="e">
        <f>VLOOKUP(C1661,'Master truck list'!E:M,9,0)</f>
        <v>#N/A</v>
      </c>
      <c r="F1661" s="1" t="e">
        <f>VLOOKUP(C1661,'Master truck list'!E:G,3,0)</f>
        <v>#N/A</v>
      </c>
      <c r="G1661" s="1" t="e">
        <f>VLOOKUP(C1661,'Master truck list'!E:R,14,0)</f>
        <v>#N/A</v>
      </c>
    </row>
    <row r="1662" spans="1:7" x14ac:dyDescent="0.25">
      <c r="A1662" s="1" t="str">
        <f t="shared" si="643"/>
        <v/>
      </c>
      <c r="B1662" s="1" t="str">
        <f t="shared" si="644"/>
        <v/>
      </c>
      <c r="C1662" s="1" t="e">
        <f>VLOOKUP(B1662,'Master truck list'!D:E,2,0)</f>
        <v>#N/A</v>
      </c>
      <c r="D1662" s="1" t="e">
        <f>VLOOKUP(C1662,'Master truck list'!E:F,2,0)</f>
        <v>#N/A</v>
      </c>
      <c r="E1662" s="1" t="e">
        <f>VLOOKUP(C1662,'Master truck list'!E:M,9,0)</f>
        <v>#N/A</v>
      </c>
      <c r="F1662" s="1" t="e">
        <f>VLOOKUP(C1662,'Master truck list'!E:G,3,0)</f>
        <v>#N/A</v>
      </c>
      <c r="G1662" s="1" t="e">
        <f>VLOOKUP(C1662,'Master truck list'!E:R,14,0)</f>
        <v>#N/A</v>
      </c>
    </row>
    <row r="1663" spans="1:7" x14ac:dyDescent="0.25">
      <c r="A1663" s="1" t="str">
        <f t="shared" si="643"/>
        <v/>
      </c>
      <c r="B1663" s="1" t="str">
        <f t="shared" si="644"/>
        <v/>
      </c>
      <c r="C1663" s="1" t="e">
        <f>VLOOKUP(B1663,'Master truck list'!D:E,2,0)</f>
        <v>#N/A</v>
      </c>
      <c r="D1663" s="1" t="e">
        <f>VLOOKUP(C1663,'Master truck list'!E:F,2,0)</f>
        <v>#N/A</v>
      </c>
      <c r="E1663" s="1" t="e">
        <f>VLOOKUP(C1663,'Master truck list'!E:M,9,0)</f>
        <v>#N/A</v>
      </c>
      <c r="F1663" s="1" t="e">
        <f>VLOOKUP(C1663,'Master truck list'!E:G,3,0)</f>
        <v>#N/A</v>
      </c>
      <c r="G1663" s="1" t="e">
        <f>VLOOKUP(C1663,'Master truck list'!E:R,14,0)</f>
        <v>#N/A</v>
      </c>
    </row>
    <row r="1664" spans="1:7" x14ac:dyDescent="0.25">
      <c r="A1664" s="1" t="str">
        <f t="shared" si="643"/>
        <v/>
      </c>
      <c r="B1664" s="1" t="str">
        <f t="shared" si="644"/>
        <v/>
      </c>
      <c r="C1664" s="1" t="e">
        <f>VLOOKUP(B1664,'Master truck list'!D:E,2,0)</f>
        <v>#N/A</v>
      </c>
      <c r="D1664" s="1" t="e">
        <f>VLOOKUP(C1664,'Master truck list'!E:F,2,0)</f>
        <v>#N/A</v>
      </c>
      <c r="E1664" s="1" t="e">
        <f>VLOOKUP(C1664,'Master truck list'!E:M,9,0)</f>
        <v>#N/A</v>
      </c>
      <c r="F1664" s="1" t="e">
        <f>VLOOKUP(C1664,'Master truck list'!E:G,3,0)</f>
        <v>#N/A</v>
      </c>
      <c r="G1664" s="1" t="e">
        <f>VLOOKUP(C1664,'Master truck list'!E:R,14,0)</f>
        <v>#N/A</v>
      </c>
    </row>
    <row r="1665" spans="1:7" x14ac:dyDescent="0.25">
      <c r="A1665" s="1" t="str">
        <f t="shared" si="643"/>
        <v/>
      </c>
      <c r="B1665" s="1" t="str">
        <f t="shared" si="644"/>
        <v/>
      </c>
      <c r="C1665" s="1" t="e">
        <f>VLOOKUP(B1665,'Master truck list'!D:E,2,0)</f>
        <v>#N/A</v>
      </c>
      <c r="D1665" s="1" t="e">
        <f>VLOOKUP(C1665,'Master truck list'!E:F,2,0)</f>
        <v>#N/A</v>
      </c>
      <c r="E1665" s="1" t="e">
        <f>VLOOKUP(C1665,'Master truck list'!E:M,9,0)</f>
        <v>#N/A</v>
      </c>
      <c r="F1665" s="1" t="e">
        <f>VLOOKUP(C1665,'Master truck list'!E:G,3,0)</f>
        <v>#N/A</v>
      </c>
      <c r="G1665" s="1" t="e">
        <f>VLOOKUP(C1665,'Master truck list'!E:R,14,0)</f>
        <v>#N/A</v>
      </c>
    </row>
    <row r="1666" spans="1:7" x14ac:dyDescent="0.25">
      <c r="A1666" s="1" t="str">
        <f t="shared" si="643"/>
        <v/>
      </c>
      <c r="B1666" s="1" t="str">
        <f t="shared" si="644"/>
        <v/>
      </c>
      <c r="C1666" s="1" t="e">
        <f>VLOOKUP(B1666,'Master truck list'!D:E,2,0)</f>
        <v>#N/A</v>
      </c>
      <c r="D1666" s="1" t="e">
        <f>VLOOKUP(C1666,'Master truck list'!E:F,2,0)</f>
        <v>#N/A</v>
      </c>
      <c r="E1666" s="1" t="e">
        <f>VLOOKUP(C1666,'Master truck list'!E:M,9,0)</f>
        <v>#N/A</v>
      </c>
      <c r="F1666" s="1" t="e">
        <f>VLOOKUP(C1666,'Master truck list'!E:G,3,0)</f>
        <v>#N/A</v>
      </c>
      <c r="G1666" s="1" t="e">
        <f>VLOOKUP(C1666,'Master truck list'!E:R,14,0)</f>
        <v>#N/A</v>
      </c>
    </row>
    <row r="1667" spans="1:7" x14ac:dyDescent="0.25">
      <c r="A1667" s="1" t="str">
        <f t="shared" si="643"/>
        <v/>
      </c>
      <c r="B1667" s="1" t="str">
        <f t="shared" si="644"/>
        <v/>
      </c>
      <c r="C1667" s="1" t="e">
        <f>VLOOKUP(B1667,'Master truck list'!D:E,2,0)</f>
        <v>#N/A</v>
      </c>
      <c r="D1667" s="1" t="e">
        <f>VLOOKUP(C1667,'Master truck list'!E:F,2,0)</f>
        <v>#N/A</v>
      </c>
      <c r="E1667" s="1" t="e">
        <f>VLOOKUP(C1667,'Master truck list'!E:M,9,0)</f>
        <v>#N/A</v>
      </c>
      <c r="F1667" s="1" t="e">
        <f>VLOOKUP(C1667,'Master truck list'!E:G,3,0)</f>
        <v>#N/A</v>
      </c>
      <c r="G1667" s="1" t="e">
        <f>VLOOKUP(C1667,'Master truck list'!E:R,14,0)</f>
        <v>#N/A</v>
      </c>
    </row>
    <row r="1668" spans="1:7" x14ac:dyDescent="0.25">
      <c r="A1668" s="1" t="str">
        <f t="shared" si="643"/>
        <v/>
      </c>
      <c r="B1668" s="1" t="str">
        <f t="shared" si="644"/>
        <v/>
      </c>
      <c r="C1668" s="1" t="e">
        <f>VLOOKUP(B1668,'Master truck list'!D:E,2,0)</f>
        <v>#N/A</v>
      </c>
      <c r="D1668" s="1" t="e">
        <f>VLOOKUP(C1668,'Master truck list'!E:F,2,0)</f>
        <v>#N/A</v>
      </c>
      <c r="E1668" s="1" t="e">
        <f>VLOOKUP(C1668,'Master truck list'!E:M,9,0)</f>
        <v>#N/A</v>
      </c>
      <c r="F1668" s="1" t="e">
        <f>VLOOKUP(C1668,'Master truck list'!E:G,3,0)</f>
        <v>#N/A</v>
      </c>
      <c r="G1668" s="1" t="e">
        <f>VLOOKUP(C1668,'Master truck list'!E:R,14,0)</f>
        <v>#N/A</v>
      </c>
    </row>
    <row r="1669" spans="1:7" x14ac:dyDescent="0.25">
      <c r="A1669" s="1" t="str">
        <f t="shared" si="643"/>
        <v/>
      </c>
      <c r="B1669" s="1" t="str">
        <f t="shared" si="644"/>
        <v/>
      </c>
      <c r="C1669" s="1" t="e">
        <f>VLOOKUP(B1669,'Master truck list'!D:E,2,0)</f>
        <v>#N/A</v>
      </c>
      <c r="D1669" s="1" t="e">
        <f>VLOOKUP(C1669,'Master truck list'!E:F,2,0)</f>
        <v>#N/A</v>
      </c>
      <c r="E1669" s="1" t="e">
        <f>VLOOKUP(C1669,'Master truck list'!E:M,9,0)</f>
        <v>#N/A</v>
      </c>
      <c r="F1669" s="1" t="e">
        <f>VLOOKUP(C1669,'Master truck list'!E:G,3,0)</f>
        <v>#N/A</v>
      </c>
      <c r="G1669" s="1" t="e">
        <f>VLOOKUP(C1669,'Master truck list'!E:R,14,0)</f>
        <v>#N/A</v>
      </c>
    </row>
    <row r="1670" spans="1:7" x14ac:dyDescent="0.25">
      <c r="A1670" s="1" t="str">
        <f t="shared" si="643"/>
        <v/>
      </c>
      <c r="B1670" s="1" t="str">
        <f t="shared" si="644"/>
        <v/>
      </c>
      <c r="C1670" s="1" t="e">
        <f>VLOOKUP(B1670,'Master truck list'!D:E,2,0)</f>
        <v>#N/A</v>
      </c>
      <c r="D1670" s="1" t="e">
        <f>VLOOKUP(C1670,'Master truck list'!E:F,2,0)</f>
        <v>#N/A</v>
      </c>
      <c r="E1670" s="1" t="e">
        <f>VLOOKUP(C1670,'Master truck list'!E:M,9,0)</f>
        <v>#N/A</v>
      </c>
      <c r="F1670" s="1" t="e">
        <f>VLOOKUP(C1670,'Master truck list'!E:G,3,0)</f>
        <v>#N/A</v>
      </c>
      <c r="G1670" s="1" t="e">
        <f>VLOOKUP(C1670,'Master truck list'!E:R,14,0)</f>
        <v>#N/A</v>
      </c>
    </row>
    <row r="1671" spans="1:7" x14ac:dyDescent="0.25">
      <c r="A1671" s="1" t="str">
        <f t="shared" si="643"/>
        <v/>
      </c>
      <c r="B1671" s="1" t="str">
        <f t="shared" si="644"/>
        <v/>
      </c>
      <c r="C1671" s="1" t="e">
        <f>VLOOKUP(B1671,'Master truck list'!D:E,2,0)</f>
        <v>#N/A</v>
      </c>
      <c r="D1671" s="1" t="e">
        <f>VLOOKUP(C1671,'Master truck list'!E:F,2,0)</f>
        <v>#N/A</v>
      </c>
      <c r="E1671" s="1" t="e">
        <f>VLOOKUP(C1671,'Master truck list'!E:M,9,0)</f>
        <v>#N/A</v>
      </c>
      <c r="F1671" s="1" t="e">
        <f>VLOOKUP(C1671,'Master truck list'!E:G,3,0)</f>
        <v>#N/A</v>
      </c>
      <c r="G1671" s="1" t="e">
        <f>VLOOKUP(C1671,'Master truck list'!E:R,14,0)</f>
        <v>#N/A</v>
      </c>
    </row>
    <row r="1672" spans="1:7" x14ac:dyDescent="0.25">
      <c r="A1672" s="1" t="str">
        <f t="shared" si="643"/>
        <v/>
      </c>
      <c r="B1672" s="1" t="str">
        <f t="shared" si="644"/>
        <v/>
      </c>
      <c r="C1672" s="1" t="e">
        <f>VLOOKUP(B1672,'Master truck list'!D:E,2,0)</f>
        <v>#N/A</v>
      </c>
      <c r="D1672" s="1" t="e">
        <f>VLOOKUP(C1672,'Master truck list'!E:F,2,0)</f>
        <v>#N/A</v>
      </c>
      <c r="E1672" s="1" t="e">
        <f>VLOOKUP(C1672,'Master truck list'!E:M,9,0)</f>
        <v>#N/A</v>
      </c>
      <c r="F1672" s="1" t="e">
        <f>VLOOKUP(C1672,'Master truck list'!E:G,3,0)</f>
        <v>#N/A</v>
      </c>
      <c r="G1672" s="1" t="e">
        <f>VLOOKUP(C1672,'Master truck list'!E:R,14,0)</f>
        <v>#N/A</v>
      </c>
    </row>
    <row r="1673" spans="1:7" x14ac:dyDescent="0.25">
      <c r="A1673" s="1" t="str">
        <f t="shared" si="643"/>
        <v/>
      </c>
      <c r="B1673" s="1" t="str">
        <f t="shared" si="644"/>
        <v/>
      </c>
      <c r="C1673" s="1" t="e">
        <f>VLOOKUP(B1673,'Master truck list'!D:E,2,0)</f>
        <v>#N/A</v>
      </c>
      <c r="D1673" s="1" t="e">
        <f>VLOOKUP(C1673,'Master truck list'!E:F,2,0)</f>
        <v>#N/A</v>
      </c>
      <c r="E1673" s="1" t="e">
        <f>VLOOKUP(C1673,'Master truck list'!E:M,9,0)</f>
        <v>#N/A</v>
      </c>
      <c r="F1673" s="1" t="e">
        <f>VLOOKUP(C1673,'Master truck list'!E:G,3,0)</f>
        <v>#N/A</v>
      </c>
      <c r="G1673" s="1" t="e">
        <f>VLOOKUP(C1673,'Master truck list'!E:R,14,0)</f>
        <v>#N/A</v>
      </c>
    </row>
    <row r="1674" spans="1:7" x14ac:dyDescent="0.25">
      <c r="A1674" s="1" t="str">
        <f t="shared" si="643"/>
        <v/>
      </c>
      <c r="B1674" s="1" t="str">
        <f t="shared" si="644"/>
        <v/>
      </c>
      <c r="C1674" s="1" t="e">
        <f>VLOOKUP(B1674,'Master truck list'!D:E,2,0)</f>
        <v>#N/A</v>
      </c>
      <c r="D1674" s="1" t="e">
        <f>VLOOKUP(C1674,'Master truck list'!E:F,2,0)</f>
        <v>#N/A</v>
      </c>
      <c r="E1674" s="1" t="e">
        <f>VLOOKUP(C1674,'Master truck list'!E:M,9,0)</f>
        <v>#N/A</v>
      </c>
      <c r="F1674" s="1" t="e">
        <f>VLOOKUP(C1674,'Master truck list'!E:G,3,0)</f>
        <v>#N/A</v>
      </c>
      <c r="G1674" s="1" t="e">
        <f>VLOOKUP(C1674,'Master truck list'!E:R,14,0)</f>
        <v>#N/A</v>
      </c>
    </row>
    <row r="1675" spans="1:7" x14ac:dyDescent="0.25">
      <c r="A1675" s="1" t="str">
        <f t="shared" si="643"/>
        <v/>
      </c>
      <c r="B1675" s="1" t="str">
        <f t="shared" si="644"/>
        <v/>
      </c>
      <c r="C1675" s="1" t="e">
        <f>VLOOKUP(B1675,'Master truck list'!D:E,2,0)</f>
        <v>#N/A</v>
      </c>
      <c r="D1675" s="1" t="e">
        <f>VLOOKUP(C1675,'Master truck list'!E:F,2,0)</f>
        <v>#N/A</v>
      </c>
      <c r="E1675" s="1" t="e">
        <f>VLOOKUP(C1675,'Master truck list'!E:M,9,0)</f>
        <v>#N/A</v>
      </c>
      <c r="F1675" s="1" t="e">
        <f>VLOOKUP(C1675,'Master truck list'!E:G,3,0)</f>
        <v>#N/A</v>
      </c>
      <c r="G1675" s="1" t="e">
        <f>VLOOKUP(C1675,'Master truck list'!E:R,14,0)</f>
        <v>#N/A</v>
      </c>
    </row>
    <row r="1676" spans="1:7" x14ac:dyDescent="0.25">
      <c r="A1676" s="1" t="str">
        <f t="shared" si="643"/>
        <v/>
      </c>
      <c r="B1676" s="1" t="str">
        <f t="shared" si="644"/>
        <v/>
      </c>
      <c r="C1676" s="1" t="e">
        <f>VLOOKUP(B1676,'Master truck list'!D:E,2,0)</f>
        <v>#N/A</v>
      </c>
      <c r="D1676" s="1" t="e">
        <f>VLOOKUP(C1676,'Master truck list'!E:F,2,0)</f>
        <v>#N/A</v>
      </c>
      <c r="E1676" s="1" t="e">
        <f>VLOOKUP(C1676,'Master truck list'!E:M,9,0)</f>
        <v>#N/A</v>
      </c>
      <c r="F1676" s="1" t="e">
        <f>VLOOKUP(C1676,'Master truck list'!E:G,3,0)</f>
        <v>#N/A</v>
      </c>
      <c r="G1676" s="1" t="e">
        <f>VLOOKUP(C1676,'Master truck list'!E:R,14,0)</f>
        <v>#N/A</v>
      </c>
    </row>
    <row r="1677" spans="1:7" x14ac:dyDescent="0.25">
      <c r="A1677" s="1" t="str">
        <f t="shared" si="643"/>
        <v/>
      </c>
      <c r="B1677" s="1" t="str">
        <f t="shared" si="644"/>
        <v/>
      </c>
      <c r="C1677" s="1" t="e">
        <f>VLOOKUP(B1677,'Master truck list'!D:E,2,0)</f>
        <v>#N/A</v>
      </c>
      <c r="D1677" s="1" t="e">
        <f>VLOOKUP(C1677,'Master truck list'!E:F,2,0)</f>
        <v>#N/A</v>
      </c>
      <c r="E1677" s="1" t="e">
        <f>VLOOKUP(C1677,'Master truck list'!E:M,9,0)</f>
        <v>#N/A</v>
      </c>
      <c r="F1677" s="1" t="e">
        <f>VLOOKUP(C1677,'Master truck list'!E:G,3,0)</f>
        <v>#N/A</v>
      </c>
      <c r="G1677" s="1" t="e">
        <f>VLOOKUP(C1677,'Master truck list'!E:R,14,0)</f>
        <v>#N/A</v>
      </c>
    </row>
    <row r="1678" spans="1:7" x14ac:dyDescent="0.25">
      <c r="A1678" s="1" t="str">
        <f t="shared" si="643"/>
        <v/>
      </c>
      <c r="B1678" s="1" t="str">
        <f t="shared" si="644"/>
        <v/>
      </c>
      <c r="C1678" s="1" t="e">
        <f>VLOOKUP(B1678,'Master truck list'!D:E,2,0)</f>
        <v>#N/A</v>
      </c>
      <c r="D1678" s="1" t="e">
        <f>VLOOKUP(C1678,'Master truck list'!E:F,2,0)</f>
        <v>#N/A</v>
      </c>
      <c r="E1678" s="1" t="e">
        <f>VLOOKUP(C1678,'Master truck list'!E:M,9,0)</f>
        <v>#N/A</v>
      </c>
      <c r="F1678" s="1" t="e">
        <f>VLOOKUP(C1678,'Master truck list'!E:G,3,0)</f>
        <v>#N/A</v>
      </c>
      <c r="G1678" s="1" t="e">
        <f>VLOOKUP(C1678,'Master truck list'!E:R,14,0)</f>
        <v>#N/A</v>
      </c>
    </row>
    <row r="1679" spans="1:7" x14ac:dyDescent="0.25">
      <c r="A1679" s="1" t="str">
        <f t="shared" si="643"/>
        <v/>
      </c>
      <c r="B1679" s="1" t="str">
        <f t="shared" si="644"/>
        <v/>
      </c>
      <c r="C1679" s="1" t="e">
        <f>VLOOKUP(B1679,'Master truck list'!D:E,2,0)</f>
        <v>#N/A</v>
      </c>
      <c r="D1679" s="1" t="e">
        <f>VLOOKUP(C1679,'Master truck list'!E:F,2,0)</f>
        <v>#N/A</v>
      </c>
      <c r="E1679" s="1" t="e">
        <f>VLOOKUP(C1679,'Master truck list'!E:M,9,0)</f>
        <v>#N/A</v>
      </c>
      <c r="F1679" s="1" t="e">
        <f>VLOOKUP(C1679,'Master truck list'!E:G,3,0)</f>
        <v>#N/A</v>
      </c>
      <c r="G1679" s="1" t="e">
        <f>VLOOKUP(C1679,'Master truck list'!E:R,14,0)</f>
        <v>#N/A</v>
      </c>
    </row>
    <row r="1680" spans="1:7" x14ac:dyDescent="0.25">
      <c r="A1680" s="1" t="str">
        <f t="shared" si="643"/>
        <v/>
      </c>
      <c r="B1680" s="1" t="str">
        <f t="shared" si="644"/>
        <v/>
      </c>
      <c r="C1680" s="1" t="e">
        <f>VLOOKUP(B1680,'Master truck list'!D:E,2,0)</f>
        <v>#N/A</v>
      </c>
      <c r="D1680" s="1" t="e">
        <f>VLOOKUP(C1680,'Master truck list'!E:F,2,0)</f>
        <v>#N/A</v>
      </c>
      <c r="E1680" s="1" t="e">
        <f>VLOOKUP(C1680,'Master truck list'!E:M,9,0)</f>
        <v>#N/A</v>
      </c>
      <c r="F1680" s="1" t="e">
        <f>VLOOKUP(C1680,'Master truck list'!E:G,3,0)</f>
        <v>#N/A</v>
      </c>
      <c r="G1680" s="1" t="e">
        <f>VLOOKUP(C1680,'Master truck list'!E:R,14,0)</f>
        <v>#N/A</v>
      </c>
    </row>
    <row r="1681" spans="1:7" x14ac:dyDescent="0.25">
      <c r="A1681" s="1" t="str">
        <f t="shared" si="643"/>
        <v/>
      </c>
      <c r="B1681" s="1" t="str">
        <f t="shared" si="644"/>
        <v/>
      </c>
      <c r="C1681" s="1" t="e">
        <f>VLOOKUP(B1681,'Master truck list'!D:E,2,0)</f>
        <v>#N/A</v>
      </c>
      <c r="D1681" s="1" t="e">
        <f>VLOOKUP(C1681,'Master truck list'!E:F,2,0)</f>
        <v>#N/A</v>
      </c>
      <c r="E1681" s="1" t="e">
        <f>VLOOKUP(C1681,'Master truck list'!E:M,9,0)</f>
        <v>#N/A</v>
      </c>
      <c r="F1681" s="1" t="e">
        <f>VLOOKUP(C1681,'Master truck list'!E:G,3,0)</f>
        <v>#N/A</v>
      </c>
      <c r="G1681" s="1" t="e">
        <f>VLOOKUP(C1681,'Master truck list'!E:R,14,0)</f>
        <v>#N/A</v>
      </c>
    </row>
    <row r="1682" spans="1:7" x14ac:dyDescent="0.25">
      <c r="A1682" s="1" t="str">
        <f t="shared" si="643"/>
        <v/>
      </c>
      <c r="B1682" s="1" t="str">
        <f t="shared" si="644"/>
        <v/>
      </c>
      <c r="C1682" s="1" t="e">
        <f>VLOOKUP(B1682,'Master truck list'!D:E,2,0)</f>
        <v>#N/A</v>
      </c>
      <c r="D1682" s="1" t="e">
        <f>VLOOKUP(C1682,'Master truck list'!E:F,2,0)</f>
        <v>#N/A</v>
      </c>
      <c r="E1682" s="1" t="e">
        <f>VLOOKUP(C1682,'Master truck list'!E:M,9,0)</f>
        <v>#N/A</v>
      </c>
      <c r="F1682" s="1" t="e">
        <f>VLOOKUP(C1682,'Master truck list'!E:G,3,0)</f>
        <v>#N/A</v>
      </c>
      <c r="G1682" s="1" t="e">
        <f>VLOOKUP(C1682,'Master truck list'!E:R,14,0)</f>
        <v>#N/A</v>
      </c>
    </row>
    <row r="1683" spans="1:7" x14ac:dyDescent="0.25">
      <c r="A1683" s="1" t="str">
        <f t="shared" si="643"/>
        <v/>
      </c>
      <c r="B1683" s="1" t="str">
        <f t="shared" si="644"/>
        <v/>
      </c>
      <c r="C1683" s="1" t="e">
        <f>VLOOKUP(B1683,'Master truck list'!D:E,2,0)</f>
        <v>#N/A</v>
      </c>
      <c r="D1683" s="1" t="e">
        <f>VLOOKUP(C1683,'Master truck list'!E:F,2,0)</f>
        <v>#N/A</v>
      </c>
      <c r="E1683" s="1" t="e">
        <f>VLOOKUP(C1683,'Master truck list'!E:M,9,0)</f>
        <v>#N/A</v>
      </c>
      <c r="F1683" s="1" t="e">
        <f>VLOOKUP(C1683,'Master truck list'!E:G,3,0)</f>
        <v>#N/A</v>
      </c>
      <c r="G1683" s="1" t="e">
        <f>VLOOKUP(C1683,'Master truck list'!E:R,14,0)</f>
        <v>#N/A</v>
      </c>
    </row>
    <row r="1684" spans="1:7" x14ac:dyDescent="0.25">
      <c r="A1684" s="1" t="str">
        <f t="shared" si="643"/>
        <v/>
      </c>
      <c r="B1684" s="1" t="str">
        <f t="shared" si="644"/>
        <v/>
      </c>
      <c r="C1684" s="1" t="e">
        <f>VLOOKUP(B1684,'Master truck list'!D:E,2,0)</f>
        <v>#N/A</v>
      </c>
      <c r="D1684" s="1" t="e">
        <f>VLOOKUP(C1684,'Master truck list'!E:F,2,0)</f>
        <v>#N/A</v>
      </c>
      <c r="E1684" s="1" t="e">
        <f>VLOOKUP(C1684,'Master truck list'!E:M,9,0)</f>
        <v>#N/A</v>
      </c>
      <c r="F1684" s="1" t="e">
        <f>VLOOKUP(C1684,'Master truck list'!E:G,3,0)</f>
        <v>#N/A</v>
      </c>
      <c r="G1684" s="1" t="e">
        <f>VLOOKUP(C1684,'Master truck list'!E:R,14,0)</f>
        <v>#N/A</v>
      </c>
    </row>
    <row r="1685" spans="1:7" x14ac:dyDescent="0.25">
      <c r="A1685" s="1" t="str">
        <f t="shared" si="643"/>
        <v/>
      </c>
      <c r="B1685" s="1" t="str">
        <f t="shared" si="644"/>
        <v/>
      </c>
      <c r="C1685" s="1" t="e">
        <f>VLOOKUP(B1685,'Master truck list'!D:E,2,0)</f>
        <v>#N/A</v>
      </c>
      <c r="D1685" s="1" t="e">
        <f>VLOOKUP(C1685,'Master truck list'!E:F,2,0)</f>
        <v>#N/A</v>
      </c>
      <c r="E1685" s="1" t="e">
        <f>VLOOKUP(C1685,'Master truck list'!E:M,9,0)</f>
        <v>#N/A</v>
      </c>
      <c r="F1685" s="1" t="e">
        <f>VLOOKUP(C1685,'Master truck list'!E:G,3,0)</f>
        <v>#N/A</v>
      </c>
      <c r="G1685" s="1" t="e">
        <f>VLOOKUP(C1685,'Master truck list'!E:R,14,0)</f>
        <v>#N/A</v>
      </c>
    </row>
    <row r="1686" spans="1:7" x14ac:dyDescent="0.25">
      <c r="A1686" s="1" t="str">
        <f t="shared" si="643"/>
        <v/>
      </c>
      <c r="B1686" s="1" t="str">
        <f t="shared" si="644"/>
        <v/>
      </c>
      <c r="C1686" s="1" t="e">
        <f>VLOOKUP(B1686,'Master truck list'!D:E,2,0)</f>
        <v>#N/A</v>
      </c>
      <c r="D1686" s="1" t="e">
        <f>VLOOKUP(C1686,'Master truck list'!E:F,2,0)</f>
        <v>#N/A</v>
      </c>
      <c r="E1686" s="1" t="e">
        <f>VLOOKUP(C1686,'Master truck list'!E:M,9,0)</f>
        <v>#N/A</v>
      </c>
      <c r="F1686" s="1" t="e">
        <f>VLOOKUP(C1686,'Master truck list'!E:G,3,0)</f>
        <v>#N/A</v>
      </c>
      <c r="G1686" s="1" t="e">
        <f>VLOOKUP(C1686,'Master truck list'!E:R,14,0)</f>
        <v>#N/A</v>
      </c>
    </row>
    <row r="1687" spans="1:7" x14ac:dyDescent="0.25">
      <c r="A1687" s="1" t="str">
        <f t="shared" si="643"/>
        <v/>
      </c>
      <c r="B1687" s="1" t="str">
        <f t="shared" si="644"/>
        <v/>
      </c>
      <c r="C1687" s="1" t="e">
        <f>VLOOKUP(B1687,'Master truck list'!D:E,2,0)</f>
        <v>#N/A</v>
      </c>
      <c r="D1687" s="1" t="e">
        <f>VLOOKUP(C1687,'Master truck list'!E:F,2,0)</f>
        <v>#N/A</v>
      </c>
      <c r="E1687" s="1" t="e">
        <f>VLOOKUP(C1687,'Master truck list'!E:M,9,0)</f>
        <v>#N/A</v>
      </c>
      <c r="F1687" s="1" t="e">
        <f>VLOOKUP(C1687,'Master truck list'!E:G,3,0)</f>
        <v>#N/A</v>
      </c>
      <c r="G1687" s="1" t="e">
        <f>VLOOKUP(C1687,'Master truck list'!E:R,14,0)</f>
        <v>#N/A</v>
      </c>
    </row>
    <row r="1688" spans="1:7" x14ac:dyDescent="0.25">
      <c r="A1688" s="1" t="str">
        <f t="shared" si="643"/>
        <v/>
      </c>
      <c r="B1688" s="1" t="str">
        <f t="shared" si="644"/>
        <v/>
      </c>
      <c r="C1688" s="1" t="e">
        <f>VLOOKUP(B1688,'Master truck list'!D:E,2,0)</f>
        <v>#N/A</v>
      </c>
      <c r="D1688" s="1" t="e">
        <f>VLOOKUP(C1688,'Master truck list'!E:F,2,0)</f>
        <v>#N/A</v>
      </c>
      <c r="E1688" s="1" t="e">
        <f>VLOOKUP(C1688,'Master truck list'!E:M,9,0)</f>
        <v>#N/A</v>
      </c>
      <c r="F1688" s="1" t="e">
        <f>VLOOKUP(C1688,'Master truck list'!E:G,3,0)</f>
        <v>#N/A</v>
      </c>
      <c r="G1688" s="1" t="e">
        <f>VLOOKUP(C1688,'Master truck list'!E:R,14,0)</f>
        <v>#N/A</v>
      </c>
    </row>
    <row r="1689" spans="1:7" x14ac:dyDescent="0.25">
      <c r="A1689" s="1" t="str">
        <f t="shared" si="643"/>
        <v/>
      </c>
      <c r="B1689" s="1" t="str">
        <f t="shared" si="644"/>
        <v/>
      </c>
      <c r="C1689" s="1" t="e">
        <f>VLOOKUP(B1689,'Master truck list'!D:E,2,0)</f>
        <v>#N/A</v>
      </c>
      <c r="D1689" s="1" t="e">
        <f>VLOOKUP(C1689,'Master truck list'!E:F,2,0)</f>
        <v>#N/A</v>
      </c>
      <c r="E1689" s="1" t="e">
        <f>VLOOKUP(C1689,'Master truck list'!E:M,9,0)</f>
        <v>#N/A</v>
      </c>
      <c r="F1689" s="1" t="e">
        <f>VLOOKUP(C1689,'Master truck list'!E:G,3,0)</f>
        <v>#N/A</v>
      </c>
      <c r="G1689" s="1" t="e">
        <f>VLOOKUP(C1689,'Master truck list'!E:R,14,0)</f>
        <v>#N/A</v>
      </c>
    </row>
    <row r="1690" spans="1:7" x14ac:dyDescent="0.25">
      <c r="A1690" s="1" t="str">
        <f t="shared" si="643"/>
        <v/>
      </c>
      <c r="B1690" s="1" t="str">
        <f t="shared" si="644"/>
        <v/>
      </c>
      <c r="C1690" s="1" t="e">
        <f>VLOOKUP(B1690,'Master truck list'!D:E,2,0)</f>
        <v>#N/A</v>
      </c>
      <c r="D1690" s="1" t="e">
        <f>VLOOKUP(C1690,'Master truck list'!E:F,2,0)</f>
        <v>#N/A</v>
      </c>
      <c r="E1690" s="1" t="e">
        <f>VLOOKUP(C1690,'Master truck list'!E:M,9,0)</f>
        <v>#N/A</v>
      </c>
      <c r="F1690" s="1" t="e">
        <f>VLOOKUP(C1690,'Master truck list'!E:G,3,0)</f>
        <v>#N/A</v>
      </c>
      <c r="G1690" s="1" t="e">
        <f>VLOOKUP(C1690,'Master truck list'!E:R,14,0)</f>
        <v>#N/A</v>
      </c>
    </row>
    <row r="1691" spans="1:7" x14ac:dyDescent="0.25">
      <c r="A1691" s="1" t="str">
        <f t="shared" si="643"/>
        <v/>
      </c>
      <c r="B1691" s="1" t="str">
        <f t="shared" si="644"/>
        <v/>
      </c>
      <c r="C1691" s="1" t="e">
        <f>VLOOKUP(B1691,'Master truck list'!D:E,2,0)</f>
        <v>#N/A</v>
      </c>
      <c r="D1691" s="1" t="e">
        <f>VLOOKUP(C1691,'Master truck list'!E:F,2,0)</f>
        <v>#N/A</v>
      </c>
      <c r="E1691" s="1" t="e">
        <f>VLOOKUP(C1691,'Master truck list'!E:M,9,0)</f>
        <v>#N/A</v>
      </c>
      <c r="F1691" s="1" t="e">
        <f>VLOOKUP(C1691,'Master truck list'!E:G,3,0)</f>
        <v>#N/A</v>
      </c>
      <c r="G1691" s="1" t="e">
        <f>VLOOKUP(C1691,'Master truck list'!E:R,14,0)</f>
        <v>#N/A</v>
      </c>
    </row>
    <row r="1692" spans="1:7" x14ac:dyDescent="0.25">
      <c r="A1692" s="1" t="str">
        <f t="shared" si="643"/>
        <v/>
      </c>
      <c r="B1692" s="1" t="str">
        <f t="shared" si="644"/>
        <v/>
      </c>
      <c r="C1692" s="1" t="e">
        <f>VLOOKUP(B1692,'Master truck list'!D:E,2,0)</f>
        <v>#N/A</v>
      </c>
      <c r="D1692" s="1" t="e">
        <f>VLOOKUP(C1692,'Master truck list'!E:F,2,0)</f>
        <v>#N/A</v>
      </c>
      <c r="E1692" s="1" t="e">
        <f>VLOOKUP(C1692,'Master truck list'!E:M,9,0)</f>
        <v>#N/A</v>
      </c>
      <c r="F1692" s="1" t="e">
        <f>VLOOKUP(C1692,'Master truck list'!E:G,3,0)</f>
        <v>#N/A</v>
      </c>
      <c r="G1692" s="1" t="e">
        <f>VLOOKUP(C1692,'Master truck list'!E:R,14,0)</f>
        <v>#N/A</v>
      </c>
    </row>
    <row r="1693" spans="1:7" x14ac:dyDescent="0.25">
      <c r="A1693" s="1" t="str">
        <f t="shared" si="643"/>
        <v/>
      </c>
      <c r="B1693" s="1" t="str">
        <f t="shared" si="644"/>
        <v/>
      </c>
      <c r="C1693" s="1" t="e">
        <f>VLOOKUP(B1693,'Master truck list'!D:E,2,0)</f>
        <v>#N/A</v>
      </c>
      <c r="D1693" s="1" t="e">
        <f>VLOOKUP(C1693,'Master truck list'!E:F,2,0)</f>
        <v>#N/A</v>
      </c>
      <c r="E1693" s="1" t="e">
        <f>VLOOKUP(C1693,'Master truck list'!E:M,9,0)</f>
        <v>#N/A</v>
      </c>
      <c r="F1693" s="1" t="e">
        <f>VLOOKUP(C1693,'Master truck list'!E:G,3,0)</f>
        <v>#N/A</v>
      </c>
      <c r="G1693" s="1" t="e">
        <f>VLOOKUP(C1693,'Master truck list'!E:R,14,0)</f>
        <v>#N/A</v>
      </c>
    </row>
    <row r="1694" spans="1:7" x14ac:dyDescent="0.25">
      <c r="A1694" s="1" t="str">
        <f t="shared" si="643"/>
        <v/>
      </c>
      <c r="B1694" s="1" t="str">
        <f t="shared" si="644"/>
        <v/>
      </c>
      <c r="C1694" s="1" t="e">
        <f>VLOOKUP(B1694,'Master truck list'!D:E,2,0)</f>
        <v>#N/A</v>
      </c>
      <c r="D1694" s="1" t="e">
        <f>VLOOKUP(C1694,'Master truck list'!E:F,2,0)</f>
        <v>#N/A</v>
      </c>
      <c r="E1694" s="1" t="e">
        <f>VLOOKUP(C1694,'Master truck list'!E:M,9,0)</f>
        <v>#N/A</v>
      </c>
      <c r="F1694" s="1" t="e">
        <f>VLOOKUP(C1694,'Master truck list'!E:G,3,0)</f>
        <v>#N/A</v>
      </c>
      <c r="G1694" s="1" t="e">
        <f>VLOOKUP(C1694,'Master truck list'!E:R,14,0)</f>
        <v>#N/A</v>
      </c>
    </row>
    <row r="1695" spans="1:7" x14ac:dyDescent="0.25">
      <c r="A1695" s="1" t="str">
        <f t="shared" si="643"/>
        <v/>
      </c>
      <c r="B1695" s="1" t="str">
        <f t="shared" si="644"/>
        <v/>
      </c>
      <c r="C1695" s="1" t="e">
        <f>VLOOKUP(B1695,'Master truck list'!D:E,2,0)</f>
        <v>#N/A</v>
      </c>
      <c r="D1695" s="1" t="e">
        <f>VLOOKUP(C1695,'Master truck list'!E:F,2,0)</f>
        <v>#N/A</v>
      </c>
      <c r="E1695" s="1" t="e">
        <f>VLOOKUP(C1695,'Master truck list'!E:M,9,0)</f>
        <v>#N/A</v>
      </c>
      <c r="F1695" s="1" t="e">
        <f>VLOOKUP(C1695,'Master truck list'!E:G,3,0)</f>
        <v>#N/A</v>
      </c>
      <c r="G1695" s="1" t="e">
        <f>VLOOKUP(C1695,'Master truck list'!E:R,14,0)</f>
        <v>#N/A</v>
      </c>
    </row>
    <row r="1696" spans="1:7" x14ac:dyDescent="0.25">
      <c r="A1696" s="1" t="str">
        <f t="shared" si="643"/>
        <v/>
      </c>
      <c r="B1696" s="1" t="str">
        <f t="shared" si="644"/>
        <v/>
      </c>
      <c r="C1696" s="1" t="e">
        <f>VLOOKUP(B1696,'Master truck list'!D:E,2,0)</f>
        <v>#N/A</v>
      </c>
      <c r="D1696" s="1" t="e">
        <f>VLOOKUP(C1696,'Master truck list'!E:F,2,0)</f>
        <v>#N/A</v>
      </c>
      <c r="E1696" s="1" t="e">
        <f>VLOOKUP(C1696,'Master truck list'!E:M,9,0)</f>
        <v>#N/A</v>
      </c>
      <c r="F1696" s="1" t="e">
        <f>VLOOKUP(C1696,'Master truck list'!E:G,3,0)</f>
        <v>#N/A</v>
      </c>
      <c r="G1696" s="1" t="e">
        <f>VLOOKUP(C1696,'Master truck list'!E:R,14,0)</f>
        <v>#N/A</v>
      </c>
    </row>
    <row r="1697" spans="1:7" x14ac:dyDescent="0.25">
      <c r="A1697" s="1" t="str">
        <f t="shared" si="643"/>
        <v/>
      </c>
      <c r="B1697" s="1" t="str">
        <f t="shared" si="644"/>
        <v/>
      </c>
      <c r="C1697" s="1" t="e">
        <f>VLOOKUP(B1697,'Master truck list'!D:E,2,0)</f>
        <v>#N/A</v>
      </c>
      <c r="D1697" s="1" t="e">
        <f>VLOOKUP(C1697,'Master truck list'!E:F,2,0)</f>
        <v>#N/A</v>
      </c>
      <c r="E1697" s="1" t="e">
        <f>VLOOKUP(C1697,'Master truck list'!E:M,9,0)</f>
        <v>#N/A</v>
      </c>
      <c r="F1697" s="1" t="e">
        <f>VLOOKUP(C1697,'Master truck list'!E:G,3,0)</f>
        <v>#N/A</v>
      </c>
      <c r="G1697" s="1" t="e">
        <f>VLOOKUP(C1697,'Master truck list'!E:R,14,0)</f>
        <v>#N/A</v>
      </c>
    </row>
    <row r="1698" spans="1:7" x14ac:dyDescent="0.25">
      <c r="A1698" s="1" t="str">
        <f t="shared" si="643"/>
        <v/>
      </c>
      <c r="B1698" s="1" t="str">
        <f t="shared" si="644"/>
        <v/>
      </c>
      <c r="C1698" s="1" t="e">
        <f>VLOOKUP(B1698,'Master truck list'!D:E,2,0)</f>
        <v>#N/A</v>
      </c>
      <c r="D1698" s="1" t="e">
        <f>VLOOKUP(C1698,'Master truck list'!E:F,2,0)</f>
        <v>#N/A</v>
      </c>
      <c r="E1698" s="1" t="e">
        <f>VLOOKUP(C1698,'Master truck list'!E:M,9,0)</f>
        <v>#N/A</v>
      </c>
      <c r="F1698" s="1" t="e">
        <f>VLOOKUP(C1698,'Master truck list'!E:G,3,0)</f>
        <v>#N/A</v>
      </c>
      <c r="G1698" s="1" t="e">
        <f>VLOOKUP(C1698,'Master truck list'!E:R,14,0)</f>
        <v>#N/A</v>
      </c>
    </row>
    <row r="1699" spans="1:7" x14ac:dyDescent="0.25">
      <c r="A1699" s="1" t="str">
        <f t="shared" si="643"/>
        <v/>
      </c>
      <c r="B1699" s="1" t="str">
        <f t="shared" si="644"/>
        <v/>
      </c>
      <c r="C1699" s="1" t="e">
        <f>VLOOKUP(B1699,'Master truck list'!D:E,2,0)</f>
        <v>#N/A</v>
      </c>
      <c r="D1699" s="1" t="e">
        <f>VLOOKUP(C1699,'Master truck list'!E:F,2,0)</f>
        <v>#N/A</v>
      </c>
      <c r="E1699" s="1" t="e">
        <f>VLOOKUP(C1699,'Master truck list'!E:M,9,0)</f>
        <v>#N/A</v>
      </c>
      <c r="F1699" s="1" t="e">
        <f>VLOOKUP(C1699,'Master truck list'!E:G,3,0)</f>
        <v>#N/A</v>
      </c>
      <c r="G1699" s="1" t="e">
        <f>VLOOKUP(C1699,'Master truck list'!E:R,14,0)</f>
        <v>#N/A</v>
      </c>
    </row>
    <row r="1700" spans="1:7" x14ac:dyDescent="0.25">
      <c r="A1700" s="1" t="str">
        <f t="shared" ref="A1700:A1763" si="645">LEFT(N1902,5)</f>
        <v/>
      </c>
      <c r="B1700" s="1" t="str">
        <f t="shared" si="644"/>
        <v/>
      </c>
      <c r="C1700" s="1" t="e">
        <f>VLOOKUP(B1700,'Master truck list'!D:E,2,0)</f>
        <v>#N/A</v>
      </c>
      <c r="D1700" s="1" t="e">
        <f>VLOOKUP(C1700,'Master truck list'!E:F,2,0)</f>
        <v>#N/A</v>
      </c>
      <c r="E1700" s="1" t="e">
        <f>VLOOKUP(C1700,'Master truck list'!E:M,9,0)</f>
        <v>#N/A</v>
      </c>
      <c r="F1700" s="1" t="e">
        <f>VLOOKUP(C1700,'Master truck list'!E:G,3,0)</f>
        <v>#N/A</v>
      </c>
      <c r="G1700" s="1" t="e">
        <f>VLOOKUP(C1700,'Master truck list'!E:R,14,0)</f>
        <v>#N/A</v>
      </c>
    </row>
    <row r="1701" spans="1:7" x14ac:dyDescent="0.25">
      <c r="A1701" s="1" t="str">
        <f t="shared" si="645"/>
        <v/>
      </c>
      <c r="B1701" s="1" t="str">
        <f t="shared" si="644"/>
        <v/>
      </c>
      <c r="C1701" s="1" t="e">
        <f>VLOOKUP(B1701,'Master truck list'!D:E,2,0)</f>
        <v>#N/A</v>
      </c>
      <c r="D1701" s="1" t="e">
        <f>VLOOKUP(C1701,'Master truck list'!E:F,2,0)</f>
        <v>#N/A</v>
      </c>
      <c r="E1701" s="1" t="e">
        <f>VLOOKUP(C1701,'Master truck list'!E:M,9,0)</f>
        <v>#N/A</v>
      </c>
      <c r="F1701" s="1" t="e">
        <f>VLOOKUP(C1701,'Master truck list'!E:G,3,0)</f>
        <v>#N/A</v>
      </c>
      <c r="G1701" s="1" t="e">
        <f>VLOOKUP(C1701,'Master truck list'!E:R,14,0)</f>
        <v>#N/A</v>
      </c>
    </row>
    <row r="1702" spans="1:7" x14ac:dyDescent="0.25">
      <c r="A1702" s="1" t="str">
        <f t="shared" si="645"/>
        <v/>
      </c>
      <c r="B1702" s="1" t="str">
        <f t="shared" si="644"/>
        <v/>
      </c>
      <c r="C1702" s="1" t="e">
        <f>VLOOKUP(B1702,'Master truck list'!D:E,2,0)</f>
        <v>#N/A</v>
      </c>
      <c r="D1702" s="1" t="e">
        <f>VLOOKUP(C1702,'Master truck list'!E:F,2,0)</f>
        <v>#N/A</v>
      </c>
      <c r="E1702" s="1" t="e">
        <f>VLOOKUP(C1702,'Master truck list'!E:M,9,0)</f>
        <v>#N/A</v>
      </c>
      <c r="F1702" s="1" t="e">
        <f>VLOOKUP(C1702,'Master truck list'!E:G,3,0)</f>
        <v>#N/A</v>
      </c>
      <c r="G1702" s="1" t="e">
        <f>VLOOKUP(C1702,'Master truck list'!E:R,14,0)</f>
        <v>#N/A</v>
      </c>
    </row>
    <row r="1703" spans="1:7" x14ac:dyDescent="0.25">
      <c r="A1703" s="1" t="str">
        <f t="shared" si="645"/>
        <v/>
      </c>
      <c r="B1703" s="1" t="str">
        <f t="shared" si="644"/>
        <v/>
      </c>
      <c r="C1703" s="1" t="e">
        <f>VLOOKUP(B1703,'Master truck list'!D:E,2,0)</f>
        <v>#N/A</v>
      </c>
      <c r="D1703" s="1" t="e">
        <f>VLOOKUP(C1703,'Master truck list'!E:F,2,0)</f>
        <v>#N/A</v>
      </c>
      <c r="E1703" s="1" t="e">
        <f>VLOOKUP(C1703,'Master truck list'!E:M,9,0)</f>
        <v>#N/A</v>
      </c>
      <c r="F1703" s="1" t="e">
        <f>VLOOKUP(C1703,'Master truck list'!E:G,3,0)</f>
        <v>#N/A</v>
      </c>
      <c r="G1703" s="1" t="e">
        <f>VLOOKUP(C1703,'Master truck list'!E:R,14,0)</f>
        <v>#N/A</v>
      </c>
    </row>
    <row r="1704" spans="1:7" x14ac:dyDescent="0.25">
      <c r="A1704" s="1" t="str">
        <f t="shared" si="645"/>
        <v/>
      </c>
      <c r="B1704" s="1" t="str">
        <f t="shared" si="644"/>
        <v/>
      </c>
      <c r="C1704" s="1" t="e">
        <f>VLOOKUP(B1704,'Master truck list'!D:E,2,0)</f>
        <v>#N/A</v>
      </c>
      <c r="D1704" s="1" t="e">
        <f>VLOOKUP(C1704,'Master truck list'!E:F,2,0)</f>
        <v>#N/A</v>
      </c>
      <c r="E1704" s="1" t="e">
        <f>VLOOKUP(C1704,'Master truck list'!E:M,9,0)</f>
        <v>#N/A</v>
      </c>
      <c r="F1704" s="1" t="e">
        <f>VLOOKUP(C1704,'Master truck list'!E:G,3,0)</f>
        <v>#N/A</v>
      </c>
      <c r="G1704" s="1" t="e">
        <f>VLOOKUP(C1704,'Master truck list'!E:R,14,0)</f>
        <v>#N/A</v>
      </c>
    </row>
    <row r="1705" spans="1:7" x14ac:dyDescent="0.25">
      <c r="A1705" s="1" t="str">
        <f t="shared" si="645"/>
        <v/>
      </c>
      <c r="B1705" s="1" t="str">
        <f t="shared" si="644"/>
        <v/>
      </c>
      <c r="C1705" s="1" t="e">
        <f>VLOOKUP(B1705,'Master truck list'!D:E,2,0)</f>
        <v>#N/A</v>
      </c>
      <c r="D1705" s="1" t="e">
        <f>VLOOKUP(C1705,'Master truck list'!E:F,2,0)</f>
        <v>#N/A</v>
      </c>
      <c r="E1705" s="1" t="e">
        <f>VLOOKUP(C1705,'Master truck list'!E:M,9,0)</f>
        <v>#N/A</v>
      </c>
      <c r="F1705" s="1" t="e">
        <f>VLOOKUP(C1705,'Master truck list'!E:G,3,0)</f>
        <v>#N/A</v>
      </c>
      <c r="G1705" s="1" t="e">
        <f>VLOOKUP(C1705,'Master truck list'!E:R,14,0)</f>
        <v>#N/A</v>
      </c>
    </row>
    <row r="1706" spans="1:7" x14ac:dyDescent="0.25">
      <c r="A1706" s="1" t="str">
        <f t="shared" si="645"/>
        <v/>
      </c>
      <c r="B1706" s="1" t="str">
        <f t="shared" si="644"/>
        <v/>
      </c>
      <c r="C1706" s="1" t="e">
        <f>VLOOKUP(B1706,'Master truck list'!D:E,2,0)</f>
        <v>#N/A</v>
      </c>
      <c r="D1706" s="1" t="e">
        <f>VLOOKUP(C1706,'Master truck list'!E:F,2,0)</f>
        <v>#N/A</v>
      </c>
      <c r="E1706" s="1" t="e">
        <f>VLOOKUP(C1706,'Master truck list'!E:M,9,0)</f>
        <v>#N/A</v>
      </c>
      <c r="F1706" s="1" t="e">
        <f>VLOOKUP(C1706,'Master truck list'!E:G,3,0)</f>
        <v>#N/A</v>
      </c>
      <c r="G1706" s="1" t="e">
        <f>VLOOKUP(C1706,'Master truck list'!E:R,14,0)</f>
        <v>#N/A</v>
      </c>
    </row>
    <row r="1707" spans="1:7" x14ac:dyDescent="0.25">
      <c r="A1707" s="1" t="str">
        <f t="shared" si="645"/>
        <v/>
      </c>
      <c r="B1707" s="1" t="str">
        <f t="shared" si="644"/>
        <v/>
      </c>
      <c r="C1707" s="1" t="e">
        <f>VLOOKUP(B1707,'Master truck list'!D:E,2,0)</f>
        <v>#N/A</v>
      </c>
      <c r="D1707" s="1" t="e">
        <f>VLOOKUP(C1707,'Master truck list'!E:F,2,0)</f>
        <v>#N/A</v>
      </c>
      <c r="E1707" s="1" t="e">
        <f>VLOOKUP(C1707,'Master truck list'!E:M,9,0)</f>
        <v>#N/A</v>
      </c>
      <c r="F1707" s="1" t="e">
        <f>VLOOKUP(C1707,'Master truck list'!E:G,3,0)</f>
        <v>#N/A</v>
      </c>
      <c r="G1707" s="1" t="e">
        <f>VLOOKUP(C1707,'Master truck list'!E:R,14,0)</f>
        <v>#N/A</v>
      </c>
    </row>
    <row r="1708" spans="1:7" x14ac:dyDescent="0.25">
      <c r="A1708" s="1" t="str">
        <f t="shared" si="645"/>
        <v/>
      </c>
      <c r="B1708" s="1" t="str">
        <f t="shared" si="644"/>
        <v/>
      </c>
      <c r="C1708" s="1" t="e">
        <f>VLOOKUP(B1708,'Master truck list'!D:E,2,0)</f>
        <v>#N/A</v>
      </c>
      <c r="D1708" s="1" t="e">
        <f>VLOOKUP(C1708,'Master truck list'!E:F,2,0)</f>
        <v>#N/A</v>
      </c>
      <c r="E1708" s="1" t="e">
        <f>VLOOKUP(C1708,'Master truck list'!E:M,9,0)</f>
        <v>#N/A</v>
      </c>
      <c r="F1708" s="1" t="e">
        <f>VLOOKUP(C1708,'Master truck list'!E:G,3,0)</f>
        <v>#N/A</v>
      </c>
      <c r="G1708" s="1" t="e">
        <f>VLOOKUP(C1708,'Master truck list'!E:R,14,0)</f>
        <v>#N/A</v>
      </c>
    </row>
    <row r="1709" spans="1:7" x14ac:dyDescent="0.25">
      <c r="A1709" s="1" t="str">
        <f t="shared" si="645"/>
        <v/>
      </c>
      <c r="B1709" s="1" t="str">
        <f t="shared" si="644"/>
        <v/>
      </c>
      <c r="C1709" s="1" t="e">
        <f>VLOOKUP(B1709,'Master truck list'!D:E,2,0)</f>
        <v>#N/A</v>
      </c>
      <c r="D1709" s="1" t="e">
        <f>VLOOKUP(C1709,'Master truck list'!E:F,2,0)</f>
        <v>#N/A</v>
      </c>
      <c r="E1709" s="1" t="e">
        <f>VLOOKUP(C1709,'Master truck list'!E:M,9,0)</f>
        <v>#N/A</v>
      </c>
      <c r="F1709" s="1" t="e">
        <f>VLOOKUP(C1709,'Master truck list'!E:G,3,0)</f>
        <v>#N/A</v>
      </c>
      <c r="G1709" s="1" t="e">
        <f>VLOOKUP(C1709,'Master truck list'!E:R,14,0)</f>
        <v>#N/A</v>
      </c>
    </row>
    <row r="1710" spans="1:7" x14ac:dyDescent="0.25">
      <c r="A1710" s="1" t="str">
        <f t="shared" si="645"/>
        <v/>
      </c>
      <c r="B1710" s="1" t="str">
        <f t="shared" si="644"/>
        <v/>
      </c>
      <c r="C1710" s="1" t="e">
        <f>VLOOKUP(B1710,'Master truck list'!D:E,2,0)</f>
        <v>#N/A</v>
      </c>
      <c r="D1710" s="1" t="e">
        <f>VLOOKUP(C1710,'Master truck list'!E:F,2,0)</f>
        <v>#N/A</v>
      </c>
      <c r="E1710" s="1" t="e">
        <f>VLOOKUP(C1710,'Master truck list'!E:M,9,0)</f>
        <v>#N/A</v>
      </c>
      <c r="F1710" s="1" t="e">
        <f>VLOOKUP(C1710,'Master truck list'!E:G,3,0)</f>
        <v>#N/A</v>
      </c>
      <c r="G1710" s="1" t="e">
        <f>VLOOKUP(C1710,'Master truck list'!E:R,14,0)</f>
        <v>#N/A</v>
      </c>
    </row>
    <row r="1711" spans="1:7" x14ac:dyDescent="0.25">
      <c r="A1711" s="1" t="str">
        <f t="shared" si="645"/>
        <v/>
      </c>
      <c r="B1711" s="1" t="str">
        <f t="shared" si="644"/>
        <v/>
      </c>
      <c r="C1711" s="1" t="e">
        <f>VLOOKUP(B1711,'Master truck list'!D:E,2,0)</f>
        <v>#N/A</v>
      </c>
      <c r="D1711" s="1" t="e">
        <f>VLOOKUP(C1711,'Master truck list'!E:F,2,0)</f>
        <v>#N/A</v>
      </c>
      <c r="E1711" s="1" t="e">
        <f>VLOOKUP(C1711,'Master truck list'!E:M,9,0)</f>
        <v>#N/A</v>
      </c>
      <c r="F1711" s="1" t="e">
        <f>VLOOKUP(C1711,'Master truck list'!E:G,3,0)</f>
        <v>#N/A</v>
      </c>
      <c r="G1711" s="1" t="e">
        <f>VLOOKUP(C1711,'Master truck list'!E:R,14,0)</f>
        <v>#N/A</v>
      </c>
    </row>
    <row r="1712" spans="1:7" x14ac:dyDescent="0.25">
      <c r="A1712" s="1" t="str">
        <f t="shared" si="645"/>
        <v/>
      </c>
      <c r="B1712" s="1" t="str">
        <f t="shared" si="644"/>
        <v/>
      </c>
      <c r="C1712" s="1" t="e">
        <f>VLOOKUP(B1712,'Master truck list'!D:E,2,0)</f>
        <v>#N/A</v>
      </c>
      <c r="D1712" s="1" t="e">
        <f>VLOOKUP(C1712,'Master truck list'!E:F,2,0)</f>
        <v>#N/A</v>
      </c>
      <c r="E1712" s="1" t="e">
        <f>VLOOKUP(C1712,'Master truck list'!E:M,9,0)</f>
        <v>#N/A</v>
      </c>
      <c r="F1712" s="1" t="e">
        <f>VLOOKUP(C1712,'Master truck list'!E:G,3,0)</f>
        <v>#N/A</v>
      </c>
      <c r="G1712" s="1" t="e">
        <f>VLOOKUP(C1712,'Master truck list'!E:R,14,0)</f>
        <v>#N/A</v>
      </c>
    </row>
    <row r="1713" spans="1:7" x14ac:dyDescent="0.25">
      <c r="A1713" s="1" t="str">
        <f t="shared" si="645"/>
        <v/>
      </c>
      <c r="B1713" s="1" t="str">
        <f t="shared" si="644"/>
        <v/>
      </c>
      <c r="C1713" s="1" t="e">
        <f>VLOOKUP(B1713,'Master truck list'!D:E,2,0)</f>
        <v>#N/A</v>
      </c>
      <c r="D1713" s="1" t="e">
        <f>VLOOKUP(C1713,'Master truck list'!E:F,2,0)</f>
        <v>#N/A</v>
      </c>
      <c r="E1713" s="1" t="e">
        <f>VLOOKUP(C1713,'Master truck list'!E:M,9,0)</f>
        <v>#N/A</v>
      </c>
      <c r="F1713" s="1" t="e">
        <f>VLOOKUP(C1713,'Master truck list'!E:G,3,0)</f>
        <v>#N/A</v>
      </c>
      <c r="G1713" s="1" t="e">
        <f>VLOOKUP(C1713,'Master truck list'!E:R,14,0)</f>
        <v>#N/A</v>
      </c>
    </row>
    <row r="1714" spans="1:7" x14ac:dyDescent="0.25">
      <c r="A1714" s="1" t="str">
        <f t="shared" si="645"/>
        <v/>
      </c>
      <c r="B1714" s="1" t="str">
        <f t="shared" si="644"/>
        <v/>
      </c>
      <c r="C1714" s="1" t="e">
        <f>VLOOKUP(B1714,'Master truck list'!D:E,2,0)</f>
        <v>#N/A</v>
      </c>
      <c r="D1714" s="1" t="e">
        <f>VLOOKUP(C1714,'Master truck list'!E:F,2,0)</f>
        <v>#N/A</v>
      </c>
      <c r="E1714" s="1" t="e">
        <f>VLOOKUP(C1714,'Master truck list'!E:M,9,0)</f>
        <v>#N/A</v>
      </c>
      <c r="F1714" s="1" t="e">
        <f>VLOOKUP(C1714,'Master truck list'!E:G,3,0)</f>
        <v>#N/A</v>
      </c>
      <c r="G1714" s="1" t="e">
        <f>VLOOKUP(C1714,'Master truck list'!E:R,14,0)</f>
        <v>#N/A</v>
      </c>
    </row>
    <row r="1715" spans="1:7" x14ac:dyDescent="0.25">
      <c r="A1715" s="1" t="str">
        <f t="shared" si="645"/>
        <v/>
      </c>
      <c r="B1715" s="1" t="str">
        <f t="shared" si="644"/>
        <v/>
      </c>
      <c r="C1715" s="1" t="e">
        <f>VLOOKUP(B1715,'Master truck list'!D:E,2,0)</f>
        <v>#N/A</v>
      </c>
      <c r="D1715" s="1" t="e">
        <f>VLOOKUP(C1715,'Master truck list'!E:F,2,0)</f>
        <v>#N/A</v>
      </c>
      <c r="E1715" s="1" t="e">
        <f>VLOOKUP(C1715,'Master truck list'!E:M,9,0)</f>
        <v>#N/A</v>
      </c>
      <c r="F1715" s="1" t="e">
        <f>VLOOKUP(C1715,'Master truck list'!E:G,3,0)</f>
        <v>#N/A</v>
      </c>
      <c r="G1715" s="1" t="e">
        <f>VLOOKUP(C1715,'Master truck list'!E:R,14,0)</f>
        <v>#N/A</v>
      </c>
    </row>
    <row r="1716" spans="1:7" x14ac:dyDescent="0.25">
      <c r="A1716" s="1" t="str">
        <f t="shared" si="645"/>
        <v/>
      </c>
      <c r="B1716" s="1" t="str">
        <f t="shared" si="644"/>
        <v/>
      </c>
      <c r="C1716" s="1" t="e">
        <f>VLOOKUP(B1716,'Master truck list'!D:E,2,0)</f>
        <v>#N/A</v>
      </c>
      <c r="D1716" s="1" t="e">
        <f>VLOOKUP(C1716,'Master truck list'!E:F,2,0)</f>
        <v>#N/A</v>
      </c>
      <c r="E1716" s="1" t="e">
        <f>VLOOKUP(C1716,'Master truck list'!E:M,9,0)</f>
        <v>#N/A</v>
      </c>
      <c r="F1716" s="1" t="e">
        <f>VLOOKUP(C1716,'Master truck list'!E:G,3,0)</f>
        <v>#N/A</v>
      </c>
      <c r="G1716" s="1" t="e">
        <f>VLOOKUP(C1716,'Master truck list'!E:R,14,0)</f>
        <v>#N/A</v>
      </c>
    </row>
    <row r="1717" spans="1:7" x14ac:dyDescent="0.25">
      <c r="A1717" s="1" t="str">
        <f t="shared" si="645"/>
        <v/>
      </c>
      <c r="B1717" s="1" t="str">
        <f t="shared" si="644"/>
        <v/>
      </c>
      <c r="C1717" s="1" t="e">
        <f>VLOOKUP(B1717,'Master truck list'!D:E,2,0)</f>
        <v>#N/A</v>
      </c>
      <c r="D1717" s="1" t="e">
        <f>VLOOKUP(C1717,'Master truck list'!E:F,2,0)</f>
        <v>#N/A</v>
      </c>
      <c r="E1717" s="1" t="e">
        <f>VLOOKUP(C1717,'Master truck list'!E:M,9,0)</f>
        <v>#N/A</v>
      </c>
      <c r="F1717" s="1" t="e">
        <f>VLOOKUP(C1717,'Master truck list'!E:G,3,0)</f>
        <v>#N/A</v>
      </c>
      <c r="G1717" s="1" t="e">
        <f>VLOOKUP(C1717,'Master truck list'!E:R,14,0)</f>
        <v>#N/A</v>
      </c>
    </row>
    <row r="1718" spans="1:7" x14ac:dyDescent="0.25">
      <c r="A1718" s="1" t="str">
        <f t="shared" si="645"/>
        <v/>
      </c>
      <c r="B1718" s="1" t="str">
        <f t="shared" si="644"/>
        <v/>
      </c>
      <c r="C1718" s="1" t="e">
        <f>VLOOKUP(B1718,'Master truck list'!D:E,2,0)</f>
        <v>#N/A</v>
      </c>
      <c r="D1718" s="1" t="e">
        <f>VLOOKUP(C1718,'Master truck list'!E:F,2,0)</f>
        <v>#N/A</v>
      </c>
      <c r="E1718" s="1" t="e">
        <f>VLOOKUP(C1718,'Master truck list'!E:M,9,0)</f>
        <v>#N/A</v>
      </c>
      <c r="F1718" s="1" t="e">
        <f>VLOOKUP(C1718,'Master truck list'!E:G,3,0)</f>
        <v>#N/A</v>
      </c>
      <c r="G1718" s="1" t="e">
        <f>VLOOKUP(C1718,'Master truck list'!E:R,14,0)</f>
        <v>#N/A</v>
      </c>
    </row>
    <row r="1719" spans="1:7" x14ac:dyDescent="0.25">
      <c r="A1719" s="1" t="str">
        <f t="shared" si="645"/>
        <v/>
      </c>
      <c r="B1719" s="1" t="str">
        <f t="shared" si="644"/>
        <v/>
      </c>
      <c r="C1719" s="1" t="e">
        <f>VLOOKUP(B1719,'Master truck list'!D:E,2,0)</f>
        <v>#N/A</v>
      </c>
      <c r="D1719" s="1" t="e">
        <f>VLOOKUP(C1719,'Master truck list'!E:F,2,0)</f>
        <v>#N/A</v>
      </c>
      <c r="E1719" s="1" t="e">
        <f>VLOOKUP(C1719,'Master truck list'!E:M,9,0)</f>
        <v>#N/A</v>
      </c>
      <c r="F1719" s="1" t="e">
        <f>VLOOKUP(C1719,'Master truck list'!E:G,3,0)</f>
        <v>#N/A</v>
      </c>
      <c r="G1719" s="1" t="e">
        <f>VLOOKUP(C1719,'Master truck list'!E:R,14,0)</f>
        <v>#N/A</v>
      </c>
    </row>
    <row r="1720" spans="1:7" x14ac:dyDescent="0.25">
      <c r="A1720" s="1" t="str">
        <f t="shared" si="645"/>
        <v/>
      </c>
      <c r="B1720" s="1" t="str">
        <f t="shared" si="644"/>
        <v/>
      </c>
      <c r="C1720" s="1" t="e">
        <f>VLOOKUP(B1720,'Master truck list'!D:E,2,0)</f>
        <v>#N/A</v>
      </c>
      <c r="D1720" s="1" t="e">
        <f>VLOOKUP(C1720,'Master truck list'!E:F,2,0)</f>
        <v>#N/A</v>
      </c>
      <c r="E1720" s="1" t="e">
        <f>VLOOKUP(C1720,'Master truck list'!E:M,9,0)</f>
        <v>#N/A</v>
      </c>
      <c r="F1720" s="1" t="e">
        <f>VLOOKUP(C1720,'Master truck list'!E:G,3,0)</f>
        <v>#N/A</v>
      </c>
      <c r="G1720" s="1" t="e">
        <f>VLOOKUP(C1720,'Master truck list'!E:R,14,0)</f>
        <v>#N/A</v>
      </c>
    </row>
    <row r="1721" spans="1:7" x14ac:dyDescent="0.25">
      <c r="A1721" s="1" t="str">
        <f t="shared" si="645"/>
        <v/>
      </c>
      <c r="B1721" s="1" t="str">
        <f t="shared" ref="B1721:B1784" si="646">SUBSTITUTE(A1721," ","")</f>
        <v/>
      </c>
      <c r="C1721" s="1" t="e">
        <f>VLOOKUP(B1721,'Master truck list'!D:E,2,0)</f>
        <v>#N/A</v>
      </c>
      <c r="D1721" s="1" t="e">
        <f>VLOOKUP(C1721,'Master truck list'!E:F,2,0)</f>
        <v>#N/A</v>
      </c>
      <c r="E1721" s="1" t="e">
        <f>VLOOKUP(C1721,'Master truck list'!E:M,9,0)</f>
        <v>#N/A</v>
      </c>
      <c r="F1721" s="1" t="e">
        <f>VLOOKUP(C1721,'Master truck list'!E:G,3,0)</f>
        <v>#N/A</v>
      </c>
      <c r="G1721" s="1" t="e">
        <f>VLOOKUP(C1721,'Master truck list'!E:R,14,0)</f>
        <v>#N/A</v>
      </c>
    </row>
    <row r="1722" spans="1:7" x14ac:dyDescent="0.25">
      <c r="A1722" s="1" t="str">
        <f t="shared" si="645"/>
        <v/>
      </c>
      <c r="B1722" s="1" t="str">
        <f t="shared" si="646"/>
        <v/>
      </c>
      <c r="C1722" s="1" t="e">
        <f>VLOOKUP(B1722,'Master truck list'!D:E,2,0)</f>
        <v>#N/A</v>
      </c>
      <c r="D1722" s="1" t="e">
        <f>VLOOKUP(C1722,'Master truck list'!E:F,2,0)</f>
        <v>#N/A</v>
      </c>
      <c r="E1722" s="1" t="e">
        <f>VLOOKUP(C1722,'Master truck list'!E:M,9,0)</f>
        <v>#N/A</v>
      </c>
      <c r="F1722" s="1" t="e">
        <f>VLOOKUP(C1722,'Master truck list'!E:G,3,0)</f>
        <v>#N/A</v>
      </c>
      <c r="G1722" s="1" t="e">
        <f>VLOOKUP(C1722,'Master truck list'!E:R,14,0)</f>
        <v>#N/A</v>
      </c>
    </row>
    <row r="1723" spans="1:7" x14ac:dyDescent="0.25">
      <c r="A1723" s="1" t="str">
        <f t="shared" si="645"/>
        <v/>
      </c>
      <c r="B1723" s="1" t="str">
        <f t="shared" si="646"/>
        <v/>
      </c>
      <c r="C1723" s="1" t="e">
        <f>VLOOKUP(B1723,'Master truck list'!D:E,2,0)</f>
        <v>#N/A</v>
      </c>
      <c r="D1723" s="1" t="e">
        <f>VLOOKUP(C1723,'Master truck list'!E:F,2,0)</f>
        <v>#N/A</v>
      </c>
      <c r="E1723" s="1" t="e">
        <f>VLOOKUP(C1723,'Master truck list'!E:M,9,0)</f>
        <v>#N/A</v>
      </c>
      <c r="F1723" s="1" t="e">
        <f>VLOOKUP(C1723,'Master truck list'!E:G,3,0)</f>
        <v>#N/A</v>
      </c>
      <c r="G1723" s="1" t="e">
        <f>VLOOKUP(C1723,'Master truck list'!E:R,14,0)</f>
        <v>#N/A</v>
      </c>
    </row>
    <row r="1724" spans="1:7" x14ac:dyDescent="0.25">
      <c r="A1724" s="1" t="str">
        <f t="shared" si="645"/>
        <v/>
      </c>
      <c r="B1724" s="1" t="str">
        <f t="shared" si="646"/>
        <v/>
      </c>
      <c r="C1724" s="1" t="e">
        <f>VLOOKUP(B1724,'Master truck list'!D:E,2,0)</f>
        <v>#N/A</v>
      </c>
      <c r="D1724" s="1" t="e">
        <f>VLOOKUP(C1724,'Master truck list'!E:F,2,0)</f>
        <v>#N/A</v>
      </c>
      <c r="E1724" s="1" t="e">
        <f>VLOOKUP(C1724,'Master truck list'!E:M,9,0)</f>
        <v>#N/A</v>
      </c>
      <c r="F1724" s="1" t="e">
        <f>VLOOKUP(C1724,'Master truck list'!E:G,3,0)</f>
        <v>#N/A</v>
      </c>
      <c r="G1724" s="1" t="e">
        <f>VLOOKUP(C1724,'Master truck list'!E:R,14,0)</f>
        <v>#N/A</v>
      </c>
    </row>
    <row r="1725" spans="1:7" x14ac:dyDescent="0.25">
      <c r="A1725" s="1" t="str">
        <f t="shared" si="645"/>
        <v/>
      </c>
      <c r="B1725" s="1" t="str">
        <f t="shared" si="646"/>
        <v/>
      </c>
      <c r="C1725" s="1" t="e">
        <f>VLOOKUP(B1725,'Master truck list'!D:E,2,0)</f>
        <v>#N/A</v>
      </c>
      <c r="D1725" s="1" t="e">
        <f>VLOOKUP(C1725,'Master truck list'!E:F,2,0)</f>
        <v>#N/A</v>
      </c>
      <c r="E1725" s="1" t="e">
        <f>VLOOKUP(C1725,'Master truck list'!E:M,9,0)</f>
        <v>#N/A</v>
      </c>
      <c r="F1725" s="1" t="e">
        <f>VLOOKUP(C1725,'Master truck list'!E:G,3,0)</f>
        <v>#N/A</v>
      </c>
      <c r="G1725" s="1" t="e">
        <f>VLOOKUP(C1725,'Master truck list'!E:R,14,0)</f>
        <v>#N/A</v>
      </c>
    </row>
    <row r="1726" spans="1:7" x14ac:dyDescent="0.25">
      <c r="A1726" s="1" t="str">
        <f t="shared" si="645"/>
        <v/>
      </c>
      <c r="B1726" s="1" t="str">
        <f t="shared" si="646"/>
        <v/>
      </c>
      <c r="C1726" s="1" t="e">
        <f>VLOOKUP(B1726,'Master truck list'!D:E,2,0)</f>
        <v>#N/A</v>
      </c>
      <c r="D1726" s="1" t="e">
        <f>VLOOKUP(C1726,'Master truck list'!E:F,2,0)</f>
        <v>#N/A</v>
      </c>
      <c r="E1726" s="1" t="e">
        <f>VLOOKUP(C1726,'Master truck list'!E:M,9,0)</f>
        <v>#N/A</v>
      </c>
      <c r="F1726" s="1" t="e">
        <f>VLOOKUP(C1726,'Master truck list'!E:G,3,0)</f>
        <v>#N/A</v>
      </c>
      <c r="G1726" s="1" t="e">
        <f>VLOOKUP(C1726,'Master truck list'!E:R,14,0)</f>
        <v>#N/A</v>
      </c>
    </row>
    <row r="1727" spans="1:7" x14ac:dyDescent="0.25">
      <c r="A1727" s="1" t="str">
        <f t="shared" si="645"/>
        <v/>
      </c>
      <c r="B1727" s="1" t="str">
        <f t="shared" si="646"/>
        <v/>
      </c>
      <c r="C1727" s="1" t="e">
        <f>VLOOKUP(B1727,'Master truck list'!D:E,2,0)</f>
        <v>#N/A</v>
      </c>
      <c r="D1727" s="1" t="e">
        <f>VLOOKUP(C1727,'Master truck list'!E:F,2,0)</f>
        <v>#N/A</v>
      </c>
      <c r="E1727" s="1" t="e">
        <f>VLOOKUP(C1727,'Master truck list'!E:M,9,0)</f>
        <v>#N/A</v>
      </c>
      <c r="F1727" s="1" t="e">
        <f>VLOOKUP(C1727,'Master truck list'!E:G,3,0)</f>
        <v>#N/A</v>
      </c>
      <c r="G1727" s="1" t="e">
        <f>VLOOKUP(C1727,'Master truck list'!E:R,14,0)</f>
        <v>#N/A</v>
      </c>
    </row>
    <row r="1728" spans="1:7" x14ac:dyDescent="0.25">
      <c r="A1728" s="1" t="str">
        <f t="shared" si="645"/>
        <v/>
      </c>
      <c r="B1728" s="1" t="str">
        <f t="shared" si="646"/>
        <v/>
      </c>
      <c r="C1728" s="1" t="e">
        <f>VLOOKUP(B1728,'Master truck list'!D:E,2,0)</f>
        <v>#N/A</v>
      </c>
      <c r="D1728" s="1" t="e">
        <f>VLOOKUP(C1728,'Master truck list'!E:F,2,0)</f>
        <v>#N/A</v>
      </c>
      <c r="E1728" s="1" t="e">
        <f>VLOOKUP(C1728,'Master truck list'!E:M,9,0)</f>
        <v>#N/A</v>
      </c>
      <c r="F1728" s="1" t="e">
        <f>VLOOKUP(C1728,'Master truck list'!E:G,3,0)</f>
        <v>#N/A</v>
      </c>
      <c r="G1728" s="1" t="e">
        <f>VLOOKUP(C1728,'Master truck list'!E:R,14,0)</f>
        <v>#N/A</v>
      </c>
    </row>
    <row r="1729" spans="1:7" x14ac:dyDescent="0.25">
      <c r="A1729" s="1" t="str">
        <f t="shared" si="645"/>
        <v/>
      </c>
      <c r="B1729" s="1" t="str">
        <f t="shared" si="646"/>
        <v/>
      </c>
      <c r="C1729" s="1" t="e">
        <f>VLOOKUP(B1729,'Master truck list'!D:E,2,0)</f>
        <v>#N/A</v>
      </c>
      <c r="D1729" s="1" t="e">
        <f>VLOOKUP(C1729,'Master truck list'!E:F,2,0)</f>
        <v>#N/A</v>
      </c>
      <c r="E1729" s="1" t="e">
        <f>VLOOKUP(C1729,'Master truck list'!E:M,9,0)</f>
        <v>#N/A</v>
      </c>
      <c r="F1729" s="1" t="e">
        <f>VLOOKUP(C1729,'Master truck list'!E:G,3,0)</f>
        <v>#N/A</v>
      </c>
      <c r="G1729" s="1" t="e">
        <f>VLOOKUP(C1729,'Master truck list'!E:R,14,0)</f>
        <v>#N/A</v>
      </c>
    </row>
    <row r="1730" spans="1:7" x14ac:dyDescent="0.25">
      <c r="A1730" s="1" t="str">
        <f t="shared" si="645"/>
        <v/>
      </c>
      <c r="B1730" s="1" t="str">
        <f t="shared" si="646"/>
        <v/>
      </c>
      <c r="C1730" s="1" t="e">
        <f>VLOOKUP(B1730,'Master truck list'!D:E,2,0)</f>
        <v>#N/A</v>
      </c>
      <c r="D1730" s="1" t="e">
        <f>VLOOKUP(C1730,'Master truck list'!E:F,2,0)</f>
        <v>#N/A</v>
      </c>
      <c r="E1730" s="1" t="e">
        <f>VLOOKUP(C1730,'Master truck list'!E:M,9,0)</f>
        <v>#N/A</v>
      </c>
      <c r="F1730" s="1" t="e">
        <f>VLOOKUP(C1730,'Master truck list'!E:G,3,0)</f>
        <v>#N/A</v>
      </c>
      <c r="G1730" s="1" t="e">
        <f>VLOOKUP(C1730,'Master truck list'!E:R,14,0)</f>
        <v>#N/A</v>
      </c>
    </row>
    <row r="1731" spans="1:7" x14ac:dyDescent="0.25">
      <c r="A1731" s="1" t="str">
        <f t="shared" si="645"/>
        <v/>
      </c>
      <c r="B1731" s="1" t="str">
        <f t="shared" si="646"/>
        <v/>
      </c>
      <c r="C1731" s="1" t="e">
        <f>VLOOKUP(B1731,'Master truck list'!D:E,2,0)</f>
        <v>#N/A</v>
      </c>
      <c r="D1731" s="1" t="e">
        <f>VLOOKUP(C1731,'Master truck list'!E:F,2,0)</f>
        <v>#N/A</v>
      </c>
      <c r="E1731" s="1" t="e">
        <f>VLOOKUP(C1731,'Master truck list'!E:M,9,0)</f>
        <v>#N/A</v>
      </c>
      <c r="F1731" s="1" t="e">
        <f>VLOOKUP(C1731,'Master truck list'!E:G,3,0)</f>
        <v>#N/A</v>
      </c>
      <c r="G1731" s="1" t="e">
        <f>VLOOKUP(C1731,'Master truck list'!E:R,14,0)</f>
        <v>#N/A</v>
      </c>
    </row>
    <row r="1732" spans="1:7" x14ac:dyDescent="0.25">
      <c r="A1732" s="1" t="str">
        <f t="shared" si="645"/>
        <v/>
      </c>
      <c r="B1732" s="1" t="str">
        <f t="shared" si="646"/>
        <v/>
      </c>
      <c r="C1732" s="1" t="e">
        <f>VLOOKUP(B1732,'Master truck list'!D:E,2,0)</f>
        <v>#N/A</v>
      </c>
      <c r="D1732" s="1" t="e">
        <f>VLOOKUP(C1732,'Master truck list'!E:F,2,0)</f>
        <v>#N/A</v>
      </c>
      <c r="E1732" s="1" t="e">
        <f>VLOOKUP(C1732,'Master truck list'!E:M,9,0)</f>
        <v>#N/A</v>
      </c>
      <c r="F1732" s="1" t="e">
        <f>VLOOKUP(C1732,'Master truck list'!E:G,3,0)</f>
        <v>#N/A</v>
      </c>
      <c r="G1732" s="1" t="e">
        <f>VLOOKUP(C1732,'Master truck list'!E:R,14,0)</f>
        <v>#N/A</v>
      </c>
    </row>
    <row r="1733" spans="1:7" x14ac:dyDescent="0.25">
      <c r="A1733" s="1" t="str">
        <f t="shared" si="645"/>
        <v/>
      </c>
      <c r="B1733" s="1" t="str">
        <f t="shared" si="646"/>
        <v/>
      </c>
      <c r="C1733" s="1" t="e">
        <f>VLOOKUP(B1733,'Master truck list'!D:E,2,0)</f>
        <v>#N/A</v>
      </c>
      <c r="D1733" s="1" t="e">
        <f>VLOOKUP(C1733,'Master truck list'!E:F,2,0)</f>
        <v>#N/A</v>
      </c>
      <c r="E1733" s="1" t="e">
        <f>VLOOKUP(C1733,'Master truck list'!E:M,9,0)</f>
        <v>#N/A</v>
      </c>
      <c r="F1733" s="1" t="e">
        <f>VLOOKUP(C1733,'Master truck list'!E:G,3,0)</f>
        <v>#N/A</v>
      </c>
      <c r="G1733" s="1" t="e">
        <f>VLOOKUP(C1733,'Master truck list'!E:R,14,0)</f>
        <v>#N/A</v>
      </c>
    </row>
    <row r="1734" spans="1:7" x14ac:dyDescent="0.25">
      <c r="A1734" s="1" t="str">
        <f t="shared" si="645"/>
        <v/>
      </c>
      <c r="B1734" s="1" t="str">
        <f t="shared" si="646"/>
        <v/>
      </c>
      <c r="C1734" s="1" t="e">
        <f>VLOOKUP(B1734,'Master truck list'!D:E,2,0)</f>
        <v>#N/A</v>
      </c>
      <c r="D1734" s="1" t="e">
        <f>VLOOKUP(C1734,'Master truck list'!E:F,2,0)</f>
        <v>#N/A</v>
      </c>
      <c r="E1734" s="1" t="e">
        <f>VLOOKUP(C1734,'Master truck list'!E:M,9,0)</f>
        <v>#N/A</v>
      </c>
      <c r="F1734" s="1" t="e">
        <f>VLOOKUP(C1734,'Master truck list'!E:G,3,0)</f>
        <v>#N/A</v>
      </c>
      <c r="G1734" s="1" t="e">
        <f>VLOOKUP(C1734,'Master truck list'!E:R,14,0)</f>
        <v>#N/A</v>
      </c>
    </row>
    <row r="1735" spans="1:7" x14ac:dyDescent="0.25">
      <c r="A1735" s="1" t="str">
        <f t="shared" si="645"/>
        <v/>
      </c>
      <c r="B1735" s="1" t="str">
        <f t="shared" si="646"/>
        <v/>
      </c>
      <c r="C1735" s="1" t="e">
        <f>VLOOKUP(B1735,'Master truck list'!D:E,2,0)</f>
        <v>#N/A</v>
      </c>
      <c r="D1735" s="1" t="e">
        <f>VLOOKUP(C1735,'Master truck list'!E:F,2,0)</f>
        <v>#N/A</v>
      </c>
      <c r="E1735" s="1" t="e">
        <f>VLOOKUP(C1735,'Master truck list'!E:M,9,0)</f>
        <v>#N/A</v>
      </c>
      <c r="F1735" s="1" t="e">
        <f>VLOOKUP(C1735,'Master truck list'!E:G,3,0)</f>
        <v>#N/A</v>
      </c>
      <c r="G1735" s="1" t="e">
        <f>VLOOKUP(C1735,'Master truck list'!E:R,14,0)</f>
        <v>#N/A</v>
      </c>
    </row>
    <row r="1736" spans="1:7" x14ac:dyDescent="0.25">
      <c r="A1736" s="1" t="str">
        <f t="shared" si="645"/>
        <v/>
      </c>
      <c r="B1736" s="1" t="str">
        <f t="shared" si="646"/>
        <v/>
      </c>
      <c r="C1736" s="1" t="e">
        <f>VLOOKUP(B1736,'Master truck list'!D:E,2,0)</f>
        <v>#N/A</v>
      </c>
      <c r="D1736" s="1" t="e">
        <f>VLOOKUP(C1736,'Master truck list'!E:F,2,0)</f>
        <v>#N/A</v>
      </c>
      <c r="E1736" s="1" t="e">
        <f>VLOOKUP(C1736,'Master truck list'!E:M,9,0)</f>
        <v>#N/A</v>
      </c>
      <c r="F1736" s="1" t="e">
        <f>VLOOKUP(C1736,'Master truck list'!E:G,3,0)</f>
        <v>#N/A</v>
      </c>
      <c r="G1736" s="1" t="e">
        <f>VLOOKUP(C1736,'Master truck list'!E:R,14,0)</f>
        <v>#N/A</v>
      </c>
    </row>
    <row r="1737" spans="1:7" x14ac:dyDescent="0.25">
      <c r="A1737" s="1" t="str">
        <f t="shared" si="645"/>
        <v/>
      </c>
      <c r="B1737" s="1" t="str">
        <f t="shared" si="646"/>
        <v/>
      </c>
      <c r="C1737" s="1" t="e">
        <f>VLOOKUP(B1737,'Master truck list'!D:E,2,0)</f>
        <v>#N/A</v>
      </c>
      <c r="D1737" s="1" t="e">
        <f>VLOOKUP(C1737,'Master truck list'!E:F,2,0)</f>
        <v>#N/A</v>
      </c>
      <c r="E1737" s="1" t="e">
        <f>VLOOKUP(C1737,'Master truck list'!E:M,9,0)</f>
        <v>#N/A</v>
      </c>
      <c r="F1737" s="1" t="e">
        <f>VLOOKUP(C1737,'Master truck list'!E:G,3,0)</f>
        <v>#N/A</v>
      </c>
      <c r="G1737" s="1" t="e">
        <f>VLOOKUP(C1737,'Master truck list'!E:R,14,0)</f>
        <v>#N/A</v>
      </c>
    </row>
    <row r="1738" spans="1:7" x14ac:dyDescent="0.25">
      <c r="A1738" s="1" t="str">
        <f t="shared" si="645"/>
        <v/>
      </c>
      <c r="B1738" s="1" t="str">
        <f t="shared" si="646"/>
        <v/>
      </c>
      <c r="C1738" s="1" t="e">
        <f>VLOOKUP(B1738,'Master truck list'!D:E,2,0)</f>
        <v>#N/A</v>
      </c>
      <c r="D1738" s="1" t="e">
        <f>VLOOKUP(C1738,'Master truck list'!E:F,2,0)</f>
        <v>#N/A</v>
      </c>
      <c r="E1738" s="1" t="e">
        <f>VLOOKUP(C1738,'Master truck list'!E:M,9,0)</f>
        <v>#N/A</v>
      </c>
      <c r="F1738" s="1" t="e">
        <f>VLOOKUP(C1738,'Master truck list'!E:G,3,0)</f>
        <v>#N/A</v>
      </c>
      <c r="G1738" s="1" t="e">
        <f>VLOOKUP(C1738,'Master truck list'!E:R,14,0)</f>
        <v>#N/A</v>
      </c>
    </row>
    <row r="1739" spans="1:7" x14ac:dyDescent="0.25">
      <c r="A1739" s="1" t="str">
        <f t="shared" si="645"/>
        <v/>
      </c>
      <c r="B1739" s="1" t="str">
        <f t="shared" si="646"/>
        <v/>
      </c>
      <c r="C1739" s="1" t="e">
        <f>VLOOKUP(B1739,'Master truck list'!D:E,2,0)</f>
        <v>#N/A</v>
      </c>
      <c r="D1739" s="1" t="e">
        <f>VLOOKUP(C1739,'Master truck list'!E:F,2,0)</f>
        <v>#N/A</v>
      </c>
      <c r="E1739" s="1" t="e">
        <f>VLOOKUP(C1739,'Master truck list'!E:M,9,0)</f>
        <v>#N/A</v>
      </c>
      <c r="F1739" s="1" t="e">
        <f>VLOOKUP(C1739,'Master truck list'!E:G,3,0)</f>
        <v>#N/A</v>
      </c>
      <c r="G1739" s="1" t="e">
        <f>VLOOKUP(C1739,'Master truck list'!E:R,14,0)</f>
        <v>#N/A</v>
      </c>
    </row>
    <row r="1740" spans="1:7" x14ac:dyDescent="0.25">
      <c r="A1740" s="1" t="str">
        <f t="shared" si="645"/>
        <v/>
      </c>
      <c r="B1740" s="1" t="str">
        <f t="shared" si="646"/>
        <v/>
      </c>
      <c r="C1740" s="1" t="e">
        <f>VLOOKUP(B1740,'Master truck list'!D:E,2,0)</f>
        <v>#N/A</v>
      </c>
      <c r="D1740" s="1" t="e">
        <f>VLOOKUP(C1740,'Master truck list'!E:F,2,0)</f>
        <v>#N/A</v>
      </c>
      <c r="E1740" s="1" t="e">
        <f>VLOOKUP(C1740,'Master truck list'!E:M,9,0)</f>
        <v>#N/A</v>
      </c>
      <c r="F1740" s="1" t="e">
        <f>VLOOKUP(C1740,'Master truck list'!E:G,3,0)</f>
        <v>#N/A</v>
      </c>
      <c r="G1740" s="1" t="e">
        <f>VLOOKUP(C1740,'Master truck list'!E:R,14,0)</f>
        <v>#N/A</v>
      </c>
    </row>
    <row r="1741" spans="1:7" x14ac:dyDescent="0.25">
      <c r="A1741" s="1" t="str">
        <f t="shared" si="645"/>
        <v/>
      </c>
      <c r="B1741" s="1" t="str">
        <f t="shared" si="646"/>
        <v/>
      </c>
      <c r="C1741" s="1" t="e">
        <f>VLOOKUP(B1741,'Master truck list'!D:E,2,0)</f>
        <v>#N/A</v>
      </c>
      <c r="D1741" s="1" t="e">
        <f>VLOOKUP(C1741,'Master truck list'!E:F,2,0)</f>
        <v>#N/A</v>
      </c>
      <c r="E1741" s="1" t="e">
        <f>VLOOKUP(C1741,'Master truck list'!E:M,9,0)</f>
        <v>#N/A</v>
      </c>
      <c r="F1741" s="1" t="e">
        <f>VLOOKUP(C1741,'Master truck list'!E:G,3,0)</f>
        <v>#N/A</v>
      </c>
      <c r="G1741" s="1" t="e">
        <f>VLOOKUP(C1741,'Master truck list'!E:R,14,0)</f>
        <v>#N/A</v>
      </c>
    </row>
    <row r="1742" spans="1:7" x14ac:dyDescent="0.25">
      <c r="A1742" s="1" t="str">
        <f t="shared" si="645"/>
        <v/>
      </c>
      <c r="B1742" s="1" t="str">
        <f t="shared" si="646"/>
        <v/>
      </c>
      <c r="C1742" s="1" t="e">
        <f>VLOOKUP(B1742,'Master truck list'!D:E,2,0)</f>
        <v>#N/A</v>
      </c>
      <c r="D1742" s="1" t="e">
        <f>VLOOKUP(C1742,'Master truck list'!E:F,2,0)</f>
        <v>#N/A</v>
      </c>
      <c r="E1742" s="1" t="e">
        <f>VLOOKUP(C1742,'Master truck list'!E:M,9,0)</f>
        <v>#N/A</v>
      </c>
      <c r="F1742" s="1" t="e">
        <f>VLOOKUP(C1742,'Master truck list'!E:G,3,0)</f>
        <v>#N/A</v>
      </c>
      <c r="G1742" s="1" t="e">
        <f>VLOOKUP(C1742,'Master truck list'!E:R,14,0)</f>
        <v>#N/A</v>
      </c>
    </row>
    <row r="1743" spans="1:7" x14ac:dyDescent="0.25">
      <c r="A1743" s="1" t="str">
        <f t="shared" si="645"/>
        <v/>
      </c>
      <c r="B1743" s="1" t="str">
        <f t="shared" si="646"/>
        <v/>
      </c>
      <c r="C1743" s="1" t="e">
        <f>VLOOKUP(B1743,'Master truck list'!D:E,2,0)</f>
        <v>#N/A</v>
      </c>
      <c r="D1743" s="1" t="e">
        <f>VLOOKUP(C1743,'Master truck list'!E:F,2,0)</f>
        <v>#N/A</v>
      </c>
      <c r="E1743" s="1" t="e">
        <f>VLOOKUP(C1743,'Master truck list'!E:M,9,0)</f>
        <v>#N/A</v>
      </c>
      <c r="F1743" s="1" t="e">
        <f>VLOOKUP(C1743,'Master truck list'!E:G,3,0)</f>
        <v>#N/A</v>
      </c>
      <c r="G1743" s="1" t="e">
        <f>VLOOKUP(C1743,'Master truck list'!E:R,14,0)</f>
        <v>#N/A</v>
      </c>
    </row>
    <row r="1744" spans="1:7" x14ac:dyDescent="0.25">
      <c r="A1744" s="1" t="str">
        <f t="shared" si="645"/>
        <v/>
      </c>
      <c r="B1744" s="1" t="str">
        <f t="shared" si="646"/>
        <v/>
      </c>
      <c r="C1744" s="1" t="e">
        <f>VLOOKUP(B1744,'Master truck list'!D:E,2,0)</f>
        <v>#N/A</v>
      </c>
      <c r="D1744" s="1" t="e">
        <f>VLOOKUP(C1744,'Master truck list'!E:F,2,0)</f>
        <v>#N/A</v>
      </c>
      <c r="E1744" s="1" t="e">
        <f>VLOOKUP(C1744,'Master truck list'!E:M,9,0)</f>
        <v>#N/A</v>
      </c>
      <c r="F1744" s="1" t="e">
        <f>VLOOKUP(C1744,'Master truck list'!E:G,3,0)</f>
        <v>#N/A</v>
      </c>
      <c r="G1744" s="1" t="e">
        <f>VLOOKUP(C1744,'Master truck list'!E:R,14,0)</f>
        <v>#N/A</v>
      </c>
    </row>
    <row r="1745" spans="1:7" x14ac:dyDescent="0.25">
      <c r="A1745" s="1" t="str">
        <f t="shared" si="645"/>
        <v/>
      </c>
      <c r="B1745" s="1" t="str">
        <f t="shared" si="646"/>
        <v/>
      </c>
      <c r="C1745" s="1" t="e">
        <f>VLOOKUP(B1745,'Master truck list'!D:E,2,0)</f>
        <v>#N/A</v>
      </c>
      <c r="D1745" s="1" t="e">
        <f>VLOOKUP(C1745,'Master truck list'!E:F,2,0)</f>
        <v>#N/A</v>
      </c>
      <c r="E1745" s="1" t="e">
        <f>VLOOKUP(C1745,'Master truck list'!E:M,9,0)</f>
        <v>#N/A</v>
      </c>
      <c r="F1745" s="1" t="e">
        <f>VLOOKUP(C1745,'Master truck list'!E:G,3,0)</f>
        <v>#N/A</v>
      </c>
      <c r="G1745" s="1" t="e">
        <f>VLOOKUP(C1745,'Master truck list'!E:R,14,0)</f>
        <v>#N/A</v>
      </c>
    </row>
    <row r="1746" spans="1:7" x14ac:dyDescent="0.25">
      <c r="A1746" s="1" t="str">
        <f t="shared" si="645"/>
        <v/>
      </c>
      <c r="B1746" s="1" t="str">
        <f t="shared" si="646"/>
        <v/>
      </c>
      <c r="C1746" s="1" t="e">
        <f>VLOOKUP(B1746,'Master truck list'!D:E,2,0)</f>
        <v>#N/A</v>
      </c>
      <c r="D1746" s="1" t="e">
        <f>VLOOKUP(C1746,'Master truck list'!E:F,2,0)</f>
        <v>#N/A</v>
      </c>
      <c r="E1746" s="1" t="e">
        <f>VLOOKUP(C1746,'Master truck list'!E:M,9,0)</f>
        <v>#N/A</v>
      </c>
      <c r="F1746" s="1" t="e">
        <f>VLOOKUP(C1746,'Master truck list'!E:G,3,0)</f>
        <v>#N/A</v>
      </c>
      <c r="G1746" s="1" t="e">
        <f>VLOOKUP(C1746,'Master truck list'!E:R,14,0)</f>
        <v>#N/A</v>
      </c>
    </row>
    <row r="1747" spans="1:7" x14ac:dyDescent="0.25">
      <c r="A1747" s="1" t="str">
        <f t="shared" si="645"/>
        <v/>
      </c>
      <c r="B1747" s="1" t="str">
        <f t="shared" si="646"/>
        <v/>
      </c>
      <c r="C1747" s="1" t="e">
        <f>VLOOKUP(B1747,'Master truck list'!D:E,2,0)</f>
        <v>#N/A</v>
      </c>
      <c r="D1747" s="1" t="e">
        <f>VLOOKUP(C1747,'Master truck list'!E:F,2,0)</f>
        <v>#N/A</v>
      </c>
      <c r="E1747" s="1" t="e">
        <f>VLOOKUP(C1747,'Master truck list'!E:M,9,0)</f>
        <v>#N/A</v>
      </c>
      <c r="F1747" s="1" t="e">
        <f>VLOOKUP(C1747,'Master truck list'!E:G,3,0)</f>
        <v>#N/A</v>
      </c>
      <c r="G1747" s="1" t="e">
        <f>VLOOKUP(C1747,'Master truck list'!E:R,14,0)</f>
        <v>#N/A</v>
      </c>
    </row>
    <row r="1748" spans="1:7" x14ac:dyDescent="0.25">
      <c r="A1748" s="1" t="str">
        <f t="shared" si="645"/>
        <v/>
      </c>
      <c r="B1748" s="1" t="str">
        <f t="shared" si="646"/>
        <v/>
      </c>
      <c r="C1748" s="1" t="e">
        <f>VLOOKUP(B1748,'Master truck list'!D:E,2,0)</f>
        <v>#N/A</v>
      </c>
      <c r="D1748" s="1" t="e">
        <f>VLOOKUP(C1748,'Master truck list'!E:F,2,0)</f>
        <v>#N/A</v>
      </c>
      <c r="E1748" s="1" t="e">
        <f>VLOOKUP(C1748,'Master truck list'!E:M,9,0)</f>
        <v>#N/A</v>
      </c>
      <c r="F1748" s="1" t="e">
        <f>VLOOKUP(C1748,'Master truck list'!E:G,3,0)</f>
        <v>#N/A</v>
      </c>
      <c r="G1748" s="1" t="e">
        <f>VLOOKUP(C1748,'Master truck list'!E:R,14,0)</f>
        <v>#N/A</v>
      </c>
    </row>
    <row r="1749" spans="1:7" x14ac:dyDescent="0.25">
      <c r="A1749" s="1" t="str">
        <f t="shared" si="645"/>
        <v/>
      </c>
      <c r="B1749" s="1" t="str">
        <f t="shared" si="646"/>
        <v/>
      </c>
      <c r="C1749" s="1" t="e">
        <f>VLOOKUP(B1749,'Master truck list'!D:E,2,0)</f>
        <v>#N/A</v>
      </c>
      <c r="D1749" s="1" t="e">
        <f>VLOOKUP(C1749,'Master truck list'!E:F,2,0)</f>
        <v>#N/A</v>
      </c>
      <c r="E1749" s="1" t="e">
        <f>VLOOKUP(C1749,'Master truck list'!E:M,9,0)</f>
        <v>#N/A</v>
      </c>
      <c r="F1749" s="1" t="e">
        <f>VLOOKUP(C1749,'Master truck list'!E:G,3,0)</f>
        <v>#N/A</v>
      </c>
      <c r="G1749" s="1" t="e">
        <f>VLOOKUP(C1749,'Master truck list'!E:R,14,0)</f>
        <v>#N/A</v>
      </c>
    </row>
    <row r="1750" spans="1:7" x14ac:dyDescent="0.25">
      <c r="A1750" s="1" t="str">
        <f t="shared" si="645"/>
        <v/>
      </c>
      <c r="B1750" s="1" t="str">
        <f t="shared" si="646"/>
        <v/>
      </c>
      <c r="C1750" s="1" t="e">
        <f>VLOOKUP(B1750,'Master truck list'!D:E,2,0)</f>
        <v>#N/A</v>
      </c>
      <c r="D1750" s="1" t="e">
        <f>VLOOKUP(C1750,'Master truck list'!E:F,2,0)</f>
        <v>#N/A</v>
      </c>
      <c r="E1750" s="1" t="e">
        <f>VLOOKUP(C1750,'Master truck list'!E:M,9,0)</f>
        <v>#N/A</v>
      </c>
      <c r="F1750" s="1" t="e">
        <f>VLOOKUP(C1750,'Master truck list'!E:G,3,0)</f>
        <v>#N/A</v>
      </c>
      <c r="G1750" s="1" t="e">
        <f>VLOOKUP(C1750,'Master truck list'!E:R,14,0)</f>
        <v>#N/A</v>
      </c>
    </row>
    <row r="1751" spans="1:7" x14ac:dyDescent="0.25">
      <c r="A1751" s="1" t="str">
        <f t="shared" si="645"/>
        <v/>
      </c>
      <c r="B1751" s="1" t="str">
        <f t="shared" si="646"/>
        <v/>
      </c>
      <c r="C1751" s="1" t="e">
        <f>VLOOKUP(B1751,'Master truck list'!D:E,2,0)</f>
        <v>#N/A</v>
      </c>
      <c r="D1751" s="1" t="e">
        <f>VLOOKUP(C1751,'Master truck list'!E:F,2,0)</f>
        <v>#N/A</v>
      </c>
      <c r="E1751" s="1" t="e">
        <f>VLOOKUP(C1751,'Master truck list'!E:M,9,0)</f>
        <v>#N/A</v>
      </c>
      <c r="F1751" s="1" t="e">
        <f>VLOOKUP(C1751,'Master truck list'!E:G,3,0)</f>
        <v>#N/A</v>
      </c>
      <c r="G1751" s="1" t="e">
        <f>VLOOKUP(C1751,'Master truck list'!E:R,14,0)</f>
        <v>#N/A</v>
      </c>
    </row>
    <row r="1752" spans="1:7" x14ac:dyDescent="0.25">
      <c r="A1752" s="1" t="str">
        <f t="shared" si="645"/>
        <v/>
      </c>
      <c r="B1752" s="1" t="str">
        <f t="shared" si="646"/>
        <v/>
      </c>
      <c r="C1752" s="1" t="e">
        <f>VLOOKUP(B1752,'Master truck list'!D:E,2,0)</f>
        <v>#N/A</v>
      </c>
      <c r="D1752" s="1" t="e">
        <f>VLOOKUP(C1752,'Master truck list'!E:F,2,0)</f>
        <v>#N/A</v>
      </c>
      <c r="E1752" s="1" t="e">
        <f>VLOOKUP(C1752,'Master truck list'!E:M,9,0)</f>
        <v>#N/A</v>
      </c>
      <c r="F1752" s="1" t="e">
        <f>VLOOKUP(C1752,'Master truck list'!E:G,3,0)</f>
        <v>#N/A</v>
      </c>
      <c r="G1752" s="1" t="e">
        <f>VLOOKUP(C1752,'Master truck list'!E:R,14,0)</f>
        <v>#N/A</v>
      </c>
    </row>
    <row r="1753" spans="1:7" x14ac:dyDescent="0.25">
      <c r="A1753" s="1" t="str">
        <f t="shared" si="645"/>
        <v/>
      </c>
      <c r="B1753" s="1" t="str">
        <f t="shared" si="646"/>
        <v/>
      </c>
      <c r="C1753" s="1" t="e">
        <f>VLOOKUP(B1753,'Master truck list'!D:E,2,0)</f>
        <v>#N/A</v>
      </c>
      <c r="D1753" s="1" t="e">
        <f>VLOOKUP(C1753,'Master truck list'!E:F,2,0)</f>
        <v>#N/A</v>
      </c>
      <c r="E1753" s="1" t="e">
        <f>VLOOKUP(C1753,'Master truck list'!E:M,9,0)</f>
        <v>#N/A</v>
      </c>
      <c r="F1753" s="1" t="e">
        <f>VLOOKUP(C1753,'Master truck list'!E:G,3,0)</f>
        <v>#N/A</v>
      </c>
      <c r="G1753" s="1" t="e">
        <f>VLOOKUP(C1753,'Master truck list'!E:R,14,0)</f>
        <v>#N/A</v>
      </c>
    </row>
    <row r="1754" spans="1:7" x14ac:dyDescent="0.25">
      <c r="A1754" s="1" t="str">
        <f t="shared" si="645"/>
        <v/>
      </c>
      <c r="B1754" s="1" t="str">
        <f t="shared" si="646"/>
        <v/>
      </c>
      <c r="C1754" s="1" t="e">
        <f>VLOOKUP(B1754,'Master truck list'!D:E,2,0)</f>
        <v>#N/A</v>
      </c>
      <c r="D1754" s="1" t="e">
        <f>VLOOKUP(C1754,'Master truck list'!E:F,2,0)</f>
        <v>#N/A</v>
      </c>
      <c r="E1754" s="1" t="e">
        <f>VLOOKUP(C1754,'Master truck list'!E:M,9,0)</f>
        <v>#N/A</v>
      </c>
      <c r="F1754" s="1" t="e">
        <f>VLOOKUP(C1754,'Master truck list'!E:G,3,0)</f>
        <v>#N/A</v>
      </c>
      <c r="G1754" s="1" t="e">
        <f>VLOOKUP(C1754,'Master truck list'!E:R,14,0)</f>
        <v>#N/A</v>
      </c>
    </row>
    <row r="1755" spans="1:7" x14ac:dyDescent="0.25">
      <c r="A1755" s="1" t="str">
        <f t="shared" si="645"/>
        <v/>
      </c>
      <c r="B1755" s="1" t="str">
        <f t="shared" si="646"/>
        <v/>
      </c>
      <c r="C1755" s="1" t="e">
        <f>VLOOKUP(B1755,'Master truck list'!D:E,2,0)</f>
        <v>#N/A</v>
      </c>
      <c r="D1755" s="1" t="e">
        <f>VLOOKUP(C1755,'Master truck list'!E:F,2,0)</f>
        <v>#N/A</v>
      </c>
      <c r="E1755" s="1" t="e">
        <f>VLOOKUP(C1755,'Master truck list'!E:M,9,0)</f>
        <v>#N/A</v>
      </c>
      <c r="F1755" s="1" t="e">
        <f>VLOOKUP(C1755,'Master truck list'!E:G,3,0)</f>
        <v>#N/A</v>
      </c>
      <c r="G1755" s="1" t="e">
        <f>VLOOKUP(C1755,'Master truck list'!E:R,14,0)</f>
        <v>#N/A</v>
      </c>
    </row>
    <row r="1756" spans="1:7" x14ac:dyDescent="0.25">
      <c r="A1756" s="1" t="str">
        <f t="shared" si="645"/>
        <v/>
      </c>
      <c r="B1756" s="1" t="str">
        <f t="shared" si="646"/>
        <v/>
      </c>
      <c r="C1756" s="1" t="e">
        <f>VLOOKUP(B1756,'Master truck list'!D:E,2,0)</f>
        <v>#N/A</v>
      </c>
      <c r="D1756" s="1" t="e">
        <f>VLOOKUP(C1756,'Master truck list'!E:F,2,0)</f>
        <v>#N/A</v>
      </c>
      <c r="E1756" s="1" t="e">
        <f>VLOOKUP(C1756,'Master truck list'!E:M,9,0)</f>
        <v>#N/A</v>
      </c>
      <c r="F1756" s="1" t="e">
        <f>VLOOKUP(C1756,'Master truck list'!E:G,3,0)</f>
        <v>#N/A</v>
      </c>
      <c r="G1756" s="1" t="e">
        <f>VLOOKUP(C1756,'Master truck list'!E:R,14,0)</f>
        <v>#N/A</v>
      </c>
    </row>
    <row r="1757" spans="1:7" x14ac:dyDescent="0.25">
      <c r="A1757" s="1" t="str">
        <f t="shared" si="645"/>
        <v/>
      </c>
      <c r="B1757" s="1" t="str">
        <f t="shared" si="646"/>
        <v/>
      </c>
      <c r="C1757" s="1" t="e">
        <f>VLOOKUP(B1757,'Master truck list'!D:E,2,0)</f>
        <v>#N/A</v>
      </c>
      <c r="D1757" s="1" t="e">
        <f>VLOOKUP(C1757,'Master truck list'!E:F,2,0)</f>
        <v>#N/A</v>
      </c>
      <c r="E1757" s="1" t="e">
        <f>VLOOKUP(C1757,'Master truck list'!E:M,9,0)</f>
        <v>#N/A</v>
      </c>
      <c r="F1757" s="1" t="e">
        <f>VLOOKUP(C1757,'Master truck list'!E:G,3,0)</f>
        <v>#N/A</v>
      </c>
      <c r="G1757" s="1" t="e">
        <f>VLOOKUP(C1757,'Master truck list'!E:R,14,0)</f>
        <v>#N/A</v>
      </c>
    </row>
    <row r="1758" spans="1:7" x14ac:dyDescent="0.25">
      <c r="A1758" s="1" t="str">
        <f t="shared" si="645"/>
        <v/>
      </c>
      <c r="B1758" s="1" t="str">
        <f t="shared" si="646"/>
        <v/>
      </c>
      <c r="C1758" s="1" t="e">
        <f>VLOOKUP(B1758,'Master truck list'!D:E,2,0)</f>
        <v>#N/A</v>
      </c>
      <c r="D1758" s="1" t="e">
        <f>VLOOKUP(C1758,'Master truck list'!E:F,2,0)</f>
        <v>#N/A</v>
      </c>
      <c r="E1758" s="1" t="e">
        <f>VLOOKUP(C1758,'Master truck list'!E:M,9,0)</f>
        <v>#N/A</v>
      </c>
      <c r="F1758" s="1" t="e">
        <f>VLOOKUP(C1758,'Master truck list'!E:G,3,0)</f>
        <v>#N/A</v>
      </c>
      <c r="G1758" s="1" t="e">
        <f>VLOOKUP(C1758,'Master truck list'!E:R,14,0)</f>
        <v>#N/A</v>
      </c>
    </row>
    <row r="1759" spans="1:7" x14ac:dyDescent="0.25">
      <c r="A1759" s="1" t="str">
        <f t="shared" si="645"/>
        <v/>
      </c>
      <c r="B1759" s="1" t="str">
        <f t="shared" si="646"/>
        <v/>
      </c>
      <c r="C1759" s="1" t="e">
        <f>VLOOKUP(B1759,'Master truck list'!D:E,2,0)</f>
        <v>#N/A</v>
      </c>
      <c r="D1759" s="1" t="e">
        <f>VLOOKUP(C1759,'Master truck list'!E:F,2,0)</f>
        <v>#N/A</v>
      </c>
      <c r="E1759" s="1" t="e">
        <f>VLOOKUP(C1759,'Master truck list'!E:M,9,0)</f>
        <v>#N/A</v>
      </c>
      <c r="F1759" s="1" t="e">
        <f>VLOOKUP(C1759,'Master truck list'!E:G,3,0)</f>
        <v>#N/A</v>
      </c>
      <c r="G1759" s="1" t="e">
        <f>VLOOKUP(C1759,'Master truck list'!E:R,14,0)</f>
        <v>#N/A</v>
      </c>
    </row>
    <row r="1760" spans="1:7" x14ac:dyDescent="0.25">
      <c r="A1760" s="1" t="str">
        <f t="shared" si="645"/>
        <v/>
      </c>
      <c r="B1760" s="1" t="str">
        <f t="shared" si="646"/>
        <v/>
      </c>
      <c r="C1760" s="1" t="e">
        <f>VLOOKUP(B1760,'Master truck list'!D:E,2,0)</f>
        <v>#N/A</v>
      </c>
      <c r="D1760" s="1" t="e">
        <f>VLOOKUP(C1760,'Master truck list'!E:F,2,0)</f>
        <v>#N/A</v>
      </c>
      <c r="E1760" s="1" t="e">
        <f>VLOOKUP(C1760,'Master truck list'!E:M,9,0)</f>
        <v>#N/A</v>
      </c>
      <c r="F1760" s="1" t="e">
        <f>VLOOKUP(C1760,'Master truck list'!E:G,3,0)</f>
        <v>#N/A</v>
      </c>
      <c r="G1760" s="1" t="e">
        <f>VLOOKUP(C1760,'Master truck list'!E:R,14,0)</f>
        <v>#N/A</v>
      </c>
    </row>
    <row r="1761" spans="1:7" x14ac:dyDescent="0.25">
      <c r="A1761" s="1" t="str">
        <f t="shared" si="645"/>
        <v/>
      </c>
      <c r="B1761" s="1" t="str">
        <f t="shared" si="646"/>
        <v/>
      </c>
      <c r="C1761" s="1" t="e">
        <f>VLOOKUP(B1761,'Master truck list'!D:E,2,0)</f>
        <v>#N/A</v>
      </c>
      <c r="D1761" s="1" t="e">
        <f>VLOOKUP(C1761,'Master truck list'!E:F,2,0)</f>
        <v>#N/A</v>
      </c>
      <c r="E1761" s="1" t="e">
        <f>VLOOKUP(C1761,'Master truck list'!E:M,9,0)</f>
        <v>#N/A</v>
      </c>
      <c r="F1761" s="1" t="e">
        <f>VLOOKUP(C1761,'Master truck list'!E:G,3,0)</f>
        <v>#N/A</v>
      </c>
      <c r="G1761" s="1" t="e">
        <f>VLOOKUP(C1761,'Master truck list'!E:R,14,0)</f>
        <v>#N/A</v>
      </c>
    </row>
    <row r="1762" spans="1:7" x14ac:dyDescent="0.25">
      <c r="A1762" s="1" t="str">
        <f t="shared" si="645"/>
        <v/>
      </c>
      <c r="B1762" s="1" t="str">
        <f t="shared" si="646"/>
        <v/>
      </c>
      <c r="C1762" s="1" t="e">
        <f>VLOOKUP(B1762,'Master truck list'!D:E,2,0)</f>
        <v>#N/A</v>
      </c>
      <c r="D1762" s="1" t="e">
        <f>VLOOKUP(C1762,'Master truck list'!E:F,2,0)</f>
        <v>#N/A</v>
      </c>
      <c r="E1762" s="1" t="e">
        <f>VLOOKUP(C1762,'Master truck list'!E:M,9,0)</f>
        <v>#N/A</v>
      </c>
      <c r="F1762" s="1" t="e">
        <f>VLOOKUP(C1762,'Master truck list'!E:G,3,0)</f>
        <v>#N/A</v>
      </c>
      <c r="G1762" s="1" t="e">
        <f>VLOOKUP(C1762,'Master truck list'!E:R,14,0)</f>
        <v>#N/A</v>
      </c>
    </row>
    <row r="1763" spans="1:7" x14ac:dyDescent="0.25">
      <c r="A1763" s="1" t="str">
        <f t="shared" si="645"/>
        <v/>
      </c>
      <c r="B1763" s="1" t="str">
        <f t="shared" si="646"/>
        <v/>
      </c>
      <c r="C1763" s="1" t="e">
        <f>VLOOKUP(B1763,'Master truck list'!D:E,2,0)</f>
        <v>#N/A</v>
      </c>
      <c r="D1763" s="1" t="e">
        <f>VLOOKUP(C1763,'Master truck list'!E:F,2,0)</f>
        <v>#N/A</v>
      </c>
      <c r="E1763" s="1" t="e">
        <f>VLOOKUP(C1763,'Master truck list'!E:M,9,0)</f>
        <v>#N/A</v>
      </c>
      <c r="F1763" s="1" t="e">
        <f>VLOOKUP(C1763,'Master truck list'!E:G,3,0)</f>
        <v>#N/A</v>
      </c>
      <c r="G1763" s="1" t="e">
        <f>VLOOKUP(C1763,'Master truck list'!E:R,14,0)</f>
        <v>#N/A</v>
      </c>
    </row>
    <row r="1764" spans="1:7" x14ac:dyDescent="0.25">
      <c r="A1764" s="1" t="str">
        <f t="shared" ref="A1764:A1827" si="647">LEFT(N1966,5)</f>
        <v/>
      </c>
      <c r="B1764" s="1" t="str">
        <f t="shared" si="646"/>
        <v/>
      </c>
      <c r="C1764" s="1" t="e">
        <f>VLOOKUP(B1764,'Master truck list'!D:E,2,0)</f>
        <v>#N/A</v>
      </c>
      <c r="D1764" s="1" t="e">
        <f>VLOOKUP(C1764,'Master truck list'!E:F,2,0)</f>
        <v>#N/A</v>
      </c>
      <c r="E1764" s="1" t="e">
        <f>VLOOKUP(C1764,'Master truck list'!E:M,9,0)</f>
        <v>#N/A</v>
      </c>
      <c r="F1764" s="1" t="e">
        <f>VLOOKUP(C1764,'Master truck list'!E:G,3,0)</f>
        <v>#N/A</v>
      </c>
      <c r="G1764" s="1" t="e">
        <f>VLOOKUP(C1764,'Master truck list'!E:R,14,0)</f>
        <v>#N/A</v>
      </c>
    </row>
    <row r="1765" spans="1:7" x14ac:dyDescent="0.25">
      <c r="A1765" s="1" t="str">
        <f t="shared" si="647"/>
        <v/>
      </c>
      <c r="B1765" s="1" t="str">
        <f t="shared" si="646"/>
        <v/>
      </c>
      <c r="C1765" s="1" t="e">
        <f>VLOOKUP(B1765,'Master truck list'!D:E,2,0)</f>
        <v>#N/A</v>
      </c>
      <c r="D1765" s="1" t="e">
        <f>VLOOKUP(C1765,'Master truck list'!E:F,2,0)</f>
        <v>#N/A</v>
      </c>
      <c r="E1765" s="1" t="e">
        <f>VLOOKUP(C1765,'Master truck list'!E:M,9,0)</f>
        <v>#N/A</v>
      </c>
      <c r="F1765" s="1" t="e">
        <f>VLOOKUP(C1765,'Master truck list'!E:G,3,0)</f>
        <v>#N/A</v>
      </c>
      <c r="G1765" s="1" t="e">
        <f>VLOOKUP(C1765,'Master truck list'!E:R,14,0)</f>
        <v>#N/A</v>
      </c>
    </row>
    <row r="1766" spans="1:7" x14ac:dyDescent="0.25">
      <c r="A1766" s="1" t="str">
        <f t="shared" si="647"/>
        <v/>
      </c>
      <c r="B1766" s="1" t="str">
        <f t="shared" si="646"/>
        <v/>
      </c>
      <c r="C1766" s="1" t="e">
        <f>VLOOKUP(B1766,'Master truck list'!D:E,2,0)</f>
        <v>#N/A</v>
      </c>
      <c r="D1766" s="1" t="e">
        <f>VLOOKUP(C1766,'Master truck list'!E:F,2,0)</f>
        <v>#N/A</v>
      </c>
      <c r="E1766" s="1" t="e">
        <f>VLOOKUP(C1766,'Master truck list'!E:M,9,0)</f>
        <v>#N/A</v>
      </c>
      <c r="F1766" s="1" t="e">
        <f>VLOOKUP(C1766,'Master truck list'!E:G,3,0)</f>
        <v>#N/A</v>
      </c>
      <c r="G1766" s="1" t="e">
        <f>VLOOKUP(C1766,'Master truck list'!E:R,14,0)</f>
        <v>#N/A</v>
      </c>
    </row>
    <row r="1767" spans="1:7" x14ac:dyDescent="0.25">
      <c r="A1767" s="1" t="str">
        <f t="shared" si="647"/>
        <v/>
      </c>
      <c r="B1767" s="1" t="str">
        <f t="shared" si="646"/>
        <v/>
      </c>
      <c r="C1767" s="1" t="e">
        <f>VLOOKUP(B1767,'Master truck list'!D:E,2,0)</f>
        <v>#N/A</v>
      </c>
      <c r="D1767" s="1" t="e">
        <f>VLOOKUP(C1767,'Master truck list'!E:F,2,0)</f>
        <v>#N/A</v>
      </c>
      <c r="E1767" s="1" t="e">
        <f>VLOOKUP(C1767,'Master truck list'!E:M,9,0)</f>
        <v>#N/A</v>
      </c>
      <c r="F1767" s="1" t="e">
        <f>VLOOKUP(C1767,'Master truck list'!E:G,3,0)</f>
        <v>#N/A</v>
      </c>
      <c r="G1767" s="1" t="e">
        <f>VLOOKUP(C1767,'Master truck list'!E:R,14,0)</f>
        <v>#N/A</v>
      </c>
    </row>
    <row r="1768" spans="1:7" x14ac:dyDescent="0.25">
      <c r="A1768" s="1" t="str">
        <f t="shared" si="647"/>
        <v/>
      </c>
      <c r="B1768" s="1" t="str">
        <f t="shared" si="646"/>
        <v/>
      </c>
      <c r="C1768" s="1" t="e">
        <f>VLOOKUP(B1768,'Master truck list'!D:E,2,0)</f>
        <v>#N/A</v>
      </c>
      <c r="D1768" s="1" t="e">
        <f>VLOOKUP(C1768,'Master truck list'!E:F,2,0)</f>
        <v>#N/A</v>
      </c>
      <c r="E1768" s="1" t="e">
        <f>VLOOKUP(C1768,'Master truck list'!E:M,9,0)</f>
        <v>#N/A</v>
      </c>
      <c r="F1768" s="1" t="e">
        <f>VLOOKUP(C1768,'Master truck list'!E:G,3,0)</f>
        <v>#N/A</v>
      </c>
      <c r="G1768" s="1" t="e">
        <f>VLOOKUP(C1768,'Master truck list'!E:R,14,0)</f>
        <v>#N/A</v>
      </c>
    </row>
    <row r="1769" spans="1:7" x14ac:dyDescent="0.25">
      <c r="A1769" s="1" t="str">
        <f t="shared" si="647"/>
        <v/>
      </c>
      <c r="B1769" s="1" t="str">
        <f t="shared" si="646"/>
        <v/>
      </c>
      <c r="C1769" s="1" t="e">
        <f>VLOOKUP(B1769,'Master truck list'!D:E,2,0)</f>
        <v>#N/A</v>
      </c>
      <c r="D1769" s="1" t="e">
        <f>VLOOKUP(C1769,'Master truck list'!E:F,2,0)</f>
        <v>#N/A</v>
      </c>
      <c r="E1769" s="1" t="e">
        <f>VLOOKUP(C1769,'Master truck list'!E:M,9,0)</f>
        <v>#N/A</v>
      </c>
      <c r="F1769" s="1" t="e">
        <f>VLOOKUP(C1769,'Master truck list'!E:G,3,0)</f>
        <v>#N/A</v>
      </c>
      <c r="G1769" s="1" t="e">
        <f>VLOOKUP(C1769,'Master truck list'!E:R,14,0)</f>
        <v>#N/A</v>
      </c>
    </row>
    <row r="1770" spans="1:7" x14ac:dyDescent="0.25">
      <c r="A1770" s="1" t="str">
        <f t="shared" si="647"/>
        <v/>
      </c>
      <c r="B1770" s="1" t="str">
        <f t="shared" si="646"/>
        <v/>
      </c>
      <c r="C1770" s="1" t="e">
        <f>VLOOKUP(B1770,'Master truck list'!D:E,2,0)</f>
        <v>#N/A</v>
      </c>
      <c r="D1770" s="1" t="e">
        <f>VLOOKUP(C1770,'Master truck list'!E:F,2,0)</f>
        <v>#N/A</v>
      </c>
      <c r="E1770" s="1" t="e">
        <f>VLOOKUP(C1770,'Master truck list'!E:M,9,0)</f>
        <v>#N/A</v>
      </c>
      <c r="F1770" s="1" t="e">
        <f>VLOOKUP(C1770,'Master truck list'!E:G,3,0)</f>
        <v>#N/A</v>
      </c>
      <c r="G1770" s="1" t="e">
        <f>VLOOKUP(C1770,'Master truck list'!E:R,14,0)</f>
        <v>#N/A</v>
      </c>
    </row>
    <row r="1771" spans="1:7" x14ac:dyDescent="0.25">
      <c r="A1771" s="1" t="str">
        <f t="shared" si="647"/>
        <v/>
      </c>
      <c r="B1771" s="1" t="str">
        <f t="shared" si="646"/>
        <v/>
      </c>
      <c r="C1771" s="1" t="e">
        <f>VLOOKUP(B1771,'Master truck list'!D:E,2,0)</f>
        <v>#N/A</v>
      </c>
      <c r="D1771" s="1" t="e">
        <f>VLOOKUP(C1771,'Master truck list'!E:F,2,0)</f>
        <v>#N/A</v>
      </c>
      <c r="E1771" s="1" t="e">
        <f>VLOOKUP(C1771,'Master truck list'!E:M,9,0)</f>
        <v>#N/A</v>
      </c>
      <c r="F1771" s="1" t="e">
        <f>VLOOKUP(C1771,'Master truck list'!E:G,3,0)</f>
        <v>#N/A</v>
      </c>
      <c r="G1771" s="1" t="e">
        <f>VLOOKUP(C1771,'Master truck list'!E:R,14,0)</f>
        <v>#N/A</v>
      </c>
    </row>
    <row r="1772" spans="1:7" x14ac:dyDescent="0.25">
      <c r="A1772" s="1" t="str">
        <f t="shared" si="647"/>
        <v/>
      </c>
      <c r="B1772" s="1" t="str">
        <f t="shared" si="646"/>
        <v/>
      </c>
      <c r="C1772" s="1" t="e">
        <f>VLOOKUP(B1772,'Master truck list'!D:E,2,0)</f>
        <v>#N/A</v>
      </c>
      <c r="D1772" s="1" t="e">
        <f>VLOOKUP(C1772,'Master truck list'!E:F,2,0)</f>
        <v>#N/A</v>
      </c>
      <c r="E1772" s="1" t="e">
        <f>VLOOKUP(C1772,'Master truck list'!E:M,9,0)</f>
        <v>#N/A</v>
      </c>
      <c r="F1772" s="1" t="e">
        <f>VLOOKUP(C1772,'Master truck list'!E:G,3,0)</f>
        <v>#N/A</v>
      </c>
      <c r="G1772" s="1" t="e">
        <f>VLOOKUP(C1772,'Master truck list'!E:R,14,0)</f>
        <v>#N/A</v>
      </c>
    </row>
    <row r="1773" spans="1:7" x14ac:dyDescent="0.25">
      <c r="A1773" s="1" t="str">
        <f t="shared" si="647"/>
        <v/>
      </c>
      <c r="B1773" s="1" t="str">
        <f t="shared" si="646"/>
        <v/>
      </c>
      <c r="C1773" s="1" t="e">
        <f>VLOOKUP(B1773,'Master truck list'!D:E,2,0)</f>
        <v>#N/A</v>
      </c>
      <c r="D1773" s="1" t="e">
        <f>VLOOKUP(C1773,'Master truck list'!E:F,2,0)</f>
        <v>#N/A</v>
      </c>
      <c r="E1773" s="1" t="e">
        <f>VLOOKUP(C1773,'Master truck list'!E:M,9,0)</f>
        <v>#N/A</v>
      </c>
      <c r="F1773" s="1" t="e">
        <f>VLOOKUP(C1773,'Master truck list'!E:G,3,0)</f>
        <v>#N/A</v>
      </c>
      <c r="G1773" s="1" t="e">
        <f>VLOOKUP(C1773,'Master truck list'!E:R,14,0)</f>
        <v>#N/A</v>
      </c>
    </row>
    <row r="1774" spans="1:7" x14ac:dyDescent="0.25">
      <c r="A1774" s="1" t="str">
        <f t="shared" si="647"/>
        <v/>
      </c>
      <c r="B1774" s="1" t="str">
        <f t="shared" si="646"/>
        <v/>
      </c>
      <c r="C1774" s="1" t="e">
        <f>VLOOKUP(B1774,'Master truck list'!D:E,2,0)</f>
        <v>#N/A</v>
      </c>
      <c r="D1774" s="1" t="e">
        <f>VLOOKUP(C1774,'Master truck list'!E:F,2,0)</f>
        <v>#N/A</v>
      </c>
      <c r="E1774" s="1" t="e">
        <f>VLOOKUP(C1774,'Master truck list'!E:M,9,0)</f>
        <v>#N/A</v>
      </c>
      <c r="F1774" s="1" t="e">
        <f>VLOOKUP(C1774,'Master truck list'!E:G,3,0)</f>
        <v>#N/A</v>
      </c>
      <c r="G1774" s="1" t="e">
        <f>VLOOKUP(C1774,'Master truck list'!E:R,14,0)</f>
        <v>#N/A</v>
      </c>
    </row>
    <row r="1775" spans="1:7" x14ac:dyDescent="0.25">
      <c r="A1775" s="1" t="str">
        <f t="shared" si="647"/>
        <v/>
      </c>
      <c r="B1775" s="1" t="str">
        <f t="shared" si="646"/>
        <v/>
      </c>
      <c r="C1775" s="1" t="e">
        <f>VLOOKUP(B1775,'Master truck list'!D:E,2,0)</f>
        <v>#N/A</v>
      </c>
      <c r="D1775" s="1" t="e">
        <f>VLOOKUP(C1775,'Master truck list'!E:F,2,0)</f>
        <v>#N/A</v>
      </c>
      <c r="E1775" s="1" t="e">
        <f>VLOOKUP(C1775,'Master truck list'!E:M,9,0)</f>
        <v>#N/A</v>
      </c>
      <c r="F1775" s="1" t="e">
        <f>VLOOKUP(C1775,'Master truck list'!E:G,3,0)</f>
        <v>#N/A</v>
      </c>
      <c r="G1775" s="1" t="e">
        <f>VLOOKUP(C1775,'Master truck list'!E:R,14,0)</f>
        <v>#N/A</v>
      </c>
    </row>
    <row r="1776" spans="1:7" x14ac:dyDescent="0.25">
      <c r="A1776" s="1" t="str">
        <f t="shared" si="647"/>
        <v/>
      </c>
      <c r="B1776" s="1" t="str">
        <f t="shared" si="646"/>
        <v/>
      </c>
      <c r="C1776" s="1" t="e">
        <f>VLOOKUP(B1776,'Master truck list'!D:E,2,0)</f>
        <v>#N/A</v>
      </c>
      <c r="D1776" s="1" t="e">
        <f>VLOOKUP(C1776,'Master truck list'!E:F,2,0)</f>
        <v>#N/A</v>
      </c>
      <c r="E1776" s="1" t="e">
        <f>VLOOKUP(C1776,'Master truck list'!E:M,9,0)</f>
        <v>#N/A</v>
      </c>
      <c r="F1776" s="1" t="e">
        <f>VLOOKUP(C1776,'Master truck list'!E:G,3,0)</f>
        <v>#N/A</v>
      </c>
      <c r="G1776" s="1" t="e">
        <f>VLOOKUP(C1776,'Master truck list'!E:R,14,0)</f>
        <v>#N/A</v>
      </c>
    </row>
    <row r="1777" spans="1:7" x14ac:dyDescent="0.25">
      <c r="A1777" s="1" t="str">
        <f t="shared" si="647"/>
        <v/>
      </c>
      <c r="B1777" s="1" t="str">
        <f t="shared" si="646"/>
        <v/>
      </c>
      <c r="C1777" s="1" t="e">
        <f>VLOOKUP(B1777,'Master truck list'!D:E,2,0)</f>
        <v>#N/A</v>
      </c>
      <c r="D1777" s="1" t="e">
        <f>VLOOKUP(C1777,'Master truck list'!E:F,2,0)</f>
        <v>#N/A</v>
      </c>
      <c r="E1777" s="1" t="e">
        <f>VLOOKUP(C1777,'Master truck list'!E:M,9,0)</f>
        <v>#N/A</v>
      </c>
      <c r="F1777" s="1" t="e">
        <f>VLOOKUP(C1777,'Master truck list'!E:G,3,0)</f>
        <v>#N/A</v>
      </c>
      <c r="G1777" s="1" t="e">
        <f>VLOOKUP(C1777,'Master truck list'!E:R,14,0)</f>
        <v>#N/A</v>
      </c>
    </row>
    <row r="1778" spans="1:7" x14ac:dyDescent="0.25">
      <c r="A1778" s="1" t="str">
        <f t="shared" si="647"/>
        <v/>
      </c>
      <c r="B1778" s="1" t="str">
        <f t="shared" si="646"/>
        <v/>
      </c>
      <c r="C1778" s="1" t="e">
        <f>VLOOKUP(B1778,'Master truck list'!D:E,2,0)</f>
        <v>#N/A</v>
      </c>
      <c r="D1778" s="1" t="e">
        <f>VLOOKUP(C1778,'Master truck list'!E:F,2,0)</f>
        <v>#N/A</v>
      </c>
      <c r="E1778" s="1" t="e">
        <f>VLOOKUP(C1778,'Master truck list'!E:M,9,0)</f>
        <v>#N/A</v>
      </c>
      <c r="F1778" s="1" t="e">
        <f>VLOOKUP(C1778,'Master truck list'!E:G,3,0)</f>
        <v>#N/A</v>
      </c>
      <c r="G1778" s="1" t="e">
        <f>VLOOKUP(C1778,'Master truck list'!E:R,14,0)</f>
        <v>#N/A</v>
      </c>
    </row>
    <row r="1779" spans="1:7" x14ac:dyDescent="0.25">
      <c r="A1779" s="1" t="str">
        <f t="shared" si="647"/>
        <v/>
      </c>
      <c r="B1779" s="1" t="str">
        <f t="shared" si="646"/>
        <v/>
      </c>
      <c r="C1779" s="1" t="e">
        <f>VLOOKUP(B1779,'Master truck list'!D:E,2,0)</f>
        <v>#N/A</v>
      </c>
      <c r="D1779" s="1" t="e">
        <f>VLOOKUP(C1779,'Master truck list'!E:F,2,0)</f>
        <v>#N/A</v>
      </c>
      <c r="E1779" s="1" t="e">
        <f>VLOOKUP(C1779,'Master truck list'!E:M,9,0)</f>
        <v>#N/A</v>
      </c>
      <c r="F1779" s="1" t="e">
        <f>VLOOKUP(C1779,'Master truck list'!E:G,3,0)</f>
        <v>#N/A</v>
      </c>
      <c r="G1779" s="1" t="e">
        <f>VLOOKUP(C1779,'Master truck list'!E:R,14,0)</f>
        <v>#N/A</v>
      </c>
    </row>
    <row r="1780" spans="1:7" x14ac:dyDescent="0.25">
      <c r="A1780" s="1" t="str">
        <f t="shared" si="647"/>
        <v/>
      </c>
      <c r="B1780" s="1" t="str">
        <f t="shared" si="646"/>
        <v/>
      </c>
      <c r="C1780" s="1" t="e">
        <f>VLOOKUP(B1780,'Master truck list'!D:E,2,0)</f>
        <v>#N/A</v>
      </c>
      <c r="D1780" s="1" t="e">
        <f>VLOOKUP(C1780,'Master truck list'!E:F,2,0)</f>
        <v>#N/A</v>
      </c>
      <c r="E1780" s="1" t="e">
        <f>VLOOKUP(C1780,'Master truck list'!E:M,9,0)</f>
        <v>#N/A</v>
      </c>
      <c r="F1780" s="1" t="e">
        <f>VLOOKUP(C1780,'Master truck list'!E:G,3,0)</f>
        <v>#N/A</v>
      </c>
      <c r="G1780" s="1" t="e">
        <f>VLOOKUP(C1780,'Master truck list'!E:R,14,0)</f>
        <v>#N/A</v>
      </c>
    </row>
    <row r="1781" spans="1:7" x14ac:dyDescent="0.25">
      <c r="A1781" s="1" t="str">
        <f t="shared" si="647"/>
        <v/>
      </c>
      <c r="B1781" s="1" t="str">
        <f t="shared" si="646"/>
        <v/>
      </c>
      <c r="C1781" s="1" t="e">
        <f>VLOOKUP(B1781,'Master truck list'!D:E,2,0)</f>
        <v>#N/A</v>
      </c>
      <c r="D1781" s="1" t="e">
        <f>VLOOKUP(C1781,'Master truck list'!E:F,2,0)</f>
        <v>#N/A</v>
      </c>
      <c r="E1781" s="1" t="e">
        <f>VLOOKUP(C1781,'Master truck list'!E:M,9,0)</f>
        <v>#N/A</v>
      </c>
      <c r="F1781" s="1" t="e">
        <f>VLOOKUP(C1781,'Master truck list'!E:G,3,0)</f>
        <v>#N/A</v>
      </c>
      <c r="G1781" s="1" t="e">
        <f>VLOOKUP(C1781,'Master truck list'!E:R,14,0)</f>
        <v>#N/A</v>
      </c>
    </row>
    <row r="1782" spans="1:7" x14ac:dyDescent="0.25">
      <c r="A1782" s="1" t="str">
        <f t="shared" si="647"/>
        <v/>
      </c>
      <c r="B1782" s="1" t="str">
        <f t="shared" si="646"/>
        <v/>
      </c>
      <c r="C1782" s="1" t="e">
        <f>VLOOKUP(B1782,'Master truck list'!D:E,2,0)</f>
        <v>#N/A</v>
      </c>
      <c r="D1782" s="1" t="e">
        <f>VLOOKUP(C1782,'Master truck list'!E:F,2,0)</f>
        <v>#N/A</v>
      </c>
      <c r="E1782" s="1" t="e">
        <f>VLOOKUP(C1782,'Master truck list'!E:M,9,0)</f>
        <v>#N/A</v>
      </c>
      <c r="F1782" s="1" t="e">
        <f>VLOOKUP(C1782,'Master truck list'!E:G,3,0)</f>
        <v>#N/A</v>
      </c>
      <c r="G1782" s="1" t="e">
        <f>VLOOKUP(C1782,'Master truck list'!E:R,14,0)</f>
        <v>#N/A</v>
      </c>
    </row>
    <row r="1783" spans="1:7" x14ac:dyDescent="0.25">
      <c r="A1783" s="1" t="str">
        <f t="shared" si="647"/>
        <v/>
      </c>
      <c r="B1783" s="1" t="str">
        <f t="shared" si="646"/>
        <v/>
      </c>
      <c r="C1783" s="1" t="e">
        <f>VLOOKUP(B1783,'Master truck list'!D:E,2,0)</f>
        <v>#N/A</v>
      </c>
      <c r="D1783" s="1" t="e">
        <f>VLOOKUP(C1783,'Master truck list'!E:F,2,0)</f>
        <v>#N/A</v>
      </c>
      <c r="E1783" s="1" t="e">
        <f>VLOOKUP(C1783,'Master truck list'!E:M,9,0)</f>
        <v>#N/A</v>
      </c>
      <c r="F1783" s="1" t="e">
        <f>VLOOKUP(C1783,'Master truck list'!E:G,3,0)</f>
        <v>#N/A</v>
      </c>
      <c r="G1783" s="1" t="e">
        <f>VLOOKUP(C1783,'Master truck list'!E:R,14,0)</f>
        <v>#N/A</v>
      </c>
    </row>
    <row r="1784" spans="1:7" x14ac:dyDescent="0.25">
      <c r="A1784" s="1" t="str">
        <f t="shared" si="647"/>
        <v/>
      </c>
      <c r="B1784" s="1" t="str">
        <f t="shared" si="646"/>
        <v/>
      </c>
      <c r="C1784" s="1" t="e">
        <f>VLOOKUP(B1784,'Master truck list'!D:E,2,0)</f>
        <v>#N/A</v>
      </c>
      <c r="D1784" s="1" t="e">
        <f>VLOOKUP(C1784,'Master truck list'!E:F,2,0)</f>
        <v>#N/A</v>
      </c>
      <c r="E1784" s="1" t="e">
        <f>VLOOKUP(C1784,'Master truck list'!E:M,9,0)</f>
        <v>#N/A</v>
      </c>
      <c r="F1784" s="1" t="e">
        <f>VLOOKUP(C1784,'Master truck list'!E:G,3,0)</f>
        <v>#N/A</v>
      </c>
      <c r="G1784" s="1" t="e">
        <f>VLOOKUP(C1784,'Master truck list'!E:R,14,0)</f>
        <v>#N/A</v>
      </c>
    </row>
    <row r="1785" spans="1:7" x14ac:dyDescent="0.25">
      <c r="A1785" s="1" t="str">
        <f t="shared" si="647"/>
        <v/>
      </c>
      <c r="B1785" s="1" t="str">
        <f t="shared" ref="B1785:B1848" si="648">SUBSTITUTE(A1785," ","")</f>
        <v/>
      </c>
      <c r="C1785" s="1" t="e">
        <f>VLOOKUP(B1785,'Master truck list'!D:E,2,0)</f>
        <v>#N/A</v>
      </c>
      <c r="D1785" s="1" t="e">
        <f>VLOOKUP(C1785,'Master truck list'!E:F,2,0)</f>
        <v>#N/A</v>
      </c>
      <c r="E1785" s="1" t="e">
        <f>VLOOKUP(C1785,'Master truck list'!E:M,9,0)</f>
        <v>#N/A</v>
      </c>
      <c r="F1785" s="1" t="e">
        <f>VLOOKUP(C1785,'Master truck list'!E:G,3,0)</f>
        <v>#N/A</v>
      </c>
      <c r="G1785" s="1" t="e">
        <f>VLOOKUP(C1785,'Master truck list'!E:R,14,0)</f>
        <v>#N/A</v>
      </c>
    </row>
    <row r="1786" spans="1:7" x14ac:dyDescent="0.25">
      <c r="A1786" s="1" t="str">
        <f t="shared" si="647"/>
        <v/>
      </c>
      <c r="B1786" s="1" t="str">
        <f t="shared" si="648"/>
        <v/>
      </c>
      <c r="C1786" s="1" t="e">
        <f>VLOOKUP(B1786,'Master truck list'!D:E,2,0)</f>
        <v>#N/A</v>
      </c>
      <c r="D1786" s="1" t="e">
        <f>VLOOKUP(C1786,'Master truck list'!E:F,2,0)</f>
        <v>#N/A</v>
      </c>
      <c r="E1786" s="1" t="e">
        <f>VLOOKUP(C1786,'Master truck list'!E:M,9,0)</f>
        <v>#N/A</v>
      </c>
      <c r="F1786" s="1" t="e">
        <f>VLOOKUP(C1786,'Master truck list'!E:G,3,0)</f>
        <v>#N/A</v>
      </c>
      <c r="G1786" s="1" t="e">
        <f>VLOOKUP(C1786,'Master truck list'!E:R,14,0)</f>
        <v>#N/A</v>
      </c>
    </row>
    <row r="1787" spans="1:7" x14ac:dyDescent="0.25">
      <c r="A1787" s="1" t="str">
        <f t="shared" si="647"/>
        <v/>
      </c>
      <c r="B1787" s="1" t="str">
        <f t="shared" si="648"/>
        <v/>
      </c>
      <c r="C1787" s="1" t="e">
        <f>VLOOKUP(B1787,'Master truck list'!D:E,2,0)</f>
        <v>#N/A</v>
      </c>
      <c r="D1787" s="1" t="e">
        <f>VLOOKUP(C1787,'Master truck list'!E:F,2,0)</f>
        <v>#N/A</v>
      </c>
      <c r="E1787" s="1" t="e">
        <f>VLOOKUP(C1787,'Master truck list'!E:M,9,0)</f>
        <v>#N/A</v>
      </c>
      <c r="F1787" s="1" t="e">
        <f>VLOOKUP(C1787,'Master truck list'!E:G,3,0)</f>
        <v>#N/A</v>
      </c>
      <c r="G1787" s="1" t="e">
        <f>VLOOKUP(C1787,'Master truck list'!E:R,14,0)</f>
        <v>#N/A</v>
      </c>
    </row>
    <row r="1788" spans="1:7" x14ac:dyDescent="0.25">
      <c r="A1788" s="1" t="str">
        <f t="shared" si="647"/>
        <v/>
      </c>
      <c r="B1788" s="1" t="str">
        <f t="shared" si="648"/>
        <v/>
      </c>
      <c r="C1788" s="1" t="e">
        <f>VLOOKUP(B1788,'Master truck list'!D:E,2,0)</f>
        <v>#N/A</v>
      </c>
      <c r="D1788" s="1" t="e">
        <f>VLOOKUP(C1788,'Master truck list'!E:F,2,0)</f>
        <v>#N/A</v>
      </c>
      <c r="E1788" s="1" t="e">
        <f>VLOOKUP(C1788,'Master truck list'!E:M,9,0)</f>
        <v>#N/A</v>
      </c>
      <c r="F1788" s="1" t="e">
        <f>VLOOKUP(C1788,'Master truck list'!E:G,3,0)</f>
        <v>#N/A</v>
      </c>
      <c r="G1788" s="1" t="e">
        <f>VLOOKUP(C1788,'Master truck list'!E:R,14,0)</f>
        <v>#N/A</v>
      </c>
    </row>
    <row r="1789" spans="1:7" x14ac:dyDescent="0.25">
      <c r="A1789" s="1" t="str">
        <f t="shared" si="647"/>
        <v/>
      </c>
      <c r="B1789" s="1" t="str">
        <f t="shared" si="648"/>
        <v/>
      </c>
      <c r="C1789" s="1" t="e">
        <f>VLOOKUP(B1789,'Master truck list'!D:E,2,0)</f>
        <v>#N/A</v>
      </c>
      <c r="D1789" s="1" t="e">
        <f>VLOOKUP(C1789,'Master truck list'!E:F,2,0)</f>
        <v>#N/A</v>
      </c>
      <c r="E1789" s="1" t="e">
        <f>VLOOKUP(C1789,'Master truck list'!E:M,9,0)</f>
        <v>#N/A</v>
      </c>
      <c r="F1789" s="1" t="e">
        <f>VLOOKUP(C1789,'Master truck list'!E:G,3,0)</f>
        <v>#N/A</v>
      </c>
      <c r="G1789" s="1" t="e">
        <f>VLOOKUP(C1789,'Master truck list'!E:R,14,0)</f>
        <v>#N/A</v>
      </c>
    </row>
    <row r="1790" spans="1:7" x14ac:dyDescent="0.25">
      <c r="A1790" s="1" t="str">
        <f t="shared" si="647"/>
        <v/>
      </c>
      <c r="B1790" s="1" t="str">
        <f t="shared" si="648"/>
        <v/>
      </c>
      <c r="C1790" s="1" t="e">
        <f>VLOOKUP(B1790,'Master truck list'!D:E,2,0)</f>
        <v>#N/A</v>
      </c>
      <c r="D1790" s="1" t="e">
        <f>VLOOKUP(C1790,'Master truck list'!E:F,2,0)</f>
        <v>#N/A</v>
      </c>
      <c r="E1790" s="1" t="e">
        <f>VLOOKUP(C1790,'Master truck list'!E:M,9,0)</f>
        <v>#N/A</v>
      </c>
      <c r="F1790" s="1" t="e">
        <f>VLOOKUP(C1790,'Master truck list'!E:G,3,0)</f>
        <v>#N/A</v>
      </c>
      <c r="G1790" s="1" t="e">
        <f>VLOOKUP(C1790,'Master truck list'!E:R,14,0)</f>
        <v>#N/A</v>
      </c>
    </row>
    <row r="1791" spans="1:7" x14ac:dyDescent="0.25">
      <c r="A1791" s="1" t="str">
        <f t="shared" si="647"/>
        <v/>
      </c>
      <c r="B1791" s="1" t="str">
        <f t="shared" si="648"/>
        <v/>
      </c>
      <c r="C1791" s="1" t="e">
        <f>VLOOKUP(B1791,'Master truck list'!D:E,2,0)</f>
        <v>#N/A</v>
      </c>
      <c r="D1791" s="1" t="e">
        <f>VLOOKUP(C1791,'Master truck list'!E:F,2,0)</f>
        <v>#N/A</v>
      </c>
      <c r="E1791" s="1" t="e">
        <f>VLOOKUP(C1791,'Master truck list'!E:M,9,0)</f>
        <v>#N/A</v>
      </c>
      <c r="F1791" s="1" t="e">
        <f>VLOOKUP(C1791,'Master truck list'!E:G,3,0)</f>
        <v>#N/A</v>
      </c>
      <c r="G1791" s="1" t="e">
        <f>VLOOKUP(C1791,'Master truck list'!E:R,14,0)</f>
        <v>#N/A</v>
      </c>
    </row>
    <row r="1792" spans="1:7" x14ac:dyDescent="0.25">
      <c r="A1792" s="1" t="str">
        <f t="shared" si="647"/>
        <v/>
      </c>
      <c r="B1792" s="1" t="str">
        <f t="shared" si="648"/>
        <v/>
      </c>
      <c r="C1792" s="1" t="e">
        <f>VLOOKUP(B1792,'Master truck list'!D:E,2,0)</f>
        <v>#N/A</v>
      </c>
      <c r="D1792" s="1" t="e">
        <f>VLOOKUP(C1792,'Master truck list'!E:F,2,0)</f>
        <v>#N/A</v>
      </c>
      <c r="E1792" s="1" t="e">
        <f>VLOOKUP(C1792,'Master truck list'!E:M,9,0)</f>
        <v>#N/A</v>
      </c>
      <c r="F1792" s="1" t="e">
        <f>VLOOKUP(C1792,'Master truck list'!E:G,3,0)</f>
        <v>#N/A</v>
      </c>
      <c r="G1792" s="1" t="e">
        <f>VLOOKUP(C1792,'Master truck list'!E:R,14,0)</f>
        <v>#N/A</v>
      </c>
    </row>
    <row r="1793" spans="1:7" x14ac:dyDescent="0.25">
      <c r="A1793" s="1" t="str">
        <f t="shared" si="647"/>
        <v/>
      </c>
      <c r="B1793" s="1" t="str">
        <f t="shared" si="648"/>
        <v/>
      </c>
      <c r="C1793" s="1" t="e">
        <f>VLOOKUP(B1793,'Master truck list'!D:E,2,0)</f>
        <v>#N/A</v>
      </c>
      <c r="D1793" s="1" t="e">
        <f>VLOOKUP(C1793,'Master truck list'!E:F,2,0)</f>
        <v>#N/A</v>
      </c>
      <c r="E1793" s="1" t="e">
        <f>VLOOKUP(C1793,'Master truck list'!E:M,9,0)</f>
        <v>#N/A</v>
      </c>
      <c r="F1793" s="1" t="e">
        <f>VLOOKUP(C1793,'Master truck list'!E:G,3,0)</f>
        <v>#N/A</v>
      </c>
      <c r="G1793" s="1" t="e">
        <f>VLOOKUP(C1793,'Master truck list'!E:R,14,0)</f>
        <v>#N/A</v>
      </c>
    </row>
    <row r="1794" spans="1:7" x14ac:dyDescent="0.25">
      <c r="A1794" s="1" t="str">
        <f t="shared" si="647"/>
        <v/>
      </c>
      <c r="B1794" s="1" t="str">
        <f t="shared" si="648"/>
        <v/>
      </c>
      <c r="C1794" s="1" t="e">
        <f>VLOOKUP(B1794,'Master truck list'!D:E,2,0)</f>
        <v>#N/A</v>
      </c>
      <c r="D1794" s="1" t="e">
        <f>VLOOKUP(C1794,'Master truck list'!E:F,2,0)</f>
        <v>#N/A</v>
      </c>
      <c r="E1794" s="1" t="e">
        <f>VLOOKUP(C1794,'Master truck list'!E:M,9,0)</f>
        <v>#N/A</v>
      </c>
      <c r="F1794" s="1" t="e">
        <f>VLOOKUP(C1794,'Master truck list'!E:G,3,0)</f>
        <v>#N/A</v>
      </c>
      <c r="G1794" s="1" t="e">
        <f>VLOOKUP(C1794,'Master truck list'!E:R,14,0)</f>
        <v>#N/A</v>
      </c>
    </row>
    <row r="1795" spans="1:7" x14ac:dyDescent="0.25">
      <c r="A1795" s="1" t="str">
        <f t="shared" si="647"/>
        <v/>
      </c>
      <c r="B1795" s="1" t="str">
        <f t="shared" si="648"/>
        <v/>
      </c>
      <c r="C1795" s="1" t="e">
        <f>VLOOKUP(B1795,'Master truck list'!D:E,2,0)</f>
        <v>#N/A</v>
      </c>
      <c r="D1795" s="1" t="e">
        <f>VLOOKUP(C1795,'Master truck list'!E:F,2,0)</f>
        <v>#N/A</v>
      </c>
      <c r="E1795" s="1" t="e">
        <f>VLOOKUP(C1795,'Master truck list'!E:M,9,0)</f>
        <v>#N/A</v>
      </c>
      <c r="F1795" s="1" t="e">
        <f>VLOOKUP(C1795,'Master truck list'!E:G,3,0)</f>
        <v>#N/A</v>
      </c>
      <c r="G1795" s="1" t="e">
        <f>VLOOKUP(C1795,'Master truck list'!E:R,14,0)</f>
        <v>#N/A</v>
      </c>
    </row>
    <row r="1796" spans="1:7" x14ac:dyDescent="0.25">
      <c r="A1796" s="1" t="str">
        <f t="shared" si="647"/>
        <v/>
      </c>
      <c r="B1796" s="1" t="str">
        <f t="shared" si="648"/>
        <v/>
      </c>
      <c r="C1796" s="1" t="e">
        <f>VLOOKUP(B1796,'Master truck list'!D:E,2,0)</f>
        <v>#N/A</v>
      </c>
      <c r="D1796" s="1" t="e">
        <f>VLOOKUP(C1796,'Master truck list'!E:F,2,0)</f>
        <v>#N/A</v>
      </c>
      <c r="E1796" s="1" t="e">
        <f>VLOOKUP(C1796,'Master truck list'!E:M,9,0)</f>
        <v>#N/A</v>
      </c>
      <c r="F1796" s="1" t="e">
        <f>VLOOKUP(C1796,'Master truck list'!E:G,3,0)</f>
        <v>#N/A</v>
      </c>
      <c r="G1796" s="1" t="e">
        <f>VLOOKUP(C1796,'Master truck list'!E:R,14,0)</f>
        <v>#N/A</v>
      </c>
    </row>
    <row r="1797" spans="1:7" x14ac:dyDescent="0.25">
      <c r="A1797" s="1" t="str">
        <f t="shared" si="647"/>
        <v/>
      </c>
      <c r="B1797" s="1" t="str">
        <f t="shared" si="648"/>
        <v/>
      </c>
      <c r="C1797" s="1" t="e">
        <f>VLOOKUP(B1797,'Master truck list'!D:E,2,0)</f>
        <v>#N/A</v>
      </c>
      <c r="D1797" s="1" t="e">
        <f>VLOOKUP(C1797,'Master truck list'!E:F,2,0)</f>
        <v>#N/A</v>
      </c>
      <c r="E1797" s="1" t="e">
        <f>VLOOKUP(C1797,'Master truck list'!E:M,9,0)</f>
        <v>#N/A</v>
      </c>
      <c r="F1797" s="1" t="e">
        <f>VLOOKUP(C1797,'Master truck list'!E:G,3,0)</f>
        <v>#N/A</v>
      </c>
      <c r="G1797" s="1" t="e">
        <f>VLOOKUP(C1797,'Master truck list'!E:R,14,0)</f>
        <v>#N/A</v>
      </c>
    </row>
    <row r="1798" spans="1:7" x14ac:dyDescent="0.25">
      <c r="A1798" s="1" t="str">
        <f t="shared" si="647"/>
        <v/>
      </c>
      <c r="B1798" s="1" t="str">
        <f t="shared" si="648"/>
        <v/>
      </c>
      <c r="C1798" s="1" t="e">
        <f>VLOOKUP(B1798,'Master truck list'!D:E,2,0)</f>
        <v>#N/A</v>
      </c>
      <c r="D1798" s="1" t="e">
        <f>VLOOKUP(C1798,'Master truck list'!E:F,2,0)</f>
        <v>#N/A</v>
      </c>
      <c r="E1798" s="1" t="e">
        <f>VLOOKUP(C1798,'Master truck list'!E:M,9,0)</f>
        <v>#N/A</v>
      </c>
      <c r="F1798" s="1" t="e">
        <f>VLOOKUP(C1798,'Master truck list'!E:G,3,0)</f>
        <v>#N/A</v>
      </c>
      <c r="G1798" s="1" t="e">
        <f>VLOOKUP(C1798,'Master truck list'!E:R,14,0)</f>
        <v>#N/A</v>
      </c>
    </row>
    <row r="1799" spans="1:7" x14ac:dyDescent="0.25">
      <c r="A1799" s="1" t="str">
        <f t="shared" si="647"/>
        <v/>
      </c>
      <c r="B1799" s="1" t="str">
        <f t="shared" si="648"/>
        <v/>
      </c>
      <c r="C1799" s="1" t="e">
        <f>VLOOKUP(B1799,'Master truck list'!D:E,2,0)</f>
        <v>#N/A</v>
      </c>
      <c r="D1799" s="1" t="e">
        <f>VLOOKUP(C1799,'Master truck list'!E:F,2,0)</f>
        <v>#N/A</v>
      </c>
      <c r="E1799" s="1" t="e">
        <f>VLOOKUP(C1799,'Master truck list'!E:M,9,0)</f>
        <v>#N/A</v>
      </c>
      <c r="F1799" s="1" t="e">
        <f>VLOOKUP(C1799,'Master truck list'!E:G,3,0)</f>
        <v>#N/A</v>
      </c>
      <c r="G1799" s="1" t="e">
        <f>VLOOKUP(C1799,'Master truck list'!E:R,14,0)</f>
        <v>#N/A</v>
      </c>
    </row>
    <row r="1800" spans="1:7" x14ac:dyDescent="0.25">
      <c r="A1800" s="1" t="str">
        <f t="shared" si="647"/>
        <v/>
      </c>
      <c r="B1800" s="1" t="str">
        <f t="shared" si="648"/>
        <v/>
      </c>
      <c r="C1800" s="1" t="e">
        <f>VLOOKUP(B1800,'Master truck list'!D:E,2,0)</f>
        <v>#N/A</v>
      </c>
      <c r="D1800" s="1" t="e">
        <f>VLOOKUP(C1800,'Master truck list'!E:F,2,0)</f>
        <v>#N/A</v>
      </c>
      <c r="E1800" s="1" t="e">
        <f>VLOOKUP(C1800,'Master truck list'!E:M,9,0)</f>
        <v>#N/A</v>
      </c>
      <c r="F1800" s="1" t="e">
        <f>VLOOKUP(C1800,'Master truck list'!E:G,3,0)</f>
        <v>#N/A</v>
      </c>
      <c r="G1800" s="1" t="e">
        <f>VLOOKUP(C1800,'Master truck list'!E:R,14,0)</f>
        <v>#N/A</v>
      </c>
    </row>
    <row r="1801" spans="1:7" x14ac:dyDescent="0.25">
      <c r="A1801" s="1" t="str">
        <f t="shared" si="647"/>
        <v/>
      </c>
      <c r="B1801" s="1" t="str">
        <f t="shared" si="648"/>
        <v/>
      </c>
      <c r="C1801" s="1" t="e">
        <f>VLOOKUP(B1801,'Master truck list'!D:E,2,0)</f>
        <v>#N/A</v>
      </c>
      <c r="D1801" s="1" t="e">
        <f>VLOOKUP(C1801,'Master truck list'!E:F,2,0)</f>
        <v>#N/A</v>
      </c>
      <c r="E1801" s="1" t="e">
        <f>VLOOKUP(C1801,'Master truck list'!E:M,9,0)</f>
        <v>#N/A</v>
      </c>
      <c r="F1801" s="1" t="e">
        <f>VLOOKUP(C1801,'Master truck list'!E:G,3,0)</f>
        <v>#N/A</v>
      </c>
      <c r="G1801" s="1" t="e">
        <f>VLOOKUP(C1801,'Master truck list'!E:R,14,0)</f>
        <v>#N/A</v>
      </c>
    </row>
    <row r="1802" spans="1:7" x14ac:dyDescent="0.25">
      <c r="A1802" s="1" t="str">
        <f t="shared" si="647"/>
        <v/>
      </c>
      <c r="B1802" s="1" t="str">
        <f t="shared" si="648"/>
        <v/>
      </c>
      <c r="C1802" s="1" t="e">
        <f>VLOOKUP(B1802,'Master truck list'!D:E,2,0)</f>
        <v>#N/A</v>
      </c>
      <c r="D1802" s="1" t="e">
        <f>VLOOKUP(C1802,'Master truck list'!E:F,2,0)</f>
        <v>#N/A</v>
      </c>
      <c r="E1802" s="1" t="e">
        <f>VLOOKUP(C1802,'Master truck list'!E:M,9,0)</f>
        <v>#N/A</v>
      </c>
      <c r="F1802" s="1" t="e">
        <f>VLOOKUP(C1802,'Master truck list'!E:G,3,0)</f>
        <v>#N/A</v>
      </c>
      <c r="G1802" s="1" t="e">
        <f>VLOOKUP(C1802,'Master truck list'!E:R,14,0)</f>
        <v>#N/A</v>
      </c>
    </row>
    <row r="1803" spans="1:7" x14ac:dyDescent="0.25">
      <c r="A1803" s="1" t="str">
        <f t="shared" si="647"/>
        <v/>
      </c>
      <c r="B1803" s="1" t="str">
        <f t="shared" si="648"/>
        <v/>
      </c>
      <c r="C1803" s="1" t="e">
        <f>VLOOKUP(B1803,'Master truck list'!D:E,2,0)</f>
        <v>#N/A</v>
      </c>
      <c r="D1803" s="1" t="e">
        <f>VLOOKUP(C1803,'Master truck list'!E:F,2,0)</f>
        <v>#N/A</v>
      </c>
      <c r="E1803" s="1" t="e">
        <f>VLOOKUP(C1803,'Master truck list'!E:M,9,0)</f>
        <v>#N/A</v>
      </c>
      <c r="F1803" s="1" t="e">
        <f>VLOOKUP(C1803,'Master truck list'!E:G,3,0)</f>
        <v>#N/A</v>
      </c>
      <c r="G1803" s="1" t="e">
        <f>VLOOKUP(C1803,'Master truck list'!E:R,14,0)</f>
        <v>#N/A</v>
      </c>
    </row>
    <row r="1804" spans="1:7" x14ac:dyDescent="0.25">
      <c r="A1804" s="1" t="str">
        <f t="shared" si="647"/>
        <v/>
      </c>
      <c r="B1804" s="1" t="str">
        <f t="shared" si="648"/>
        <v/>
      </c>
      <c r="C1804" s="1" t="e">
        <f>VLOOKUP(B1804,'Master truck list'!D:E,2,0)</f>
        <v>#N/A</v>
      </c>
      <c r="D1804" s="1" t="e">
        <f>VLOOKUP(C1804,'Master truck list'!E:F,2,0)</f>
        <v>#N/A</v>
      </c>
      <c r="E1804" s="1" t="e">
        <f>VLOOKUP(C1804,'Master truck list'!E:M,9,0)</f>
        <v>#N/A</v>
      </c>
      <c r="F1804" s="1" t="e">
        <f>VLOOKUP(C1804,'Master truck list'!E:G,3,0)</f>
        <v>#N/A</v>
      </c>
      <c r="G1804" s="1" t="e">
        <f>VLOOKUP(C1804,'Master truck list'!E:R,14,0)</f>
        <v>#N/A</v>
      </c>
    </row>
    <row r="1805" spans="1:7" x14ac:dyDescent="0.25">
      <c r="A1805" s="1" t="str">
        <f t="shared" si="647"/>
        <v/>
      </c>
      <c r="B1805" s="1" t="str">
        <f t="shared" si="648"/>
        <v/>
      </c>
      <c r="C1805" s="1" t="e">
        <f>VLOOKUP(B1805,'Master truck list'!D:E,2,0)</f>
        <v>#N/A</v>
      </c>
      <c r="D1805" s="1" t="e">
        <f>VLOOKUP(C1805,'Master truck list'!E:F,2,0)</f>
        <v>#N/A</v>
      </c>
      <c r="E1805" s="1" t="e">
        <f>VLOOKUP(C1805,'Master truck list'!E:M,9,0)</f>
        <v>#N/A</v>
      </c>
      <c r="F1805" s="1" t="e">
        <f>VLOOKUP(C1805,'Master truck list'!E:G,3,0)</f>
        <v>#N/A</v>
      </c>
      <c r="G1805" s="1" t="e">
        <f>VLOOKUP(C1805,'Master truck list'!E:R,14,0)</f>
        <v>#N/A</v>
      </c>
    </row>
    <row r="1806" spans="1:7" x14ac:dyDescent="0.25">
      <c r="A1806" s="1" t="str">
        <f t="shared" si="647"/>
        <v/>
      </c>
      <c r="B1806" s="1" t="str">
        <f t="shared" si="648"/>
        <v/>
      </c>
      <c r="C1806" s="1" t="e">
        <f>VLOOKUP(B1806,'Master truck list'!D:E,2,0)</f>
        <v>#N/A</v>
      </c>
      <c r="D1806" s="1" t="e">
        <f>VLOOKUP(C1806,'Master truck list'!E:F,2,0)</f>
        <v>#N/A</v>
      </c>
      <c r="E1806" s="1" t="e">
        <f>VLOOKUP(C1806,'Master truck list'!E:M,9,0)</f>
        <v>#N/A</v>
      </c>
      <c r="F1806" s="1" t="e">
        <f>VLOOKUP(C1806,'Master truck list'!E:G,3,0)</f>
        <v>#N/A</v>
      </c>
      <c r="G1806" s="1" t="e">
        <f>VLOOKUP(C1806,'Master truck list'!E:R,14,0)</f>
        <v>#N/A</v>
      </c>
    </row>
    <row r="1807" spans="1:7" x14ac:dyDescent="0.25">
      <c r="A1807" s="1" t="str">
        <f t="shared" si="647"/>
        <v/>
      </c>
      <c r="B1807" s="1" t="str">
        <f t="shared" si="648"/>
        <v/>
      </c>
      <c r="C1807" s="1" t="e">
        <f>VLOOKUP(B1807,'Master truck list'!D:E,2,0)</f>
        <v>#N/A</v>
      </c>
      <c r="D1807" s="1" t="e">
        <f>VLOOKUP(C1807,'Master truck list'!E:F,2,0)</f>
        <v>#N/A</v>
      </c>
      <c r="E1807" s="1" t="e">
        <f>VLOOKUP(C1807,'Master truck list'!E:M,9,0)</f>
        <v>#N/A</v>
      </c>
      <c r="F1807" s="1" t="e">
        <f>VLOOKUP(C1807,'Master truck list'!E:G,3,0)</f>
        <v>#N/A</v>
      </c>
      <c r="G1807" s="1" t="e">
        <f>VLOOKUP(C1807,'Master truck list'!E:R,14,0)</f>
        <v>#N/A</v>
      </c>
    </row>
    <row r="1808" spans="1:7" x14ac:dyDescent="0.25">
      <c r="A1808" s="1" t="str">
        <f t="shared" si="647"/>
        <v/>
      </c>
      <c r="B1808" s="1" t="str">
        <f t="shared" si="648"/>
        <v/>
      </c>
      <c r="C1808" s="1" t="e">
        <f>VLOOKUP(B1808,'Master truck list'!D:E,2,0)</f>
        <v>#N/A</v>
      </c>
      <c r="D1808" s="1" t="e">
        <f>VLOOKUP(C1808,'Master truck list'!E:F,2,0)</f>
        <v>#N/A</v>
      </c>
      <c r="E1808" s="1" t="e">
        <f>VLOOKUP(C1808,'Master truck list'!E:M,9,0)</f>
        <v>#N/A</v>
      </c>
      <c r="F1808" s="1" t="e">
        <f>VLOOKUP(C1808,'Master truck list'!E:G,3,0)</f>
        <v>#N/A</v>
      </c>
      <c r="G1808" s="1" t="e">
        <f>VLOOKUP(C1808,'Master truck list'!E:R,14,0)</f>
        <v>#N/A</v>
      </c>
    </row>
    <row r="1809" spans="1:7" x14ac:dyDescent="0.25">
      <c r="A1809" s="1" t="str">
        <f t="shared" si="647"/>
        <v/>
      </c>
      <c r="B1809" s="1" t="str">
        <f t="shared" si="648"/>
        <v/>
      </c>
      <c r="C1809" s="1" t="e">
        <f>VLOOKUP(B1809,'Master truck list'!D:E,2,0)</f>
        <v>#N/A</v>
      </c>
      <c r="D1809" s="1" t="e">
        <f>VLOOKUP(C1809,'Master truck list'!E:F,2,0)</f>
        <v>#N/A</v>
      </c>
      <c r="E1809" s="1" t="e">
        <f>VLOOKUP(C1809,'Master truck list'!E:M,9,0)</f>
        <v>#N/A</v>
      </c>
      <c r="F1809" s="1" t="e">
        <f>VLOOKUP(C1809,'Master truck list'!E:G,3,0)</f>
        <v>#N/A</v>
      </c>
      <c r="G1809" s="1" t="e">
        <f>VLOOKUP(C1809,'Master truck list'!E:R,14,0)</f>
        <v>#N/A</v>
      </c>
    </row>
    <row r="1810" spans="1:7" x14ac:dyDescent="0.25">
      <c r="A1810" s="1" t="str">
        <f t="shared" si="647"/>
        <v/>
      </c>
      <c r="B1810" s="1" t="str">
        <f t="shared" si="648"/>
        <v/>
      </c>
      <c r="C1810" s="1" t="e">
        <f>VLOOKUP(B1810,'Master truck list'!D:E,2,0)</f>
        <v>#N/A</v>
      </c>
      <c r="D1810" s="1" t="e">
        <f>VLOOKUP(C1810,'Master truck list'!E:F,2,0)</f>
        <v>#N/A</v>
      </c>
      <c r="E1810" s="1" t="e">
        <f>VLOOKUP(C1810,'Master truck list'!E:M,9,0)</f>
        <v>#N/A</v>
      </c>
      <c r="F1810" s="1" t="e">
        <f>VLOOKUP(C1810,'Master truck list'!E:G,3,0)</f>
        <v>#N/A</v>
      </c>
      <c r="G1810" s="1" t="e">
        <f>VLOOKUP(C1810,'Master truck list'!E:R,14,0)</f>
        <v>#N/A</v>
      </c>
    </row>
    <row r="1811" spans="1:7" x14ac:dyDescent="0.25">
      <c r="A1811" s="1" t="str">
        <f t="shared" si="647"/>
        <v/>
      </c>
      <c r="B1811" s="1" t="str">
        <f t="shared" si="648"/>
        <v/>
      </c>
      <c r="C1811" s="1" t="e">
        <f>VLOOKUP(B1811,'Master truck list'!D:E,2,0)</f>
        <v>#N/A</v>
      </c>
      <c r="D1811" s="1" t="e">
        <f>VLOOKUP(C1811,'Master truck list'!E:F,2,0)</f>
        <v>#N/A</v>
      </c>
      <c r="E1811" s="1" t="e">
        <f>VLOOKUP(C1811,'Master truck list'!E:M,9,0)</f>
        <v>#N/A</v>
      </c>
      <c r="F1811" s="1" t="e">
        <f>VLOOKUP(C1811,'Master truck list'!E:G,3,0)</f>
        <v>#N/A</v>
      </c>
      <c r="G1811" s="1" t="e">
        <f>VLOOKUP(C1811,'Master truck list'!E:R,14,0)</f>
        <v>#N/A</v>
      </c>
    </row>
    <row r="1812" spans="1:7" x14ac:dyDescent="0.25">
      <c r="A1812" s="1" t="str">
        <f t="shared" si="647"/>
        <v/>
      </c>
      <c r="B1812" s="1" t="str">
        <f t="shared" si="648"/>
        <v/>
      </c>
      <c r="C1812" s="1" t="e">
        <f>VLOOKUP(B1812,'Master truck list'!D:E,2,0)</f>
        <v>#N/A</v>
      </c>
      <c r="D1812" s="1" t="e">
        <f>VLOOKUP(C1812,'Master truck list'!E:F,2,0)</f>
        <v>#N/A</v>
      </c>
      <c r="E1812" s="1" t="e">
        <f>VLOOKUP(C1812,'Master truck list'!E:M,9,0)</f>
        <v>#N/A</v>
      </c>
      <c r="F1812" s="1" t="e">
        <f>VLOOKUP(C1812,'Master truck list'!E:G,3,0)</f>
        <v>#N/A</v>
      </c>
      <c r="G1812" s="1" t="e">
        <f>VLOOKUP(C1812,'Master truck list'!E:R,14,0)</f>
        <v>#N/A</v>
      </c>
    </row>
    <row r="1813" spans="1:7" x14ac:dyDescent="0.25">
      <c r="A1813" s="1" t="str">
        <f t="shared" si="647"/>
        <v/>
      </c>
      <c r="B1813" s="1" t="str">
        <f t="shared" si="648"/>
        <v/>
      </c>
      <c r="C1813" s="1" t="e">
        <f>VLOOKUP(B1813,'Master truck list'!D:E,2,0)</f>
        <v>#N/A</v>
      </c>
      <c r="D1813" s="1" t="e">
        <f>VLOOKUP(C1813,'Master truck list'!E:F,2,0)</f>
        <v>#N/A</v>
      </c>
      <c r="E1813" s="1" t="e">
        <f>VLOOKUP(C1813,'Master truck list'!E:M,9,0)</f>
        <v>#N/A</v>
      </c>
      <c r="F1813" s="1" t="e">
        <f>VLOOKUP(C1813,'Master truck list'!E:G,3,0)</f>
        <v>#N/A</v>
      </c>
      <c r="G1813" s="1" t="e">
        <f>VLOOKUP(C1813,'Master truck list'!E:R,14,0)</f>
        <v>#N/A</v>
      </c>
    </row>
    <row r="1814" spans="1:7" x14ac:dyDescent="0.25">
      <c r="A1814" s="1" t="str">
        <f t="shared" si="647"/>
        <v/>
      </c>
      <c r="B1814" s="1" t="str">
        <f t="shared" si="648"/>
        <v/>
      </c>
      <c r="C1814" s="1" t="e">
        <f>VLOOKUP(B1814,'Master truck list'!D:E,2,0)</f>
        <v>#N/A</v>
      </c>
      <c r="D1814" s="1" t="e">
        <f>VLOOKUP(C1814,'Master truck list'!E:F,2,0)</f>
        <v>#N/A</v>
      </c>
      <c r="E1814" s="1" t="e">
        <f>VLOOKUP(C1814,'Master truck list'!E:M,9,0)</f>
        <v>#N/A</v>
      </c>
      <c r="F1814" s="1" t="e">
        <f>VLOOKUP(C1814,'Master truck list'!E:G,3,0)</f>
        <v>#N/A</v>
      </c>
      <c r="G1814" s="1" t="e">
        <f>VLOOKUP(C1814,'Master truck list'!E:R,14,0)</f>
        <v>#N/A</v>
      </c>
    </row>
    <row r="1815" spans="1:7" x14ac:dyDescent="0.25">
      <c r="A1815" s="1" t="str">
        <f t="shared" si="647"/>
        <v/>
      </c>
      <c r="B1815" s="1" t="str">
        <f t="shared" si="648"/>
        <v/>
      </c>
      <c r="C1815" s="1" t="e">
        <f>VLOOKUP(B1815,'Master truck list'!D:E,2,0)</f>
        <v>#N/A</v>
      </c>
      <c r="D1815" s="1" t="e">
        <f>VLOOKUP(C1815,'Master truck list'!E:F,2,0)</f>
        <v>#N/A</v>
      </c>
      <c r="E1815" s="1" t="e">
        <f>VLOOKUP(C1815,'Master truck list'!E:M,9,0)</f>
        <v>#N/A</v>
      </c>
      <c r="F1815" s="1" t="e">
        <f>VLOOKUP(C1815,'Master truck list'!E:G,3,0)</f>
        <v>#N/A</v>
      </c>
      <c r="G1815" s="1" t="e">
        <f>VLOOKUP(C1815,'Master truck list'!E:R,14,0)</f>
        <v>#N/A</v>
      </c>
    </row>
    <row r="1816" spans="1:7" x14ac:dyDescent="0.25">
      <c r="A1816" s="1" t="str">
        <f t="shared" si="647"/>
        <v/>
      </c>
      <c r="B1816" s="1" t="str">
        <f t="shared" si="648"/>
        <v/>
      </c>
      <c r="C1816" s="1" t="e">
        <f>VLOOKUP(B1816,'Master truck list'!D:E,2,0)</f>
        <v>#N/A</v>
      </c>
      <c r="D1816" s="1" t="e">
        <f>VLOOKUP(C1816,'Master truck list'!E:F,2,0)</f>
        <v>#N/A</v>
      </c>
      <c r="E1816" s="1" t="e">
        <f>VLOOKUP(C1816,'Master truck list'!E:M,9,0)</f>
        <v>#N/A</v>
      </c>
      <c r="F1816" s="1" t="e">
        <f>VLOOKUP(C1816,'Master truck list'!E:G,3,0)</f>
        <v>#N/A</v>
      </c>
      <c r="G1816" s="1" t="e">
        <f>VLOOKUP(C1816,'Master truck list'!E:R,14,0)</f>
        <v>#N/A</v>
      </c>
    </row>
    <row r="1817" spans="1:7" x14ac:dyDescent="0.25">
      <c r="A1817" s="1" t="str">
        <f t="shared" si="647"/>
        <v/>
      </c>
      <c r="B1817" s="1" t="str">
        <f t="shared" si="648"/>
        <v/>
      </c>
      <c r="C1817" s="1" t="e">
        <f>VLOOKUP(B1817,'Master truck list'!D:E,2,0)</f>
        <v>#N/A</v>
      </c>
      <c r="D1817" s="1" t="e">
        <f>VLOOKUP(C1817,'Master truck list'!E:F,2,0)</f>
        <v>#N/A</v>
      </c>
      <c r="E1817" s="1" t="e">
        <f>VLOOKUP(C1817,'Master truck list'!E:M,9,0)</f>
        <v>#N/A</v>
      </c>
      <c r="F1817" s="1" t="e">
        <f>VLOOKUP(C1817,'Master truck list'!E:G,3,0)</f>
        <v>#N/A</v>
      </c>
      <c r="G1817" s="1" t="e">
        <f>VLOOKUP(C1817,'Master truck list'!E:R,14,0)</f>
        <v>#N/A</v>
      </c>
    </row>
    <row r="1818" spans="1:7" x14ac:dyDescent="0.25">
      <c r="A1818" s="1" t="str">
        <f t="shared" si="647"/>
        <v/>
      </c>
      <c r="B1818" s="1" t="str">
        <f t="shared" si="648"/>
        <v/>
      </c>
      <c r="C1818" s="1" t="e">
        <f>VLOOKUP(B1818,'Master truck list'!D:E,2,0)</f>
        <v>#N/A</v>
      </c>
      <c r="D1818" s="1" t="e">
        <f>VLOOKUP(C1818,'Master truck list'!E:F,2,0)</f>
        <v>#N/A</v>
      </c>
      <c r="E1818" s="1" t="e">
        <f>VLOOKUP(C1818,'Master truck list'!E:M,9,0)</f>
        <v>#N/A</v>
      </c>
      <c r="F1818" s="1" t="e">
        <f>VLOOKUP(C1818,'Master truck list'!E:G,3,0)</f>
        <v>#N/A</v>
      </c>
      <c r="G1818" s="1" t="e">
        <f>VLOOKUP(C1818,'Master truck list'!E:R,14,0)</f>
        <v>#N/A</v>
      </c>
    </row>
    <row r="1819" spans="1:7" x14ac:dyDescent="0.25">
      <c r="A1819" s="1" t="str">
        <f t="shared" si="647"/>
        <v/>
      </c>
      <c r="B1819" s="1" t="str">
        <f t="shared" si="648"/>
        <v/>
      </c>
      <c r="C1819" s="1" t="e">
        <f>VLOOKUP(B1819,'Master truck list'!D:E,2,0)</f>
        <v>#N/A</v>
      </c>
      <c r="D1819" s="1" t="e">
        <f>VLOOKUP(C1819,'Master truck list'!E:F,2,0)</f>
        <v>#N/A</v>
      </c>
      <c r="E1819" s="1" t="e">
        <f>VLOOKUP(C1819,'Master truck list'!E:M,9,0)</f>
        <v>#N/A</v>
      </c>
      <c r="F1819" s="1" t="e">
        <f>VLOOKUP(C1819,'Master truck list'!E:G,3,0)</f>
        <v>#N/A</v>
      </c>
      <c r="G1819" s="1" t="e">
        <f>VLOOKUP(C1819,'Master truck list'!E:R,14,0)</f>
        <v>#N/A</v>
      </c>
    </row>
    <row r="1820" spans="1:7" x14ac:dyDescent="0.25">
      <c r="A1820" s="1" t="str">
        <f t="shared" si="647"/>
        <v/>
      </c>
      <c r="B1820" s="1" t="str">
        <f t="shared" si="648"/>
        <v/>
      </c>
      <c r="C1820" s="1" t="e">
        <f>VLOOKUP(B1820,'Master truck list'!D:E,2,0)</f>
        <v>#N/A</v>
      </c>
      <c r="D1820" s="1" t="e">
        <f>VLOOKUP(C1820,'Master truck list'!E:F,2,0)</f>
        <v>#N/A</v>
      </c>
      <c r="E1820" s="1" t="e">
        <f>VLOOKUP(C1820,'Master truck list'!E:M,9,0)</f>
        <v>#N/A</v>
      </c>
      <c r="F1820" s="1" t="e">
        <f>VLOOKUP(C1820,'Master truck list'!E:G,3,0)</f>
        <v>#N/A</v>
      </c>
      <c r="G1820" s="1" t="e">
        <f>VLOOKUP(C1820,'Master truck list'!E:R,14,0)</f>
        <v>#N/A</v>
      </c>
    </row>
    <row r="1821" spans="1:7" x14ac:dyDescent="0.25">
      <c r="A1821" s="1" t="str">
        <f t="shared" si="647"/>
        <v/>
      </c>
      <c r="B1821" s="1" t="str">
        <f t="shared" si="648"/>
        <v/>
      </c>
      <c r="C1821" s="1" t="e">
        <f>VLOOKUP(B1821,'Master truck list'!D:E,2,0)</f>
        <v>#N/A</v>
      </c>
      <c r="D1821" s="1" t="e">
        <f>VLOOKUP(C1821,'Master truck list'!E:F,2,0)</f>
        <v>#N/A</v>
      </c>
      <c r="E1821" s="1" t="e">
        <f>VLOOKUP(C1821,'Master truck list'!E:M,9,0)</f>
        <v>#N/A</v>
      </c>
      <c r="F1821" s="1" t="e">
        <f>VLOOKUP(C1821,'Master truck list'!E:G,3,0)</f>
        <v>#N/A</v>
      </c>
      <c r="G1821" s="1" t="e">
        <f>VLOOKUP(C1821,'Master truck list'!E:R,14,0)</f>
        <v>#N/A</v>
      </c>
    </row>
    <row r="1822" spans="1:7" x14ac:dyDescent="0.25">
      <c r="A1822" s="1" t="str">
        <f t="shared" si="647"/>
        <v/>
      </c>
      <c r="B1822" s="1" t="str">
        <f t="shared" si="648"/>
        <v/>
      </c>
      <c r="C1822" s="1" t="e">
        <f>VLOOKUP(B1822,'Master truck list'!D:E,2,0)</f>
        <v>#N/A</v>
      </c>
      <c r="D1822" s="1" t="e">
        <f>VLOOKUP(C1822,'Master truck list'!E:F,2,0)</f>
        <v>#N/A</v>
      </c>
      <c r="E1822" s="1" t="e">
        <f>VLOOKUP(C1822,'Master truck list'!E:M,9,0)</f>
        <v>#N/A</v>
      </c>
      <c r="F1822" s="1" t="e">
        <f>VLOOKUP(C1822,'Master truck list'!E:G,3,0)</f>
        <v>#N/A</v>
      </c>
      <c r="G1822" s="1" t="e">
        <f>VLOOKUP(C1822,'Master truck list'!E:R,14,0)</f>
        <v>#N/A</v>
      </c>
    </row>
    <row r="1823" spans="1:7" x14ac:dyDescent="0.25">
      <c r="A1823" s="1" t="str">
        <f t="shared" si="647"/>
        <v/>
      </c>
      <c r="B1823" s="1" t="str">
        <f t="shared" si="648"/>
        <v/>
      </c>
      <c r="C1823" s="1" t="e">
        <f>VLOOKUP(B1823,'Master truck list'!D:E,2,0)</f>
        <v>#N/A</v>
      </c>
      <c r="D1823" s="1" t="e">
        <f>VLOOKUP(C1823,'Master truck list'!E:F,2,0)</f>
        <v>#N/A</v>
      </c>
      <c r="E1823" s="1" t="e">
        <f>VLOOKUP(C1823,'Master truck list'!E:M,9,0)</f>
        <v>#N/A</v>
      </c>
      <c r="F1823" s="1" t="e">
        <f>VLOOKUP(C1823,'Master truck list'!E:G,3,0)</f>
        <v>#N/A</v>
      </c>
      <c r="G1823" s="1" t="e">
        <f>VLOOKUP(C1823,'Master truck list'!E:R,14,0)</f>
        <v>#N/A</v>
      </c>
    </row>
    <row r="1824" spans="1:7" x14ac:dyDescent="0.25">
      <c r="A1824" s="1" t="str">
        <f t="shared" si="647"/>
        <v/>
      </c>
      <c r="B1824" s="1" t="str">
        <f t="shared" si="648"/>
        <v/>
      </c>
      <c r="C1824" s="1" t="e">
        <f>VLOOKUP(B1824,'Master truck list'!D:E,2,0)</f>
        <v>#N/A</v>
      </c>
      <c r="D1824" s="1" t="e">
        <f>VLOOKUP(C1824,'Master truck list'!E:F,2,0)</f>
        <v>#N/A</v>
      </c>
      <c r="E1824" s="1" t="e">
        <f>VLOOKUP(C1824,'Master truck list'!E:M,9,0)</f>
        <v>#N/A</v>
      </c>
      <c r="F1824" s="1" t="e">
        <f>VLOOKUP(C1824,'Master truck list'!E:G,3,0)</f>
        <v>#N/A</v>
      </c>
      <c r="G1824" s="1" t="e">
        <f>VLOOKUP(C1824,'Master truck list'!E:R,14,0)</f>
        <v>#N/A</v>
      </c>
    </row>
    <row r="1825" spans="1:7" x14ac:dyDescent="0.25">
      <c r="A1825" s="1" t="str">
        <f t="shared" si="647"/>
        <v/>
      </c>
      <c r="B1825" s="1" t="str">
        <f t="shared" si="648"/>
        <v/>
      </c>
      <c r="C1825" s="1" t="e">
        <f>VLOOKUP(B1825,'Master truck list'!D:E,2,0)</f>
        <v>#N/A</v>
      </c>
      <c r="D1825" s="1" t="e">
        <f>VLOOKUP(C1825,'Master truck list'!E:F,2,0)</f>
        <v>#N/A</v>
      </c>
      <c r="E1825" s="1" t="e">
        <f>VLOOKUP(C1825,'Master truck list'!E:M,9,0)</f>
        <v>#N/A</v>
      </c>
      <c r="F1825" s="1" t="e">
        <f>VLOOKUP(C1825,'Master truck list'!E:G,3,0)</f>
        <v>#N/A</v>
      </c>
      <c r="G1825" s="1" t="e">
        <f>VLOOKUP(C1825,'Master truck list'!E:R,14,0)</f>
        <v>#N/A</v>
      </c>
    </row>
    <row r="1826" spans="1:7" x14ac:dyDescent="0.25">
      <c r="A1826" s="1" t="str">
        <f t="shared" si="647"/>
        <v/>
      </c>
      <c r="B1826" s="1" t="str">
        <f t="shared" si="648"/>
        <v/>
      </c>
      <c r="C1826" s="1" t="e">
        <f>VLOOKUP(B1826,'Master truck list'!D:E,2,0)</f>
        <v>#N/A</v>
      </c>
      <c r="D1826" s="1" t="e">
        <f>VLOOKUP(C1826,'Master truck list'!E:F,2,0)</f>
        <v>#N/A</v>
      </c>
      <c r="E1826" s="1" t="e">
        <f>VLOOKUP(C1826,'Master truck list'!E:M,9,0)</f>
        <v>#N/A</v>
      </c>
      <c r="F1826" s="1" t="e">
        <f>VLOOKUP(C1826,'Master truck list'!E:G,3,0)</f>
        <v>#N/A</v>
      </c>
      <c r="G1826" s="1" t="e">
        <f>VLOOKUP(C1826,'Master truck list'!E:R,14,0)</f>
        <v>#N/A</v>
      </c>
    </row>
    <row r="1827" spans="1:7" x14ac:dyDescent="0.25">
      <c r="A1827" s="1" t="str">
        <f t="shared" si="647"/>
        <v/>
      </c>
      <c r="B1827" s="1" t="str">
        <f t="shared" si="648"/>
        <v/>
      </c>
      <c r="C1827" s="1" t="e">
        <f>VLOOKUP(B1827,'Master truck list'!D:E,2,0)</f>
        <v>#N/A</v>
      </c>
      <c r="D1827" s="1" t="e">
        <f>VLOOKUP(C1827,'Master truck list'!E:F,2,0)</f>
        <v>#N/A</v>
      </c>
      <c r="E1827" s="1" t="e">
        <f>VLOOKUP(C1827,'Master truck list'!E:M,9,0)</f>
        <v>#N/A</v>
      </c>
      <c r="F1827" s="1" t="e">
        <f>VLOOKUP(C1827,'Master truck list'!E:G,3,0)</f>
        <v>#N/A</v>
      </c>
      <c r="G1827" s="1" t="e">
        <f>VLOOKUP(C1827,'Master truck list'!E:R,14,0)</f>
        <v>#N/A</v>
      </c>
    </row>
    <row r="1828" spans="1:7" x14ac:dyDescent="0.25">
      <c r="A1828" s="1" t="str">
        <f t="shared" ref="A1828:A1891" si="649">LEFT(N2030,5)</f>
        <v/>
      </c>
      <c r="B1828" s="1" t="str">
        <f t="shared" si="648"/>
        <v/>
      </c>
      <c r="C1828" s="1" t="e">
        <f>VLOOKUP(B1828,'Master truck list'!D:E,2,0)</f>
        <v>#N/A</v>
      </c>
      <c r="D1828" s="1" t="e">
        <f>VLOOKUP(C1828,'Master truck list'!E:F,2,0)</f>
        <v>#N/A</v>
      </c>
      <c r="E1828" s="1" t="e">
        <f>VLOOKUP(C1828,'Master truck list'!E:M,9,0)</f>
        <v>#N/A</v>
      </c>
      <c r="F1828" s="1" t="e">
        <f>VLOOKUP(C1828,'Master truck list'!E:G,3,0)</f>
        <v>#N/A</v>
      </c>
      <c r="G1828" s="1" t="e">
        <f>VLOOKUP(C1828,'Master truck list'!E:R,14,0)</f>
        <v>#N/A</v>
      </c>
    </row>
    <row r="1829" spans="1:7" x14ac:dyDescent="0.25">
      <c r="A1829" s="1" t="str">
        <f t="shared" si="649"/>
        <v/>
      </c>
      <c r="B1829" s="1" t="str">
        <f t="shared" si="648"/>
        <v/>
      </c>
      <c r="C1829" s="1" t="e">
        <f>VLOOKUP(B1829,'Master truck list'!D:E,2,0)</f>
        <v>#N/A</v>
      </c>
      <c r="D1829" s="1" t="e">
        <f>VLOOKUP(C1829,'Master truck list'!E:F,2,0)</f>
        <v>#N/A</v>
      </c>
      <c r="E1829" s="1" t="e">
        <f>VLOOKUP(C1829,'Master truck list'!E:M,9,0)</f>
        <v>#N/A</v>
      </c>
      <c r="F1829" s="1" t="e">
        <f>VLOOKUP(C1829,'Master truck list'!E:G,3,0)</f>
        <v>#N/A</v>
      </c>
      <c r="G1829" s="1" t="e">
        <f>VLOOKUP(C1829,'Master truck list'!E:R,14,0)</f>
        <v>#N/A</v>
      </c>
    </row>
    <row r="1830" spans="1:7" x14ac:dyDescent="0.25">
      <c r="A1830" s="1" t="str">
        <f t="shared" si="649"/>
        <v/>
      </c>
      <c r="B1830" s="1" t="str">
        <f t="shared" si="648"/>
        <v/>
      </c>
      <c r="C1830" s="1" t="e">
        <f>VLOOKUP(B1830,'Master truck list'!D:E,2,0)</f>
        <v>#N/A</v>
      </c>
      <c r="D1830" s="1" t="e">
        <f>VLOOKUP(C1830,'Master truck list'!E:F,2,0)</f>
        <v>#N/A</v>
      </c>
      <c r="E1830" s="1" t="e">
        <f>VLOOKUP(C1830,'Master truck list'!E:M,9,0)</f>
        <v>#N/A</v>
      </c>
      <c r="F1830" s="1" t="e">
        <f>VLOOKUP(C1830,'Master truck list'!E:G,3,0)</f>
        <v>#N/A</v>
      </c>
      <c r="G1830" s="1" t="e">
        <f>VLOOKUP(C1830,'Master truck list'!E:R,14,0)</f>
        <v>#N/A</v>
      </c>
    </row>
    <row r="1831" spans="1:7" x14ac:dyDescent="0.25">
      <c r="A1831" s="1" t="str">
        <f t="shared" si="649"/>
        <v/>
      </c>
      <c r="B1831" s="1" t="str">
        <f t="shared" si="648"/>
        <v/>
      </c>
      <c r="C1831" s="1" t="e">
        <f>VLOOKUP(B1831,'Master truck list'!D:E,2,0)</f>
        <v>#N/A</v>
      </c>
      <c r="D1831" s="1" t="e">
        <f>VLOOKUP(C1831,'Master truck list'!E:F,2,0)</f>
        <v>#N/A</v>
      </c>
      <c r="E1831" s="1" t="e">
        <f>VLOOKUP(C1831,'Master truck list'!E:M,9,0)</f>
        <v>#N/A</v>
      </c>
      <c r="F1831" s="1" t="e">
        <f>VLOOKUP(C1831,'Master truck list'!E:G,3,0)</f>
        <v>#N/A</v>
      </c>
      <c r="G1831" s="1" t="e">
        <f>VLOOKUP(C1831,'Master truck list'!E:R,14,0)</f>
        <v>#N/A</v>
      </c>
    </row>
    <row r="1832" spans="1:7" x14ac:dyDescent="0.25">
      <c r="A1832" s="1" t="str">
        <f t="shared" si="649"/>
        <v/>
      </c>
      <c r="B1832" s="1" t="str">
        <f t="shared" si="648"/>
        <v/>
      </c>
      <c r="C1832" s="1" t="e">
        <f>VLOOKUP(B1832,'Master truck list'!D:E,2,0)</f>
        <v>#N/A</v>
      </c>
      <c r="D1832" s="1" t="e">
        <f>VLOOKUP(C1832,'Master truck list'!E:F,2,0)</f>
        <v>#N/A</v>
      </c>
      <c r="E1832" s="1" t="e">
        <f>VLOOKUP(C1832,'Master truck list'!E:M,9,0)</f>
        <v>#N/A</v>
      </c>
      <c r="F1832" s="1" t="e">
        <f>VLOOKUP(C1832,'Master truck list'!E:G,3,0)</f>
        <v>#N/A</v>
      </c>
      <c r="G1832" s="1" t="e">
        <f>VLOOKUP(C1832,'Master truck list'!E:R,14,0)</f>
        <v>#N/A</v>
      </c>
    </row>
    <row r="1833" spans="1:7" x14ac:dyDescent="0.25">
      <c r="A1833" s="1" t="str">
        <f t="shared" si="649"/>
        <v/>
      </c>
      <c r="B1833" s="1" t="str">
        <f t="shared" si="648"/>
        <v/>
      </c>
      <c r="C1833" s="1" t="e">
        <f>VLOOKUP(B1833,'Master truck list'!D:E,2,0)</f>
        <v>#N/A</v>
      </c>
      <c r="D1833" s="1" t="e">
        <f>VLOOKUP(C1833,'Master truck list'!E:F,2,0)</f>
        <v>#N/A</v>
      </c>
      <c r="E1833" s="1" t="e">
        <f>VLOOKUP(C1833,'Master truck list'!E:M,9,0)</f>
        <v>#N/A</v>
      </c>
      <c r="F1833" s="1" t="e">
        <f>VLOOKUP(C1833,'Master truck list'!E:G,3,0)</f>
        <v>#N/A</v>
      </c>
      <c r="G1833" s="1" t="e">
        <f>VLOOKUP(C1833,'Master truck list'!E:R,14,0)</f>
        <v>#N/A</v>
      </c>
    </row>
    <row r="1834" spans="1:7" x14ac:dyDescent="0.25">
      <c r="A1834" s="1" t="str">
        <f t="shared" si="649"/>
        <v/>
      </c>
      <c r="B1834" s="1" t="str">
        <f t="shared" si="648"/>
        <v/>
      </c>
      <c r="C1834" s="1" t="e">
        <f>VLOOKUP(B1834,'Master truck list'!D:E,2,0)</f>
        <v>#N/A</v>
      </c>
      <c r="D1834" s="1" t="e">
        <f>VLOOKUP(C1834,'Master truck list'!E:F,2,0)</f>
        <v>#N/A</v>
      </c>
      <c r="E1834" s="1" t="e">
        <f>VLOOKUP(C1834,'Master truck list'!E:M,9,0)</f>
        <v>#N/A</v>
      </c>
      <c r="F1834" s="1" t="e">
        <f>VLOOKUP(C1834,'Master truck list'!E:G,3,0)</f>
        <v>#N/A</v>
      </c>
      <c r="G1834" s="1" t="e">
        <f>VLOOKUP(C1834,'Master truck list'!E:R,14,0)</f>
        <v>#N/A</v>
      </c>
    </row>
    <row r="1835" spans="1:7" x14ac:dyDescent="0.25">
      <c r="A1835" s="1" t="str">
        <f t="shared" si="649"/>
        <v/>
      </c>
      <c r="B1835" s="1" t="str">
        <f t="shared" si="648"/>
        <v/>
      </c>
      <c r="C1835" s="1" t="e">
        <f>VLOOKUP(B1835,'Master truck list'!D:E,2,0)</f>
        <v>#N/A</v>
      </c>
      <c r="D1835" s="1" t="e">
        <f>VLOOKUP(C1835,'Master truck list'!E:F,2,0)</f>
        <v>#N/A</v>
      </c>
      <c r="E1835" s="1" t="e">
        <f>VLOOKUP(C1835,'Master truck list'!E:M,9,0)</f>
        <v>#N/A</v>
      </c>
      <c r="F1835" s="1" t="e">
        <f>VLOOKUP(C1835,'Master truck list'!E:G,3,0)</f>
        <v>#N/A</v>
      </c>
      <c r="G1835" s="1" t="e">
        <f>VLOOKUP(C1835,'Master truck list'!E:R,14,0)</f>
        <v>#N/A</v>
      </c>
    </row>
    <row r="1836" spans="1:7" x14ac:dyDescent="0.25">
      <c r="A1836" s="1" t="str">
        <f t="shared" si="649"/>
        <v/>
      </c>
      <c r="B1836" s="1" t="str">
        <f t="shared" si="648"/>
        <v/>
      </c>
      <c r="C1836" s="1" t="e">
        <f>VLOOKUP(B1836,'Master truck list'!D:E,2,0)</f>
        <v>#N/A</v>
      </c>
      <c r="D1836" s="1" t="e">
        <f>VLOOKUP(C1836,'Master truck list'!E:F,2,0)</f>
        <v>#N/A</v>
      </c>
      <c r="E1836" s="1" t="e">
        <f>VLOOKUP(C1836,'Master truck list'!E:M,9,0)</f>
        <v>#N/A</v>
      </c>
      <c r="F1836" s="1" t="e">
        <f>VLOOKUP(C1836,'Master truck list'!E:G,3,0)</f>
        <v>#N/A</v>
      </c>
      <c r="G1836" s="1" t="e">
        <f>VLOOKUP(C1836,'Master truck list'!E:R,14,0)</f>
        <v>#N/A</v>
      </c>
    </row>
    <row r="1837" spans="1:7" x14ac:dyDescent="0.25">
      <c r="A1837" s="1" t="str">
        <f t="shared" si="649"/>
        <v/>
      </c>
      <c r="B1837" s="1" t="str">
        <f t="shared" si="648"/>
        <v/>
      </c>
      <c r="C1837" s="1" t="e">
        <f>VLOOKUP(B1837,'Master truck list'!D:E,2,0)</f>
        <v>#N/A</v>
      </c>
      <c r="D1837" s="1" t="e">
        <f>VLOOKUP(C1837,'Master truck list'!E:F,2,0)</f>
        <v>#N/A</v>
      </c>
      <c r="E1837" s="1" t="e">
        <f>VLOOKUP(C1837,'Master truck list'!E:M,9,0)</f>
        <v>#N/A</v>
      </c>
      <c r="F1837" s="1" t="e">
        <f>VLOOKUP(C1837,'Master truck list'!E:G,3,0)</f>
        <v>#N/A</v>
      </c>
      <c r="G1837" s="1" t="e">
        <f>VLOOKUP(C1837,'Master truck list'!E:R,14,0)</f>
        <v>#N/A</v>
      </c>
    </row>
    <row r="1838" spans="1:7" x14ac:dyDescent="0.25">
      <c r="A1838" s="1" t="str">
        <f t="shared" si="649"/>
        <v/>
      </c>
      <c r="B1838" s="1" t="str">
        <f t="shared" si="648"/>
        <v/>
      </c>
      <c r="C1838" s="1" t="e">
        <f>VLOOKUP(B1838,'Master truck list'!D:E,2,0)</f>
        <v>#N/A</v>
      </c>
      <c r="D1838" s="1" t="e">
        <f>VLOOKUP(C1838,'Master truck list'!E:F,2,0)</f>
        <v>#N/A</v>
      </c>
      <c r="E1838" s="1" t="e">
        <f>VLOOKUP(C1838,'Master truck list'!E:M,9,0)</f>
        <v>#N/A</v>
      </c>
      <c r="F1838" s="1" t="e">
        <f>VLOOKUP(C1838,'Master truck list'!E:G,3,0)</f>
        <v>#N/A</v>
      </c>
      <c r="G1838" s="1" t="e">
        <f>VLOOKUP(C1838,'Master truck list'!E:R,14,0)</f>
        <v>#N/A</v>
      </c>
    </row>
    <row r="1839" spans="1:7" x14ac:dyDescent="0.25">
      <c r="A1839" s="1" t="str">
        <f t="shared" si="649"/>
        <v/>
      </c>
      <c r="B1839" s="1" t="str">
        <f t="shared" si="648"/>
        <v/>
      </c>
      <c r="C1839" s="1" t="e">
        <f>VLOOKUP(B1839,'Master truck list'!D:E,2,0)</f>
        <v>#N/A</v>
      </c>
      <c r="D1839" s="1" t="e">
        <f>VLOOKUP(C1839,'Master truck list'!E:F,2,0)</f>
        <v>#N/A</v>
      </c>
      <c r="E1839" s="1" t="e">
        <f>VLOOKUP(C1839,'Master truck list'!E:M,9,0)</f>
        <v>#N/A</v>
      </c>
      <c r="F1839" s="1" t="e">
        <f>VLOOKUP(C1839,'Master truck list'!E:G,3,0)</f>
        <v>#N/A</v>
      </c>
      <c r="G1839" s="1" t="e">
        <f>VLOOKUP(C1839,'Master truck list'!E:R,14,0)</f>
        <v>#N/A</v>
      </c>
    </row>
    <row r="1840" spans="1:7" x14ac:dyDescent="0.25">
      <c r="A1840" s="1" t="str">
        <f t="shared" si="649"/>
        <v/>
      </c>
      <c r="B1840" s="1" t="str">
        <f t="shared" si="648"/>
        <v/>
      </c>
      <c r="C1840" s="1" t="e">
        <f>VLOOKUP(B1840,'Master truck list'!D:E,2,0)</f>
        <v>#N/A</v>
      </c>
      <c r="D1840" s="1" t="e">
        <f>VLOOKUP(C1840,'Master truck list'!E:F,2,0)</f>
        <v>#N/A</v>
      </c>
      <c r="E1840" s="1" t="e">
        <f>VLOOKUP(C1840,'Master truck list'!E:M,9,0)</f>
        <v>#N/A</v>
      </c>
      <c r="F1840" s="1" t="e">
        <f>VLOOKUP(C1840,'Master truck list'!E:G,3,0)</f>
        <v>#N/A</v>
      </c>
      <c r="G1840" s="1" t="e">
        <f>VLOOKUP(C1840,'Master truck list'!E:R,14,0)</f>
        <v>#N/A</v>
      </c>
    </row>
    <row r="1841" spans="1:7" x14ac:dyDescent="0.25">
      <c r="A1841" s="1" t="str">
        <f t="shared" si="649"/>
        <v/>
      </c>
      <c r="B1841" s="1" t="str">
        <f t="shared" si="648"/>
        <v/>
      </c>
      <c r="C1841" s="1" t="e">
        <f>VLOOKUP(B1841,'Master truck list'!D:E,2,0)</f>
        <v>#N/A</v>
      </c>
      <c r="D1841" s="1" t="e">
        <f>VLOOKUP(C1841,'Master truck list'!E:F,2,0)</f>
        <v>#N/A</v>
      </c>
      <c r="E1841" s="1" t="e">
        <f>VLOOKUP(C1841,'Master truck list'!E:M,9,0)</f>
        <v>#N/A</v>
      </c>
      <c r="F1841" s="1" t="e">
        <f>VLOOKUP(C1841,'Master truck list'!E:G,3,0)</f>
        <v>#N/A</v>
      </c>
      <c r="G1841" s="1" t="e">
        <f>VLOOKUP(C1841,'Master truck list'!E:R,14,0)</f>
        <v>#N/A</v>
      </c>
    </row>
    <row r="1842" spans="1:7" x14ac:dyDescent="0.25">
      <c r="A1842" s="1" t="str">
        <f t="shared" si="649"/>
        <v/>
      </c>
      <c r="B1842" s="1" t="str">
        <f t="shared" si="648"/>
        <v/>
      </c>
      <c r="C1842" s="1" t="e">
        <f>VLOOKUP(B1842,'Master truck list'!D:E,2,0)</f>
        <v>#N/A</v>
      </c>
      <c r="D1842" s="1" t="e">
        <f>VLOOKUP(C1842,'Master truck list'!E:F,2,0)</f>
        <v>#N/A</v>
      </c>
      <c r="E1842" s="1" t="e">
        <f>VLOOKUP(C1842,'Master truck list'!E:M,9,0)</f>
        <v>#N/A</v>
      </c>
      <c r="F1842" s="1" t="e">
        <f>VLOOKUP(C1842,'Master truck list'!E:G,3,0)</f>
        <v>#N/A</v>
      </c>
      <c r="G1842" s="1" t="e">
        <f>VLOOKUP(C1842,'Master truck list'!E:R,14,0)</f>
        <v>#N/A</v>
      </c>
    </row>
    <row r="1843" spans="1:7" x14ac:dyDescent="0.25">
      <c r="A1843" s="1" t="str">
        <f t="shared" si="649"/>
        <v/>
      </c>
      <c r="B1843" s="1" t="str">
        <f t="shared" si="648"/>
        <v/>
      </c>
      <c r="C1843" s="1" t="e">
        <f>VLOOKUP(B1843,'Master truck list'!D:E,2,0)</f>
        <v>#N/A</v>
      </c>
      <c r="D1843" s="1" t="e">
        <f>VLOOKUP(C1843,'Master truck list'!E:F,2,0)</f>
        <v>#N/A</v>
      </c>
      <c r="E1843" s="1" t="e">
        <f>VLOOKUP(C1843,'Master truck list'!E:M,9,0)</f>
        <v>#N/A</v>
      </c>
      <c r="F1843" s="1" t="e">
        <f>VLOOKUP(C1843,'Master truck list'!E:G,3,0)</f>
        <v>#N/A</v>
      </c>
      <c r="G1843" s="1" t="e">
        <f>VLOOKUP(C1843,'Master truck list'!E:R,14,0)</f>
        <v>#N/A</v>
      </c>
    </row>
    <row r="1844" spans="1:7" x14ac:dyDescent="0.25">
      <c r="A1844" s="1" t="str">
        <f t="shared" si="649"/>
        <v/>
      </c>
      <c r="B1844" s="1" t="str">
        <f t="shared" si="648"/>
        <v/>
      </c>
      <c r="C1844" s="1" t="e">
        <f>VLOOKUP(B1844,'Master truck list'!D:E,2,0)</f>
        <v>#N/A</v>
      </c>
      <c r="D1844" s="1" t="e">
        <f>VLOOKUP(C1844,'Master truck list'!E:F,2,0)</f>
        <v>#N/A</v>
      </c>
      <c r="E1844" s="1" t="e">
        <f>VLOOKUP(C1844,'Master truck list'!E:M,9,0)</f>
        <v>#N/A</v>
      </c>
      <c r="F1844" s="1" t="e">
        <f>VLOOKUP(C1844,'Master truck list'!E:G,3,0)</f>
        <v>#N/A</v>
      </c>
      <c r="G1844" s="1" t="e">
        <f>VLOOKUP(C1844,'Master truck list'!E:R,14,0)</f>
        <v>#N/A</v>
      </c>
    </row>
    <row r="1845" spans="1:7" x14ac:dyDescent="0.25">
      <c r="A1845" s="1" t="str">
        <f t="shared" si="649"/>
        <v/>
      </c>
      <c r="B1845" s="1" t="str">
        <f t="shared" si="648"/>
        <v/>
      </c>
      <c r="C1845" s="1" t="e">
        <f>VLOOKUP(B1845,'Master truck list'!D:E,2,0)</f>
        <v>#N/A</v>
      </c>
      <c r="D1845" s="1" t="e">
        <f>VLOOKUP(C1845,'Master truck list'!E:F,2,0)</f>
        <v>#N/A</v>
      </c>
      <c r="E1845" s="1" t="e">
        <f>VLOOKUP(C1845,'Master truck list'!E:M,9,0)</f>
        <v>#N/A</v>
      </c>
      <c r="F1845" s="1" t="e">
        <f>VLOOKUP(C1845,'Master truck list'!E:G,3,0)</f>
        <v>#N/A</v>
      </c>
      <c r="G1845" s="1" t="e">
        <f>VLOOKUP(C1845,'Master truck list'!E:R,14,0)</f>
        <v>#N/A</v>
      </c>
    </row>
    <row r="1846" spans="1:7" x14ac:dyDescent="0.25">
      <c r="A1846" s="1" t="str">
        <f t="shared" si="649"/>
        <v/>
      </c>
      <c r="B1846" s="1" t="str">
        <f t="shared" si="648"/>
        <v/>
      </c>
      <c r="C1846" s="1" t="e">
        <f>VLOOKUP(B1846,'Master truck list'!D:E,2,0)</f>
        <v>#N/A</v>
      </c>
      <c r="D1846" s="1" t="e">
        <f>VLOOKUP(C1846,'Master truck list'!E:F,2,0)</f>
        <v>#N/A</v>
      </c>
      <c r="E1846" s="1" t="e">
        <f>VLOOKUP(C1846,'Master truck list'!E:M,9,0)</f>
        <v>#N/A</v>
      </c>
      <c r="F1846" s="1" t="e">
        <f>VLOOKUP(C1846,'Master truck list'!E:G,3,0)</f>
        <v>#N/A</v>
      </c>
      <c r="G1846" s="1" t="e">
        <f>VLOOKUP(C1846,'Master truck list'!E:R,14,0)</f>
        <v>#N/A</v>
      </c>
    </row>
    <row r="1847" spans="1:7" x14ac:dyDescent="0.25">
      <c r="A1847" s="1" t="str">
        <f t="shared" si="649"/>
        <v/>
      </c>
      <c r="B1847" s="1" t="str">
        <f t="shared" si="648"/>
        <v/>
      </c>
      <c r="C1847" s="1" t="e">
        <f>VLOOKUP(B1847,'Master truck list'!D:E,2,0)</f>
        <v>#N/A</v>
      </c>
      <c r="D1847" s="1" t="e">
        <f>VLOOKUP(C1847,'Master truck list'!E:F,2,0)</f>
        <v>#N/A</v>
      </c>
      <c r="E1847" s="1" t="e">
        <f>VLOOKUP(C1847,'Master truck list'!E:M,9,0)</f>
        <v>#N/A</v>
      </c>
      <c r="F1847" s="1" t="e">
        <f>VLOOKUP(C1847,'Master truck list'!E:G,3,0)</f>
        <v>#N/A</v>
      </c>
      <c r="G1847" s="1" t="e">
        <f>VLOOKUP(C1847,'Master truck list'!E:R,14,0)</f>
        <v>#N/A</v>
      </c>
    </row>
    <row r="1848" spans="1:7" x14ac:dyDescent="0.25">
      <c r="A1848" s="1" t="str">
        <f t="shared" si="649"/>
        <v/>
      </c>
      <c r="B1848" s="1" t="str">
        <f t="shared" si="648"/>
        <v/>
      </c>
      <c r="C1848" s="1" t="e">
        <f>VLOOKUP(B1848,'Master truck list'!D:E,2,0)</f>
        <v>#N/A</v>
      </c>
      <c r="D1848" s="1" t="e">
        <f>VLOOKUP(C1848,'Master truck list'!E:F,2,0)</f>
        <v>#N/A</v>
      </c>
      <c r="E1848" s="1" t="e">
        <f>VLOOKUP(C1848,'Master truck list'!E:M,9,0)</f>
        <v>#N/A</v>
      </c>
      <c r="F1848" s="1" t="e">
        <f>VLOOKUP(C1848,'Master truck list'!E:G,3,0)</f>
        <v>#N/A</v>
      </c>
      <c r="G1848" s="1" t="e">
        <f>VLOOKUP(C1848,'Master truck list'!E:R,14,0)</f>
        <v>#N/A</v>
      </c>
    </row>
    <row r="1849" spans="1:7" x14ac:dyDescent="0.25">
      <c r="A1849" s="1" t="str">
        <f t="shared" si="649"/>
        <v/>
      </c>
      <c r="B1849" s="1" t="str">
        <f t="shared" ref="B1849:B1912" si="650">SUBSTITUTE(A1849," ","")</f>
        <v/>
      </c>
      <c r="C1849" s="1" t="e">
        <f>VLOOKUP(B1849,'Master truck list'!D:E,2,0)</f>
        <v>#N/A</v>
      </c>
      <c r="D1849" s="1" t="e">
        <f>VLOOKUP(C1849,'Master truck list'!E:F,2,0)</f>
        <v>#N/A</v>
      </c>
      <c r="E1849" s="1" t="e">
        <f>VLOOKUP(C1849,'Master truck list'!E:M,9,0)</f>
        <v>#N/A</v>
      </c>
      <c r="F1849" s="1" t="e">
        <f>VLOOKUP(C1849,'Master truck list'!E:G,3,0)</f>
        <v>#N/A</v>
      </c>
      <c r="G1849" s="1" t="e">
        <f>VLOOKUP(C1849,'Master truck list'!E:R,14,0)</f>
        <v>#N/A</v>
      </c>
    </row>
    <row r="1850" spans="1:7" x14ac:dyDescent="0.25">
      <c r="A1850" s="1" t="str">
        <f t="shared" si="649"/>
        <v/>
      </c>
      <c r="B1850" s="1" t="str">
        <f t="shared" si="650"/>
        <v/>
      </c>
      <c r="C1850" s="1" t="e">
        <f>VLOOKUP(B1850,'Master truck list'!D:E,2,0)</f>
        <v>#N/A</v>
      </c>
      <c r="D1850" s="1" t="e">
        <f>VLOOKUP(C1850,'Master truck list'!E:F,2,0)</f>
        <v>#N/A</v>
      </c>
      <c r="E1850" s="1" t="e">
        <f>VLOOKUP(C1850,'Master truck list'!E:M,9,0)</f>
        <v>#N/A</v>
      </c>
      <c r="F1850" s="1" t="e">
        <f>VLOOKUP(C1850,'Master truck list'!E:G,3,0)</f>
        <v>#N/A</v>
      </c>
      <c r="G1850" s="1" t="e">
        <f>VLOOKUP(C1850,'Master truck list'!E:R,14,0)</f>
        <v>#N/A</v>
      </c>
    </row>
    <row r="1851" spans="1:7" x14ac:dyDescent="0.25">
      <c r="A1851" s="1" t="str">
        <f t="shared" si="649"/>
        <v/>
      </c>
      <c r="B1851" s="1" t="str">
        <f t="shared" si="650"/>
        <v/>
      </c>
      <c r="C1851" s="1" t="e">
        <f>VLOOKUP(B1851,'Master truck list'!D:E,2,0)</f>
        <v>#N/A</v>
      </c>
      <c r="D1851" s="1" t="e">
        <f>VLOOKUP(C1851,'Master truck list'!E:F,2,0)</f>
        <v>#N/A</v>
      </c>
      <c r="E1851" s="1" t="e">
        <f>VLOOKUP(C1851,'Master truck list'!E:M,9,0)</f>
        <v>#N/A</v>
      </c>
      <c r="F1851" s="1" t="e">
        <f>VLOOKUP(C1851,'Master truck list'!E:G,3,0)</f>
        <v>#N/A</v>
      </c>
      <c r="G1851" s="1" t="e">
        <f>VLOOKUP(C1851,'Master truck list'!E:R,14,0)</f>
        <v>#N/A</v>
      </c>
    </row>
    <row r="1852" spans="1:7" x14ac:dyDescent="0.25">
      <c r="A1852" s="1" t="str">
        <f t="shared" si="649"/>
        <v/>
      </c>
      <c r="B1852" s="1" t="str">
        <f t="shared" si="650"/>
        <v/>
      </c>
      <c r="C1852" s="1" t="e">
        <f>VLOOKUP(B1852,'Master truck list'!D:E,2,0)</f>
        <v>#N/A</v>
      </c>
      <c r="D1852" s="1" t="e">
        <f>VLOOKUP(C1852,'Master truck list'!E:F,2,0)</f>
        <v>#N/A</v>
      </c>
      <c r="E1852" s="1" t="e">
        <f>VLOOKUP(C1852,'Master truck list'!E:M,9,0)</f>
        <v>#N/A</v>
      </c>
      <c r="F1852" s="1" t="e">
        <f>VLOOKUP(C1852,'Master truck list'!E:G,3,0)</f>
        <v>#N/A</v>
      </c>
      <c r="G1852" s="1" t="e">
        <f>VLOOKUP(C1852,'Master truck list'!E:R,14,0)</f>
        <v>#N/A</v>
      </c>
    </row>
    <row r="1853" spans="1:7" x14ac:dyDescent="0.25">
      <c r="A1853" s="1" t="str">
        <f t="shared" si="649"/>
        <v/>
      </c>
      <c r="B1853" s="1" t="str">
        <f t="shared" si="650"/>
        <v/>
      </c>
      <c r="C1853" s="1" t="e">
        <f>VLOOKUP(B1853,'Master truck list'!D:E,2,0)</f>
        <v>#N/A</v>
      </c>
      <c r="D1853" s="1" t="e">
        <f>VLOOKUP(C1853,'Master truck list'!E:F,2,0)</f>
        <v>#N/A</v>
      </c>
      <c r="E1853" s="1" t="e">
        <f>VLOOKUP(C1853,'Master truck list'!E:M,9,0)</f>
        <v>#N/A</v>
      </c>
      <c r="F1853" s="1" t="e">
        <f>VLOOKUP(C1853,'Master truck list'!E:G,3,0)</f>
        <v>#N/A</v>
      </c>
      <c r="G1853" s="1" t="e">
        <f>VLOOKUP(C1853,'Master truck list'!E:R,14,0)</f>
        <v>#N/A</v>
      </c>
    </row>
    <row r="1854" spans="1:7" x14ac:dyDescent="0.25">
      <c r="A1854" s="1" t="str">
        <f t="shared" si="649"/>
        <v/>
      </c>
      <c r="B1854" s="1" t="str">
        <f t="shared" si="650"/>
        <v/>
      </c>
      <c r="C1854" s="1" t="e">
        <f>VLOOKUP(B1854,'Master truck list'!D:E,2,0)</f>
        <v>#N/A</v>
      </c>
      <c r="D1854" s="1" t="e">
        <f>VLOOKUP(C1854,'Master truck list'!E:F,2,0)</f>
        <v>#N/A</v>
      </c>
      <c r="E1854" s="1" t="e">
        <f>VLOOKUP(C1854,'Master truck list'!E:M,9,0)</f>
        <v>#N/A</v>
      </c>
      <c r="F1854" s="1" t="e">
        <f>VLOOKUP(C1854,'Master truck list'!E:G,3,0)</f>
        <v>#N/A</v>
      </c>
      <c r="G1854" s="1" t="e">
        <f>VLOOKUP(C1854,'Master truck list'!E:R,14,0)</f>
        <v>#N/A</v>
      </c>
    </row>
    <row r="1855" spans="1:7" x14ac:dyDescent="0.25">
      <c r="A1855" s="1" t="str">
        <f t="shared" si="649"/>
        <v/>
      </c>
      <c r="B1855" s="1" t="str">
        <f t="shared" si="650"/>
        <v/>
      </c>
      <c r="C1855" s="1" t="e">
        <f>VLOOKUP(B1855,'Master truck list'!D:E,2,0)</f>
        <v>#N/A</v>
      </c>
      <c r="D1855" s="1" t="e">
        <f>VLOOKUP(C1855,'Master truck list'!E:F,2,0)</f>
        <v>#N/A</v>
      </c>
      <c r="E1855" s="1" t="e">
        <f>VLOOKUP(C1855,'Master truck list'!E:M,9,0)</f>
        <v>#N/A</v>
      </c>
      <c r="F1855" s="1" t="e">
        <f>VLOOKUP(C1855,'Master truck list'!E:G,3,0)</f>
        <v>#N/A</v>
      </c>
      <c r="G1855" s="1" t="e">
        <f>VLOOKUP(C1855,'Master truck list'!E:R,14,0)</f>
        <v>#N/A</v>
      </c>
    </row>
    <row r="1856" spans="1:7" x14ac:dyDescent="0.25">
      <c r="A1856" s="1" t="str">
        <f t="shared" si="649"/>
        <v/>
      </c>
      <c r="B1856" s="1" t="str">
        <f t="shared" si="650"/>
        <v/>
      </c>
      <c r="C1856" s="1" t="e">
        <f>VLOOKUP(B1856,'Master truck list'!D:E,2,0)</f>
        <v>#N/A</v>
      </c>
      <c r="D1856" s="1" t="e">
        <f>VLOOKUP(C1856,'Master truck list'!E:F,2,0)</f>
        <v>#N/A</v>
      </c>
      <c r="E1856" s="1" t="e">
        <f>VLOOKUP(C1856,'Master truck list'!E:M,9,0)</f>
        <v>#N/A</v>
      </c>
      <c r="F1856" s="1" t="e">
        <f>VLOOKUP(C1856,'Master truck list'!E:G,3,0)</f>
        <v>#N/A</v>
      </c>
      <c r="G1856" s="1" t="e">
        <f>VLOOKUP(C1856,'Master truck list'!E:R,14,0)</f>
        <v>#N/A</v>
      </c>
    </row>
    <row r="1857" spans="1:7" x14ac:dyDescent="0.25">
      <c r="A1857" s="1" t="str">
        <f t="shared" si="649"/>
        <v/>
      </c>
      <c r="B1857" s="1" t="str">
        <f t="shared" si="650"/>
        <v/>
      </c>
      <c r="C1857" s="1" t="e">
        <f>VLOOKUP(B1857,'Master truck list'!D:E,2,0)</f>
        <v>#N/A</v>
      </c>
      <c r="D1857" s="1" t="e">
        <f>VLOOKUP(C1857,'Master truck list'!E:F,2,0)</f>
        <v>#N/A</v>
      </c>
      <c r="E1857" s="1" t="e">
        <f>VLOOKUP(C1857,'Master truck list'!E:M,9,0)</f>
        <v>#N/A</v>
      </c>
      <c r="F1857" s="1" t="e">
        <f>VLOOKUP(C1857,'Master truck list'!E:G,3,0)</f>
        <v>#N/A</v>
      </c>
      <c r="G1857" s="1" t="e">
        <f>VLOOKUP(C1857,'Master truck list'!E:R,14,0)</f>
        <v>#N/A</v>
      </c>
    </row>
    <row r="1858" spans="1:7" x14ac:dyDescent="0.25">
      <c r="A1858" s="1" t="str">
        <f t="shared" si="649"/>
        <v/>
      </c>
      <c r="B1858" s="1" t="str">
        <f t="shared" si="650"/>
        <v/>
      </c>
      <c r="C1858" s="1" t="e">
        <f>VLOOKUP(B1858,'Master truck list'!D:E,2,0)</f>
        <v>#N/A</v>
      </c>
      <c r="D1858" s="1" t="e">
        <f>VLOOKUP(C1858,'Master truck list'!E:F,2,0)</f>
        <v>#N/A</v>
      </c>
      <c r="E1858" s="1" t="e">
        <f>VLOOKUP(C1858,'Master truck list'!E:M,9,0)</f>
        <v>#N/A</v>
      </c>
      <c r="F1858" s="1" t="e">
        <f>VLOOKUP(C1858,'Master truck list'!E:G,3,0)</f>
        <v>#N/A</v>
      </c>
      <c r="G1858" s="1" t="e">
        <f>VLOOKUP(C1858,'Master truck list'!E:R,14,0)</f>
        <v>#N/A</v>
      </c>
    </row>
    <row r="1859" spans="1:7" x14ac:dyDescent="0.25">
      <c r="A1859" s="1" t="str">
        <f t="shared" si="649"/>
        <v/>
      </c>
      <c r="B1859" s="1" t="str">
        <f t="shared" si="650"/>
        <v/>
      </c>
      <c r="C1859" s="1" t="e">
        <f>VLOOKUP(B1859,'Master truck list'!D:E,2,0)</f>
        <v>#N/A</v>
      </c>
      <c r="D1859" s="1" t="e">
        <f>VLOOKUP(C1859,'Master truck list'!E:F,2,0)</f>
        <v>#N/A</v>
      </c>
      <c r="E1859" s="1" t="e">
        <f>VLOOKUP(C1859,'Master truck list'!E:M,9,0)</f>
        <v>#N/A</v>
      </c>
      <c r="F1859" s="1" t="e">
        <f>VLOOKUP(C1859,'Master truck list'!E:G,3,0)</f>
        <v>#N/A</v>
      </c>
      <c r="G1859" s="1" t="e">
        <f>VLOOKUP(C1859,'Master truck list'!E:R,14,0)</f>
        <v>#N/A</v>
      </c>
    </row>
    <row r="1860" spans="1:7" x14ac:dyDescent="0.25">
      <c r="A1860" s="1" t="str">
        <f t="shared" si="649"/>
        <v/>
      </c>
      <c r="B1860" s="1" t="str">
        <f t="shared" si="650"/>
        <v/>
      </c>
      <c r="C1860" s="1" t="e">
        <f>VLOOKUP(B1860,'Master truck list'!D:E,2,0)</f>
        <v>#N/A</v>
      </c>
      <c r="D1860" s="1" t="e">
        <f>VLOOKUP(C1860,'Master truck list'!E:F,2,0)</f>
        <v>#N/A</v>
      </c>
      <c r="E1860" s="1" t="e">
        <f>VLOOKUP(C1860,'Master truck list'!E:M,9,0)</f>
        <v>#N/A</v>
      </c>
      <c r="F1860" s="1" t="e">
        <f>VLOOKUP(C1860,'Master truck list'!E:G,3,0)</f>
        <v>#N/A</v>
      </c>
      <c r="G1860" s="1" t="e">
        <f>VLOOKUP(C1860,'Master truck list'!E:R,14,0)</f>
        <v>#N/A</v>
      </c>
    </row>
    <row r="1861" spans="1:7" x14ac:dyDescent="0.25">
      <c r="A1861" s="1" t="str">
        <f t="shared" si="649"/>
        <v/>
      </c>
      <c r="B1861" s="1" t="str">
        <f t="shared" si="650"/>
        <v/>
      </c>
      <c r="C1861" s="1" t="e">
        <f>VLOOKUP(B1861,'Master truck list'!D:E,2,0)</f>
        <v>#N/A</v>
      </c>
      <c r="D1861" s="1" t="e">
        <f>VLOOKUP(C1861,'Master truck list'!E:F,2,0)</f>
        <v>#N/A</v>
      </c>
      <c r="E1861" s="1" t="e">
        <f>VLOOKUP(C1861,'Master truck list'!E:M,9,0)</f>
        <v>#N/A</v>
      </c>
      <c r="F1861" s="1" t="e">
        <f>VLOOKUP(C1861,'Master truck list'!E:G,3,0)</f>
        <v>#N/A</v>
      </c>
      <c r="G1861" s="1" t="e">
        <f>VLOOKUP(C1861,'Master truck list'!E:R,14,0)</f>
        <v>#N/A</v>
      </c>
    </row>
    <row r="1862" spans="1:7" x14ac:dyDescent="0.25">
      <c r="A1862" s="1" t="str">
        <f t="shared" si="649"/>
        <v/>
      </c>
      <c r="B1862" s="1" t="str">
        <f t="shared" si="650"/>
        <v/>
      </c>
      <c r="C1862" s="1" t="e">
        <f>VLOOKUP(B1862,'Master truck list'!D:E,2,0)</f>
        <v>#N/A</v>
      </c>
      <c r="D1862" s="1" t="e">
        <f>VLOOKUP(C1862,'Master truck list'!E:F,2,0)</f>
        <v>#N/A</v>
      </c>
      <c r="E1862" s="1" t="e">
        <f>VLOOKUP(C1862,'Master truck list'!E:M,9,0)</f>
        <v>#N/A</v>
      </c>
      <c r="F1862" s="1" t="e">
        <f>VLOOKUP(C1862,'Master truck list'!E:G,3,0)</f>
        <v>#N/A</v>
      </c>
      <c r="G1862" s="1" t="e">
        <f>VLOOKUP(C1862,'Master truck list'!E:R,14,0)</f>
        <v>#N/A</v>
      </c>
    </row>
    <row r="1863" spans="1:7" x14ac:dyDescent="0.25">
      <c r="A1863" s="1" t="str">
        <f t="shared" si="649"/>
        <v/>
      </c>
      <c r="B1863" s="1" t="str">
        <f t="shared" si="650"/>
        <v/>
      </c>
      <c r="C1863" s="1" t="e">
        <f>VLOOKUP(B1863,'Master truck list'!D:E,2,0)</f>
        <v>#N/A</v>
      </c>
      <c r="D1863" s="1" t="e">
        <f>VLOOKUP(C1863,'Master truck list'!E:F,2,0)</f>
        <v>#N/A</v>
      </c>
      <c r="E1863" s="1" t="e">
        <f>VLOOKUP(C1863,'Master truck list'!E:M,9,0)</f>
        <v>#N/A</v>
      </c>
      <c r="F1863" s="1" t="e">
        <f>VLOOKUP(C1863,'Master truck list'!E:G,3,0)</f>
        <v>#N/A</v>
      </c>
      <c r="G1863" s="1" t="e">
        <f>VLOOKUP(C1863,'Master truck list'!E:R,14,0)</f>
        <v>#N/A</v>
      </c>
    </row>
    <row r="1864" spans="1:7" x14ac:dyDescent="0.25">
      <c r="A1864" s="1" t="str">
        <f t="shared" si="649"/>
        <v/>
      </c>
      <c r="B1864" s="1" t="str">
        <f t="shared" si="650"/>
        <v/>
      </c>
      <c r="C1864" s="1" t="e">
        <f>VLOOKUP(B1864,'Master truck list'!D:E,2,0)</f>
        <v>#N/A</v>
      </c>
      <c r="D1864" s="1" t="e">
        <f>VLOOKUP(C1864,'Master truck list'!E:F,2,0)</f>
        <v>#N/A</v>
      </c>
      <c r="E1864" s="1" t="e">
        <f>VLOOKUP(C1864,'Master truck list'!E:M,9,0)</f>
        <v>#N/A</v>
      </c>
      <c r="F1864" s="1" t="e">
        <f>VLOOKUP(C1864,'Master truck list'!E:G,3,0)</f>
        <v>#N/A</v>
      </c>
      <c r="G1864" s="1" t="e">
        <f>VLOOKUP(C1864,'Master truck list'!E:R,14,0)</f>
        <v>#N/A</v>
      </c>
    </row>
    <row r="1865" spans="1:7" x14ac:dyDescent="0.25">
      <c r="A1865" s="1" t="str">
        <f t="shared" si="649"/>
        <v/>
      </c>
      <c r="B1865" s="1" t="str">
        <f t="shared" si="650"/>
        <v/>
      </c>
      <c r="C1865" s="1" t="e">
        <f>VLOOKUP(B1865,'Master truck list'!D:E,2,0)</f>
        <v>#N/A</v>
      </c>
      <c r="D1865" s="1" t="e">
        <f>VLOOKUP(C1865,'Master truck list'!E:F,2,0)</f>
        <v>#N/A</v>
      </c>
      <c r="E1865" s="1" t="e">
        <f>VLOOKUP(C1865,'Master truck list'!E:M,9,0)</f>
        <v>#N/A</v>
      </c>
      <c r="F1865" s="1" t="e">
        <f>VLOOKUP(C1865,'Master truck list'!E:G,3,0)</f>
        <v>#N/A</v>
      </c>
      <c r="G1865" s="1" t="e">
        <f>VLOOKUP(C1865,'Master truck list'!E:R,14,0)</f>
        <v>#N/A</v>
      </c>
    </row>
    <row r="1866" spans="1:7" x14ac:dyDescent="0.25">
      <c r="A1866" s="1" t="str">
        <f t="shared" si="649"/>
        <v/>
      </c>
      <c r="B1866" s="1" t="str">
        <f t="shared" si="650"/>
        <v/>
      </c>
      <c r="C1866" s="1" t="e">
        <f>VLOOKUP(B1866,'Master truck list'!D:E,2,0)</f>
        <v>#N/A</v>
      </c>
      <c r="D1866" s="1" t="e">
        <f>VLOOKUP(C1866,'Master truck list'!E:F,2,0)</f>
        <v>#N/A</v>
      </c>
      <c r="E1866" s="1" t="e">
        <f>VLOOKUP(C1866,'Master truck list'!E:M,9,0)</f>
        <v>#N/A</v>
      </c>
      <c r="F1866" s="1" t="e">
        <f>VLOOKUP(C1866,'Master truck list'!E:G,3,0)</f>
        <v>#N/A</v>
      </c>
      <c r="G1866" s="1" t="e">
        <f>VLOOKUP(C1866,'Master truck list'!E:R,14,0)</f>
        <v>#N/A</v>
      </c>
    </row>
    <row r="1867" spans="1:7" x14ac:dyDescent="0.25">
      <c r="A1867" s="1" t="str">
        <f t="shared" si="649"/>
        <v/>
      </c>
      <c r="B1867" s="1" t="str">
        <f t="shared" si="650"/>
        <v/>
      </c>
      <c r="C1867" s="1" t="e">
        <f>VLOOKUP(B1867,'Master truck list'!D:E,2,0)</f>
        <v>#N/A</v>
      </c>
      <c r="D1867" s="1" t="e">
        <f>VLOOKUP(C1867,'Master truck list'!E:F,2,0)</f>
        <v>#N/A</v>
      </c>
      <c r="E1867" s="1" t="e">
        <f>VLOOKUP(C1867,'Master truck list'!E:M,9,0)</f>
        <v>#N/A</v>
      </c>
      <c r="F1867" s="1" t="e">
        <f>VLOOKUP(C1867,'Master truck list'!E:G,3,0)</f>
        <v>#N/A</v>
      </c>
      <c r="G1867" s="1" t="e">
        <f>VLOOKUP(C1867,'Master truck list'!E:R,14,0)</f>
        <v>#N/A</v>
      </c>
    </row>
    <row r="1868" spans="1:7" x14ac:dyDescent="0.25">
      <c r="A1868" s="1" t="str">
        <f t="shared" si="649"/>
        <v/>
      </c>
      <c r="B1868" s="1" t="str">
        <f t="shared" si="650"/>
        <v/>
      </c>
      <c r="C1868" s="1" t="e">
        <f>VLOOKUP(B1868,'Master truck list'!D:E,2,0)</f>
        <v>#N/A</v>
      </c>
      <c r="D1868" s="1" t="e">
        <f>VLOOKUP(C1868,'Master truck list'!E:F,2,0)</f>
        <v>#N/A</v>
      </c>
      <c r="E1868" s="1" t="e">
        <f>VLOOKUP(C1868,'Master truck list'!E:M,9,0)</f>
        <v>#N/A</v>
      </c>
      <c r="F1868" s="1" t="e">
        <f>VLOOKUP(C1868,'Master truck list'!E:G,3,0)</f>
        <v>#N/A</v>
      </c>
      <c r="G1868" s="1" t="e">
        <f>VLOOKUP(C1868,'Master truck list'!E:R,14,0)</f>
        <v>#N/A</v>
      </c>
    </row>
    <row r="1869" spans="1:7" x14ac:dyDescent="0.25">
      <c r="A1869" s="1" t="str">
        <f t="shared" si="649"/>
        <v/>
      </c>
      <c r="B1869" s="1" t="str">
        <f t="shared" si="650"/>
        <v/>
      </c>
      <c r="C1869" s="1" t="e">
        <f>VLOOKUP(B1869,'Master truck list'!D:E,2,0)</f>
        <v>#N/A</v>
      </c>
      <c r="D1869" s="1" t="e">
        <f>VLOOKUP(C1869,'Master truck list'!E:F,2,0)</f>
        <v>#N/A</v>
      </c>
      <c r="E1869" s="1" t="e">
        <f>VLOOKUP(C1869,'Master truck list'!E:M,9,0)</f>
        <v>#N/A</v>
      </c>
      <c r="F1869" s="1" t="e">
        <f>VLOOKUP(C1869,'Master truck list'!E:G,3,0)</f>
        <v>#N/A</v>
      </c>
      <c r="G1869" s="1" t="e">
        <f>VLOOKUP(C1869,'Master truck list'!E:R,14,0)</f>
        <v>#N/A</v>
      </c>
    </row>
    <row r="1870" spans="1:7" x14ac:dyDescent="0.25">
      <c r="A1870" s="1" t="str">
        <f t="shared" si="649"/>
        <v/>
      </c>
      <c r="B1870" s="1" t="str">
        <f t="shared" si="650"/>
        <v/>
      </c>
      <c r="C1870" s="1" t="e">
        <f>VLOOKUP(B1870,'Master truck list'!D:E,2,0)</f>
        <v>#N/A</v>
      </c>
      <c r="D1870" s="1" t="e">
        <f>VLOOKUP(C1870,'Master truck list'!E:F,2,0)</f>
        <v>#N/A</v>
      </c>
      <c r="E1870" s="1" t="e">
        <f>VLOOKUP(C1870,'Master truck list'!E:M,9,0)</f>
        <v>#N/A</v>
      </c>
      <c r="F1870" s="1" t="e">
        <f>VLOOKUP(C1870,'Master truck list'!E:G,3,0)</f>
        <v>#N/A</v>
      </c>
      <c r="G1870" s="1" t="e">
        <f>VLOOKUP(C1870,'Master truck list'!E:R,14,0)</f>
        <v>#N/A</v>
      </c>
    </row>
    <row r="1871" spans="1:7" x14ac:dyDescent="0.25">
      <c r="A1871" s="1" t="str">
        <f t="shared" si="649"/>
        <v/>
      </c>
      <c r="B1871" s="1" t="str">
        <f t="shared" si="650"/>
        <v/>
      </c>
      <c r="C1871" s="1" t="e">
        <f>VLOOKUP(B1871,'Master truck list'!D:E,2,0)</f>
        <v>#N/A</v>
      </c>
      <c r="D1871" s="1" t="e">
        <f>VLOOKUP(C1871,'Master truck list'!E:F,2,0)</f>
        <v>#N/A</v>
      </c>
      <c r="E1871" s="1" t="e">
        <f>VLOOKUP(C1871,'Master truck list'!E:M,9,0)</f>
        <v>#N/A</v>
      </c>
      <c r="F1871" s="1" t="e">
        <f>VLOOKUP(C1871,'Master truck list'!E:G,3,0)</f>
        <v>#N/A</v>
      </c>
      <c r="G1871" s="1" t="e">
        <f>VLOOKUP(C1871,'Master truck list'!E:R,14,0)</f>
        <v>#N/A</v>
      </c>
    </row>
    <row r="1872" spans="1:7" x14ac:dyDescent="0.25">
      <c r="A1872" s="1" t="str">
        <f t="shared" si="649"/>
        <v/>
      </c>
      <c r="B1872" s="1" t="str">
        <f t="shared" si="650"/>
        <v/>
      </c>
      <c r="C1872" s="1" t="e">
        <f>VLOOKUP(B1872,'Master truck list'!D:E,2,0)</f>
        <v>#N/A</v>
      </c>
      <c r="D1872" s="1" t="e">
        <f>VLOOKUP(C1872,'Master truck list'!E:F,2,0)</f>
        <v>#N/A</v>
      </c>
      <c r="E1872" s="1" t="e">
        <f>VLOOKUP(C1872,'Master truck list'!E:M,9,0)</f>
        <v>#N/A</v>
      </c>
      <c r="F1872" s="1" t="e">
        <f>VLOOKUP(C1872,'Master truck list'!E:G,3,0)</f>
        <v>#N/A</v>
      </c>
      <c r="G1872" s="1" t="e">
        <f>VLOOKUP(C1872,'Master truck list'!E:R,14,0)</f>
        <v>#N/A</v>
      </c>
    </row>
    <row r="1873" spans="1:7" x14ac:dyDescent="0.25">
      <c r="A1873" s="1" t="str">
        <f t="shared" si="649"/>
        <v/>
      </c>
      <c r="B1873" s="1" t="str">
        <f t="shared" si="650"/>
        <v/>
      </c>
      <c r="C1873" s="1" t="e">
        <f>VLOOKUP(B1873,'Master truck list'!D:E,2,0)</f>
        <v>#N/A</v>
      </c>
      <c r="D1873" s="1" t="e">
        <f>VLOOKUP(C1873,'Master truck list'!E:F,2,0)</f>
        <v>#N/A</v>
      </c>
      <c r="E1873" s="1" t="e">
        <f>VLOOKUP(C1873,'Master truck list'!E:M,9,0)</f>
        <v>#N/A</v>
      </c>
      <c r="F1873" s="1" t="e">
        <f>VLOOKUP(C1873,'Master truck list'!E:G,3,0)</f>
        <v>#N/A</v>
      </c>
      <c r="G1873" s="1" t="e">
        <f>VLOOKUP(C1873,'Master truck list'!E:R,14,0)</f>
        <v>#N/A</v>
      </c>
    </row>
    <row r="1874" spans="1:7" x14ac:dyDescent="0.25">
      <c r="A1874" s="1" t="str">
        <f t="shared" si="649"/>
        <v/>
      </c>
      <c r="B1874" s="1" t="str">
        <f t="shared" si="650"/>
        <v/>
      </c>
      <c r="C1874" s="1" t="e">
        <f>VLOOKUP(B1874,'Master truck list'!D:E,2,0)</f>
        <v>#N/A</v>
      </c>
      <c r="D1874" s="1" t="e">
        <f>VLOOKUP(C1874,'Master truck list'!E:F,2,0)</f>
        <v>#N/A</v>
      </c>
      <c r="E1874" s="1" t="e">
        <f>VLOOKUP(C1874,'Master truck list'!E:M,9,0)</f>
        <v>#N/A</v>
      </c>
      <c r="F1874" s="1" t="e">
        <f>VLOOKUP(C1874,'Master truck list'!E:G,3,0)</f>
        <v>#N/A</v>
      </c>
      <c r="G1874" s="1" t="e">
        <f>VLOOKUP(C1874,'Master truck list'!E:R,14,0)</f>
        <v>#N/A</v>
      </c>
    </row>
    <row r="1875" spans="1:7" x14ac:dyDescent="0.25">
      <c r="A1875" s="1" t="str">
        <f t="shared" si="649"/>
        <v/>
      </c>
      <c r="B1875" s="1" t="str">
        <f t="shared" si="650"/>
        <v/>
      </c>
      <c r="C1875" s="1" t="e">
        <f>VLOOKUP(B1875,'Master truck list'!D:E,2,0)</f>
        <v>#N/A</v>
      </c>
      <c r="D1875" s="1" t="e">
        <f>VLOOKUP(C1875,'Master truck list'!E:F,2,0)</f>
        <v>#N/A</v>
      </c>
      <c r="E1875" s="1" t="e">
        <f>VLOOKUP(C1875,'Master truck list'!E:M,9,0)</f>
        <v>#N/A</v>
      </c>
      <c r="F1875" s="1" t="e">
        <f>VLOOKUP(C1875,'Master truck list'!E:G,3,0)</f>
        <v>#N/A</v>
      </c>
      <c r="G1875" s="1" t="e">
        <f>VLOOKUP(C1875,'Master truck list'!E:R,14,0)</f>
        <v>#N/A</v>
      </c>
    </row>
    <row r="1876" spans="1:7" x14ac:dyDescent="0.25">
      <c r="A1876" s="1" t="str">
        <f t="shared" si="649"/>
        <v/>
      </c>
      <c r="B1876" s="1" t="str">
        <f t="shared" si="650"/>
        <v/>
      </c>
      <c r="C1876" s="1" t="e">
        <f>VLOOKUP(B1876,'Master truck list'!D:E,2,0)</f>
        <v>#N/A</v>
      </c>
      <c r="D1876" s="1" t="e">
        <f>VLOOKUP(C1876,'Master truck list'!E:F,2,0)</f>
        <v>#N/A</v>
      </c>
      <c r="E1876" s="1" t="e">
        <f>VLOOKUP(C1876,'Master truck list'!E:M,9,0)</f>
        <v>#N/A</v>
      </c>
      <c r="F1876" s="1" t="e">
        <f>VLOOKUP(C1876,'Master truck list'!E:G,3,0)</f>
        <v>#N/A</v>
      </c>
      <c r="G1876" s="1" t="e">
        <f>VLOOKUP(C1876,'Master truck list'!E:R,14,0)</f>
        <v>#N/A</v>
      </c>
    </row>
    <row r="1877" spans="1:7" x14ac:dyDescent="0.25">
      <c r="A1877" s="1" t="str">
        <f t="shared" si="649"/>
        <v/>
      </c>
      <c r="B1877" s="1" t="str">
        <f t="shared" si="650"/>
        <v/>
      </c>
      <c r="C1877" s="1" t="e">
        <f>VLOOKUP(B1877,'Master truck list'!D:E,2,0)</f>
        <v>#N/A</v>
      </c>
      <c r="D1877" s="1" t="e">
        <f>VLOOKUP(C1877,'Master truck list'!E:F,2,0)</f>
        <v>#N/A</v>
      </c>
      <c r="E1877" s="1" t="e">
        <f>VLOOKUP(C1877,'Master truck list'!E:M,9,0)</f>
        <v>#N/A</v>
      </c>
      <c r="F1877" s="1" t="e">
        <f>VLOOKUP(C1877,'Master truck list'!E:G,3,0)</f>
        <v>#N/A</v>
      </c>
      <c r="G1877" s="1" t="e">
        <f>VLOOKUP(C1877,'Master truck list'!E:R,14,0)</f>
        <v>#N/A</v>
      </c>
    </row>
    <row r="1878" spans="1:7" x14ac:dyDescent="0.25">
      <c r="A1878" s="1" t="str">
        <f t="shared" si="649"/>
        <v/>
      </c>
      <c r="B1878" s="1" t="str">
        <f t="shared" si="650"/>
        <v/>
      </c>
      <c r="C1878" s="1" t="e">
        <f>VLOOKUP(B1878,'Master truck list'!D:E,2,0)</f>
        <v>#N/A</v>
      </c>
      <c r="D1878" s="1" t="e">
        <f>VLOOKUP(C1878,'Master truck list'!E:F,2,0)</f>
        <v>#N/A</v>
      </c>
      <c r="E1878" s="1" t="e">
        <f>VLOOKUP(C1878,'Master truck list'!E:M,9,0)</f>
        <v>#N/A</v>
      </c>
      <c r="F1878" s="1" t="e">
        <f>VLOOKUP(C1878,'Master truck list'!E:G,3,0)</f>
        <v>#N/A</v>
      </c>
      <c r="G1878" s="1" t="e">
        <f>VLOOKUP(C1878,'Master truck list'!E:R,14,0)</f>
        <v>#N/A</v>
      </c>
    </row>
    <row r="1879" spans="1:7" x14ac:dyDescent="0.25">
      <c r="A1879" s="1" t="str">
        <f t="shared" si="649"/>
        <v/>
      </c>
      <c r="B1879" s="1" t="str">
        <f t="shared" si="650"/>
        <v/>
      </c>
      <c r="C1879" s="1" t="e">
        <f>VLOOKUP(B1879,'Master truck list'!D:E,2,0)</f>
        <v>#N/A</v>
      </c>
      <c r="D1879" s="1" t="e">
        <f>VLOOKUP(C1879,'Master truck list'!E:F,2,0)</f>
        <v>#N/A</v>
      </c>
      <c r="E1879" s="1" t="e">
        <f>VLOOKUP(C1879,'Master truck list'!E:M,9,0)</f>
        <v>#N/A</v>
      </c>
      <c r="F1879" s="1" t="e">
        <f>VLOOKUP(C1879,'Master truck list'!E:G,3,0)</f>
        <v>#N/A</v>
      </c>
      <c r="G1879" s="1" t="e">
        <f>VLOOKUP(C1879,'Master truck list'!E:R,14,0)</f>
        <v>#N/A</v>
      </c>
    </row>
    <row r="1880" spans="1:7" x14ac:dyDescent="0.25">
      <c r="A1880" s="1" t="str">
        <f t="shared" si="649"/>
        <v/>
      </c>
      <c r="B1880" s="1" t="str">
        <f t="shared" si="650"/>
        <v/>
      </c>
      <c r="C1880" s="1" t="e">
        <f>VLOOKUP(B1880,'Master truck list'!D:E,2,0)</f>
        <v>#N/A</v>
      </c>
      <c r="D1880" s="1" t="e">
        <f>VLOOKUP(C1880,'Master truck list'!E:F,2,0)</f>
        <v>#N/A</v>
      </c>
      <c r="E1880" s="1" t="e">
        <f>VLOOKUP(C1880,'Master truck list'!E:M,9,0)</f>
        <v>#N/A</v>
      </c>
      <c r="F1880" s="1" t="e">
        <f>VLOOKUP(C1880,'Master truck list'!E:G,3,0)</f>
        <v>#N/A</v>
      </c>
      <c r="G1880" s="1" t="e">
        <f>VLOOKUP(C1880,'Master truck list'!E:R,14,0)</f>
        <v>#N/A</v>
      </c>
    </row>
    <row r="1881" spans="1:7" x14ac:dyDescent="0.25">
      <c r="A1881" s="1" t="str">
        <f t="shared" si="649"/>
        <v/>
      </c>
      <c r="B1881" s="1" t="str">
        <f t="shared" si="650"/>
        <v/>
      </c>
      <c r="C1881" s="1" t="e">
        <f>VLOOKUP(B1881,'Master truck list'!D:E,2,0)</f>
        <v>#N/A</v>
      </c>
      <c r="D1881" s="1" t="e">
        <f>VLOOKUP(C1881,'Master truck list'!E:F,2,0)</f>
        <v>#N/A</v>
      </c>
      <c r="E1881" s="1" t="e">
        <f>VLOOKUP(C1881,'Master truck list'!E:M,9,0)</f>
        <v>#N/A</v>
      </c>
      <c r="F1881" s="1" t="e">
        <f>VLOOKUP(C1881,'Master truck list'!E:G,3,0)</f>
        <v>#N/A</v>
      </c>
      <c r="G1881" s="1" t="e">
        <f>VLOOKUP(C1881,'Master truck list'!E:R,14,0)</f>
        <v>#N/A</v>
      </c>
    </row>
    <row r="1882" spans="1:7" x14ac:dyDescent="0.25">
      <c r="A1882" s="1" t="str">
        <f t="shared" si="649"/>
        <v/>
      </c>
      <c r="B1882" s="1" t="str">
        <f t="shared" si="650"/>
        <v/>
      </c>
      <c r="C1882" s="1" t="e">
        <f>VLOOKUP(B1882,'Master truck list'!D:E,2,0)</f>
        <v>#N/A</v>
      </c>
      <c r="D1882" s="1" t="e">
        <f>VLOOKUP(C1882,'Master truck list'!E:F,2,0)</f>
        <v>#N/A</v>
      </c>
      <c r="E1882" s="1" t="e">
        <f>VLOOKUP(C1882,'Master truck list'!E:M,9,0)</f>
        <v>#N/A</v>
      </c>
      <c r="F1882" s="1" t="e">
        <f>VLOOKUP(C1882,'Master truck list'!E:G,3,0)</f>
        <v>#N/A</v>
      </c>
      <c r="G1882" s="1" t="e">
        <f>VLOOKUP(C1882,'Master truck list'!E:R,14,0)</f>
        <v>#N/A</v>
      </c>
    </row>
    <row r="1883" spans="1:7" x14ac:dyDescent="0.25">
      <c r="A1883" s="1" t="str">
        <f t="shared" si="649"/>
        <v/>
      </c>
      <c r="B1883" s="1" t="str">
        <f t="shared" si="650"/>
        <v/>
      </c>
      <c r="C1883" s="1" t="e">
        <f>VLOOKUP(B1883,'Master truck list'!D:E,2,0)</f>
        <v>#N/A</v>
      </c>
      <c r="D1883" s="1" t="e">
        <f>VLOOKUP(C1883,'Master truck list'!E:F,2,0)</f>
        <v>#N/A</v>
      </c>
      <c r="E1883" s="1" t="e">
        <f>VLOOKUP(C1883,'Master truck list'!E:M,9,0)</f>
        <v>#N/A</v>
      </c>
      <c r="F1883" s="1" t="e">
        <f>VLOOKUP(C1883,'Master truck list'!E:G,3,0)</f>
        <v>#N/A</v>
      </c>
      <c r="G1883" s="1" t="e">
        <f>VLOOKUP(C1883,'Master truck list'!E:R,14,0)</f>
        <v>#N/A</v>
      </c>
    </row>
    <row r="1884" spans="1:7" x14ac:dyDescent="0.25">
      <c r="A1884" s="1" t="str">
        <f t="shared" si="649"/>
        <v/>
      </c>
      <c r="B1884" s="1" t="str">
        <f t="shared" si="650"/>
        <v/>
      </c>
      <c r="C1884" s="1" t="e">
        <f>VLOOKUP(B1884,'Master truck list'!D:E,2,0)</f>
        <v>#N/A</v>
      </c>
      <c r="D1884" s="1" t="e">
        <f>VLOOKUP(C1884,'Master truck list'!E:F,2,0)</f>
        <v>#N/A</v>
      </c>
      <c r="E1884" s="1" t="e">
        <f>VLOOKUP(C1884,'Master truck list'!E:M,9,0)</f>
        <v>#N/A</v>
      </c>
      <c r="F1884" s="1" t="e">
        <f>VLOOKUP(C1884,'Master truck list'!E:G,3,0)</f>
        <v>#N/A</v>
      </c>
      <c r="G1884" s="1" t="e">
        <f>VLOOKUP(C1884,'Master truck list'!E:R,14,0)</f>
        <v>#N/A</v>
      </c>
    </row>
    <row r="1885" spans="1:7" x14ac:dyDescent="0.25">
      <c r="A1885" s="1" t="str">
        <f t="shared" si="649"/>
        <v/>
      </c>
      <c r="B1885" s="1" t="str">
        <f t="shared" si="650"/>
        <v/>
      </c>
      <c r="C1885" s="1" t="e">
        <f>VLOOKUP(B1885,'Master truck list'!D:E,2,0)</f>
        <v>#N/A</v>
      </c>
      <c r="D1885" s="1" t="e">
        <f>VLOOKUP(C1885,'Master truck list'!E:F,2,0)</f>
        <v>#N/A</v>
      </c>
      <c r="E1885" s="1" t="e">
        <f>VLOOKUP(C1885,'Master truck list'!E:M,9,0)</f>
        <v>#N/A</v>
      </c>
      <c r="F1885" s="1" t="e">
        <f>VLOOKUP(C1885,'Master truck list'!E:G,3,0)</f>
        <v>#N/A</v>
      </c>
      <c r="G1885" s="1" t="e">
        <f>VLOOKUP(C1885,'Master truck list'!E:R,14,0)</f>
        <v>#N/A</v>
      </c>
    </row>
    <row r="1886" spans="1:7" x14ac:dyDescent="0.25">
      <c r="A1886" s="1" t="str">
        <f t="shared" si="649"/>
        <v/>
      </c>
      <c r="B1886" s="1" t="str">
        <f t="shared" si="650"/>
        <v/>
      </c>
      <c r="C1886" s="1" t="e">
        <f>VLOOKUP(B1886,'Master truck list'!D:E,2,0)</f>
        <v>#N/A</v>
      </c>
      <c r="D1886" s="1" t="e">
        <f>VLOOKUP(C1886,'Master truck list'!E:F,2,0)</f>
        <v>#N/A</v>
      </c>
      <c r="E1886" s="1" t="e">
        <f>VLOOKUP(C1886,'Master truck list'!E:M,9,0)</f>
        <v>#N/A</v>
      </c>
      <c r="F1886" s="1" t="e">
        <f>VLOOKUP(C1886,'Master truck list'!E:G,3,0)</f>
        <v>#N/A</v>
      </c>
      <c r="G1886" s="1" t="e">
        <f>VLOOKUP(C1886,'Master truck list'!E:R,14,0)</f>
        <v>#N/A</v>
      </c>
    </row>
    <row r="1887" spans="1:7" x14ac:dyDescent="0.25">
      <c r="A1887" s="1" t="str">
        <f t="shared" si="649"/>
        <v/>
      </c>
      <c r="B1887" s="1" t="str">
        <f t="shared" si="650"/>
        <v/>
      </c>
      <c r="C1887" s="1" t="e">
        <f>VLOOKUP(B1887,'Master truck list'!D:E,2,0)</f>
        <v>#N/A</v>
      </c>
      <c r="D1887" s="1" t="e">
        <f>VLOOKUP(C1887,'Master truck list'!E:F,2,0)</f>
        <v>#N/A</v>
      </c>
      <c r="E1887" s="1" t="e">
        <f>VLOOKUP(C1887,'Master truck list'!E:M,9,0)</f>
        <v>#N/A</v>
      </c>
      <c r="F1887" s="1" t="e">
        <f>VLOOKUP(C1887,'Master truck list'!E:G,3,0)</f>
        <v>#N/A</v>
      </c>
      <c r="G1887" s="1" t="e">
        <f>VLOOKUP(C1887,'Master truck list'!E:R,14,0)</f>
        <v>#N/A</v>
      </c>
    </row>
    <row r="1888" spans="1:7" x14ac:dyDescent="0.25">
      <c r="A1888" s="1" t="str">
        <f t="shared" si="649"/>
        <v/>
      </c>
      <c r="B1888" s="1" t="str">
        <f t="shared" si="650"/>
        <v/>
      </c>
      <c r="C1888" s="1" t="e">
        <f>VLOOKUP(B1888,'Master truck list'!D:E,2,0)</f>
        <v>#N/A</v>
      </c>
      <c r="D1888" s="1" t="e">
        <f>VLOOKUP(C1888,'Master truck list'!E:F,2,0)</f>
        <v>#N/A</v>
      </c>
      <c r="E1888" s="1" t="e">
        <f>VLOOKUP(C1888,'Master truck list'!E:M,9,0)</f>
        <v>#N/A</v>
      </c>
      <c r="F1888" s="1" t="e">
        <f>VLOOKUP(C1888,'Master truck list'!E:G,3,0)</f>
        <v>#N/A</v>
      </c>
      <c r="G1888" s="1" t="e">
        <f>VLOOKUP(C1888,'Master truck list'!E:R,14,0)</f>
        <v>#N/A</v>
      </c>
    </row>
    <row r="1889" spans="1:7" x14ac:dyDescent="0.25">
      <c r="A1889" s="1" t="str">
        <f t="shared" si="649"/>
        <v/>
      </c>
      <c r="B1889" s="1" t="str">
        <f t="shared" si="650"/>
        <v/>
      </c>
      <c r="C1889" s="1" t="e">
        <f>VLOOKUP(B1889,'Master truck list'!D:E,2,0)</f>
        <v>#N/A</v>
      </c>
      <c r="D1889" s="1" t="e">
        <f>VLOOKUP(C1889,'Master truck list'!E:F,2,0)</f>
        <v>#N/A</v>
      </c>
      <c r="E1889" s="1" t="e">
        <f>VLOOKUP(C1889,'Master truck list'!E:M,9,0)</f>
        <v>#N/A</v>
      </c>
      <c r="F1889" s="1" t="e">
        <f>VLOOKUP(C1889,'Master truck list'!E:G,3,0)</f>
        <v>#N/A</v>
      </c>
      <c r="G1889" s="1" t="e">
        <f>VLOOKUP(C1889,'Master truck list'!E:R,14,0)</f>
        <v>#N/A</v>
      </c>
    </row>
    <row r="1890" spans="1:7" x14ac:dyDescent="0.25">
      <c r="A1890" s="1" t="str">
        <f t="shared" si="649"/>
        <v/>
      </c>
      <c r="B1890" s="1" t="str">
        <f t="shared" si="650"/>
        <v/>
      </c>
      <c r="C1890" s="1" t="e">
        <f>VLOOKUP(B1890,'Master truck list'!D:E,2,0)</f>
        <v>#N/A</v>
      </c>
      <c r="D1890" s="1" t="e">
        <f>VLOOKUP(C1890,'Master truck list'!E:F,2,0)</f>
        <v>#N/A</v>
      </c>
      <c r="E1890" s="1" t="e">
        <f>VLOOKUP(C1890,'Master truck list'!E:M,9,0)</f>
        <v>#N/A</v>
      </c>
      <c r="F1890" s="1" t="e">
        <f>VLOOKUP(C1890,'Master truck list'!E:G,3,0)</f>
        <v>#N/A</v>
      </c>
      <c r="G1890" s="1" t="e">
        <f>VLOOKUP(C1890,'Master truck list'!E:R,14,0)</f>
        <v>#N/A</v>
      </c>
    </row>
    <row r="1891" spans="1:7" x14ac:dyDescent="0.25">
      <c r="A1891" s="1" t="str">
        <f t="shared" si="649"/>
        <v/>
      </c>
      <c r="B1891" s="1" t="str">
        <f t="shared" si="650"/>
        <v/>
      </c>
      <c r="C1891" s="1" t="e">
        <f>VLOOKUP(B1891,'Master truck list'!D:E,2,0)</f>
        <v>#N/A</v>
      </c>
      <c r="D1891" s="1" t="e">
        <f>VLOOKUP(C1891,'Master truck list'!E:F,2,0)</f>
        <v>#N/A</v>
      </c>
      <c r="E1891" s="1" t="e">
        <f>VLOOKUP(C1891,'Master truck list'!E:M,9,0)</f>
        <v>#N/A</v>
      </c>
      <c r="F1891" s="1" t="e">
        <f>VLOOKUP(C1891,'Master truck list'!E:G,3,0)</f>
        <v>#N/A</v>
      </c>
      <c r="G1891" s="1" t="e">
        <f>VLOOKUP(C1891,'Master truck list'!E:R,14,0)</f>
        <v>#N/A</v>
      </c>
    </row>
    <row r="1892" spans="1:7" x14ac:dyDescent="0.25">
      <c r="A1892" s="1" t="str">
        <f t="shared" ref="A1892:A1955" si="651">LEFT(N2094,5)</f>
        <v/>
      </c>
      <c r="B1892" s="1" t="str">
        <f t="shared" si="650"/>
        <v/>
      </c>
      <c r="C1892" s="1" t="e">
        <f>VLOOKUP(B1892,'Master truck list'!D:E,2,0)</f>
        <v>#N/A</v>
      </c>
      <c r="D1892" s="1" t="e">
        <f>VLOOKUP(C1892,'Master truck list'!E:F,2,0)</f>
        <v>#N/A</v>
      </c>
      <c r="E1892" s="1" t="e">
        <f>VLOOKUP(C1892,'Master truck list'!E:M,9,0)</f>
        <v>#N/A</v>
      </c>
      <c r="F1892" s="1" t="e">
        <f>VLOOKUP(C1892,'Master truck list'!E:G,3,0)</f>
        <v>#N/A</v>
      </c>
      <c r="G1892" s="1" t="e">
        <f>VLOOKUP(C1892,'Master truck list'!E:R,14,0)</f>
        <v>#N/A</v>
      </c>
    </row>
    <row r="1893" spans="1:7" x14ac:dyDescent="0.25">
      <c r="A1893" s="1" t="str">
        <f t="shared" si="651"/>
        <v/>
      </c>
      <c r="B1893" s="1" t="str">
        <f t="shared" si="650"/>
        <v/>
      </c>
      <c r="C1893" s="1" t="e">
        <f>VLOOKUP(B1893,'Master truck list'!D:E,2,0)</f>
        <v>#N/A</v>
      </c>
      <c r="D1893" s="1" t="e">
        <f>VLOOKUP(C1893,'Master truck list'!E:F,2,0)</f>
        <v>#N/A</v>
      </c>
      <c r="E1893" s="1" t="e">
        <f>VLOOKUP(C1893,'Master truck list'!E:M,9,0)</f>
        <v>#N/A</v>
      </c>
      <c r="F1893" s="1" t="e">
        <f>VLOOKUP(C1893,'Master truck list'!E:G,3,0)</f>
        <v>#N/A</v>
      </c>
      <c r="G1893" s="1" t="e">
        <f>VLOOKUP(C1893,'Master truck list'!E:R,14,0)</f>
        <v>#N/A</v>
      </c>
    </row>
    <row r="1894" spans="1:7" x14ac:dyDescent="0.25">
      <c r="A1894" s="1" t="str">
        <f t="shared" si="651"/>
        <v/>
      </c>
      <c r="B1894" s="1" t="str">
        <f t="shared" si="650"/>
        <v/>
      </c>
      <c r="C1894" s="1" t="e">
        <f>VLOOKUP(B1894,'Master truck list'!D:E,2,0)</f>
        <v>#N/A</v>
      </c>
      <c r="D1894" s="1" t="e">
        <f>VLOOKUP(C1894,'Master truck list'!E:F,2,0)</f>
        <v>#N/A</v>
      </c>
      <c r="E1894" s="1" t="e">
        <f>VLOOKUP(C1894,'Master truck list'!E:M,9,0)</f>
        <v>#N/A</v>
      </c>
      <c r="F1894" s="1" t="e">
        <f>VLOOKUP(C1894,'Master truck list'!E:G,3,0)</f>
        <v>#N/A</v>
      </c>
      <c r="G1894" s="1" t="e">
        <f>VLOOKUP(C1894,'Master truck list'!E:R,14,0)</f>
        <v>#N/A</v>
      </c>
    </row>
    <row r="1895" spans="1:7" x14ac:dyDescent="0.25">
      <c r="A1895" s="1" t="str">
        <f t="shared" si="651"/>
        <v/>
      </c>
      <c r="B1895" s="1" t="str">
        <f t="shared" si="650"/>
        <v/>
      </c>
      <c r="C1895" s="1" t="e">
        <f>VLOOKUP(B1895,'Master truck list'!D:E,2,0)</f>
        <v>#N/A</v>
      </c>
      <c r="D1895" s="1" t="e">
        <f>VLOOKUP(C1895,'Master truck list'!E:F,2,0)</f>
        <v>#N/A</v>
      </c>
      <c r="E1895" s="1" t="e">
        <f>VLOOKUP(C1895,'Master truck list'!E:M,9,0)</f>
        <v>#N/A</v>
      </c>
      <c r="F1895" s="1" t="e">
        <f>VLOOKUP(C1895,'Master truck list'!E:G,3,0)</f>
        <v>#N/A</v>
      </c>
      <c r="G1895" s="1" t="e">
        <f>VLOOKUP(C1895,'Master truck list'!E:R,14,0)</f>
        <v>#N/A</v>
      </c>
    </row>
    <row r="1896" spans="1:7" x14ac:dyDescent="0.25">
      <c r="A1896" s="1" t="str">
        <f t="shared" si="651"/>
        <v/>
      </c>
      <c r="B1896" s="1" t="str">
        <f t="shared" si="650"/>
        <v/>
      </c>
      <c r="C1896" s="1" t="e">
        <f>VLOOKUP(B1896,'Master truck list'!D:E,2,0)</f>
        <v>#N/A</v>
      </c>
      <c r="D1896" s="1" t="e">
        <f>VLOOKUP(C1896,'Master truck list'!E:F,2,0)</f>
        <v>#N/A</v>
      </c>
      <c r="E1896" s="1" t="e">
        <f>VLOOKUP(C1896,'Master truck list'!E:M,9,0)</f>
        <v>#N/A</v>
      </c>
      <c r="F1896" s="1" t="e">
        <f>VLOOKUP(C1896,'Master truck list'!E:G,3,0)</f>
        <v>#N/A</v>
      </c>
      <c r="G1896" s="1" t="e">
        <f>VLOOKUP(C1896,'Master truck list'!E:R,14,0)</f>
        <v>#N/A</v>
      </c>
    </row>
    <row r="1897" spans="1:7" x14ac:dyDescent="0.25">
      <c r="A1897" s="1" t="str">
        <f t="shared" si="651"/>
        <v/>
      </c>
      <c r="B1897" s="1" t="str">
        <f t="shared" si="650"/>
        <v/>
      </c>
      <c r="C1897" s="1" t="e">
        <f>VLOOKUP(B1897,'Master truck list'!D:E,2,0)</f>
        <v>#N/A</v>
      </c>
      <c r="D1897" s="1" t="e">
        <f>VLOOKUP(C1897,'Master truck list'!E:F,2,0)</f>
        <v>#N/A</v>
      </c>
      <c r="E1897" s="1" t="e">
        <f>VLOOKUP(C1897,'Master truck list'!E:M,9,0)</f>
        <v>#N/A</v>
      </c>
      <c r="F1897" s="1" t="e">
        <f>VLOOKUP(C1897,'Master truck list'!E:G,3,0)</f>
        <v>#N/A</v>
      </c>
      <c r="G1897" s="1" t="e">
        <f>VLOOKUP(C1897,'Master truck list'!E:R,14,0)</f>
        <v>#N/A</v>
      </c>
    </row>
    <row r="1898" spans="1:7" x14ac:dyDescent="0.25">
      <c r="A1898" s="1" t="str">
        <f t="shared" si="651"/>
        <v/>
      </c>
      <c r="B1898" s="1" t="str">
        <f t="shared" si="650"/>
        <v/>
      </c>
      <c r="C1898" s="1" t="e">
        <f>VLOOKUP(B1898,'Master truck list'!D:E,2,0)</f>
        <v>#N/A</v>
      </c>
      <c r="D1898" s="1" t="e">
        <f>VLOOKUP(C1898,'Master truck list'!E:F,2,0)</f>
        <v>#N/A</v>
      </c>
      <c r="E1898" s="1" t="e">
        <f>VLOOKUP(C1898,'Master truck list'!E:M,9,0)</f>
        <v>#N/A</v>
      </c>
      <c r="F1898" s="1" t="e">
        <f>VLOOKUP(C1898,'Master truck list'!E:G,3,0)</f>
        <v>#N/A</v>
      </c>
      <c r="G1898" s="1" t="e">
        <f>VLOOKUP(C1898,'Master truck list'!E:R,14,0)</f>
        <v>#N/A</v>
      </c>
    </row>
    <row r="1899" spans="1:7" x14ac:dyDescent="0.25">
      <c r="A1899" s="1" t="str">
        <f t="shared" si="651"/>
        <v/>
      </c>
      <c r="B1899" s="1" t="str">
        <f t="shared" si="650"/>
        <v/>
      </c>
      <c r="C1899" s="1" t="e">
        <f>VLOOKUP(B1899,'Master truck list'!D:E,2,0)</f>
        <v>#N/A</v>
      </c>
      <c r="D1899" s="1" t="e">
        <f>VLOOKUP(C1899,'Master truck list'!E:F,2,0)</f>
        <v>#N/A</v>
      </c>
      <c r="E1899" s="1" t="e">
        <f>VLOOKUP(C1899,'Master truck list'!E:M,9,0)</f>
        <v>#N/A</v>
      </c>
      <c r="F1899" s="1" t="e">
        <f>VLOOKUP(C1899,'Master truck list'!E:G,3,0)</f>
        <v>#N/A</v>
      </c>
      <c r="G1899" s="1" t="e">
        <f>VLOOKUP(C1899,'Master truck list'!E:R,14,0)</f>
        <v>#N/A</v>
      </c>
    </row>
    <row r="1900" spans="1:7" x14ac:dyDescent="0.25">
      <c r="A1900" s="1" t="str">
        <f t="shared" si="651"/>
        <v/>
      </c>
      <c r="B1900" s="1" t="str">
        <f t="shared" si="650"/>
        <v/>
      </c>
      <c r="C1900" s="1" t="e">
        <f>VLOOKUP(B1900,'Master truck list'!D:E,2,0)</f>
        <v>#N/A</v>
      </c>
      <c r="D1900" s="1" t="e">
        <f>VLOOKUP(C1900,'Master truck list'!E:F,2,0)</f>
        <v>#N/A</v>
      </c>
      <c r="E1900" s="1" t="e">
        <f>VLOOKUP(C1900,'Master truck list'!E:M,9,0)</f>
        <v>#N/A</v>
      </c>
      <c r="F1900" s="1" t="e">
        <f>VLOOKUP(C1900,'Master truck list'!E:G,3,0)</f>
        <v>#N/A</v>
      </c>
      <c r="G1900" s="1" t="e">
        <f>VLOOKUP(C1900,'Master truck list'!E:R,14,0)</f>
        <v>#N/A</v>
      </c>
    </row>
    <row r="1901" spans="1:7" x14ac:dyDescent="0.25">
      <c r="A1901" s="1" t="str">
        <f t="shared" si="651"/>
        <v/>
      </c>
      <c r="B1901" s="1" t="str">
        <f t="shared" si="650"/>
        <v/>
      </c>
      <c r="C1901" s="1" t="e">
        <f>VLOOKUP(B1901,'Master truck list'!D:E,2,0)</f>
        <v>#N/A</v>
      </c>
      <c r="D1901" s="1" t="e">
        <f>VLOOKUP(C1901,'Master truck list'!E:F,2,0)</f>
        <v>#N/A</v>
      </c>
      <c r="E1901" s="1" t="e">
        <f>VLOOKUP(C1901,'Master truck list'!E:M,9,0)</f>
        <v>#N/A</v>
      </c>
      <c r="F1901" s="1" t="e">
        <f>VLOOKUP(C1901,'Master truck list'!E:G,3,0)</f>
        <v>#N/A</v>
      </c>
      <c r="G1901" s="1" t="e">
        <f>VLOOKUP(C1901,'Master truck list'!E:R,14,0)</f>
        <v>#N/A</v>
      </c>
    </row>
    <row r="1902" spans="1:7" x14ac:dyDescent="0.25">
      <c r="A1902" s="1" t="str">
        <f t="shared" si="651"/>
        <v/>
      </c>
      <c r="B1902" s="1" t="str">
        <f t="shared" si="650"/>
        <v/>
      </c>
      <c r="C1902" s="1" t="e">
        <f>VLOOKUP(B1902,'Master truck list'!D:E,2,0)</f>
        <v>#N/A</v>
      </c>
      <c r="D1902" s="1" t="e">
        <f>VLOOKUP(C1902,'Master truck list'!E:F,2,0)</f>
        <v>#N/A</v>
      </c>
      <c r="E1902" s="1" t="e">
        <f>VLOOKUP(C1902,'Master truck list'!E:M,9,0)</f>
        <v>#N/A</v>
      </c>
      <c r="F1902" s="1" t="e">
        <f>VLOOKUP(C1902,'Master truck list'!E:G,3,0)</f>
        <v>#N/A</v>
      </c>
      <c r="G1902" s="1" t="e">
        <f>VLOOKUP(C1902,'Master truck list'!E:R,14,0)</f>
        <v>#N/A</v>
      </c>
    </row>
    <row r="1903" spans="1:7" x14ac:dyDescent="0.25">
      <c r="A1903" s="1" t="str">
        <f t="shared" si="651"/>
        <v/>
      </c>
      <c r="B1903" s="1" t="str">
        <f t="shared" si="650"/>
        <v/>
      </c>
      <c r="C1903" s="1" t="e">
        <f>VLOOKUP(B1903,'Master truck list'!D:E,2,0)</f>
        <v>#N/A</v>
      </c>
      <c r="D1903" s="1" t="e">
        <f>VLOOKUP(C1903,'Master truck list'!E:F,2,0)</f>
        <v>#N/A</v>
      </c>
      <c r="E1903" s="1" t="e">
        <f>VLOOKUP(C1903,'Master truck list'!E:M,9,0)</f>
        <v>#N/A</v>
      </c>
      <c r="F1903" s="1" t="e">
        <f>VLOOKUP(C1903,'Master truck list'!E:G,3,0)</f>
        <v>#N/A</v>
      </c>
      <c r="G1903" s="1" t="e">
        <f>VLOOKUP(C1903,'Master truck list'!E:R,14,0)</f>
        <v>#N/A</v>
      </c>
    </row>
    <row r="1904" spans="1:7" x14ac:dyDescent="0.25">
      <c r="A1904" s="1" t="str">
        <f t="shared" si="651"/>
        <v/>
      </c>
      <c r="B1904" s="1" t="str">
        <f t="shared" si="650"/>
        <v/>
      </c>
      <c r="C1904" s="1" t="e">
        <f>VLOOKUP(B1904,'Master truck list'!D:E,2,0)</f>
        <v>#N/A</v>
      </c>
      <c r="D1904" s="1" t="e">
        <f>VLOOKUP(C1904,'Master truck list'!E:F,2,0)</f>
        <v>#N/A</v>
      </c>
      <c r="E1904" s="1" t="e">
        <f>VLOOKUP(C1904,'Master truck list'!E:M,9,0)</f>
        <v>#N/A</v>
      </c>
      <c r="F1904" s="1" t="e">
        <f>VLOOKUP(C1904,'Master truck list'!E:G,3,0)</f>
        <v>#N/A</v>
      </c>
      <c r="G1904" s="1" t="e">
        <f>VLOOKUP(C1904,'Master truck list'!E:R,14,0)</f>
        <v>#N/A</v>
      </c>
    </row>
    <row r="1905" spans="1:7" x14ac:dyDescent="0.25">
      <c r="A1905" s="1" t="str">
        <f t="shared" si="651"/>
        <v/>
      </c>
      <c r="B1905" s="1" t="str">
        <f t="shared" si="650"/>
        <v/>
      </c>
      <c r="C1905" s="1" t="e">
        <f>VLOOKUP(B1905,'Master truck list'!D:E,2,0)</f>
        <v>#N/A</v>
      </c>
      <c r="D1905" s="1" t="e">
        <f>VLOOKUP(C1905,'Master truck list'!E:F,2,0)</f>
        <v>#N/A</v>
      </c>
      <c r="E1905" s="1" t="e">
        <f>VLOOKUP(C1905,'Master truck list'!E:M,9,0)</f>
        <v>#N/A</v>
      </c>
      <c r="F1905" s="1" t="e">
        <f>VLOOKUP(C1905,'Master truck list'!E:G,3,0)</f>
        <v>#N/A</v>
      </c>
      <c r="G1905" s="1" t="e">
        <f>VLOOKUP(C1905,'Master truck list'!E:R,14,0)</f>
        <v>#N/A</v>
      </c>
    </row>
    <row r="1906" spans="1:7" x14ac:dyDescent="0.25">
      <c r="A1906" s="1" t="str">
        <f t="shared" si="651"/>
        <v/>
      </c>
      <c r="B1906" s="1" t="str">
        <f t="shared" si="650"/>
        <v/>
      </c>
      <c r="C1906" s="1" t="e">
        <f>VLOOKUP(B1906,'Master truck list'!D:E,2,0)</f>
        <v>#N/A</v>
      </c>
      <c r="D1906" s="1" t="e">
        <f>VLOOKUP(C1906,'Master truck list'!E:F,2,0)</f>
        <v>#N/A</v>
      </c>
      <c r="E1906" s="1" t="e">
        <f>VLOOKUP(C1906,'Master truck list'!E:M,9,0)</f>
        <v>#N/A</v>
      </c>
      <c r="F1906" s="1" t="e">
        <f>VLOOKUP(C1906,'Master truck list'!E:G,3,0)</f>
        <v>#N/A</v>
      </c>
      <c r="G1906" s="1" t="e">
        <f>VLOOKUP(C1906,'Master truck list'!E:R,14,0)</f>
        <v>#N/A</v>
      </c>
    </row>
    <row r="1907" spans="1:7" x14ac:dyDescent="0.25">
      <c r="A1907" s="1" t="str">
        <f t="shared" si="651"/>
        <v/>
      </c>
      <c r="B1907" s="1" t="str">
        <f t="shared" si="650"/>
        <v/>
      </c>
      <c r="C1907" s="1" t="e">
        <f>VLOOKUP(B1907,'Master truck list'!D:E,2,0)</f>
        <v>#N/A</v>
      </c>
      <c r="D1907" s="1" t="e">
        <f>VLOOKUP(C1907,'Master truck list'!E:F,2,0)</f>
        <v>#N/A</v>
      </c>
      <c r="E1907" s="1" t="e">
        <f>VLOOKUP(C1907,'Master truck list'!E:M,9,0)</f>
        <v>#N/A</v>
      </c>
      <c r="F1907" s="1" t="e">
        <f>VLOOKUP(C1907,'Master truck list'!E:G,3,0)</f>
        <v>#N/A</v>
      </c>
      <c r="G1907" s="1" t="e">
        <f>VLOOKUP(C1907,'Master truck list'!E:R,14,0)</f>
        <v>#N/A</v>
      </c>
    </row>
    <row r="1908" spans="1:7" x14ac:dyDescent="0.25">
      <c r="A1908" s="1" t="str">
        <f t="shared" si="651"/>
        <v/>
      </c>
      <c r="B1908" s="1" t="str">
        <f t="shared" si="650"/>
        <v/>
      </c>
      <c r="C1908" s="1" t="e">
        <f>VLOOKUP(B1908,'Master truck list'!D:E,2,0)</f>
        <v>#N/A</v>
      </c>
      <c r="D1908" s="1" t="e">
        <f>VLOOKUP(C1908,'Master truck list'!E:F,2,0)</f>
        <v>#N/A</v>
      </c>
      <c r="E1908" s="1" t="e">
        <f>VLOOKUP(C1908,'Master truck list'!E:M,9,0)</f>
        <v>#N/A</v>
      </c>
      <c r="F1908" s="1" t="e">
        <f>VLOOKUP(C1908,'Master truck list'!E:G,3,0)</f>
        <v>#N/A</v>
      </c>
      <c r="G1908" s="1" t="e">
        <f>VLOOKUP(C1908,'Master truck list'!E:R,14,0)</f>
        <v>#N/A</v>
      </c>
    </row>
    <row r="1909" spans="1:7" x14ac:dyDescent="0.25">
      <c r="A1909" s="1" t="str">
        <f t="shared" si="651"/>
        <v/>
      </c>
      <c r="B1909" s="1" t="str">
        <f t="shared" si="650"/>
        <v/>
      </c>
      <c r="C1909" s="1" t="e">
        <f>VLOOKUP(B1909,'Master truck list'!D:E,2,0)</f>
        <v>#N/A</v>
      </c>
      <c r="D1909" s="1" t="e">
        <f>VLOOKUP(C1909,'Master truck list'!E:F,2,0)</f>
        <v>#N/A</v>
      </c>
      <c r="E1909" s="1" t="e">
        <f>VLOOKUP(C1909,'Master truck list'!E:M,9,0)</f>
        <v>#N/A</v>
      </c>
      <c r="F1909" s="1" t="e">
        <f>VLOOKUP(C1909,'Master truck list'!E:G,3,0)</f>
        <v>#N/A</v>
      </c>
      <c r="G1909" s="1" t="e">
        <f>VLOOKUP(C1909,'Master truck list'!E:R,14,0)</f>
        <v>#N/A</v>
      </c>
    </row>
    <row r="1910" spans="1:7" x14ac:dyDescent="0.25">
      <c r="A1910" s="1" t="str">
        <f t="shared" si="651"/>
        <v/>
      </c>
      <c r="B1910" s="1" t="str">
        <f t="shared" si="650"/>
        <v/>
      </c>
      <c r="C1910" s="1" t="e">
        <f>VLOOKUP(B1910,'Master truck list'!D:E,2,0)</f>
        <v>#N/A</v>
      </c>
      <c r="D1910" s="1" t="e">
        <f>VLOOKUP(C1910,'Master truck list'!E:F,2,0)</f>
        <v>#N/A</v>
      </c>
      <c r="E1910" s="1" t="e">
        <f>VLOOKUP(C1910,'Master truck list'!E:M,9,0)</f>
        <v>#N/A</v>
      </c>
      <c r="F1910" s="1" t="e">
        <f>VLOOKUP(C1910,'Master truck list'!E:G,3,0)</f>
        <v>#N/A</v>
      </c>
      <c r="G1910" s="1" t="e">
        <f>VLOOKUP(C1910,'Master truck list'!E:R,14,0)</f>
        <v>#N/A</v>
      </c>
    </row>
    <row r="1911" spans="1:7" x14ac:dyDescent="0.25">
      <c r="A1911" s="1" t="str">
        <f t="shared" si="651"/>
        <v/>
      </c>
      <c r="B1911" s="1" t="str">
        <f t="shared" si="650"/>
        <v/>
      </c>
      <c r="C1911" s="1" t="e">
        <f>VLOOKUP(B1911,'Master truck list'!D:E,2,0)</f>
        <v>#N/A</v>
      </c>
      <c r="D1911" s="1" t="e">
        <f>VLOOKUP(C1911,'Master truck list'!E:F,2,0)</f>
        <v>#N/A</v>
      </c>
      <c r="E1911" s="1" t="e">
        <f>VLOOKUP(C1911,'Master truck list'!E:M,9,0)</f>
        <v>#N/A</v>
      </c>
      <c r="F1911" s="1" t="e">
        <f>VLOOKUP(C1911,'Master truck list'!E:G,3,0)</f>
        <v>#N/A</v>
      </c>
      <c r="G1911" s="1" t="e">
        <f>VLOOKUP(C1911,'Master truck list'!E:R,14,0)</f>
        <v>#N/A</v>
      </c>
    </row>
    <row r="1912" spans="1:7" x14ac:dyDescent="0.25">
      <c r="A1912" s="1" t="str">
        <f t="shared" si="651"/>
        <v/>
      </c>
      <c r="B1912" s="1" t="str">
        <f t="shared" si="650"/>
        <v/>
      </c>
      <c r="C1912" s="1" t="e">
        <f>VLOOKUP(B1912,'Master truck list'!D:E,2,0)</f>
        <v>#N/A</v>
      </c>
      <c r="D1912" s="1" t="e">
        <f>VLOOKUP(C1912,'Master truck list'!E:F,2,0)</f>
        <v>#N/A</v>
      </c>
      <c r="E1912" s="1" t="e">
        <f>VLOOKUP(C1912,'Master truck list'!E:M,9,0)</f>
        <v>#N/A</v>
      </c>
      <c r="F1912" s="1" t="e">
        <f>VLOOKUP(C1912,'Master truck list'!E:G,3,0)</f>
        <v>#N/A</v>
      </c>
      <c r="G1912" s="1" t="e">
        <f>VLOOKUP(C1912,'Master truck list'!E:R,14,0)</f>
        <v>#N/A</v>
      </c>
    </row>
    <row r="1913" spans="1:7" x14ac:dyDescent="0.25">
      <c r="A1913" s="1" t="str">
        <f t="shared" si="651"/>
        <v/>
      </c>
      <c r="B1913" s="1" t="str">
        <f t="shared" ref="B1913:B1976" si="652">SUBSTITUTE(A1913," ","")</f>
        <v/>
      </c>
      <c r="C1913" s="1" t="e">
        <f>VLOOKUP(B1913,'Master truck list'!D:E,2,0)</f>
        <v>#N/A</v>
      </c>
      <c r="D1913" s="1" t="e">
        <f>VLOOKUP(C1913,'Master truck list'!E:F,2,0)</f>
        <v>#N/A</v>
      </c>
      <c r="E1913" s="1" t="e">
        <f>VLOOKUP(C1913,'Master truck list'!E:M,9,0)</f>
        <v>#N/A</v>
      </c>
      <c r="F1913" s="1" t="e">
        <f>VLOOKUP(C1913,'Master truck list'!E:G,3,0)</f>
        <v>#N/A</v>
      </c>
      <c r="G1913" s="1" t="e">
        <f>VLOOKUP(C1913,'Master truck list'!E:R,14,0)</f>
        <v>#N/A</v>
      </c>
    </row>
    <row r="1914" spans="1:7" x14ac:dyDescent="0.25">
      <c r="A1914" s="1" t="str">
        <f t="shared" si="651"/>
        <v/>
      </c>
      <c r="B1914" s="1" t="str">
        <f t="shared" si="652"/>
        <v/>
      </c>
      <c r="C1914" s="1" t="e">
        <f>VLOOKUP(B1914,'Master truck list'!D:E,2,0)</f>
        <v>#N/A</v>
      </c>
      <c r="D1914" s="1" t="e">
        <f>VLOOKUP(C1914,'Master truck list'!E:F,2,0)</f>
        <v>#N/A</v>
      </c>
      <c r="E1914" s="1" t="e">
        <f>VLOOKUP(C1914,'Master truck list'!E:M,9,0)</f>
        <v>#N/A</v>
      </c>
      <c r="F1914" s="1" t="e">
        <f>VLOOKUP(C1914,'Master truck list'!E:G,3,0)</f>
        <v>#N/A</v>
      </c>
      <c r="G1914" s="1" t="e">
        <f>VLOOKUP(C1914,'Master truck list'!E:R,14,0)</f>
        <v>#N/A</v>
      </c>
    </row>
    <row r="1915" spans="1:7" x14ac:dyDescent="0.25">
      <c r="A1915" s="1" t="str">
        <f t="shared" si="651"/>
        <v/>
      </c>
      <c r="B1915" s="1" t="str">
        <f t="shared" si="652"/>
        <v/>
      </c>
      <c r="C1915" s="1" t="e">
        <f>VLOOKUP(B1915,'Master truck list'!D:E,2,0)</f>
        <v>#N/A</v>
      </c>
      <c r="D1915" s="1" t="e">
        <f>VLOOKUP(C1915,'Master truck list'!E:F,2,0)</f>
        <v>#N/A</v>
      </c>
      <c r="E1915" s="1" t="e">
        <f>VLOOKUP(C1915,'Master truck list'!E:M,9,0)</f>
        <v>#N/A</v>
      </c>
      <c r="F1915" s="1" t="e">
        <f>VLOOKUP(C1915,'Master truck list'!E:G,3,0)</f>
        <v>#N/A</v>
      </c>
      <c r="G1915" s="1" t="e">
        <f>VLOOKUP(C1915,'Master truck list'!E:R,14,0)</f>
        <v>#N/A</v>
      </c>
    </row>
    <row r="1916" spans="1:7" x14ac:dyDescent="0.25">
      <c r="A1916" s="1" t="str">
        <f t="shared" si="651"/>
        <v/>
      </c>
      <c r="B1916" s="1" t="str">
        <f t="shared" si="652"/>
        <v/>
      </c>
      <c r="C1916" s="1" t="e">
        <f>VLOOKUP(B1916,'Master truck list'!D:E,2,0)</f>
        <v>#N/A</v>
      </c>
      <c r="D1916" s="1" t="e">
        <f>VLOOKUP(C1916,'Master truck list'!E:F,2,0)</f>
        <v>#N/A</v>
      </c>
      <c r="E1916" s="1" t="e">
        <f>VLOOKUP(C1916,'Master truck list'!E:M,9,0)</f>
        <v>#N/A</v>
      </c>
      <c r="F1916" s="1" t="e">
        <f>VLOOKUP(C1916,'Master truck list'!E:G,3,0)</f>
        <v>#N/A</v>
      </c>
      <c r="G1916" s="1" t="e">
        <f>VLOOKUP(C1916,'Master truck list'!E:R,14,0)</f>
        <v>#N/A</v>
      </c>
    </row>
    <row r="1917" spans="1:7" x14ac:dyDescent="0.25">
      <c r="A1917" s="1" t="str">
        <f t="shared" si="651"/>
        <v/>
      </c>
      <c r="B1917" s="1" t="str">
        <f t="shared" si="652"/>
        <v/>
      </c>
      <c r="C1917" s="1" t="e">
        <f>VLOOKUP(B1917,'Master truck list'!D:E,2,0)</f>
        <v>#N/A</v>
      </c>
      <c r="D1917" s="1" t="e">
        <f>VLOOKUP(C1917,'Master truck list'!E:F,2,0)</f>
        <v>#N/A</v>
      </c>
      <c r="E1917" s="1" t="e">
        <f>VLOOKUP(C1917,'Master truck list'!E:M,9,0)</f>
        <v>#N/A</v>
      </c>
      <c r="F1917" s="1" t="e">
        <f>VLOOKUP(C1917,'Master truck list'!E:G,3,0)</f>
        <v>#N/A</v>
      </c>
      <c r="G1917" s="1" t="e">
        <f>VLOOKUP(C1917,'Master truck list'!E:R,14,0)</f>
        <v>#N/A</v>
      </c>
    </row>
    <row r="1918" spans="1:7" x14ac:dyDescent="0.25">
      <c r="A1918" s="1" t="str">
        <f t="shared" si="651"/>
        <v/>
      </c>
      <c r="B1918" s="1" t="str">
        <f t="shared" si="652"/>
        <v/>
      </c>
      <c r="C1918" s="1" t="e">
        <f>VLOOKUP(B1918,'Master truck list'!D:E,2,0)</f>
        <v>#N/A</v>
      </c>
      <c r="D1918" s="1" t="e">
        <f>VLOOKUP(C1918,'Master truck list'!E:F,2,0)</f>
        <v>#N/A</v>
      </c>
      <c r="E1918" s="1" t="e">
        <f>VLOOKUP(C1918,'Master truck list'!E:M,9,0)</f>
        <v>#N/A</v>
      </c>
      <c r="F1918" s="1" t="e">
        <f>VLOOKUP(C1918,'Master truck list'!E:G,3,0)</f>
        <v>#N/A</v>
      </c>
      <c r="G1918" s="1" t="e">
        <f>VLOOKUP(C1918,'Master truck list'!E:R,14,0)</f>
        <v>#N/A</v>
      </c>
    </row>
    <row r="1919" spans="1:7" x14ac:dyDescent="0.25">
      <c r="A1919" s="1" t="str">
        <f t="shared" si="651"/>
        <v/>
      </c>
      <c r="B1919" s="1" t="str">
        <f t="shared" si="652"/>
        <v/>
      </c>
      <c r="C1919" s="1" t="e">
        <f>VLOOKUP(B1919,'Master truck list'!D:E,2,0)</f>
        <v>#N/A</v>
      </c>
      <c r="D1919" s="1" t="e">
        <f>VLOOKUP(C1919,'Master truck list'!E:F,2,0)</f>
        <v>#N/A</v>
      </c>
      <c r="E1919" s="1" t="e">
        <f>VLOOKUP(C1919,'Master truck list'!E:M,9,0)</f>
        <v>#N/A</v>
      </c>
      <c r="F1919" s="1" t="e">
        <f>VLOOKUP(C1919,'Master truck list'!E:G,3,0)</f>
        <v>#N/A</v>
      </c>
      <c r="G1919" s="1" t="e">
        <f>VLOOKUP(C1919,'Master truck list'!E:R,14,0)</f>
        <v>#N/A</v>
      </c>
    </row>
    <row r="1920" spans="1:7" x14ac:dyDescent="0.25">
      <c r="A1920" s="1" t="str">
        <f t="shared" si="651"/>
        <v/>
      </c>
      <c r="B1920" s="1" t="str">
        <f t="shared" si="652"/>
        <v/>
      </c>
      <c r="C1920" s="1" t="e">
        <f>VLOOKUP(B1920,'Master truck list'!D:E,2,0)</f>
        <v>#N/A</v>
      </c>
      <c r="D1920" s="1" t="e">
        <f>VLOOKUP(C1920,'Master truck list'!E:F,2,0)</f>
        <v>#N/A</v>
      </c>
      <c r="E1920" s="1" t="e">
        <f>VLOOKUP(C1920,'Master truck list'!E:M,9,0)</f>
        <v>#N/A</v>
      </c>
      <c r="F1920" s="1" t="e">
        <f>VLOOKUP(C1920,'Master truck list'!E:G,3,0)</f>
        <v>#N/A</v>
      </c>
      <c r="G1920" s="1" t="e">
        <f>VLOOKUP(C1920,'Master truck list'!E:R,14,0)</f>
        <v>#N/A</v>
      </c>
    </row>
    <row r="1921" spans="1:7" x14ac:dyDescent="0.25">
      <c r="A1921" s="1" t="str">
        <f t="shared" si="651"/>
        <v/>
      </c>
      <c r="B1921" s="1" t="str">
        <f t="shared" si="652"/>
        <v/>
      </c>
      <c r="C1921" s="1" t="e">
        <f>VLOOKUP(B1921,'Master truck list'!D:E,2,0)</f>
        <v>#N/A</v>
      </c>
      <c r="D1921" s="1" t="e">
        <f>VLOOKUP(C1921,'Master truck list'!E:F,2,0)</f>
        <v>#N/A</v>
      </c>
      <c r="E1921" s="1" t="e">
        <f>VLOOKUP(C1921,'Master truck list'!E:M,9,0)</f>
        <v>#N/A</v>
      </c>
      <c r="F1921" s="1" t="e">
        <f>VLOOKUP(C1921,'Master truck list'!E:G,3,0)</f>
        <v>#N/A</v>
      </c>
      <c r="G1921" s="1" t="e">
        <f>VLOOKUP(C1921,'Master truck list'!E:R,14,0)</f>
        <v>#N/A</v>
      </c>
    </row>
    <row r="1922" spans="1:7" x14ac:dyDescent="0.25">
      <c r="A1922" s="1" t="str">
        <f t="shared" si="651"/>
        <v/>
      </c>
      <c r="B1922" s="1" t="str">
        <f t="shared" si="652"/>
        <v/>
      </c>
      <c r="C1922" s="1" t="e">
        <f>VLOOKUP(B1922,'Master truck list'!D:E,2,0)</f>
        <v>#N/A</v>
      </c>
      <c r="D1922" s="1" t="e">
        <f>VLOOKUP(C1922,'Master truck list'!E:F,2,0)</f>
        <v>#N/A</v>
      </c>
      <c r="E1922" s="1" t="e">
        <f>VLOOKUP(C1922,'Master truck list'!E:M,9,0)</f>
        <v>#N/A</v>
      </c>
      <c r="F1922" s="1" t="e">
        <f>VLOOKUP(C1922,'Master truck list'!E:G,3,0)</f>
        <v>#N/A</v>
      </c>
      <c r="G1922" s="1" t="e">
        <f>VLOOKUP(C1922,'Master truck list'!E:R,14,0)</f>
        <v>#N/A</v>
      </c>
    </row>
    <row r="1923" spans="1:7" x14ac:dyDescent="0.25">
      <c r="A1923" s="1" t="str">
        <f t="shared" si="651"/>
        <v/>
      </c>
      <c r="B1923" s="1" t="str">
        <f t="shared" si="652"/>
        <v/>
      </c>
      <c r="C1923" s="1" t="e">
        <f>VLOOKUP(B1923,'Master truck list'!D:E,2,0)</f>
        <v>#N/A</v>
      </c>
      <c r="D1923" s="1" t="e">
        <f>VLOOKUP(C1923,'Master truck list'!E:F,2,0)</f>
        <v>#N/A</v>
      </c>
      <c r="E1923" s="1" t="e">
        <f>VLOOKUP(C1923,'Master truck list'!E:M,9,0)</f>
        <v>#N/A</v>
      </c>
      <c r="F1923" s="1" t="e">
        <f>VLOOKUP(C1923,'Master truck list'!E:G,3,0)</f>
        <v>#N/A</v>
      </c>
      <c r="G1923" s="1" t="e">
        <f>VLOOKUP(C1923,'Master truck list'!E:R,14,0)</f>
        <v>#N/A</v>
      </c>
    </row>
    <row r="1924" spans="1:7" x14ac:dyDescent="0.25">
      <c r="A1924" s="1" t="str">
        <f t="shared" si="651"/>
        <v/>
      </c>
      <c r="B1924" s="1" t="str">
        <f t="shared" si="652"/>
        <v/>
      </c>
      <c r="C1924" s="1" t="e">
        <f>VLOOKUP(B1924,'Master truck list'!D:E,2,0)</f>
        <v>#N/A</v>
      </c>
      <c r="D1924" s="1" t="e">
        <f>VLOOKUP(C1924,'Master truck list'!E:F,2,0)</f>
        <v>#N/A</v>
      </c>
      <c r="E1924" s="1" t="e">
        <f>VLOOKUP(C1924,'Master truck list'!E:M,9,0)</f>
        <v>#N/A</v>
      </c>
      <c r="F1924" s="1" t="e">
        <f>VLOOKUP(C1924,'Master truck list'!E:G,3,0)</f>
        <v>#N/A</v>
      </c>
      <c r="G1924" s="1" t="e">
        <f>VLOOKUP(C1924,'Master truck list'!E:R,14,0)</f>
        <v>#N/A</v>
      </c>
    </row>
    <row r="1925" spans="1:7" x14ac:dyDescent="0.25">
      <c r="A1925" s="1" t="str">
        <f t="shared" si="651"/>
        <v/>
      </c>
      <c r="B1925" s="1" t="str">
        <f t="shared" si="652"/>
        <v/>
      </c>
      <c r="C1925" s="1" t="e">
        <f>VLOOKUP(B1925,'Master truck list'!D:E,2,0)</f>
        <v>#N/A</v>
      </c>
      <c r="D1925" s="1" t="e">
        <f>VLOOKUP(C1925,'Master truck list'!E:F,2,0)</f>
        <v>#N/A</v>
      </c>
      <c r="E1925" s="1" t="e">
        <f>VLOOKUP(C1925,'Master truck list'!E:M,9,0)</f>
        <v>#N/A</v>
      </c>
      <c r="F1925" s="1" t="e">
        <f>VLOOKUP(C1925,'Master truck list'!E:G,3,0)</f>
        <v>#N/A</v>
      </c>
      <c r="G1925" s="1" t="e">
        <f>VLOOKUP(C1925,'Master truck list'!E:R,14,0)</f>
        <v>#N/A</v>
      </c>
    </row>
    <row r="1926" spans="1:7" x14ac:dyDescent="0.25">
      <c r="A1926" s="1" t="str">
        <f t="shared" si="651"/>
        <v/>
      </c>
      <c r="B1926" s="1" t="str">
        <f t="shared" si="652"/>
        <v/>
      </c>
      <c r="C1926" s="1" t="e">
        <f>VLOOKUP(B1926,'Master truck list'!D:E,2,0)</f>
        <v>#N/A</v>
      </c>
      <c r="D1926" s="1" t="e">
        <f>VLOOKUP(C1926,'Master truck list'!E:F,2,0)</f>
        <v>#N/A</v>
      </c>
      <c r="E1926" s="1" t="e">
        <f>VLOOKUP(C1926,'Master truck list'!E:M,9,0)</f>
        <v>#N/A</v>
      </c>
      <c r="F1926" s="1" t="e">
        <f>VLOOKUP(C1926,'Master truck list'!E:G,3,0)</f>
        <v>#N/A</v>
      </c>
      <c r="G1926" s="1" t="e">
        <f>VLOOKUP(C1926,'Master truck list'!E:R,14,0)</f>
        <v>#N/A</v>
      </c>
    </row>
    <row r="1927" spans="1:7" x14ac:dyDescent="0.25">
      <c r="A1927" s="1" t="str">
        <f t="shared" si="651"/>
        <v/>
      </c>
      <c r="B1927" s="1" t="str">
        <f t="shared" si="652"/>
        <v/>
      </c>
      <c r="C1927" s="1" t="e">
        <f>VLOOKUP(B1927,'Master truck list'!D:E,2,0)</f>
        <v>#N/A</v>
      </c>
      <c r="D1927" s="1" t="e">
        <f>VLOOKUP(C1927,'Master truck list'!E:F,2,0)</f>
        <v>#N/A</v>
      </c>
      <c r="E1927" s="1" t="e">
        <f>VLOOKUP(C1927,'Master truck list'!E:M,9,0)</f>
        <v>#N/A</v>
      </c>
      <c r="F1927" s="1" t="e">
        <f>VLOOKUP(C1927,'Master truck list'!E:G,3,0)</f>
        <v>#N/A</v>
      </c>
      <c r="G1927" s="1" t="e">
        <f>VLOOKUP(C1927,'Master truck list'!E:R,14,0)</f>
        <v>#N/A</v>
      </c>
    </row>
    <row r="1928" spans="1:7" x14ac:dyDescent="0.25">
      <c r="A1928" s="1" t="str">
        <f t="shared" si="651"/>
        <v/>
      </c>
      <c r="B1928" s="1" t="str">
        <f t="shared" si="652"/>
        <v/>
      </c>
      <c r="C1928" s="1" t="e">
        <f>VLOOKUP(B1928,'Master truck list'!D:E,2,0)</f>
        <v>#N/A</v>
      </c>
      <c r="D1928" s="1" t="e">
        <f>VLOOKUP(C1928,'Master truck list'!E:F,2,0)</f>
        <v>#N/A</v>
      </c>
      <c r="E1928" s="1" t="e">
        <f>VLOOKUP(C1928,'Master truck list'!E:M,9,0)</f>
        <v>#N/A</v>
      </c>
      <c r="F1928" s="1" t="e">
        <f>VLOOKUP(C1928,'Master truck list'!E:G,3,0)</f>
        <v>#N/A</v>
      </c>
      <c r="G1928" s="1" t="e">
        <f>VLOOKUP(C1928,'Master truck list'!E:R,14,0)</f>
        <v>#N/A</v>
      </c>
    </row>
    <row r="1929" spans="1:7" x14ac:dyDescent="0.25">
      <c r="A1929" s="1" t="str">
        <f t="shared" si="651"/>
        <v/>
      </c>
      <c r="B1929" s="1" t="str">
        <f t="shared" si="652"/>
        <v/>
      </c>
      <c r="C1929" s="1" t="e">
        <f>VLOOKUP(B1929,'Master truck list'!D:E,2,0)</f>
        <v>#N/A</v>
      </c>
      <c r="D1929" s="1" t="e">
        <f>VLOOKUP(C1929,'Master truck list'!E:F,2,0)</f>
        <v>#N/A</v>
      </c>
      <c r="E1929" s="1" t="e">
        <f>VLOOKUP(C1929,'Master truck list'!E:M,9,0)</f>
        <v>#N/A</v>
      </c>
      <c r="F1929" s="1" t="e">
        <f>VLOOKUP(C1929,'Master truck list'!E:G,3,0)</f>
        <v>#N/A</v>
      </c>
      <c r="G1929" s="1" t="e">
        <f>VLOOKUP(C1929,'Master truck list'!E:R,14,0)</f>
        <v>#N/A</v>
      </c>
    </row>
    <row r="1930" spans="1:7" x14ac:dyDescent="0.25">
      <c r="A1930" s="1" t="str">
        <f t="shared" si="651"/>
        <v/>
      </c>
      <c r="B1930" s="1" t="str">
        <f t="shared" si="652"/>
        <v/>
      </c>
      <c r="C1930" s="1" t="e">
        <f>VLOOKUP(B1930,'Master truck list'!D:E,2,0)</f>
        <v>#N/A</v>
      </c>
      <c r="D1930" s="1" t="e">
        <f>VLOOKUP(C1930,'Master truck list'!E:F,2,0)</f>
        <v>#N/A</v>
      </c>
      <c r="E1930" s="1" t="e">
        <f>VLOOKUP(C1930,'Master truck list'!E:M,9,0)</f>
        <v>#N/A</v>
      </c>
      <c r="F1930" s="1" t="e">
        <f>VLOOKUP(C1930,'Master truck list'!E:G,3,0)</f>
        <v>#N/A</v>
      </c>
      <c r="G1930" s="1" t="e">
        <f>VLOOKUP(C1930,'Master truck list'!E:R,14,0)</f>
        <v>#N/A</v>
      </c>
    </row>
    <row r="1931" spans="1:7" x14ac:dyDescent="0.25">
      <c r="A1931" s="1" t="str">
        <f t="shared" si="651"/>
        <v/>
      </c>
      <c r="B1931" s="1" t="str">
        <f t="shared" si="652"/>
        <v/>
      </c>
      <c r="C1931" s="1" t="e">
        <f>VLOOKUP(B1931,'Master truck list'!D:E,2,0)</f>
        <v>#N/A</v>
      </c>
      <c r="D1931" s="1" t="e">
        <f>VLOOKUP(C1931,'Master truck list'!E:F,2,0)</f>
        <v>#N/A</v>
      </c>
      <c r="E1931" s="1" t="e">
        <f>VLOOKUP(C1931,'Master truck list'!E:M,9,0)</f>
        <v>#N/A</v>
      </c>
      <c r="F1931" s="1" t="e">
        <f>VLOOKUP(C1931,'Master truck list'!E:G,3,0)</f>
        <v>#N/A</v>
      </c>
      <c r="G1931" s="1" t="e">
        <f>VLOOKUP(C1931,'Master truck list'!E:R,14,0)</f>
        <v>#N/A</v>
      </c>
    </row>
    <row r="1932" spans="1:7" x14ac:dyDescent="0.25">
      <c r="A1932" s="1" t="str">
        <f t="shared" si="651"/>
        <v/>
      </c>
      <c r="B1932" s="1" t="str">
        <f t="shared" si="652"/>
        <v/>
      </c>
      <c r="C1932" s="1" t="e">
        <f>VLOOKUP(B1932,'Master truck list'!D:E,2,0)</f>
        <v>#N/A</v>
      </c>
      <c r="D1932" s="1" t="e">
        <f>VLOOKUP(C1932,'Master truck list'!E:F,2,0)</f>
        <v>#N/A</v>
      </c>
      <c r="E1932" s="1" t="e">
        <f>VLOOKUP(C1932,'Master truck list'!E:M,9,0)</f>
        <v>#N/A</v>
      </c>
      <c r="F1932" s="1" t="e">
        <f>VLOOKUP(C1932,'Master truck list'!E:G,3,0)</f>
        <v>#N/A</v>
      </c>
      <c r="G1932" s="1" t="e">
        <f>VLOOKUP(C1932,'Master truck list'!E:R,14,0)</f>
        <v>#N/A</v>
      </c>
    </row>
    <row r="1933" spans="1:7" x14ac:dyDescent="0.25">
      <c r="A1933" s="1" t="str">
        <f t="shared" si="651"/>
        <v/>
      </c>
      <c r="B1933" s="1" t="str">
        <f t="shared" si="652"/>
        <v/>
      </c>
      <c r="C1933" s="1" t="e">
        <f>VLOOKUP(B1933,'Master truck list'!D:E,2,0)</f>
        <v>#N/A</v>
      </c>
      <c r="D1933" s="1" t="e">
        <f>VLOOKUP(C1933,'Master truck list'!E:F,2,0)</f>
        <v>#N/A</v>
      </c>
      <c r="E1933" s="1" t="e">
        <f>VLOOKUP(C1933,'Master truck list'!E:M,9,0)</f>
        <v>#N/A</v>
      </c>
      <c r="F1933" s="1" t="e">
        <f>VLOOKUP(C1933,'Master truck list'!E:G,3,0)</f>
        <v>#N/A</v>
      </c>
      <c r="G1933" s="1" t="e">
        <f>VLOOKUP(C1933,'Master truck list'!E:R,14,0)</f>
        <v>#N/A</v>
      </c>
    </row>
    <row r="1934" spans="1:7" x14ac:dyDescent="0.25">
      <c r="A1934" s="1" t="str">
        <f t="shared" si="651"/>
        <v/>
      </c>
      <c r="B1934" s="1" t="str">
        <f t="shared" si="652"/>
        <v/>
      </c>
      <c r="C1934" s="1" t="e">
        <f>VLOOKUP(B1934,'Master truck list'!D:E,2,0)</f>
        <v>#N/A</v>
      </c>
      <c r="D1934" s="1" t="e">
        <f>VLOOKUP(C1934,'Master truck list'!E:F,2,0)</f>
        <v>#N/A</v>
      </c>
      <c r="E1934" s="1" t="e">
        <f>VLOOKUP(C1934,'Master truck list'!E:M,9,0)</f>
        <v>#N/A</v>
      </c>
      <c r="F1934" s="1" t="e">
        <f>VLOOKUP(C1934,'Master truck list'!E:G,3,0)</f>
        <v>#N/A</v>
      </c>
      <c r="G1934" s="1" t="e">
        <f>VLOOKUP(C1934,'Master truck list'!E:R,14,0)</f>
        <v>#N/A</v>
      </c>
    </row>
    <row r="1935" spans="1:7" x14ac:dyDescent="0.25">
      <c r="A1935" s="1" t="str">
        <f t="shared" si="651"/>
        <v/>
      </c>
      <c r="B1935" s="1" t="str">
        <f t="shared" si="652"/>
        <v/>
      </c>
      <c r="C1935" s="1" t="e">
        <f>VLOOKUP(B1935,'Master truck list'!D:E,2,0)</f>
        <v>#N/A</v>
      </c>
      <c r="D1935" s="1" t="e">
        <f>VLOOKUP(C1935,'Master truck list'!E:F,2,0)</f>
        <v>#N/A</v>
      </c>
      <c r="E1935" s="1" t="e">
        <f>VLOOKUP(C1935,'Master truck list'!E:M,9,0)</f>
        <v>#N/A</v>
      </c>
      <c r="F1935" s="1" t="e">
        <f>VLOOKUP(C1935,'Master truck list'!E:G,3,0)</f>
        <v>#N/A</v>
      </c>
      <c r="G1935" s="1" t="e">
        <f>VLOOKUP(C1935,'Master truck list'!E:R,14,0)</f>
        <v>#N/A</v>
      </c>
    </row>
    <row r="1936" spans="1:7" x14ac:dyDescent="0.25">
      <c r="A1936" s="1" t="str">
        <f t="shared" si="651"/>
        <v/>
      </c>
      <c r="B1936" s="1" t="str">
        <f t="shared" si="652"/>
        <v/>
      </c>
      <c r="C1936" s="1" t="e">
        <f>VLOOKUP(B1936,'Master truck list'!D:E,2,0)</f>
        <v>#N/A</v>
      </c>
      <c r="D1936" s="1" t="e">
        <f>VLOOKUP(C1936,'Master truck list'!E:F,2,0)</f>
        <v>#N/A</v>
      </c>
      <c r="E1936" s="1" t="e">
        <f>VLOOKUP(C1936,'Master truck list'!E:M,9,0)</f>
        <v>#N/A</v>
      </c>
      <c r="F1936" s="1" t="e">
        <f>VLOOKUP(C1936,'Master truck list'!E:G,3,0)</f>
        <v>#N/A</v>
      </c>
      <c r="G1936" s="1" t="e">
        <f>VLOOKUP(C1936,'Master truck list'!E:R,14,0)</f>
        <v>#N/A</v>
      </c>
    </row>
    <row r="1937" spans="1:7" x14ac:dyDescent="0.25">
      <c r="A1937" s="1" t="str">
        <f t="shared" si="651"/>
        <v/>
      </c>
      <c r="B1937" s="1" t="str">
        <f t="shared" si="652"/>
        <v/>
      </c>
      <c r="C1937" s="1" t="e">
        <f>VLOOKUP(B1937,'Master truck list'!D:E,2,0)</f>
        <v>#N/A</v>
      </c>
      <c r="D1937" s="1" t="e">
        <f>VLOOKUP(C1937,'Master truck list'!E:F,2,0)</f>
        <v>#N/A</v>
      </c>
      <c r="E1937" s="1" t="e">
        <f>VLOOKUP(C1937,'Master truck list'!E:M,9,0)</f>
        <v>#N/A</v>
      </c>
      <c r="F1937" s="1" t="e">
        <f>VLOOKUP(C1937,'Master truck list'!E:G,3,0)</f>
        <v>#N/A</v>
      </c>
      <c r="G1937" s="1" t="e">
        <f>VLOOKUP(C1937,'Master truck list'!E:R,14,0)</f>
        <v>#N/A</v>
      </c>
    </row>
    <row r="1938" spans="1:7" x14ac:dyDescent="0.25">
      <c r="A1938" s="1" t="str">
        <f t="shared" si="651"/>
        <v/>
      </c>
      <c r="B1938" s="1" t="str">
        <f t="shared" si="652"/>
        <v/>
      </c>
      <c r="C1938" s="1" t="e">
        <f>VLOOKUP(B1938,'Master truck list'!D:E,2,0)</f>
        <v>#N/A</v>
      </c>
      <c r="D1938" s="1" t="e">
        <f>VLOOKUP(C1938,'Master truck list'!E:F,2,0)</f>
        <v>#N/A</v>
      </c>
      <c r="E1938" s="1" t="e">
        <f>VLOOKUP(C1938,'Master truck list'!E:M,9,0)</f>
        <v>#N/A</v>
      </c>
      <c r="F1938" s="1" t="e">
        <f>VLOOKUP(C1938,'Master truck list'!E:G,3,0)</f>
        <v>#N/A</v>
      </c>
      <c r="G1938" s="1" t="e">
        <f>VLOOKUP(C1938,'Master truck list'!E:R,14,0)</f>
        <v>#N/A</v>
      </c>
    </row>
    <row r="1939" spans="1:7" x14ac:dyDescent="0.25">
      <c r="A1939" s="1" t="str">
        <f t="shared" si="651"/>
        <v/>
      </c>
      <c r="B1939" s="1" t="str">
        <f t="shared" si="652"/>
        <v/>
      </c>
      <c r="C1939" s="1" t="e">
        <f>VLOOKUP(B1939,'Master truck list'!D:E,2,0)</f>
        <v>#N/A</v>
      </c>
      <c r="D1939" s="1" t="e">
        <f>VLOOKUP(C1939,'Master truck list'!E:F,2,0)</f>
        <v>#N/A</v>
      </c>
      <c r="E1939" s="1" t="e">
        <f>VLOOKUP(C1939,'Master truck list'!E:M,9,0)</f>
        <v>#N/A</v>
      </c>
      <c r="F1939" s="1" t="e">
        <f>VLOOKUP(C1939,'Master truck list'!E:G,3,0)</f>
        <v>#N/A</v>
      </c>
      <c r="G1939" s="1" t="e">
        <f>VLOOKUP(C1939,'Master truck list'!E:R,14,0)</f>
        <v>#N/A</v>
      </c>
    </row>
    <row r="1940" spans="1:7" x14ac:dyDescent="0.25">
      <c r="A1940" s="1" t="str">
        <f t="shared" si="651"/>
        <v/>
      </c>
      <c r="B1940" s="1" t="str">
        <f t="shared" si="652"/>
        <v/>
      </c>
      <c r="C1940" s="1" t="e">
        <f>VLOOKUP(B1940,'Master truck list'!D:E,2,0)</f>
        <v>#N/A</v>
      </c>
      <c r="D1940" s="1" t="e">
        <f>VLOOKUP(C1940,'Master truck list'!E:F,2,0)</f>
        <v>#N/A</v>
      </c>
      <c r="E1940" s="1" t="e">
        <f>VLOOKUP(C1940,'Master truck list'!E:M,9,0)</f>
        <v>#N/A</v>
      </c>
      <c r="F1940" s="1" t="e">
        <f>VLOOKUP(C1940,'Master truck list'!E:G,3,0)</f>
        <v>#N/A</v>
      </c>
      <c r="G1940" s="1" t="e">
        <f>VLOOKUP(C1940,'Master truck list'!E:R,14,0)</f>
        <v>#N/A</v>
      </c>
    </row>
    <row r="1941" spans="1:7" x14ac:dyDescent="0.25">
      <c r="A1941" s="1" t="str">
        <f t="shared" si="651"/>
        <v/>
      </c>
      <c r="B1941" s="1" t="str">
        <f t="shared" si="652"/>
        <v/>
      </c>
      <c r="C1941" s="1" t="e">
        <f>VLOOKUP(B1941,'Master truck list'!D:E,2,0)</f>
        <v>#N/A</v>
      </c>
      <c r="D1941" s="1" t="e">
        <f>VLOOKUP(C1941,'Master truck list'!E:F,2,0)</f>
        <v>#N/A</v>
      </c>
      <c r="E1941" s="1" t="e">
        <f>VLOOKUP(C1941,'Master truck list'!E:M,9,0)</f>
        <v>#N/A</v>
      </c>
      <c r="F1941" s="1" t="e">
        <f>VLOOKUP(C1941,'Master truck list'!E:G,3,0)</f>
        <v>#N/A</v>
      </c>
      <c r="G1941" s="1" t="e">
        <f>VLOOKUP(C1941,'Master truck list'!E:R,14,0)</f>
        <v>#N/A</v>
      </c>
    </row>
    <row r="1942" spans="1:7" x14ac:dyDescent="0.25">
      <c r="A1942" s="1" t="str">
        <f t="shared" si="651"/>
        <v/>
      </c>
      <c r="B1942" s="1" t="str">
        <f t="shared" si="652"/>
        <v/>
      </c>
      <c r="C1942" s="1" t="e">
        <f>VLOOKUP(B1942,'Master truck list'!D:E,2,0)</f>
        <v>#N/A</v>
      </c>
      <c r="D1942" s="1" t="e">
        <f>VLOOKUP(C1942,'Master truck list'!E:F,2,0)</f>
        <v>#N/A</v>
      </c>
      <c r="E1942" s="1" t="e">
        <f>VLOOKUP(C1942,'Master truck list'!E:M,9,0)</f>
        <v>#N/A</v>
      </c>
      <c r="F1942" s="1" t="e">
        <f>VLOOKUP(C1942,'Master truck list'!E:G,3,0)</f>
        <v>#N/A</v>
      </c>
      <c r="G1942" s="1" t="e">
        <f>VLOOKUP(C1942,'Master truck list'!E:R,14,0)</f>
        <v>#N/A</v>
      </c>
    </row>
    <row r="1943" spans="1:7" x14ac:dyDescent="0.25">
      <c r="A1943" s="1" t="str">
        <f t="shared" si="651"/>
        <v/>
      </c>
      <c r="B1943" s="1" t="str">
        <f t="shared" si="652"/>
        <v/>
      </c>
      <c r="C1943" s="1" t="e">
        <f>VLOOKUP(B1943,'Master truck list'!D:E,2,0)</f>
        <v>#N/A</v>
      </c>
      <c r="D1943" s="1" t="e">
        <f>VLOOKUP(C1943,'Master truck list'!E:F,2,0)</f>
        <v>#N/A</v>
      </c>
      <c r="E1943" s="1" t="e">
        <f>VLOOKUP(C1943,'Master truck list'!E:M,9,0)</f>
        <v>#N/A</v>
      </c>
      <c r="F1943" s="1" t="e">
        <f>VLOOKUP(C1943,'Master truck list'!E:G,3,0)</f>
        <v>#N/A</v>
      </c>
      <c r="G1943" s="1" t="e">
        <f>VLOOKUP(C1943,'Master truck list'!E:R,14,0)</f>
        <v>#N/A</v>
      </c>
    </row>
    <row r="1944" spans="1:7" x14ac:dyDescent="0.25">
      <c r="A1944" s="1" t="str">
        <f t="shared" si="651"/>
        <v/>
      </c>
      <c r="B1944" s="1" t="str">
        <f t="shared" si="652"/>
        <v/>
      </c>
      <c r="C1944" s="1" t="e">
        <f>VLOOKUP(B1944,'Master truck list'!D:E,2,0)</f>
        <v>#N/A</v>
      </c>
      <c r="D1944" s="1" t="e">
        <f>VLOOKUP(C1944,'Master truck list'!E:F,2,0)</f>
        <v>#N/A</v>
      </c>
      <c r="E1944" s="1" t="e">
        <f>VLOOKUP(C1944,'Master truck list'!E:M,9,0)</f>
        <v>#N/A</v>
      </c>
      <c r="F1944" s="1" t="e">
        <f>VLOOKUP(C1944,'Master truck list'!E:G,3,0)</f>
        <v>#N/A</v>
      </c>
      <c r="G1944" s="1" t="e">
        <f>VLOOKUP(C1944,'Master truck list'!E:R,14,0)</f>
        <v>#N/A</v>
      </c>
    </row>
    <row r="1945" spans="1:7" x14ac:dyDescent="0.25">
      <c r="A1945" s="1" t="str">
        <f t="shared" si="651"/>
        <v/>
      </c>
      <c r="B1945" s="1" t="str">
        <f t="shared" si="652"/>
        <v/>
      </c>
      <c r="C1945" s="1" t="e">
        <f>VLOOKUP(B1945,'Master truck list'!D:E,2,0)</f>
        <v>#N/A</v>
      </c>
      <c r="D1945" s="1" t="e">
        <f>VLOOKUP(C1945,'Master truck list'!E:F,2,0)</f>
        <v>#N/A</v>
      </c>
      <c r="E1945" s="1" t="e">
        <f>VLOOKUP(C1945,'Master truck list'!E:M,9,0)</f>
        <v>#N/A</v>
      </c>
      <c r="F1945" s="1" t="e">
        <f>VLOOKUP(C1945,'Master truck list'!E:G,3,0)</f>
        <v>#N/A</v>
      </c>
      <c r="G1945" s="1" t="e">
        <f>VLOOKUP(C1945,'Master truck list'!E:R,14,0)</f>
        <v>#N/A</v>
      </c>
    </row>
    <row r="1946" spans="1:7" x14ac:dyDescent="0.25">
      <c r="A1946" s="1" t="str">
        <f t="shared" si="651"/>
        <v/>
      </c>
      <c r="B1946" s="1" t="str">
        <f t="shared" si="652"/>
        <v/>
      </c>
      <c r="C1946" s="1" t="e">
        <f>VLOOKUP(B1946,'Master truck list'!D:E,2,0)</f>
        <v>#N/A</v>
      </c>
      <c r="D1946" s="1" t="e">
        <f>VLOOKUP(C1946,'Master truck list'!E:F,2,0)</f>
        <v>#N/A</v>
      </c>
      <c r="E1946" s="1" t="e">
        <f>VLOOKUP(C1946,'Master truck list'!E:M,9,0)</f>
        <v>#N/A</v>
      </c>
      <c r="F1946" s="1" t="e">
        <f>VLOOKUP(C1946,'Master truck list'!E:G,3,0)</f>
        <v>#N/A</v>
      </c>
      <c r="G1946" s="1" t="e">
        <f>VLOOKUP(C1946,'Master truck list'!E:R,14,0)</f>
        <v>#N/A</v>
      </c>
    </row>
    <row r="1947" spans="1:7" x14ac:dyDescent="0.25">
      <c r="A1947" s="1" t="str">
        <f t="shared" si="651"/>
        <v/>
      </c>
      <c r="B1947" s="1" t="str">
        <f t="shared" si="652"/>
        <v/>
      </c>
      <c r="C1947" s="1" t="e">
        <f>VLOOKUP(B1947,'Master truck list'!D:E,2,0)</f>
        <v>#N/A</v>
      </c>
      <c r="D1947" s="1" t="e">
        <f>VLOOKUP(C1947,'Master truck list'!E:F,2,0)</f>
        <v>#N/A</v>
      </c>
      <c r="E1947" s="1" t="e">
        <f>VLOOKUP(C1947,'Master truck list'!E:M,9,0)</f>
        <v>#N/A</v>
      </c>
      <c r="F1947" s="1" t="e">
        <f>VLOOKUP(C1947,'Master truck list'!E:G,3,0)</f>
        <v>#N/A</v>
      </c>
      <c r="G1947" s="1" t="e">
        <f>VLOOKUP(C1947,'Master truck list'!E:R,14,0)</f>
        <v>#N/A</v>
      </c>
    </row>
    <row r="1948" spans="1:7" x14ac:dyDescent="0.25">
      <c r="A1948" s="1" t="str">
        <f t="shared" si="651"/>
        <v/>
      </c>
      <c r="B1948" s="1" t="str">
        <f t="shared" si="652"/>
        <v/>
      </c>
      <c r="C1948" s="1" t="e">
        <f>VLOOKUP(B1948,'Master truck list'!D:E,2,0)</f>
        <v>#N/A</v>
      </c>
      <c r="D1948" s="1" t="e">
        <f>VLOOKUP(C1948,'Master truck list'!E:F,2,0)</f>
        <v>#N/A</v>
      </c>
      <c r="E1948" s="1" t="e">
        <f>VLOOKUP(C1948,'Master truck list'!E:M,9,0)</f>
        <v>#N/A</v>
      </c>
      <c r="F1948" s="1" t="e">
        <f>VLOOKUP(C1948,'Master truck list'!E:G,3,0)</f>
        <v>#N/A</v>
      </c>
      <c r="G1948" s="1" t="e">
        <f>VLOOKUP(C1948,'Master truck list'!E:R,14,0)</f>
        <v>#N/A</v>
      </c>
    </row>
    <row r="1949" spans="1:7" x14ac:dyDescent="0.25">
      <c r="A1949" s="1" t="str">
        <f t="shared" si="651"/>
        <v/>
      </c>
      <c r="B1949" s="1" t="str">
        <f t="shared" si="652"/>
        <v/>
      </c>
      <c r="C1949" s="1" t="e">
        <f>VLOOKUP(B1949,'Master truck list'!D:E,2,0)</f>
        <v>#N/A</v>
      </c>
      <c r="D1949" s="1" t="e">
        <f>VLOOKUP(C1949,'Master truck list'!E:F,2,0)</f>
        <v>#N/A</v>
      </c>
      <c r="E1949" s="1" t="e">
        <f>VLOOKUP(C1949,'Master truck list'!E:M,9,0)</f>
        <v>#N/A</v>
      </c>
      <c r="F1949" s="1" t="e">
        <f>VLOOKUP(C1949,'Master truck list'!E:G,3,0)</f>
        <v>#N/A</v>
      </c>
      <c r="G1949" s="1" t="e">
        <f>VLOOKUP(C1949,'Master truck list'!E:R,14,0)</f>
        <v>#N/A</v>
      </c>
    </row>
    <row r="1950" spans="1:7" x14ac:dyDescent="0.25">
      <c r="A1950" s="1" t="str">
        <f t="shared" si="651"/>
        <v/>
      </c>
      <c r="B1950" s="1" t="str">
        <f t="shared" si="652"/>
        <v/>
      </c>
      <c r="C1950" s="1" t="e">
        <f>VLOOKUP(B1950,'Master truck list'!D:E,2,0)</f>
        <v>#N/A</v>
      </c>
      <c r="D1950" s="1" t="e">
        <f>VLOOKUP(C1950,'Master truck list'!E:F,2,0)</f>
        <v>#N/A</v>
      </c>
      <c r="E1950" s="1" t="e">
        <f>VLOOKUP(C1950,'Master truck list'!E:M,9,0)</f>
        <v>#N/A</v>
      </c>
      <c r="F1950" s="1" t="e">
        <f>VLOOKUP(C1950,'Master truck list'!E:G,3,0)</f>
        <v>#N/A</v>
      </c>
      <c r="G1950" s="1" t="e">
        <f>VLOOKUP(C1950,'Master truck list'!E:R,14,0)</f>
        <v>#N/A</v>
      </c>
    </row>
    <row r="1951" spans="1:7" x14ac:dyDescent="0.25">
      <c r="A1951" s="1" t="str">
        <f t="shared" si="651"/>
        <v/>
      </c>
      <c r="B1951" s="1" t="str">
        <f t="shared" si="652"/>
        <v/>
      </c>
      <c r="C1951" s="1" t="e">
        <f>VLOOKUP(B1951,'Master truck list'!D:E,2,0)</f>
        <v>#N/A</v>
      </c>
      <c r="D1951" s="1" t="e">
        <f>VLOOKUP(C1951,'Master truck list'!E:F,2,0)</f>
        <v>#N/A</v>
      </c>
      <c r="E1951" s="1" t="e">
        <f>VLOOKUP(C1951,'Master truck list'!E:M,9,0)</f>
        <v>#N/A</v>
      </c>
      <c r="F1951" s="1" t="e">
        <f>VLOOKUP(C1951,'Master truck list'!E:G,3,0)</f>
        <v>#N/A</v>
      </c>
      <c r="G1951" s="1" t="e">
        <f>VLOOKUP(C1951,'Master truck list'!E:R,14,0)</f>
        <v>#N/A</v>
      </c>
    </row>
    <row r="1952" spans="1:7" x14ac:dyDescent="0.25">
      <c r="A1952" s="1" t="str">
        <f t="shared" si="651"/>
        <v/>
      </c>
      <c r="B1952" s="1" t="str">
        <f t="shared" si="652"/>
        <v/>
      </c>
      <c r="C1952" s="1" t="e">
        <f>VLOOKUP(B1952,'Master truck list'!D:E,2,0)</f>
        <v>#N/A</v>
      </c>
      <c r="D1952" s="1" t="e">
        <f>VLOOKUP(C1952,'Master truck list'!E:F,2,0)</f>
        <v>#N/A</v>
      </c>
      <c r="E1952" s="1" t="e">
        <f>VLOOKUP(C1952,'Master truck list'!E:M,9,0)</f>
        <v>#N/A</v>
      </c>
      <c r="F1952" s="1" t="e">
        <f>VLOOKUP(C1952,'Master truck list'!E:G,3,0)</f>
        <v>#N/A</v>
      </c>
      <c r="G1952" s="1" t="e">
        <f>VLOOKUP(C1952,'Master truck list'!E:R,14,0)</f>
        <v>#N/A</v>
      </c>
    </row>
    <row r="1953" spans="1:7" x14ac:dyDescent="0.25">
      <c r="A1953" s="1" t="str">
        <f t="shared" si="651"/>
        <v/>
      </c>
      <c r="B1953" s="1" t="str">
        <f t="shared" si="652"/>
        <v/>
      </c>
      <c r="C1953" s="1" t="e">
        <f>VLOOKUP(B1953,'Master truck list'!D:E,2,0)</f>
        <v>#N/A</v>
      </c>
      <c r="D1953" s="1" t="e">
        <f>VLOOKUP(C1953,'Master truck list'!E:F,2,0)</f>
        <v>#N/A</v>
      </c>
      <c r="E1953" s="1" t="e">
        <f>VLOOKUP(C1953,'Master truck list'!E:M,9,0)</f>
        <v>#N/A</v>
      </c>
      <c r="F1953" s="1" t="e">
        <f>VLOOKUP(C1953,'Master truck list'!E:G,3,0)</f>
        <v>#N/A</v>
      </c>
      <c r="G1953" s="1" t="e">
        <f>VLOOKUP(C1953,'Master truck list'!E:R,14,0)</f>
        <v>#N/A</v>
      </c>
    </row>
    <row r="1954" spans="1:7" x14ac:dyDescent="0.25">
      <c r="A1954" s="1" t="str">
        <f t="shared" si="651"/>
        <v/>
      </c>
      <c r="B1954" s="1" t="str">
        <f t="shared" si="652"/>
        <v/>
      </c>
      <c r="C1954" s="1" t="e">
        <f>VLOOKUP(B1954,'Master truck list'!D:E,2,0)</f>
        <v>#N/A</v>
      </c>
      <c r="D1954" s="1" t="e">
        <f>VLOOKUP(C1954,'Master truck list'!E:F,2,0)</f>
        <v>#N/A</v>
      </c>
      <c r="E1954" s="1" t="e">
        <f>VLOOKUP(C1954,'Master truck list'!E:M,9,0)</f>
        <v>#N/A</v>
      </c>
      <c r="F1954" s="1" t="e">
        <f>VLOOKUP(C1954,'Master truck list'!E:G,3,0)</f>
        <v>#N/A</v>
      </c>
      <c r="G1954" s="1" t="e">
        <f>VLOOKUP(C1954,'Master truck list'!E:R,14,0)</f>
        <v>#N/A</v>
      </c>
    </row>
    <row r="1955" spans="1:7" x14ac:dyDescent="0.25">
      <c r="A1955" s="1" t="str">
        <f t="shared" si="651"/>
        <v/>
      </c>
      <c r="B1955" s="1" t="str">
        <f t="shared" si="652"/>
        <v/>
      </c>
      <c r="C1955" s="1" t="e">
        <f>VLOOKUP(B1955,'Master truck list'!D:E,2,0)</f>
        <v>#N/A</v>
      </c>
      <c r="D1955" s="1" t="e">
        <f>VLOOKUP(C1955,'Master truck list'!E:F,2,0)</f>
        <v>#N/A</v>
      </c>
      <c r="E1955" s="1" t="e">
        <f>VLOOKUP(C1955,'Master truck list'!E:M,9,0)</f>
        <v>#N/A</v>
      </c>
      <c r="F1955" s="1" t="e">
        <f>VLOOKUP(C1955,'Master truck list'!E:G,3,0)</f>
        <v>#N/A</v>
      </c>
      <c r="G1955" s="1" t="e">
        <f>VLOOKUP(C1955,'Master truck list'!E:R,14,0)</f>
        <v>#N/A</v>
      </c>
    </row>
    <row r="1956" spans="1:7" x14ac:dyDescent="0.25">
      <c r="A1956" s="1" t="str">
        <f t="shared" ref="A1956:A2019" si="653">LEFT(N2158,5)</f>
        <v/>
      </c>
      <c r="B1956" s="1" t="str">
        <f t="shared" si="652"/>
        <v/>
      </c>
      <c r="C1956" s="1" t="e">
        <f>VLOOKUP(B1956,'Master truck list'!D:E,2,0)</f>
        <v>#N/A</v>
      </c>
      <c r="D1956" s="1" t="e">
        <f>VLOOKUP(C1956,'Master truck list'!E:F,2,0)</f>
        <v>#N/A</v>
      </c>
      <c r="E1956" s="1" t="e">
        <f>VLOOKUP(C1956,'Master truck list'!E:M,9,0)</f>
        <v>#N/A</v>
      </c>
      <c r="F1956" s="1" t="e">
        <f>VLOOKUP(C1956,'Master truck list'!E:G,3,0)</f>
        <v>#N/A</v>
      </c>
      <c r="G1956" s="1" t="e">
        <f>VLOOKUP(C1956,'Master truck list'!E:R,14,0)</f>
        <v>#N/A</v>
      </c>
    </row>
    <row r="1957" spans="1:7" x14ac:dyDescent="0.25">
      <c r="A1957" s="1" t="str">
        <f t="shared" si="653"/>
        <v/>
      </c>
      <c r="B1957" s="1" t="str">
        <f t="shared" si="652"/>
        <v/>
      </c>
      <c r="C1957" s="1" t="e">
        <f>VLOOKUP(B1957,'Master truck list'!D:E,2,0)</f>
        <v>#N/A</v>
      </c>
      <c r="D1957" s="1" t="e">
        <f>VLOOKUP(C1957,'Master truck list'!E:F,2,0)</f>
        <v>#N/A</v>
      </c>
      <c r="E1957" s="1" t="e">
        <f>VLOOKUP(C1957,'Master truck list'!E:M,9,0)</f>
        <v>#N/A</v>
      </c>
      <c r="F1957" s="1" t="e">
        <f>VLOOKUP(C1957,'Master truck list'!E:G,3,0)</f>
        <v>#N/A</v>
      </c>
      <c r="G1957" s="1" t="e">
        <f>VLOOKUP(C1957,'Master truck list'!E:R,14,0)</f>
        <v>#N/A</v>
      </c>
    </row>
    <row r="1958" spans="1:7" x14ac:dyDescent="0.25">
      <c r="A1958" s="1" t="str">
        <f t="shared" si="653"/>
        <v/>
      </c>
      <c r="B1958" s="1" t="str">
        <f t="shared" si="652"/>
        <v/>
      </c>
      <c r="C1958" s="1" t="e">
        <f>VLOOKUP(B1958,'Master truck list'!D:E,2,0)</f>
        <v>#N/A</v>
      </c>
      <c r="D1958" s="1" t="e">
        <f>VLOOKUP(C1958,'Master truck list'!E:F,2,0)</f>
        <v>#N/A</v>
      </c>
      <c r="E1958" s="1" t="e">
        <f>VLOOKUP(C1958,'Master truck list'!E:M,9,0)</f>
        <v>#N/A</v>
      </c>
      <c r="F1958" s="1" t="e">
        <f>VLOOKUP(C1958,'Master truck list'!E:G,3,0)</f>
        <v>#N/A</v>
      </c>
      <c r="G1958" s="1" t="e">
        <f>VLOOKUP(C1958,'Master truck list'!E:R,14,0)</f>
        <v>#N/A</v>
      </c>
    </row>
    <row r="1959" spans="1:7" x14ac:dyDescent="0.25">
      <c r="A1959" s="1" t="str">
        <f t="shared" si="653"/>
        <v/>
      </c>
      <c r="B1959" s="1" t="str">
        <f t="shared" si="652"/>
        <v/>
      </c>
      <c r="C1959" s="1" t="e">
        <f>VLOOKUP(B1959,'Master truck list'!D:E,2,0)</f>
        <v>#N/A</v>
      </c>
      <c r="D1959" s="1" t="e">
        <f>VLOOKUP(C1959,'Master truck list'!E:F,2,0)</f>
        <v>#N/A</v>
      </c>
      <c r="E1959" s="1" t="e">
        <f>VLOOKUP(C1959,'Master truck list'!E:M,9,0)</f>
        <v>#N/A</v>
      </c>
      <c r="F1959" s="1" t="e">
        <f>VLOOKUP(C1959,'Master truck list'!E:G,3,0)</f>
        <v>#N/A</v>
      </c>
      <c r="G1959" s="1" t="e">
        <f>VLOOKUP(C1959,'Master truck list'!E:R,14,0)</f>
        <v>#N/A</v>
      </c>
    </row>
    <row r="1960" spans="1:7" x14ac:dyDescent="0.25">
      <c r="A1960" s="1" t="str">
        <f t="shared" si="653"/>
        <v/>
      </c>
      <c r="B1960" s="1" t="str">
        <f t="shared" si="652"/>
        <v/>
      </c>
      <c r="C1960" s="1" t="e">
        <f>VLOOKUP(B1960,'Master truck list'!D:E,2,0)</f>
        <v>#N/A</v>
      </c>
      <c r="D1960" s="1" t="e">
        <f>VLOOKUP(C1960,'Master truck list'!E:F,2,0)</f>
        <v>#N/A</v>
      </c>
      <c r="E1960" s="1" t="e">
        <f>VLOOKUP(C1960,'Master truck list'!E:M,9,0)</f>
        <v>#N/A</v>
      </c>
      <c r="F1960" s="1" t="e">
        <f>VLOOKUP(C1960,'Master truck list'!E:G,3,0)</f>
        <v>#N/A</v>
      </c>
      <c r="G1960" s="1" t="e">
        <f>VLOOKUP(C1960,'Master truck list'!E:R,14,0)</f>
        <v>#N/A</v>
      </c>
    </row>
    <row r="1961" spans="1:7" x14ac:dyDescent="0.25">
      <c r="A1961" s="1" t="str">
        <f t="shared" si="653"/>
        <v/>
      </c>
      <c r="B1961" s="1" t="str">
        <f t="shared" si="652"/>
        <v/>
      </c>
      <c r="C1961" s="1" t="e">
        <f>VLOOKUP(B1961,'Master truck list'!D:E,2,0)</f>
        <v>#N/A</v>
      </c>
      <c r="D1961" s="1" t="e">
        <f>VLOOKUP(C1961,'Master truck list'!E:F,2,0)</f>
        <v>#N/A</v>
      </c>
      <c r="E1961" s="1" t="e">
        <f>VLOOKUP(C1961,'Master truck list'!E:M,9,0)</f>
        <v>#N/A</v>
      </c>
      <c r="F1961" s="1" t="e">
        <f>VLOOKUP(C1961,'Master truck list'!E:G,3,0)</f>
        <v>#N/A</v>
      </c>
      <c r="G1961" s="1" t="e">
        <f>VLOOKUP(C1961,'Master truck list'!E:R,14,0)</f>
        <v>#N/A</v>
      </c>
    </row>
    <row r="1962" spans="1:7" x14ac:dyDescent="0.25">
      <c r="A1962" s="1" t="str">
        <f t="shared" si="653"/>
        <v/>
      </c>
      <c r="B1962" s="1" t="str">
        <f t="shared" si="652"/>
        <v/>
      </c>
      <c r="C1962" s="1" t="e">
        <f>VLOOKUP(B1962,'Master truck list'!D:E,2,0)</f>
        <v>#N/A</v>
      </c>
      <c r="D1962" s="1" t="e">
        <f>VLOOKUP(C1962,'Master truck list'!E:F,2,0)</f>
        <v>#N/A</v>
      </c>
      <c r="E1962" s="1" t="e">
        <f>VLOOKUP(C1962,'Master truck list'!E:M,9,0)</f>
        <v>#N/A</v>
      </c>
      <c r="F1962" s="1" t="e">
        <f>VLOOKUP(C1962,'Master truck list'!E:G,3,0)</f>
        <v>#N/A</v>
      </c>
      <c r="G1962" s="1" t="e">
        <f>VLOOKUP(C1962,'Master truck list'!E:R,14,0)</f>
        <v>#N/A</v>
      </c>
    </row>
    <row r="1963" spans="1:7" x14ac:dyDescent="0.25">
      <c r="A1963" s="1" t="str">
        <f t="shared" si="653"/>
        <v/>
      </c>
      <c r="B1963" s="1" t="str">
        <f t="shared" si="652"/>
        <v/>
      </c>
      <c r="C1963" s="1" t="e">
        <f>VLOOKUP(B1963,'Master truck list'!D:E,2,0)</f>
        <v>#N/A</v>
      </c>
      <c r="D1963" s="1" t="e">
        <f>VLOOKUP(C1963,'Master truck list'!E:F,2,0)</f>
        <v>#N/A</v>
      </c>
      <c r="E1963" s="1" t="e">
        <f>VLOOKUP(C1963,'Master truck list'!E:M,9,0)</f>
        <v>#N/A</v>
      </c>
      <c r="F1963" s="1" t="e">
        <f>VLOOKUP(C1963,'Master truck list'!E:G,3,0)</f>
        <v>#N/A</v>
      </c>
      <c r="G1963" s="1" t="e">
        <f>VLOOKUP(C1963,'Master truck list'!E:R,14,0)</f>
        <v>#N/A</v>
      </c>
    </row>
    <row r="1964" spans="1:7" x14ac:dyDescent="0.25">
      <c r="A1964" s="1" t="str">
        <f t="shared" si="653"/>
        <v/>
      </c>
      <c r="B1964" s="1" t="str">
        <f t="shared" si="652"/>
        <v/>
      </c>
      <c r="C1964" s="1" t="e">
        <f>VLOOKUP(B1964,'Master truck list'!D:E,2,0)</f>
        <v>#N/A</v>
      </c>
      <c r="D1964" s="1" t="e">
        <f>VLOOKUP(C1964,'Master truck list'!E:F,2,0)</f>
        <v>#N/A</v>
      </c>
      <c r="E1964" s="1" t="e">
        <f>VLOOKUP(C1964,'Master truck list'!E:M,9,0)</f>
        <v>#N/A</v>
      </c>
      <c r="F1964" s="1" t="e">
        <f>VLOOKUP(C1964,'Master truck list'!E:G,3,0)</f>
        <v>#N/A</v>
      </c>
      <c r="G1964" s="1" t="e">
        <f>VLOOKUP(C1964,'Master truck list'!E:R,14,0)</f>
        <v>#N/A</v>
      </c>
    </row>
    <row r="1965" spans="1:7" x14ac:dyDescent="0.25">
      <c r="A1965" s="1" t="str">
        <f t="shared" si="653"/>
        <v/>
      </c>
      <c r="B1965" s="1" t="str">
        <f t="shared" si="652"/>
        <v/>
      </c>
      <c r="C1965" s="1" t="e">
        <f>VLOOKUP(B1965,'Master truck list'!D:E,2,0)</f>
        <v>#N/A</v>
      </c>
      <c r="D1965" s="1" t="e">
        <f>VLOOKUP(C1965,'Master truck list'!E:F,2,0)</f>
        <v>#N/A</v>
      </c>
      <c r="E1965" s="1" t="e">
        <f>VLOOKUP(C1965,'Master truck list'!E:M,9,0)</f>
        <v>#N/A</v>
      </c>
      <c r="F1965" s="1" t="e">
        <f>VLOOKUP(C1965,'Master truck list'!E:G,3,0)</f>
        <v>#N/A</v>
      </c>
      <c r="G1965" s="1" t="e">
        <f>VLOOKUP(C1965,'Master truck list'!E:R,14,0)</f>
        <v>#N/A</v>
      </c>
    </row>
    <row r="1966" spans="1:7" x14ac:dyDescent="0.25">
      <c r="A1966" s="1" t="str">
        <f t="shared" si="653"/>
        <v/>
      </c>
      <c r="B1966" s="1" t="str">
        <f t="shared" si="652"/>
        <v/>
      </c>
      <c r="C1966" s="1" t="e">
        <f>VLOOKUP(B1966,'Master truck list'!D:E,2,0)</f>
        <v>#N/A</v>
      </c>
      <c r="D1966" s="1" t="e">
        <f>VLOOKUP(C1966,'Master truck list'!E:F,2,0)</f>
        <v>#N/A</v>
      </c>
      <c r="E1966" s="1" t="e">
        <f>VLOOKUP(C1966,'Master truck list'!E:M,9,0)</f>
        <v>#N/A</v>
      </c>
      <c r="F1966" s="1" t="e">
        <f>VLOOKUP(C1966,'Master truck list'!E:G,3,0)</f>
        <v>#N/A</v>
      </c>
      <c r="G1966" s="1" t="e">
        <f>VLOOKUP(C1966,'Master truck list'!E:R,14,0)</f>
        <v>#N/A</v>
      </c>
    </row>
    <row r="1967" spans="1:7" x14ac:dyDescent="0.25">
      <c r="A1967" s="1" t="str">
        <f t="shared" si="653"/>
        <v/>
      </c>
      <c r="B1967" s="1" t="str">
        <f t="shared" si="652"/>
        <v/>
      </c>
      <c r="C1967" s="1" t="e">
        <f>VLOOKUP(B1967,'Master truck list'!D:E,2,0)</f>
        <v>#N/A</v>
      </c>
      <c r="D1967" s="1" t="e">
        <f>VLOOKUP(C1967,'Master truck list'!E:F,2,0)</f>
        <v>#N/A</v>
      </c>
      <c r="E1967" s="1" t="e">
        <f>VLOOKUP(C1967,'Master truck list'!E:M,9,0)</f>
        <v>#N/A</v>
      </c>
      <c r="F1967" s="1" t="e">
        <f>VLOOKUP(C1967,'Master truck list'!E:G,3,0)</f>
        <v>#N/A</v>
      </c>
      <c r="G1967" s="1" t="e">
        <f>VLOOKUP(C1967,'Master truck list'!E:R,14,0)</f>
        <v>#N/A</v>
      </c>
    </row>
    <row r="1968" spans="1:7" x14ac:dyDescent="0.25">
      <c r="A1968" s="1" t="str">
        <f t="shared" si="653"/>
        <v/>
      </c>
      <c r="B1968" s="1" t="str">
        <f t="shared" si="652"/>
        <v/>
      </c>
      <c r="C1968" s="1" t="e">
        <f>VLOOKUP(B1968,'Master truck list'!D:E,2,0)</f>
        <v>#N/A</v>
      </c>
      <c r="D1968" s="1" t="e">
        <f>VLOOKUP(C1968,'Master truck list'!E:F,2,0)</f>
        <v>#N/A</v>
      </c>
      <c r="E1968" s="1" t="e">
        <f>VLOOKUP(C1968,'Master truck list'!E:M,9,0)</f>
        <v>#N/A</v>
      </c>
      <c r="F1968" s="1" t="e">
        <f>VLOOKUP(C1968,'Master truck list'!E:G,3,0)</f>
        <v>#N/A</v>
      </c>
      <c r="G1968" s="1" t="e">
        <f>VLOOKUP(C1968,'Master truck list'!E:R,14,0)</f>
        <v>#N/A</v>
      </c>
    </row>
    <row r="1969" spans="1:7" x14ac:dyDescent="0.25">
      <c r="A1969" s="1" t="str">
        <f t="shared" si="653"/>
        <v/>
      </c>
      <c r="B1969" s="1" t="str">
        <f t="shared" si="652"/>
        <v/>
      </c>
      <c r="C1969" s="1" t="e">
        <f>VLOOKUP(B1969,'Master truck list'!D:E,2,0)</f>
        <v>#N/A</v>
      </c>
      <c r="D1969" s="1" t="e">
        <f>VLOOKUP(C1969,'Master truck list'!E:F,2,0)</f>
        <v>#N/A</v>
      </c>
      <c r="E1969" s="1" t="e">
        <f>VLOOKUP(C1969,'Master truck list'!E:M,9,0)</f>
        <v>#N/A</v>
      </c>
      <c r="F1969" s="1" t="e">
        <f>VLOOKUP(C1969,'Master truck list'!E:G,3,0)</f>
        <v>#N/A</v>
      </c>
      <c r="G1969" s="1" t="e">
        <f>VLOOKUP(C1969,'Master truck list'!E:R,14,0)</f>
        <v>#N/A</v>
      </c>
    </row>
    <row r="1970" spans="1:7" x14ac:dyDescent="0.25">
      <c r="A1970" s="1" t="str">
        <f t="shared" si="653"/>
        <v/>
      </c>
      <c r="B1970" s="1" t="str">
        <f t="shared" si="652"/>
        <v/>
      </c>
      <c r="C1970" s="1" t="e">
        <f>VLOOKUP(B1970,'Master truck list'!D:E,2,0)</f>
        <v>#N/A</v>
      </c>
      <c r="D1970" s="1" t="e">
        <f>VLOOKUP(C1970,'Master truck list'!E:F,2,0)</f>
        <v>#N/A</v>
      </c>
      <c r="E1970" s="1" t="e">
        <f>VLOOKUP(C1970,'Master truck list'!E:M,9,0)</f>
        <v>#N/A</v>
      </c>
      <c r="F1970" s="1" t="e">
        <f>VLOOKUP(C1970,'Master truck list'!E:G,3,0)</f>
        <v>#N/A</v>
      </c>
      <c r="G1970" s="1" t="e">
        <f>VLOOKUP(C1970,'Master truck list'!E:R,14,0)</f>
        <v>#N/A</v>
      </c>
    </row>
    <row r="1971" spans="1:7" x14ac:dyDescent="0.25">
      <c r="A1971" s="1" t="str">
        <f t="shared" si="653"/>
        <v/>
      </c>
      <c r="B1971" s="1" t="str">
        <f t="shared" si="652"/>
        <v/>
      </c>
      <c r="C1971" s="1" t="e">
        <f>VLOOKUP(B1971,'Master truck list'!D:E,2,0)</f>
        <v>#N/A</v>
      </c>
      <c r="D1971" s="1" t="e">
        <f>VLOOKUP(C1971,'Master truck list'!E:F,2,0)</f>
        <v>#N/A</v>
      </c>
      <c r="E1971" s="1" t="e">
        <f>VLOOKUP(C1971,'Master truck list'!E:M,9,0)</f>
        <v>#N/A</v>
      </c>
      <c r="F1971" s="1" t="e">
        <f>VLOOKUP(C1971,'Master truck list'!E:G,3,0)</f>
        <v>#N/A</v>
      </c>
      <c r="G1971" s="1" t="e">
        <f>VLOOKUP(C1971,'Master truck list'!E:R,14,0)</f>
        <v>#N/A</v>
      </c>
    </row>
    <row r="1972" spans="1:7" x14ac:dyDescent="0.25">
      <c r="A1972" s="1" t="str">
        <f t="shared" si="653"/>
        <v/>
      </c>
      <c r="B1972" s="1" t="str">
        <f t="shared" si="652"/>
        <v/>
      </c>
      <c r="C1972" s="1" t="e">
        <f>VLOOKUP(B1972,'Master truck list'!D:E,2,0)</f>
        <v>#N/A</v>
      </c>
      <c r="D1972" s="1" t="e">
        <f>VLOOKUP(C1972,'Master truck list'!E:F,2,0)</f>
        <v>#N/A</v>
      </c>
      <c r="E1972" s="1" t="e">
        <f>VLOOKUP(C1972,'Master truck list'!E:M,9,0)</f>
        <v>#N/A</v>
      </c>
      <c r="F1972" s="1" t="e">
        <f>VLOOKUP(C1972,'Master truck list'!E:G,3,0)</f>
        <v>#N/A</v>
      </c>
      <c r="G1972" s="1" t="e">
        <f>VLOOKUP(C1972,'Master truck list'!E:R,14,0)</f>
        <v>#N/A</v>
      </c>
    </row>
    <row r="1973" spans="1:7" x14ac:dyDescent="0.25">
      <c r="A1973" s="1" t="str">
        <f t="shared" si="653"/>
        <v/>
      </c>
      <c r="B1973" s="1" t="str">
        <f t="shared" si="652"/>
        <v/>
      </c>
      <c r="C1973" s="1" t="e">
        <f>VLOOKUP(B1973,'Master truck list'!D:E,2,0)</f>
        <v>#N/A</v>
      </c>
      <c r="D1973" s="1" t="e">
        <f>VLOOKUP(C1973,'Master truck list'!E:F,2,0)</f>
        <v>#N/A</v>
      </c>
      <c r="E1973" s="1" t="e">
        <f>VLOOKUP(C1973,'Master truck list'!E:M,9,0)</f>
        <v>#N/A</v>
      </c>
      <c r="F1973" s="1" t="e">
        <f>VLOOKUP(C1973,'Master truck list'!E:G,3,0)</f>
        <v>#N/A</v>
      </c>
      <c r="G1973" s="1" t="e">
        <f>VLOOKUP(C1973,'Master truck list'!E:R,14,0)</f>
        <v>#N/A</v>
      </c>
    </row>
    <row r="1974" spans="1:7" x14ac:dyDescent="0.25">
      <c r="A1974" s="1" t="str">
        <f t="shared" si="653"/>
        <v/>
      </c>
      <c r="B1974" s="1" t="str">
        <f t="shared" si="652"/>
        <v/>
      </c>
      <c r="C1974" s="1" t="e">
        <f>VLOOKUP(B1974,'Master truck list'!D:E,2,0)</f>
        <v>#N/A</v>
      </c>
      <c r="D1974" s="1" t="e">
        <f>VLOOKUP(C1974,'Master truck list'!E:F,2,0)</f>
        <v>#N/A</v>
      </c>
      <c r="E1974" s="1" t="e">
        <f>VLOOKUP(C1974,'Master truck list'!E:M,9,0)</f>
        <v>#N/A</v>
      </c>
      <c r="F1974" s="1" t="e">
        <f>VLOOKUP(C1974,'Master truck list'!E:G,3,0)</f>
        <v>#N/A</v>
      </c>
      <c r="G1974" s="1" t="e">
        <f>VLOOKUP(C1974,'Master truck list'!E:R,14,0)</f>
        <v>#N/A</v>
      </c>
    </row>
    <row r="1975" spans="1:7" x14ac:dyDescent="0.25">
      <c r="A1975" s="1" t="str">
        <f t="shared" si="653"/>
        <v/>
      </c>
      <c r="B1975" s="1" t="str">
        <f t="shared" si="652"/>
        <v/>
      </c>
      <c r="C1975" s="1" t="e">
        <f>VLOOKUP(B1975,'Master truck list'!D:E,2,0)</f>
        <v>#N/A</v>
      </c>
      <c r="D1975" s="1" t="e">
        <f>VLOOKUP(C1975,'Master truck list'!E:F,2,0)</f>
        <v>#N/A</v>
      </c>
      <c r="E1975" s="1" t="e">
        <f>VLOOKUP(C1975,'Master truck list'!E:M,9,0)</f>
        <v>#N/A</v>
      </c>
      <c r="F1975" s="1" t="e">
        <f>VLOOKUP(C1975,'Master truck list'!E:G,3,0)</f>
        <v>#N/A</v>
      </c>
      <c r="G1975" s="1" t="e">
        <f>VLOOKUP(C1975,'Master truck list'!E:R,14,0)</f>
        <v>#N/A</v>
      </c>
    </row>
    <row r="1976" spans="1:7" x14ac:dyDescent="0.25">
      <c r="A1976" s="1" t="str">
        <f t="shared" si="653"/>
        <v/>
      </c>
      <c r="B1976" s="1" t="str">
        <f t="shared" si="652"/>
        <v/>
      </c>
      <c r="C1976" s="1" t="e">
        <f>VLOOKUP(B1976,'Master truck list'!D:E,2,0)</f>
        <v>#N/A</v>
      </c>
      <c r="D1976" s="1" t="e">
        <f>VLOOKUP(C1976,'Master truck list'!E:F,2,0)</f>
        <v>#N/A</v>
      </c>
      <c r="E1976" s="1" t="e">
        <f>VLOOKUP(C1976,'Master truck list'!E:M,9,0)</f>
        <v>#N/A</v>
      </c>
      <c r="F1976" s="1" t="e">
        <f>VLOOKUP(C1976,'Master truck list'!E:G,3,0)</f>
        <v>#N/A</v>
      </c>
      <c r="G1976" s="1" t="e">
        <f>VLOOKUP(C1976,'Master truck list'!E:R,14,0)</f>
        <v>#N/A</v>
      </c>
    </row>
    <row r="1977" spans="1:7" x14ac:dyDescent="0.25">
      <c r="A1977" s="1" t="str">
        <f t="shared" si="653"/>
        <v/>
      </c>
      <c r="B1977" s="1" t="str">
        <f t="shared" ref="B1977:B2040" si="654">SUBSTITUTE(A1977," ","")</f>
        <v/>
      </c>
      <c r="C1977" s="1" t="e">
        <f>VLOOKUP(B1977,'Master truck list'!D:E,2,0)</f>
        <v>#N/A</v>
      </c>
      <c r="D1977" s="1" t="e">
        <f>VLOOKUP(C1977,'Master truck list'!E:F,2,0)</f>
        <v>#N/A</v>
      </c>
      <c r="E1977" s="1" t="e">
        <f>VLOOKUP(C1977,'Master truck list'!E:M,9,0)</f>
        <v>#N/A</v>
      </c>
      <c r="F1977" s="1" t="e">
        <f>VLOOKUP(C1977,'Master truck list'!E:G,3,0)</f>
        <v>#N/A</v>
      </c>
      <c r="G1977" s="1" t="e">
        <f>VLOOKUP(C1977,'Master truck list'!E:R,14,0)</f>
        <v>#N/A</v>
      </c>
    </row>
    <row r="1978" spans="1:7" x14ac:dyDescent="0.25">
      <c r="A1978" s="1" t="str">
        <f t="shared" si="653"/>
        <v/>
      </c>
      <c r="B1978" s="1" t="str">
        <f t="shared" si="654"/>
        <v/>
      </c>
      <c r="C1978" s="1" t="e">
        <f>VLOOKUP(B1978,'Master truck list'!D:E,2,0)</f>
        <v>#N/A</v>
      </c>
      <c r="D1978" s="1" t="e">
        <f>VLOOKUP(C1978,'Master truck list'!E:F,2,0)</f>
        <v>#N/A</v>
      </c>
      <c r="E1978" s="1" t="e">
        <f>VLOOKUP(C1978,'Master truck list'!E:M,9,0)</f>
        <v>#N/A</v>
      </c>
      <c r="F1978" s="1" t="e">
        <f>VLOOKUP(C1978,'Master truck list'!E:G,3,0)</f>
        <v>#N/A</v>
      </c>
      <c r="G1978" s="1" t="e">
        <f>VLOOKUP(C1978,'Master truck list'!E:R,14,0)</f>
        <v>#N/A</v>
      </c>
    </row>
    <row r="1979" spans="1:7" x14ac:dyDescent="0.25">
      <c r="A1979" s="1" t="str">
        <f t="shared" si="653"/>
        <v/>
      </c>
      <c r="B1979" s="1" t="str">
        <f t="shared" si="654"/>
        <v/>
      </c>
      <c r="C1979" s="1" t="e">
        <f>VLOOKUP(B1979,'Master truck list'!D:E,2,0)</f>
        <v>#N/A</v>
      </c>
      <c r="D1979" s="1" t="e">
        <f>VLOOKUP(C1979,'Master truck list'!E:F,2,0)</f>
        <v>#N/A</v>
      </c>
      <c r="E1979" s="1" t="e">
        <f>VLOOKUP(C1979,'Master truck list'!E:M,9,0)</f>
        <v>#N/A</v>
      </c>
      <c r="F1979" s="1" t="e">
        <f>VLOOKUP(C1979,'Master truck list'!E:G,3,0)</f>
        <v>#N/A</v>
      </c>
      <c r="G1979" s="1" t="e">
        <f>VLOOKUP(C1979,'Master truck list'!E:R,14,0)</f>
        <v>#N/A</v>
      </c>
    </row>
    <row r="1980" spans="1:7" x14ac:dyDescent="0.25">
      <c r="A1980" s="1" t="str">
        <f t="shared" si="653"/>
        <v/>
      </c>
      <c r="B1980" s="1" t="str">
        <f t="shared" si="654"/>
        <v/>
      </c>
      <c r="C1980" s="1" t="e">
        <f>VLOOKUP(B1980,'Master truck list'!D:E,2,0)</f>
        <v>#N/A</v>
      </c>
      <c r="D1980" s="1" t="e">
        <f>VLOOKUP(C1980,'Master truck list'!E:F,2,0)</f>
        <v>#N/A</v>
      </c>
      <c r="E1980" s="1" t="e">
        <f>VLOOKUP(C1980,'Master truck list'!E:M,9,0)</f>
        <v>#N/A</v>
      </c>
      <c r="F1980" s="1" t="e">
        <f>VLOOKUP(C1980,'Master truck list'!E:G,3,0)</f>
        <v>#N/A</v>
      </c>
      <c r="G1980" s="1" t="e">
        <f>VLOOKUP(C1980,'Master truck list'!E:R,14,0)</f>
        <v>#N/A</v>
      </c>
    </row>
    <row r="1981" spans="1:7" x14ac:dyDescent="0.25">
      <c r="A1981" s="1" t="str">
        <f t="shared" si="653"/>
        <v/>
      </c>
      <c r="B1981" s="1" t="str">
        <f t="shared" si="654"/>
        <v/>
      </c>
      <c r="C1981" s="1" t="e">
        <f>VLOOKUP(B1981,'Master truck list'!D:E,2,0)</f>
        <v>#N/A</v>
      </c>
      <c r="D1981" s="1" t="e">
        <f>VLOOKUP(C1981,'Master truck list'!E:F,2,0)</f>
        <v>#N/A</v>
      </c>
      <c r="E1981" s="1" t="e">
        <f>VLOOKUP(C1981,'Master truck list'!E:M,9,0)</f>
        <v>#N/A</v>
      </c>
      <c r="F1981" s="1" t="e">
        <f>VLOOKUP(C1981,'Master truck list'!E:G,3,0)</f>
        <v>#N/A</v>
      </c>
      <c r="G1981" s="1" t="e">
        <f>VLOOKUP(C1981,'Master truck list'!E:R,14,0)</f>
        <v>#N/A</v>
      </c>
    </row>
    <row r="1982" spans="1:7" x14ac:dyDescent="0.25">
      <c r="A1982" s="1" t="str">
        <f t="shared" si="653"/>
        <v/>
      </c>
      <c r="B1982" s="1" t="str">
        <f t="shared" si="654"/>
        <v/>
      </c>
      <c r="C1982" s="1" t="e">
        <f>VLOOKUP(B1982,'Master truck list'!D:E,2,0)</f>
        <v>#N/A</v>
      </c>
      <c r="D1982" s="1" t="e">
        <f>VLOOKUP(C1982,'Master truck list'!E:F,2,0)</f>
        <v>#N/A</v>
      </c>
      <c r="E1982" s="1" t="e">
        <f>VLOOKUP(C1982,'Master truck list'!E:M,9,0)</f>
        <v>#N/A</v>
      </c>
      <c r="F1982" s="1" t="e">
        <f>VLOOKUP(C1982,'Master truck list'!E:G,3,0)</f>
        <v>#N/A</v>
      </c>
      <c r="G1982" s="1" t="e">
        <f>VLOOKUP(C1982,'Master truck list'!E:R,14,0)</f>
        <v>#N/A</v>
      </c>
    </row>
    <row r="1983" spans="1:7" x14ac:dyDescent="0.25">
      <c r="A1983" s="1" t="str">
        <f t="shared" si="653"/>
        <v/>
      </c>
      <c r="B1983" s="1" t="str">
        <f t="shared" si="654"/>
        <v/>
      </c>
      <c r="C1983" s="1" t="e">
        <f>VLOOKUP(B1983,'Master truck list'!D:E,2,0)</f>
        <v>#N/A</v>
      </c>
      <c r="D1983" s="1" t="e">
        <f>VLOOKUP(C1983,'Master truck list'!E:F,2,0)</f>
        <v>#N/A</v>
      </c>
      <c r="E1983" s="1" t="e">
        <f>VLOOKUP(C1983,'Master truck list'!E:M,9,0)</f>
        <v>#N/A</v>
      </c>
      <c r="F1983" s="1" t="e">
        <f>VLOOKUP(C1983,'Master truck list'!E:G,3,0)</f>
        <v>#N/A</v>
      </c>
      <c r="G1983" s="1" t="e">
        <f>VLOOKUP(C1983,'Master truck list'!E:R,14,0)</f>
        <v>#N/A</v>
      </c>
    </row>
    <row r="1984" spans="1:7" x14ac:dyDescent="0.25">
      <c r="A1984" s="1" t="str">
        <f t="shared" si="653"/>
        <v/>
      </c>
      <c r="B1984" s="1" t="str">
        <f t="shared" si="654"/>
        <v/>
      </c>
      <c r="C1984" s="1" t="e">
        <f>VLOOKUP(B1984,'Master truck list'!D:E,2,0)</f>
        <v>#N/A</v>
      </c>
      <c r="D1984" s="1" t="e">
        <f>VLOOKUP(C1984,'Master truck list'!E:F,2,0)</f>
        <v>#N/A</v>
      </c>
      <c r="E1984" s="1" t="e">
        <f>VLOOKUP(C1984,'Master truck list'!E:M,9,0)</f>
        <v>#N/A</v>
      </c>
      <c r="F1984" s="1" t="e">
        <f>VLOOKUP(C1984,'Master truck list'!E:G,3,0)</f>
        <v>#N/A</v>
      </c>
      <c r="G1984" s="1" t="e">
        <f>VLOOKUP(C1984,'Master truck list'!E:R,14,0)</f>
        <v>#N/A</v>
      </c>
    </row>
    <row r="1985" spans="1:7" x14ac:dyDescent="0.25">
      <c r="A1985" s="1" t="str">
        <f t="shared" si="653"/>
        <v/>
      </c>
      <c r="B1985" s="1" t="str">
        <f t="shared" si="654"/>
        <v/>
      </c>
      <c r="C1985" s="1" t="e">
        <f>VLOOKUP(B1985,'Master truck list'!D:E,2,0)</f>
        <v>#N/A</v>
      </c>
      <c r="D1985" s="1" t="e">
        <f>VLOOKUP(C1985,'Master truck list'!E:F,2,0)</f>
        <v>#N/A</v>
      </c>
      <c r="E1985" s="1" t="e">
        <f>VLOOKUP(C1985,'Master truck list'!E:M,9,0)</f>
        <v>#N/A</v>
      </c>
      <c r="F1985" s="1" t="e">
        <f>VLOOKUP(C1985,'Master truck list'!E:G,3,0)</f>
        <v>#N/A</v>
      </c>
      <c r="G1985" s="1" t="e">
        <f>VLOOKUP(C1985,'Master truck list'!E:R,14,0)</f>
        <v>#N/A</v>
      </c>
    </row>
    <row r="1986" spans="1:7" x14ac:dyDescent="0.25">
      <c r="A1986" s="1" t="str">
        <f t="shared" si="653"/>
        <v/>
      </c>
      <c r="B1986" s="1" t="str">
        <f t="shared" si="654"/>
        <v/>
      </c>
      <c r="C1986" s="1" t="e">
        <f>VLOOKUP(B1986,'Master truck list'!D:E,2,0)</f>
        <v>#N/A</v>
      </c>
      <c r="D1986" s="1" t="e">
        <f>VLOOKUP(C1986,'Master truck list'!E:F,2,0)</f>
        <v>#N/A</v>
      </c>
      <c r="E1986" s="1" t="e">
        <f>VLOOKUP(C1986,'Master truck list'!E:M,9,0)</f>
        <v>#N/A</v>
      </c>
      <c r="F1986" s="1" t="e">
        <f>VLOOKUP(C1986,'Master truck list'!E:G,3,0)</f>
        <v>#N/A</v>
      </c>
      <c r="G1986" s="1" t="e">
        <f>VLOOKUP(C1986,'Master truck list'!E:R,14,0)</f>
        <v>#N/A</v>
      </c>
    </row>
    <row r="1987" spans="1:7" x14ac:dyDescent="0.25">
      <c r="A1987" s="1" t="str">
        <f t="shared" si="653"/>
        <v/>
      </c>
      <c r="B1987" s="1" t="str">
        <f t="shared" si="654"/>
        <v/>
      </c>
      <c r="C1987" s="1" t="e">
        <f>VLOOKUP(B1987,'Master truck list'!D:E,2,0)</f>
        <v>#N/A</v>
      </c>
      <c r="D1987" s="1" t="e">
        <f>VLOOKUP(C1987,'Master truck list'!E:F,2,0)</f>
        <v>#N/A</v>
      </c>
      <c r="E1987" s="1" t="e">
        <f>VLOOKUP(C1987,'Master truck list'!E:M,9,0)</f>
        <v>#N/A</v>
      </c>
      <c r="F1987" s="1" t="e">
        <f>VLOOKUP(C1987,'Master truck list'!E:G,3,0)</f>
        <v>#N/A</v>
      </c>
      <c r="G1987" s="1" t="e">
        <f>VLOOKUP(C1987,'Master truck list'!E:R,14,0)</f>
        <v>#N/A</v>
      </c>
    </row>
    <row r="1988" spans="1:7" x14ac:dyDescent="0.25">
      <c r="A1988" s="1" t="str">
        <f t="shared" si="653"/>
        <v/>
      </c>
      <c r="B1988" s="1" t="str">
        <f t="shared" si="654"/>
        <v/>
      </c>
      <c r="C1988" s="1" t="e">
        <f>VLOOKUP(B1988,'Master truck list'!D:E,2,0)</f>
        <v>#N/A</v>
      </c>
      <c r="D1988" s="1" t="e">
        <f>VLOOKUP(C1988,'Master truck list'!E:F,2,0)</f>
        <v>#N/A</v>
      </c>
      <c r="E1988" s="1" t="e">
        <f>VLOOKUP(C1988,'Master truck list'!E:M,9,0)</f>
        <v>#N/A</v>
      </c>
      <c r="F1988" s="1" t="e">
        <f>VLOOKUP(C1988,'Master truck list'!E:G,3,0)</f>
        <v>#N/A</v>
      </c>
      <c r="G1988" s="1" t="e">
        <f>VLOOKUP(C1988,'Master truck list'!E:R,14,0)</f>
        <v>#N/A</v>
      </c>
    </row>
    <row r="1989" spans="1:7" x14ac:dyDescent="0.25">
      <c r="A1989" s="1" t="str">
        <f t="shared" si="653"/>
        <v/>
      </c>
      <c r="B1989" s="1" t="str">
        <f t="shared" si="654"/>
        <v/>
      </c>
      <c r="C1989" s="1" t="e">
        <f>VLOOKUP(B1989,'Master truck list'!D:E,2,0)</f>
        <v>#N/A</v>
      </c>
      <c r="D1989" s="1" t="e">
        <f>VLOOKUP(C1989,'Master truck list'!E:F,2,0)</f>
        <v>#N/A</v>
      </c>
      <c r="E1989" s="1" t="e">
        <f>VLOOKUP(C1989,'Master truck list'!E:M,9,0)</f>
        <v>#N/A</v>
      </c>
      <c r="F1989" s="1" t="e">
        <f>VLOOKUP(C1989,'Master truck list'!E:G,3,0)</f>
        <v>#N/A</v>
      </c>
      <c r="G1989" s="1" t="e">
        <f>VLOOKUP(C1989,'Master truck list'!E:R,14,0)</f>
        <v>#N/A</v>
      </c>
    </row>
    <row r="1990" spans="1:7" x14ac:dyDescent="0.25">
      <c r="A1990" s="1" t="str">
        <f t="shared" si="653"/>
        <v/>
      </c>
      <c r="B1990" s="1" t="str">
        <f t="shared" si="654"/>
        <v/>
      </c>
      <c r="C1990" s="1" t="e">
        <f>VLOOKUP(B1990,'Master truck list'!D:E,2,0)</f>
        <v>#N/A</v>
      </c>
      <c r="D1990" s="1" t="e">
        <f>VLOOKUP(C1990,'Master truck list'!E:F,2,0)</f>
        <v>#N/A</v>
      </c>
      <c r="E1990" s="1" t="e">
        <f>VLOOKUP(C1990,'Master truck list'!E:M,9,0)</f>
        <v>#N/A</v>
      </c>
      <c r="F1990" s="1" t="e">
        <f>VLOOKUP(C1990,'Master truck list'!E:G,3,0)</f>
        <v>#N/A</v>
      </c>
      <c r="G1990" s="1" t="e">
        <f>VLOOKUP(C1990,'Master truck list'!E:R,14,0)</f>
        <v>#N/A</v>
      </c>
    </row>
    <row r="1991" spans="1:7" x14ac:dyDescent="0.25">
      <c r="A1991" s="1" t="str">
        <f t="shared" si="653"/>
        <v/>
      </c>
      <c r="B1991" s="1" t="str">
        <f t="shared" si="654"/>
        <v/>
      </c>
      <c r="C1991" s="1" t="e">
        <f>VLOOKUP(B1991,'Master truck list'!D:E,2,0)</f>
        <v>#N/A</v>
      </c>
      <c r="D1991" s="1" t="e">
        <f>VLOOKUP(C1991,'Master truck list'!E:F,2,0)</f>
        <v>#N/A</v>
      </c>
      <c r="E1991" s="1" t="e">
        <f>VLOOKUP(C1991,'Master truck list'!E:M,9,0)</f>
        <v>#N/A</v>
      </c>
      <c r="F1991" s="1" t="e">
        <f>VLOOKUP(C1991,'Master truck list'!E:G,3,0)</f>
        <v>#N/A</v>
      </c>
      <c r="G1991" s="1" t="e">
        <f>VLOOKUP(C1991,'Master truck list'!E:R,14,0)</f>
        <v>#N/A</v>
      </c>
    </row>
    <row r="1992" spans="1:7" x14ac:dyDescent="0.25">
      <c r="A1992" s="1" t="str">
        <f t="shared" si="653"/>
        <v/>
      </c>
      <c r="B1992" s="1" t="str">
        <f t="shared" si="654"/>
        <v/>
      </c>
      <c r="C1992" s="1" t="e">
        <f>VLOOKUP(B1992,'Master truck list'!D:E,2,0)</f>
        <v>#N/A</v>
      </c>
      <c r="D1992" s="1" t="e">
        <f>VLOOKUP(C1992,'Master truck list'!E:F,2,0)</f>
        <v>#N/A</v>
      </c>
      <c r="E1992" s="1" t="e">
        <f>VLOOKUP(C1992,'Master truck list'!E:M,9,0)</f>
        <v>#N/A</v>
      </c>
      <c r="F1992" s="1" t="e">
        <f>VLOOKUP(C1992,'Master truck list'!E:G,3,0)</f>
        <v>#N/A</v>
      </c>
      <c r="G1992" s="1" t="e">
        <f>VLOOKUP(C1992,'Master truck list'!E:R,14,0)</f>
        <v>#N/A</v>
      </c>
    </row>
    <row r="1993" spans="1:7" x14ac:dyDescent="0.25">
      <c r="A1993" s="1" t="str">
        <f t="shared" si="653"/>
        <v/>
      </c>
      <c r="B1993" s="1" t="str">
        <f t="shared" si="654"/>
        <v/>
      </c>
      <c r="C1993" s="1" t="e">
        <f>VLOOKUP(B1993,'Master truck list'!D:E,2,0)</f>
        <v>#N/A</v>
      </c>
      <c r="D1993" s="1" t="e">
        <f>VLOOKUP(C1993,'Master truck list'!E:F,2,0)</f>
        <v>#N/A</v>
      </c>
      <c r="E1993" s="1" t="e">
        <f>VLOOKUP(C1993,'Master truck list'!E:M,9,0)</f>
        <v>#N/A</v>
      </c>
      <c r="F1993" s="1" t="e">
        <f>VLOOKUP(C1993,'Master truck list'!E:G,3,0)</f>
        <v>#N/A</v>
      </c>
      <c r="G1993" s="1" t="e">
        <f>VLOOKUP(C1993,'Master truck list'!E:R,14,0)</f>
        <v>#N/A</v>
      </c>
    </row>
    <row r="1994" spans="1:7" x14ac:dyDescent="0.25">
      <c r="A1994" s="1" t="str">
        <f t="shared" si="653"/>
        <v/>
      </c>
      <c r="B1994" s="1" t="str">
        <f t="shared" si="654"/>
        <v/>
      </c>
      <c r="C1994" s="1" t="e">
        <f>VLOOKUP(B1994,'Master truck list'!D:E,2,0)</f>
        <v>#N/A</v>
      </c>
      <c r="D1994" s="1" t="e">
        <f>VLOOKUP(C1994,'Master truck list'!E:F,2,0)</f>
        <v>#N/A</v>
      </c>
      <c r="E1994" s="1" t="e">
        <f>VLOOKUP(C1994,'Master truck list'!E:M,9,0)</f>
        <v>#N/A</v>
      </c>
      <c r="F1994" s="1" t="e">
        <f>VLOOKUP(C1994,'Master truck list'!E:G,3,0)</f>
        <v>#N/A</v>
      </c>
      <c r="G1994" s="1" t="e">
        <f>VLOOKUP(C1994,'Master truck list'!E:R,14,0)</f>
        <v>#N/A</v>
      </c>
    </row>
    <row r="1995" spans="1:7" x14ac:dyDescent="0.25">
      <c r="A1995" s="1" t="str">
        <f t="shared" si="653"/>
        <v/>
      </c>
      <c r="B1995" s="1" t="str">
        <f t="shared" si="654"/>
        <v/>
      </c>
      <c r="C1995" s="1" t="e">
        <f>VLOOKUP(B1995,'Master truck list'!D:E,2,0)</f>
        <v>#N/A</v>
      </c>
      <c r="D1995" s="1" t="e">
        <f>VLOOKUP(C1995,'Master truck list'!E:F,2,0)</f>
        <v>#N/A</v>
      </c>
      <c r="E1995" s="1" t="e">
        <f>VLOOKUP(C1995,'Master truck list'!E:M,9,0)</f>
        <v>#N/A</v>
      </c>
      <c r="F1995" s="1" t="e">
        <f>VLOOKUP(C1995,'Master truck list'!E:G,3,0)</f>
        <v>#N/A</v>
      </c>
      <c r="G1995" s="1" t="e">
        <f>VLOOKUP(C1995,'Master truck list'!E:R,14,0)</f>
        <v>#N/A</v>
      </c>
    </row>
    <row r="1996" spans="1:7" x14ac:dyDescent="0.25">
      <c r="A1996" s="1" t="str">
        <f t="shared" si="653"/>
        <v/>
      </c>
      <c r="B1996" s="1" t="str">
        <f t="shared" si="654"/>
        <v/>
      </c>
      <c r="C1996" s="1" t="e">
        <f>VLOOKUP(B1996,'Master truck list'!D:E,2,0)</f>
        <v>#N/A</v>
      </c>
      <c r="D1996" s="1" t="e">
        <f>VLOOKUP(C1996,'Master truck list'!E:F,2,0)</f>
        <v>#N/A</v>
      </c>
      <c r="E1996" s="1" t="e">
        <f>VLOOKUP(C1996,'Master truck list'!E:M,9,0)</f>
        <v>#N/A</v>
      </c>
      <c r="F1996" s="1" t="e">
        <f>VLOOKUP(C1996,'Master truck list'!E:G,3,0)</f>
        <v>#N/A</v>
      </c>
      <c r="G1996" s="1" t="e">
        <f>VLOOKUP(C1996,'Master truck list'!E:R,14,0)</f>
        <v>#N/A</v>
      </c>
    </row>
    <row r="1997" spans="1:7" x14ac:dyDescent="0.25">
      <c r="A1997" s="1" t="str">
        <f t="shared" si="653"/>
        <v/>
      </c>
      <c r="B1997" s="1" t="str">
        <f t="shared" si="654"/>
        <v/>
      </c>
      <c r="C1997" s="1" t="e">
        <f>VLOOKUP(B1997,'Master truck list'!D:E,2,0)</f>
        <v>#N/A</v>
      </c>
      <c r="D1997" s="1" t="e">
        <f>VLOOKUP(C1997,'Master truck list'!E:F,2,0)</f>
        <v>#N/A</v>
      </c>
      <c r="E1997" s="1" t="e">
        <f>VLOOKUP(C1997,'Master truck list'!E:M,9,0)</f>
        <v>#N/A</v>
      </c>
      <c r="F1997" s="1" t="e">
        <f>VLOOKUP(C1997,'Master truck list'!E:G,3,0)</f>
        <v>#N/A</v>
      </c>
      <c r="G1997" s="1" t="e">
        <f>VLOOKUP(C1997,'Master truck list'!E:R,14,0)</f>
        <v>#N/A</v>
      </c>
    </row>
    <row r="1998" spans="1:7" x14ac:dyDescent="0.25">
      <c r="A1998" s="1" t="str">
        <f t="shared" si="653"/>
        <v/>
      </c>
      <c r="B1998" s="1" t="str">
        <f t="shared" si="654"/>
        <v/>
      </c>
      <c r="C1998" s="1" t="e">
        <f>VLOOKUP(B1998,'Master truck list'!D:E,2,0)</f>
        <v>#N/A</v>
      </c>
      <c r="D1998" s="1" t="e">
        <f>VLOOKUP(C1998,'Master truck list'!E:F,2,0)</f>
        <v>#N/A</v>
      </c>
      <c r="E1998" s="1" t="e">
        <f>VLOOKUP(C1998,'Master truck list'!E:M,9,0)</f>
        <v>#N/A</v>
      </c>
      <c r="F1998" s="1" t="e">
        <f>VLOOKUP(C1998,'Master truck list'!E:G,3,0)</f>
        <v>#N/A</v>
      </c>
      <c r="G1998" s="1" t="e">
        <f>VLOOKUP(C1998,'Master truck list'!E:R,14,0)</f>
        <v>#N/A</v>
      </c>
    </row>
    <row r="1999" spans="1:7" x14ac:dyDescent="0.25">
      <c r="A1999" s="1" t="str">
        <f t="shared" si="653"/>
        <v/>
      </c>
      <c r="B1999" s="1" t="str">
        <f t="shared" si="654"/>
        <v/>
      </c>
      <c r="C1999" s="1" t="e">
        <f>VLOOKUP(B1999,'Master truck list'!D:E,2,0)</f>
        <v>#N/A</v>
      </c>
      <c r="D1999" s="1" t="e">
        <f>VLOOKUP(C1999,'Master truck list'!E:F,2,0)</f>
        <v>#N/A</v>
      </c>
      <c r="E1999" s="1" t="e">
        <f>VLOOKUP(C1999,'Master truck list'!E:M,9,0)</f>
        <v>#N/A</v>
      </c>
      <c r="F1999" s="1" t="e">
        <f>VLOOKUP(C1999,'Master truck list'!E:G,3,0)</f>
        <v>#N/A</v>
      </c>
      <c r="G1999" s="1" t="e">
        <f>VLOOKUP(C1999,'Master truck list'!E:R,14,0)</f>
        <v>#N/A</v>
      </c>
    </row>
    <row r="2000" spans="1:7" x14ac:dyDescent="0.25">
      <c r="A2000" s="1" t="str">
        <f t="shared" si="653"/>
        <v/>
      </c>
      <c r="B2000" s="1" t="str">
        <f t="shared" si="654"/>
        <v/>
      </c>
      <c r="C2000" s="1" t="e">
        <f>VLOOKUP(B2000,'Master truck list'!D:E,2,0)</f>
        <v>#N/A</v>
      </c>
      <c r="D2000" s="1" t="e">
        <f>VLOOKUP(C2000,'Master truck list'!E:F,2,0)</f>
        <v>#N/A</v>
      </c>
      <c r="E2000" s="1" t="e">
        <f>VLOOKUP(C2000,'Master truck list'!E:M,9,0)</f>
        <v>#N/A</v>
      </c>
      <c r="F2000" s="1" t="e">
        <f>VLOOKUP(C2000,'Master truck list'!E:G,3,0)</f>
        <v>#N/A</v>
      </c>
      <c r="G2000" s="1" t="e">
        <f>VLOOKUP(C2000,'Master truck list'!E:R,14,0)</f>
        <v>#N/A</v>
      </c>
    </row>
    <row r="2001" spans="1:7" x14ac:dyDescent="0.25">
      <c r="A2001" s="1" t="str">
        <f t="shared" si="653"/>
        <v/>
      </c>
      <c r="B2001" s="1" t="str">
        <f t="shared" si="654"/>
        <v/>
      </c>
      <c r="C2001" s="1" t="e">
        <f>VLOOKUP(B2001,'Master truck list'!D:E,2,0)</f>
        <v>#N/A</v>
      </c>
      <c r="D2001" s="1" t="e">
        <f>VLOOKUP(C2001,'Master truck list'!E:F,2,0)</f>
        <v>#N/A</v>
      </c>
      <c r="E2001" s="1" t="e">
        <f>VLOOKUP(C2001,'Master truck list'!E:M,9,0)</f>
        <v>#N/A</v>
      </c>
      <c r="F2001" s="1" t="e">
        <f>VLOOKUP(C2001,'Master truck list'!E:G,3,0)</f>
        <v>#N/A</v>
      </c>
      <c r="G2001" s="1" t="e">
        <f>VLOOKUP(C2001,'Master truck list'!E:R,14,0)</f>
        <v>#N/A</v>
      </c>
    </row>
    <row r="2002" spans="1:7" x14ac:dyDescent="0.25">
      <c r="A2002" s="1" t="str">
        <f t="shared" si="653"/>
        <v/>
      </c>
      <c r="B2002" s="1" t="str">
        <f t="shared" si="654"/>
        <v/>
      </c>
      <c r="C2002" s="1" t="e">
        <f>VLOOKUP(B2002,'Master truck list'!D:E,2,0)</f>
        <v>#N/A</v>
      </c>
      <c r="D2002" s="1" t="e">
        <f>VLOOKUP(C2002,'Master truck list'!E:F,2,0)</f>
        <v>#N/A</v>
      </c>
      <c r="E2002" s="1" t="e">
        <f>VLOOKUP(C2002,'Master truck list'!E:M,9,0)</f>
        <v>#N/A</v>
      </c>
      <c r="F2002" s="1" t="e">
        <f>VLOOKUP(C2002,'Master truck list'!E:G,3,0)</f>
        <v>#N/A</v>
      </c>
      <c r="G2002" s="1" t="e">
        <f>VLOOKUP(C2002,'Master truck list'!E:R,14,0)</f>
        <v>#N/A</v>
      </c>
    </row>
    <row r="2003" spans="1:7" x14ac:dyDescent="0.25">
      <c r="A2003" s="1" t="str">
        <f t="shared" si="653"/>
        <v/>
      </c>
      <c r="B2003" s="1" t="str">
        <f t="shared" si="654"/>
        <v/>
      </c>
      <c r="C2003" s="1" t="e">
        <f>VLOOKUP(B2003,'Master truck list'!D:E,2,0)</f>
        <v>#N/A</v>
      </c>
      <c r="D2003" s="1" t="e">
        <f>VLOOKUP(C2003,'Master truck list'!E:F,2,0)</f>
        <v>#N/A</v>
      </c>
      <c r="E2003" s="1" t="e">
        <f>VLOOKUP(C2003,'Master truck list'!E:M,9,0)</f>
        <v>#N/A</v>
      </c>
      <c r="F2003" s="1" t="e">
        <f>VLOOKUP(C2003,'Master truck list'!E:G,3,0)</f>
        <v>#N/A</v>
      </c>
      <c r="G2003" s="1" t="e">
        <f>VLOOKUP(C2003,'Master truck list'!E:R,14,0)</f>
        <v>#N/A</v>
      </c>
    </row>
    <row r="2004" spans="1:7" x14ac:dyDescent="0.25">
      <c r="A2004" s="1" t="str">
        <f t="shared" si="653"/>
        <v/>
      </c>
      <c r="B2004" s="1" t="str">
        <f t="shared" si="654"/>
        <v/>
      </c>
      <c r="C2004" s="1" t="e">
        <f>VLOOKUP(B2004,'Master truck list'!D:E,2,0)</f>
        <v>#N/A</v>
      </c>
      <c r="D2004" s="1" t="e">
        <f>VLOOKUP(C2004,'Master truck list'!E:F,2,0)</f>
        <v>#N/A</v>
      </c>
      <c r="E2004" s="1" t="e">
        <f>VLOOKUP(C2004,'Master truck list'!E:M,9,0)</f>
        <v>#N/A</v>
      </c>
      <c r="F2004" s="1" t="e">
        <f>VLOOKUP(C2004,'Master truck list'!E:G,3,0)</f>
        <v>#N/A</v>
      </c>
      <c r="G2004" s="1" t="e">
        <f>VLOOKUP(C2004,'Master truck list'!E:R,14,0)</f>
        <v>#N/A</v>
      </c>
    </row>
    <row r="2005" spans="1:7" x14ac:dyDescent="0.25">
      <c r="A2005" s="1" t="str">
        <f t="shared" si="653"/>
        <v/>
      </c>
      <c r="B2005" s="1" t="str">
        <f t="shared" si="654"/>
        <v/>
      </c>
      <c r="C2005" s="1" t="e">
        <f>VLOOKUP(B2005,'Master truck list'!D:E,2,0)</f>
        <v>#N/A</v>
      </c>
      <c r="D2005" s="1" t="e">
        <f>VLOOKUP(C2005,'Master truck list'!E:F,2,0)</f>
        <v>#N/A</v>
      </c>
      <c r="E2005" s="1" t="e">
        <f>VLOOKUP(C2005,'Master truck list'!E:M,9,0)</f>
        <v>#N/A</v>
      </c>
      <c r="F2005" s="1" t="e">
        <f>VLOOKUP(C2005,'Master truck list'!E:G,3,0)</f>
        <v>#N/A</v>
      </c>
      <c r="G2005" s="1" t="e">
        <f>VLOOKUP(C2005,'Master truck list'!E:R,14,0)</f>
        <v>#N/A</v>
      </c>
    </row>
    <row r="2006" spans="1:7" x14ac:dyDescent="0.25">
      <c r="A2006" s="1" t="str">
        <f t="shared" si="653"/>
        <v/>
      </c>
      <c r="B2006" s="1" t="str">
        <f t="shared" si="654"/>
        <v/>
      </c>
      <c r="C2006" s="1" t="e">
        <f>VLOOKUP(B2006,'Master truck list'!D:E,2,0)</f>
        <v>#N/A</v>
      </c>
      <c r="D2006" s="1" t="e">
        <f>VLOOKUP(C2006,'Master truck list'!E:F,2,0)</f>
        <v>#N/A</v>
      </c>
      <c r="E2006" s="1" t="e">
        <f>VLOOKUP(C2006,'Master truck list'!E:M,9,0)</f>
        <v>#N/A</v>
      </c>
      <c r="F2006" s="1" t="e">
        <f>VLOOKUP(C2006,'Master truck list'!E:G,3,0)</f>
        <v>#N/A</v>
      </c>
      <c r="G2006" s="1" t="e">
        <f>VLOOKUP(C2006,'Master truck list'!E:R,14,0)</f>
        <v>#N/A</v>
      </c>
    </row>
    <row r="2007" spans="1:7" x14ac:dyDescent="0.25">
      <c r="A2007" s="1" t="str">
        <f t="shared" si="653"/>
        <v/>
      </c>
      <c r="B2007" s="1" t="str">
        <f t="shared" si="654"/>
        <v/>
      </c>
      <c r="C2007" s="1" t="e">
        <f>VLOOKUP(B2007,'Master truck list'!D:E,2,0)</f>
        <v>#N/A</v>
      </c>
      <c r="D2007" s="1" t="e">
        <f>VLOOKUP(C2007,'Master truck list'!E:F,2,0)</f>
        <v>#N/A</v>
      </c>
      <c r="E2007" s="1" t="e">
        <f>VLOOKUP(C2007,'Master truck list'!E:M,9,0)</f>
        <v>#N/A</v>
      </c>
      <c r="F2007" s="1" t="e">
        <f>VLOOKUP(C2007,'Master truck list'!E:G,3,0)</f>
        <v>#N/A</v>
      </c>
      <c r="G2007" s="1" t="e">
        <f>VLOOKUP(C2007,'Master truck list'!E:R,14,0)</f>
        <v>#N/A</v>
      </c>
    </row>
    <row r="2008" spans="1:7" x14ac:dyDescent="0.25">
      <c r="A2008" s="1" t="str">
        <f t="shared" si="653"/>
        <v/>
      </c>
      <c r="B2008" s="1" t="str">
        <f t="shared" si="654"/>
        <v/>
      </c>
      <c r="C2008" s="1" t="e">
        <f>VLOOKUP(B2008,'Master truck list'!D:E,2,0)</f>
        <v>#N/A</v>
      </c>
      <c r="D2008" s="1" t="e">
        <f>VLOOKUP(C2008,'Master truck list'!E:F,2,0)</f>
        <v>#N/A</v>
      </c>
      <c r="E2008" s="1" t="e">
        <f>VLOOKUP(C2008,'Master truck list'!E:M,9,0)</f>
        <v>#N/A</v>
      </c>
      <c r="F2008" s="1" t="e">
        <f>VLOOKUP(C2008,'Master truck list'!E:G,3,0)</f>
        <v>#N/A</v>
      </c>
      <c r="G2008" s="1" t="e">
        <f>VLOOKUP(C2008,'Master truck list'!E:R,14,0)</f>
        <v>#N/A</v>
      </c>
    </row>
    <row r="2009" spans="1:7" x14ac:dyDescent="0.25">
      <c r="A2009" s="1" t="str">
        <f t="shared" si="653"/>
        <v/>
      </c>
      <c r="B2009" s="1" t="str">
        <f t="shared" si="654"/>
        <v/>
      </c>
      <c r="C2009" s="1" t="e">
        <f>VLOOKUP(B2009,'Master truck list'!D:E,2,0)</f>
        <v>#N/A</v>
      </c>
      <c r="D2009" s="1" t="e">
        <f>VLOOKUP(C2009,'Master truck list'!E:F,2,0)</f>
        <v>#N/A</v>
      </c>
      <c r="E2009" s="1" t="e">
        <f>VLOOKUP(C2009,'Master truck list'!E:M,9,0)</f>
        <v>#N/A</v>
      </c>
      <c r="F2009" s="1" t="e">
        <f>VLOOKUP(C2009,'Master truck list'!E:G,3,0)</f>
        <v>#N/A</v>
      </c>
      <c r="G2009" s="1" t="e">
        <f>VLOOKUP(C2009,'Master truck list'!E:R,14,0)</f>
        <v>#N/A</v>
      </c>
    </row>
    <row r="2010" spans="1:7" x14ac:dyDescent="0.25">
      <c r="A2010" s="1" t="str">
        <f t="shared" si="653"/>
        <v/>
      </c>
      <c r="B2010" s="1" t="str">
        <f t="shared" si="654"/>
        <v/>
      </c>
      <c r="C2010" s="1" t="e">
        <f>VLOOKUP(B2010,'Master truck list'!D:E,2,0)</f>
        <v>#N/A</v>
      </c>
      <c r="D2010" s="1" t="e">
        <f>VLOOKUP(C2010,'Master truck list'!E:F,2,0)</f>
        <v>#N/A</v>
      </c>
      <c r="E2010" s="1" t="e">
        <f>VLOOKUP(C2010,'Master truck list'!E:M,9,0)</f>
        <v>#N/A</v>
      </c>
      <c r="F2010" s="1" t="e">
        <f>VLOOKUP(C2010,'Master truck list'!E:G,3,0)</f>
        <v>#N/A</v>
      </c>
      <c r="G2010" s="1" t="e">
        <f>VLOOKUP(C2010,'Master truck list'!E:R,14,0)</f>
        <v>#N/A</v>
      </c>
    </row>
    <row r="2011" spans="1:7" x14ac:dyDescent="0.25">
      <c r="A2011" s="1" t="str">
        <f t="shared" si="653"/>
        <v/>
      </c>
      <c r="B2011" s="1" t="str">
        <f t="shared" si="654"/>
        <v/>
      </c>
      <c r="C2011" s="1" t="e">
        <f>VLOOKUP(B2011,'Master truck list'!D:E,2,0)</f>
        <v>#N/A</v>
      </c>
      <c r="D2011" s="1" t="e">
        <f>VLOOKUP(C2011,'Master truck list'!E:F,2,0)</f>
        <v>#N/A</v>
      </c>
      <c r="E2011" s="1" t="e">
        <f>VLOOKUP(C2011,'Master truck list'!E:M,9,0)</f>
        <v>#N/A</v>
      </c>
      <c r="F2011" s="1" t="e">
        <f>VLOOKUP(C2011,'Master truck list'!E:G,3,0)</f>
        <v>#N/A</v>
      </c>
      <c r="G2011" s="1" t="e">
        <f>VLOOKUP(C2011,'Master truck list'!E:R,14,0)</f>
        <v>#N/A</v>
      </c>
    </row>
    <row r="2012" spans="1:7" x14ac:dyDescent="0.25">
      <c r="A2012" s="1" t="str">
        <f t="shared" si="653"/>
        <v/>
      </c>
      <c r="B2012" s="1" t="str">
        <f t="shared" si="654"/>
        <v/>
      </c>
      <c r="C2012" s="1" t="e">
        <f>VLOOKUP(B2012,'Master truck list'!D:E,2,0)</f>
        <v>#N/A</v>
      </c>
      <c r="D2012" s="1" t="e">
        <f>VLOOKUP(C2012,'Master truck list'!E:F,2,0)</f>
        <v>#N/A</v>
      </c>
      <c r="E2012" s="1" t="e">
        <f>VLOOKUP(C2012,'Master truck list'!E:M,9,0)</f>
        <v>#N/A</v>
      </c>
      <c r="F2012" s="1" t="e">
        <f>VLOOKUP(C2012,'Master truck list'!E:G,3,0)</f>
        <v>#N/A</v>
      </c>
      <c r="G2012" s="1" t="e">
        <f>VLOOKUP(C2012,'Master truck list'!E:R,14,0)</f>
        <v>#N/A</v>
      </c>
    </row>
    <row r="2013" spans="1:7" x14ac:dyDescent="0.25">
      <c r="A2013" s="1" t="str">
        <f t="shared" si="653"/>
        <v/>
      </c>
      <c r="B2013" s="1" t="str">
        <f t="shared" si="654"/>
        <v/>
      </c>
      <c r="C2013" s="1" t="e">
        <f>VLOOKUP(B2013,'Master truck list'!D:E,2,0)</f>
        <v>#N/A</v>
      </c>
      <c r="D2013" s="1" t="e">
        <f>VLOOKUP(C2013,'Master truck list'!E:F,2,0)</f>
        <v>#N/A</v>
      </c>
      <c r="E2013" s="1" t="e">
        <f>VLOOKUP(C2013,'Master truck list'!E:M,9,0)</f>
        <v>#N/A</v>
      </c>
      <c r="F2013" s="1" t="e">
        <f>VLOOKUP(C2013,'Master truck list'!E:G,3,0)</f>
        <v>#N/A</v>
      </c>
      <c r="G2013" s="1" t="e">
        <f>VLOOKUP(C2013,'Master truck list'!E:R,14,0)</f>
        <v>#N/A</v>
      </c>
    </row>
    <row r="2014" spans="1:7" x14ac:dyDescent="0.25">
      <c r="A2014" s="1" t="str">
        <f t="shared" si="653"/>
        <v/>
      </c>
      <c r="B2014" s="1" t="str">
        <f t="shared" si="654"/>
        <v/>
      </c>
      <c r="C2014" s="1" t="e">
        <f>VLOOKUP(B2014,'Master truck list'!D:E,2,0)</f>
        <v>#N/A</v>
      </c>
      <c r="D2014" s="1" t="e">
        <f>VLOOKUP(C2014,'Master truck list'!E:F,2,0)</f>
        <v>#N/A</v>
      </c>
      <c r="E2014" s="1" t="e">
        <f>VLOOKUP(C2014,'Master truck list'!E:M,9,0)</f>
        <v>#N/A</v>
      </c>
      <c r="F2014" s="1" t="e">
        <f>VLOOKUP(C2014,'Master truck list'!E:G,3,0)</f>
        <v>#N/A</v>
      </c>
      <c r="G2014" s="1" t="e">
        <f>VLOOKUP(C2014,'Master truck list'!E:R,14,0)</f>
        <v>#N/A</v>
      </c>
    </row>
    <row r="2015" spans="1:7" x14ac:dyDescent="0.25">
      <c r="A2015" s="1" t="str">
        <f t="shared" si="653"/>
        <v/>
      </c>
      <c r="B2015" s="1" t="str">
        <f t="shared" si="654"/>
        <v/>
      </c>
      <c r="C2015" s="1" t="e">
        <f>VLOOKUP(B2015,'Master truck list'!D:E,2,0)</f>
        <v>#N/A</v>
      </c>
      <c r="D2015" s="1" t="e">
        <f>VLOOKUP(C2015,'Master truck list'!E:F,2,0)</f>
        <v>#N/A</v>
      </c>
      <c r="E2015" s="1" t="e">
        <f>VLOOKUP(C2015,'Master truck list'!E:M,9,0)</f>
        <v>#N/A</v>
      </c>
      <c r="F2015" s="1" t="e">
        <f>VLOOKUP(C2015,'Master truck list'!E:G,3,0)</f>
        <v>#N/A</v>
      </c>
      <c r="G2015" s="1" t="e">
        <f>VLOOKUP(C2015,'Master truck list'!E:R,14,0)</f>
        <v>#N/A</v>
      </c>
    </row>
    <row r="2016" spans="1:7" x14ac:dyDescent="0.25">
      <c r="A2016" s="1" t="str">
        <f t="shared" si="653"/>
        <v/>
      </c>
      <c r="B2016" s="1" t="str">
        <f t="shared" si="654"/>
        <v/>
      </c>
      <c r="C2016" s="1" t="e">
        <f>VLOOKUP(B2016,'Master truck list'!D:E,2,0)</f>
        <v>#N/A</v>
      </c>
      <c r="D2016" s="1" t="e">
        <f>VLOOKUP(C2016,'Master truck list'!E:F,2,0)</f>
        <v>#N/A</v>
      </c>
      <c r="E2016" s="1" t="e">
        <f>VLOOKUP(C2016,'Master truck list'!E:M,9,0)</f>
        <v>#N/A</v>
      </c>
      <c r="F2016" s="1" t="e">
        <f>VLOOKUP(C2016,'Master truck list'!E:G,3,0)</f>
        <v>#N/A</v>
      </c>
      <c r="G2016" s="1" t="e">
        <f>VLOOKUP(C2016,'Master truck list'!E:R,14,0)</f>
        <v>#N/A</v>
      </c>
    </row>
    <row r="2017" spans="1:7" x14ac:dyDescent="0.25">
      <c r="A2017" s="1" t="str">
        <f t="shared" si="653"/>
        <v/>
      </c>
      <c r="B2017" s="1" t="str">
        <f t="shared" si="654"/>
        <v/>
      </c>
      <c r="C2017" s="1" t="e">
        <f>VLOOKUP(B2017,'Master truck list'!D:E,2,0)</f>
        <v>#N/A</v>
      </c>
      <c r="D2017" s="1" t="e">
        <f>VLOOKUP(C2017,'Master truck list'!E:F,2,0)</f>
        <v>#N/A</v>
      </c>
      <c r="E2017" s="1" t="e">
        <f>VLOOKUP(C2017,'Master truck list'!E:M,9,0)</f>
        <v>#N/A</v>
      </c>
      <c r="F2017" s="1" t="e">
        <f>VLOOKUP(C2017,'Master truck list'!E:G,3,0)</f>
        <v>#N/A</v>
      </c>
      <c r="G2017" s="1" t="e">
        <f>VLOOKUP(C2017,'Master truck list'!E:R,14,0)</f>
        <v>#N/A</v>
      </c>
    </row>
    <row r="2018" spans="1:7" x14ac:dyDescent="0.25">
      <c r="A2018" s="1" t="str">
        <f t="shared" si="653"/>
        <v/>
      </c>
      <c r="B2018" s="1" t="str">
        <f t="shared" si="654"/>
        <v/>
      </c>
      <c r="C2018" s="1" t="e">
        <f>VLOOKUP(B2018,'Master truck list'!D:E,2,0)</f>
        <v>#N/A</v>
      </c>
      <c r="D2018" s="1" t="e">
        <f>VLOOKUP(C2018,'Master truck list'!E:F,2,0)</f>
        <v>#N/A</v>
      </c>
      <c r="E2018" s="1" t="e">
        <f>VLOOKUP(C2018,'Master truck list'!E:M,9,0)</f>
        <v>#N/A</v>
      </c>
      <c r="F2018" s="1" t="e">
        <f>VLOOKUP(C2018,'Master truck list'!E:G,3,0)</f>
        <v>#N/A</v>
      </c>
      <c r="G2018" s="1" t="e">
        <f>VLOOKUP(C2018,'Master truck list'!E:R,14,0)</f>
        <v>#N/A</v>
      </c>
    </row>
    <row r="2019" spans="1:7" x14ac:dyDescent="0.25">
      <c r="A2019" s="1" t="str">
        <f t="shared" si="653"/>
        <v/>
      </c>
      <c r="B2019" s="1" t="str">
        <f t="shared" si="654"/>
        <v/>
      </c>
      <c r="C2019" s="1" t="e">
        <f>VLOOKUP(B2019,'Master truck list'!D:E,2,0)</f>
        <v>#N/A</v>
      </c>
      <c r="D2019" s="1" t="e">
        <f>VLOOKUP(C2019,'Master truck list'!E:F,2,0)</f>
        <v>#N/A</v>
      </c>
      <c r="E2019" s="1" t="e">
        <f>VLOOKUP(C2019,'Master truck list'!E:M,9,0)</f>
        <v>#N/A</v>
      </c>
      <c r="F2019" s="1" t="e">
        <f>VLOOKUP(C2019,'Master truck list'!E:G,3,0)</f>
        <v>#N/A</v>
      </c>
      <c r="G2019" s="1" t="e">
        <f>VLOOKUP(C2019,'Master truck list'!E:R,14,0)</f>
        <v>#N/A</v>
      </c>
    </row>
    <row r="2020" spans="1:7" x14ac:dyDescent="0.25">
      <c r="A2020" s="1" t="str">
        <f t="shared" ref="A2020:A2083" si="655">LEFT(N2222,5)</f>
        <v/>
      </c>
      <c r="B2020" s="1" t="str">
        <f t="shared" si="654"/>
        <v/>
      </c>
      <c r="C2020" s="1" t="e">
        <f>VLOOKUP(B2020,'Master truck list'!D:E,2,0)</f>
        <v>#N/A</v>
      </c>
      <c r="D2020" s="1" t="e">
        <f>VLOOKUP(C2020,'Master truck list'!E:F,2,0)</f>
        <v>#N/A</v>
      </c>
      <c r="E2020" s="1" t="e">
        <f>VLOOKUP(C2020,'Master truck list'!E:M,9,0)</f>
        <v>#N/A</v>
      </c>
      <c r="F2020" s="1" t="e">
        <f>VLOOKUP(C2020,'Master truck list'!E:G,3,0)</f>
        <v>#N/A</v>
      </c>
      <c r="G2020" s="1" t="e">
        <f>VLOOKUP(C2020,'Master truck list'!E:R,14,0)</f>
        <v>#N/A</v>
      </c>
    </row>
    <row r="2021" spans="1:7" x14ac:dyDescent="0.25">
      <c r="A2021" s="1" t="str">
        <f t="shared" si="655"/>
        <v/>
      </c>
      <c r="B2021" s="1" t="str">
        <f t="shared" si="654"/>
        <v/>
      </c>
      <c r="C2021" s="1" t="e">
        <f>VLOOKUP(B2021,'Master truck list'!D:E,2,0)</f>
        <v>#N/A</v>
      </c>
      <c r="D2021" s="1" t="e">
        <f>VLOOKUP(C2021,'Master truck list'!E:F,2,0)</f>
        <v>#N/A</v>
      </c>
      <c r="E2021" s="1" t="e">
        <f>VLOOKUP(C2021,'Master truck list'!E:M,9,0)</f>
        <v>#N/A</v>
      </c>
      <c r="F2021" s="1" t="e">
        <f>VLOOKUP(C2021,'Master truck list'!E:G,3,0)</f>
        <v>#N/A</v>
      </c>
      <c r="G2021" s="1" t="e">
        <f>VLOOKUP(C2021,'Master truck list'!E:R,14,0)</f>
        <v>#N/A</v>
      </c>
    </row>
    <row r="2022" spans="1:7" x14ac:dyDescent="0.25">
      <c r="A2022" s="1" t="str">
        <f t="shared" si="655"/>
        <v/>
      </c>
      <c r="B2022" s="1" t="str">
        <f t="shared" si="654"/>
        <v/>
      </c>
      <c r="C2022" s="1" t="e">
        <f>VLOOKUP(B2022,'Master truck list'!D:E,2,0)</f>
        <v>#N/A</v>
      </c>
      <c r="D2022" s="1" t="e">
        <f>VLOOKUP(C2022,'Master truck list'!E:F,2,0)</f>
        <v>#N/A</v>
      </c>
      <c r="E2022" s="1" t="e">
        <f>VLOOKUP(C2022,'Master truck list'!E:M,9,0)</f>
        <v>#N/A</v>
      </c>
      <c r="F2022" s="1" t="e">
        <f>VLOOKUP(C2022,'Master truck list'!E:G,3,0)</f>
        <v>#N/A</v>
      </c>
      <c r="G2022" s="1" t="e">
        <f>VLOOKUP(C2022,'Master truck list'!E:R,14,0)</f>
        <v>#N/A</v>
      </c>
    </row>
    <row r="2023" spans="1:7" x14ac:dyDescent="0.25">
      <c r="A2023" s="1" t="str">
        <f t="shared" si="655"/>
        <v/>
      </c>
      <c r="B2023" s="1" t="str">
        <f t="shared" si="654"/>
        <v/>
      </c>
      <c r="C2023" s="1" t="e">
        <f>VLOOKUP(B2023,'Master truck list'!D:E,2,0)</f>
        <v>#N/A</v>
      </c>
      <c r="D2023" s="1" t="e">
        <f>VLOOKUP(C2023,'Master truck list'!E:F,2,0)</f>
        <v>#N/A</v>
      </c>
      <c r="E2023" s="1" t="e">
        <f>VLOOKUP(C2023,'Master truck list'!E:M,9,0)</f>
        <v>#N/A</v>
      </c>
      <c r="F2023" s="1" t="e">
        <f>VLOOKUP(C2023,'Master truck list'!E:G,3,0)</f>
        <v>#N/A</v>
      </c>
      <c r="G2023" s="1" t="e">
        <f>VLOOKUP(C2023,'Master truck list'!E:R,14,0)</f>
        <v>#N/A</v>
      </c>
    </row>
    <row r="2024" spans="1:7" x14ac:dyDescent="0.25">
      <c r="A2024" s="1" t="str">
        <f t="shared" si="655"/>
        <v/>
      </c>
      <c r="B2024" s="1" t="str">
        <f t="shared" si="654"/>
        <v/>
      </c>
      <c r="C2024" s="1" t="e">
        <f>VLOOKUP(B2024,'Master truck list'!D:E,2,0)</f>
        <v>#N/A</v>
      </c>
      <c r="D2024" s="1" t="e">
        <f>VLOOKUP(C2024,'Master truck list'!E:F,2,0)</f>
        <v>#N/A</v>
      </c>
      <c r="E2024" s="1" t="e">
        <f>VLOOKUP(C2024,'Master truck list'!E:M,9,0)</f>
        <v>#N/A</v>
      </c>
      <c r="F2024" s="1" t="e">
        <f>VLOOKUP(C2024,'Master truck list'!E:G,3,0)</f>
        <v>#N/A</v>
      </c>
      <c r="G2024" s="1" t="e">
        <f>VLOOKUP(C2024,'Master truck list'!E:R,14,0)</f>
        <v>#N/A</v>
      </c>
    </row>
    <row r="2025" spans="1:7" x14ac:dyDescent="0.25">
      <c r="A2025" s="1" t="str">
        <f t="shared" si="655"/>
        <v/>
      </c>
      <c r="B2025" s="1" t="str">
        <f t="shared" si="654"/>
        <v/>
      </c>
      <c r="C2025" s="1" t="e">
        <f>VLOOKUP(B2025,'Master truck list'!D:E,2,0)</f>
        <v>#N/A</v>
      </c>
      <c r="D2025" s="1" t="e">
        <f>VLOOKUP(C2025,'Master truck list'!E:F,2,0)</f>
        <v>#N/A</v>
      </c>
      <c r="E2025" s="1" t="e">
        <f>VLOOKUP(C2025,'Master truck list'!E:M,9,0)</f>
        <v>#N/A</v>
      </c>
      <c r="F2025" s="1" t="e">
        <f>VLOOKUP(C2025,'Master truck list'!E:G,3,0)</f>
        <v>#N/A</v>
      </c>
      <c r="G2025" s="1" t="e">
        <f>VLOOKUP(C2025,'Master truck list'!E:R,14,0)</f>
        <v>#N/A</v>
      </c>
    </row>
    <row r="2026" spans="1:7" x14ac:dyDescent="0.25">
      <c r="A2026" s="1" t="str">
        <f t="shared" si="655"/>
        <v/>
      </c>
      <c r="B2026" s="1" t="str">
        <f t="shared" si="654"/>
        <v/>
      </c>
      <c r="C2026" s="1" t="e">
        <f>VLOOKUP(B2026,'Master truck list'!D:E,2,0)</f>
        <v>#N/A</v>
      </c>
      <c r="D2026" s="1" t="e">
        <f>VLOOKUP(C2026,'Master truck list'!E:F,2,0)</f>
        <v>#N/A</v>
      </c>
      <c r="E2026" s="1" t="e">
        <f>VLOOKUP(C2026,'Master truck list'!E:M,9,0)</f>
        <v>#N/A</v>
      </c>
      <c r="F2026" s="1" t="e">
        <f>VLOOKUP(C2026,'Master truck list'!E:G,3,0)</f>
        <v>#N/A</v>
      </c>
      <c r="G2026" s="1" t="e">
        <f>VLOOKUP(C2026,'Master truck list'!E:R,14,0)</f>
        <v>#N/A</v>
      </c>
    </row>
    <row r="2027" spans="1:7" x14ac:dyDescent="0.25">
      <c r="A2027" s="1" t="str">
        <f t="shared" si="655"/>
        <v/>
      </c>
      <c r="B2027" s="1" t="str">
        <f t="shared" si="654"/>
        <v/>
      </c>
      <c r="C2027" s="1" t="e">
        <f>VLOOKUP(B2027,'Master truck list'!D:E,2,0)</f>
        <v>#N/A</v>
      </c>
      <c r="D2027" s="1" t="e">
        <f>VLOOKUP(C2027,'Master truck list'!E:F,2,0)</f>
        <v>#N/A</v>
      </c>
      <c r="E2027" s="1" t="e">
        <f>VLOOKUP(C2027,'Master truck list'!E:M,9,0)</f>
        <v>#N/A</v>
      </c>
      <c r="F2027" s="1" t="e">
        <f>VLOOKUP(C2027,'Master truck list'!E:G,3,0)</f>
        <v>#N/A</v>
      </c>
      <c r="G2027" s="1" t="e">
        <f>VLOOKUP(C2027,'Master truck list'!E:R,14,0)</f>
        <v>#N/A</v>
      </c>
    </row>
    <row r="2028" spans="1:7" x14ac:dyDescent="0.25">
      <c r="A2028" s="1" t="str">
        <f t="shared" si="655"/>
        <v/>
      </c>
      <c r="B2028" s="1" t="str">
        <f t="shared" si="654"/>
        <v/>
      </c>
      <c r="C2028" s="1" t="e">
        <f>VLOOKUP(B2028,'Master truck list'!D:E,2,0)</f>
        <v>#N/A</v>
      </c>
      <c r="D2028" s="1" t="e">
        <f>VLOOKUP(C2028,'Master truck list'!E:F,2,0)</f>
        <v>#N/A</v>
      </c>
      <c r="E2028" s="1" t="e">
        <f>VLOOKUP(C2028,'Master truck list'!E:M,9,0)</f>
        <v>#N/A</v>
      </c>
      <c r="F2028" s="1" t="e">
        <f>VLOOKUP(C2028,'Master truck list'!E:G,3,0)</f>
        <v>#N/A</v>
      </c>
      <c r="G2028" s="1" t="e">
        <f>VLOOKUP(C2028,'Master truck list'!E:R,14,0)</f>
        <v>#N/A</v>
      </c>
    </row>
    <row r="2029" spans="1:7" x14ac:dyDescent="0.25">
      <c r="A2029" s="1" t="str">
        <f t="shared" si="655"/>
        <v/>
      </c>
      <c r="B2029" s="1" t="str">
        <f t="shared" si="654"/>
        <v/>
      </c>
      <c r="C2029" s="1" t="e">
        <f>VLOOKUP(B2029,'Master truck list'!D:E,2,0)</f>
        <v>#N/A</v>
      </c>
      <c r="D2029" s="1" t="e">
        <f>VLOOKUP(C2029,'Master truck list'!E:F,2,0)</f>
        <v>#N/A</v>
      </c>
      <c r="E2029" s="1" t="e">
        <f>VLOOKUP(C2029,'Master truck list'!E:M,9,0)</f>
        <v>#N/A</v>
      </c>
      <c r="F2029" s="1" t="e">
        <f>VLOOKUP(C2029,'Master truck list'!E:G,3,0)</f>
        <v>#N/A</v>
      </c>
      <c r="G2029" s="1" t="e">
        <f>VLOOKUP(C2029,'Master truck list'!E:R,14,0)</f>
        <v>#N/A</v>
      </c>
    </row>
    <row r="2030" spans="1:7" x14ac:dyDescent="0.25">
      <c r="A2030" s="1" t="str">
        <f t="shared" si="655"/>
        <v/>
      </c>
      <c r="B2030" s="1" t="str">
        <f t="shared" si="654"/>
        <v/>
      </c>
      <c r="C2030" s="1" t="e">
        <f>VLOOKUP(B2030,'Master truck list'!D:E,2,0)</f>
        <v>#N/A</v>
      </c>
      <c r="D2030" s="1" t="e">
        <f>VLOOKUP(C2030,'Master truck list'!E:F,2,0)</f>
        <v>#N/A</v>
      </c>
      <c r="E2030" s="1" t="e">
        <f>VLOOKUP(C2030,'Master truck list'!E:M,9,0)</f>
        <v>#N/A</v>
      </c>
      <c r="F2030" s="1" t="e">
        <f>VLOOKUP(C2030,'Master truck list'!E:G,3,0)</f>
        <v>#N/A</v>
      </c>
      <c r="G2030" s="1" t="e">
        <f>VLOOKUP(C2030,'Master truck list'!E:R,14,0)</f>
        <v>#N/A</v>
      </c>
    </row>
    <row r="2031" spans="1:7" x14ac:dyDescent="0.25">
      <c r="A2031" s="1" t="str">
        <f t="shared" si="655"/>
        <v/>
      </c>
      <c r="B2031" s="1" t="str">
        <f t="shared" si="654"/>
        <v/>
      </c>
      <c r="C2031" s="1" t="e">
        <f>VLOOKUP(B2031,'Master truck list'!D:E,2,0)</f>
        <v>#N/A</v>
      </c>
      <c r="D2031" s="1" t="e">
        <f>VLOOKUP(C2031,'Master truck list'!E:F,2,0)</f>
        <v>#N/A</v>
      </c>
      <c r="E2031" s="1" t="e">
        <f>VLOOKUP(C2031,'Master truck list'!E:M,9,0)</f>
        <v>#N/A</v>
      </c>
      <c r="F2031" s="1" t="e">
        <f>VLOOKUP(C2031,'Master truck list'!E:G,3,0)</f>
        <v>#N/A</v>
      </c>
      <c r="G2031" s="1" t="e">
        <f>VLOOKUP(C2031,'Master truck list'!E:R,14,0)</f>
        <v>#N/A</v>
      </c>
    </row>
    <row r="2032" spans="1:7" x14ac:dyDescent="0.25">
      <c r="A2032" s="1" t="str">
        <f t="shared" si="655"/>
        <v/>
      </c>
      <c r="B2032" s="1" t="str">
        <f t="shared" si="654"/>
        <v/>
      </c>
      <c r="C2032" s="1" t="e">
        <f>VLOOKUP(B2032,'Master truck list'!D:E,2,0)</f>
        <v>#N/A</v>
      </c>
      <c r="D2032" s="1" t="e">
        <f>VLOOKUP(C2032,'Master truck list'!E:F,2,0)</f>
        <v>#N/A</v>
      </c>
      <c r="E2032" s="1" t="e">
        <f>VLOOKUP(C2032,'Master truck list'!E:M,9,0)</f>
        <v>#N/A</v>
      </c>
      <c r="F2032" s="1" t="e">
        <f>VLOOKUP(C2032,'Master truck list'!E:G,3,0)</f>
        <v>#N/A</v>
      </c>
      <c r="G2032" s="1" t="e">
        <f>VLOOKUP(C2032,'Master truck list'!E:R,14,0)</f>
        <v>#N/A</v>
      </c>
    </row>
    <row r="2033" spans="1:7" x14ac:dyDescent="0.25">
      <c r="A2033" s="1" t="str">
        <f t="shared" si="655"/>
        <v/>
      </c>
      <c r="B2033" s="1" t="str">
        <f t="shared" si="654"/>
        <v/>
      </c>
      <c r="C2033" s="1" t="e">
        <f>VLOOKUP(B2033,'Master truck list'!D:E,2,0)</f>
        <v>#N/A</v>
      </c>
      <c r="D2033" s="1" t="e">
        <f>VLOOKUP(C2033,'Master truck list'!E:F,2,0)</f>
        <v>#N/A</v>
      </c>
      <c r="E2033" s="1" t="e">
        <f>VLOOKUP(C2033,'Master truck list'!E:M,9,0)</f>
        <v>#N/A</v>
      </c>
      <c r="F2033" s="1" t="e">
        <f>VLOOKUP(C2033,'Master truck list'!E:G,3,0)</f>
        <v>#N/A</v>
      </c>
      <c r="G2033" s="1" t="e">
        <f>VLOOKUP(C2033,'Master truck list'!E:R,14,0)</f>
        <v>#N/A</v>
      </c>
    </row>
    <row r="2034" spans="1:7" x14ac:dyDescent="0.25">
      <c r="A2034" s="1" t="str">
        <f t="shared" si="655"/>
        <v/>
      </c>
      <c r="B2034" s="1" t="str">
        <f t="shared" si="654"/>
        <v/>
      </c>
      <c r="C2034" s="1" t="e">
        <f>VLOOKUP(B2034,'Master truck list'!D:E,2,0)</f>
        <v>#N/A</v>
      </c>
      <c r="D2034" s="1" t="e">
        <f>VLOOKUP(C2034,'Master truck list'!E:F,2,0)</f>
        <v>#N/A</v>
      </c>
      <c r="E2034" s="1" t="e">
        <f>VLOOKUP(C2034,'Master truck list'!E:M,9,0)</f>
        <v>#N/A</v>
      </c>
      <c r="F2034" s="1" t="e">
        <f>VLOOKUP(C2034,'Master truck list'!E:G,3,0)</f>
        <v>#N/A</v>
      </c>
      <c r="G2034" s="1" t="e">
        <f>VLOOKUP(C2034,'Master truck list'!E:R,14,0)</f>
        <v>#N/A</v>
      </c>
    </row>
    <row r="2035" spans="1:7" x14ac:dyDescent="0.25">
      <c r="A2035" s="1" t="str">
        <f t="shared" si="655"/>
        <v/>
      </c>
      <c r="B2035" s="1" t="str">
        <f t="shared" si="654"/>
        <v/>
      </c>
      <c r="C2035" s="1" t="e">
        <f>VLOOKUP(B2035,'Master truck list'!D:E,2,0)</f>
        <v>#N/A</v>
      </c>
      <c r="D2035" s="1" t="e">
        <f>VLOOKUP(C2035,'Master truck list'!E:F,2,0)</f>
        <v>#N/A</v>
      </c>
      <c r="E2035" s="1" t="e">
        <f>VLOOKUP(C2035,'Master truck list'!E:M,9,0)</f>
        <v>#N/A</v>
      </c>
      <c r="F2035" s="1" t="e">
        <f>VLOOKUP(C2035,'Master truck list'!E:G,3,0)</f>
        <v>#N/A</v>
      </c>
      <c r="G2035" s="1" t="e">
        <f>VLOOKUP(C2035,'Master truck list'!E:R,14,0)</f>
        <v>#N/A</v>
      </c>
    </row>
    <row r="2036" spans="1:7" x14ac:dyDescent="0.25">
      <c r="A2036" s="1" t="str">
        <f t="shared" si="655"/>
        <v/>
      </c>
      <c r="B2036" s="1" t="str">
        <f t="shared" si="654"/>
        <v/>
      </c>
      <c r="C2036" s="1" t="e">
        <f>VLOOKUP(B2036,'Master truck list'!D:E,2,0)</f>
        <v>#N/A</v>
      </c>
      <c r="D2036" s="1" t="e">
        <f>VLOOKUP(C2036,'Master truck list'!E:F,2,0)</f>
        <v>#N/A</v>
      </c>
      <c r="E2036" s="1" t="e">
        <f>VLOOKUP(C2036,'Master truck list'!E:M,9,0)</f>
        <v>#N/A</v>
      </c>
      <c r="F2036" s="1" t="e">
        <f>VLOOKUP(C2036,'Master truck list'!E:G,3,0)</f>
        <v>#N/A</v>
      </c>
      <c r="G2036" s="1" t="e">
        <f>VLOOKUP(C2036,'Master truck list'!E:R,14,0)</f>
        <v>#N/A</v>
      </c>
    </row>
    <row r="2037" spans="1:7" x14ac:dyDescent="0.25">
      <c r="A2037" s="1" t="str">
        <f t="shared" si="655"/>
        <v/>
      </c>
      <c r="B2037" s="1" t="str">
        <f t="shared" si="654"/>
        <v/>
      </c>
      <c r="C2037" s="1" t="e">
        <f>VLOOKUP(B2037,'Master truck list'!D:E,2,0)</f>
        <v>#N/A</v>
      </c>
      <c r="D2037" s="1" t="e">
        <f>VLOOKUP(C2037,'Master truck list'!E:F,2,0)</f>
        <v>#N/A</v>
      </c>
      <c r="E2037" s="1" t="e">
        <f>VLOOKUP(C2037,'Master truck list'!E:M,9,0)</f>
        <v>#N/A</v>
      </c>
      <c r="F2037" s="1" t="e">
        <f>VLOOKUP(C2037,'Master truck list'!E:G,3,0)</f>
        <v>#N/A</v>
      </c>
      <c r="G2037" s="1" t="e">
        <f>VLOOKUP(C2037,'Master truck list'!E:R,14,0)</f>
        <v>#N/A</v>
      </c>
    </row>
    <row r="2038" spans="1:7" x14ac:dyDescent="0.25">
      <c r="A2038" s="1" t="str">
        <f t="shared" si="655"/>
        <v/>
      </c>
      <c r="B2038" s="1" t="str">
        <f t="shared" si="654"/>
        <v/>
      </c>
      <c r="C2038" s="1" t="e">
        <f>VLOOKUP(B2038,'Master truck list'!D:E,2,0)</f>
        <v>#N/A</v>
      </c>
      <c r="D2038" s="1" t="e">
        <f>VLOOKUP(C2038,'Master truck list'!E:F,2,0)</f>
        <v>#N/A</v>
      </c>
      <c r="E2038" s="1" t="e">
        <f>VLOOKUP(C2038,'Master truck list'!E:M,9,0)</f>
        <v>#N/A</v>
      </c>
      <c r="F2038" s="1" t="e">
        <f>VLOOKUP(C2038,'Master truck list'!E:G,3,0)</f>
        <v>#N/A</v>
      </c>
      <c r="G2038" s="1" t="e">
        <f>VLOOKUP(C2038,'Master truck list'!E:R,14,0)</f>
        <v>#N/A</v>
      </c>
    </row>
    <row r="2039" spans="1:7" x14ac:dyDescent="0.25">
      <c r="A2039" s="1" t="str">
        <f t="shared" si="655"/>
        <v/>
      </c>
      <c r="B2039" s="1" t="str">
        <f t="shared" si="654"/>
        <v/>
      </c>
      <c r="C2039" s="1" t="e">
        <f>VLOOKUP(B2039,'Master truck list'!D:E,2,0)</f>
        <v>#N/A</v>
      </c>
      <c r="D2039" s="1" t="e">
        <f>VLOOKUP(C2039,'Master truck list'!E:F,2,0)</f>
        <v>#N/A</v>
      </c>
      <c r="E2039" s="1" t="e">
        <f>VLOOKUP(C2039,'Master truck list'!E:M,9,0)</f>
        <v>#N/A</v>
      </c>
      <c r="F2039" s="1" t="e">
        <f>VLOOKUP(C2039,'Master truck list'!E:G,3,0)</f>
        <v>#N/A</v>
      </c>
      <c r="G2039" s="1" t="e">
        <f>VLOOKUP(C2039,'Master truck list'!E:R,14,0)</f>
        <v>#N/A</v>
      </c>
    </row>
    <row r="2040" spans="1:7" x14ac:dyDescent="0.25">
      <c r="A2040" s="1" t="str">
        <f t="shared" si="655"/>
        <v/>
      </c>
      <c r="B2040" s="1" t="str">
        <f t="shared" si="654"/>
        <v/>
      </c>
      <c r="C2040" s="1" t="e">
        <f>VLOOKUP(B2040,'Master truck list'!D:E,2,0)</f>
        <v>#N/A</v>
      </c>
      <c r="D2040" s="1" t="e">
        <f>VLOOKUP(C2040,'Master truck list'!E:F,2,0)</f>
        <v>#N/A</v>
      </c>
      <c r="E2040" s="1" t="e">
        <f>VLOOKUP(C2040,'Master truck list'!E:M,9,0)</f>
        <v>#N/A</v>
      </c>
      <c r="F2040" s="1" t="e">
        <f>VLOOKUP(C2040,'Master truck list'!E:G,3,0)</f>
        <v>#N/A</v>
      </c>
      <c r="G2040" s="1" t="e">
        <f>VLOOKUP(C2040,'Master truck list'!E:R,14,0)</f>
        <v>#N/A</v>
      </c>
    </row>
    <row r="2041" spans="1:7" x14ac:dyDescent="0.25">
      <c r="A2041" s="1" t="str">
        <f t="shared" si="655"/>
        <v/>
      </c>
      <c r="B2041" s="1" t="str">
        <f t="shared" ref="B2041:B2104" si="656">SUBSTITUTE(A2041," ","")</f>
        <v/>
      </c>
      <c r="C2041" s="1" t="e">
        <f>VLOOKUP(B2041,'Master truck list'!D:E,2,0)</f>
        <v>#N/A</v>
      </c>
      <c r="D2041" s="1" t="e">
        <f>VLOOKUP(C2041,'Master truck list'!E:F,2,0)</f>
        <v>#N/A</v>
      </c>
      <c r="E2041" s="1" t="e">
        <f>VLOOKUP(C2041,'Master truck list'!E:M,9,0)</f>
        <v>#N/A</v>
      </c>
      <c r="F2041" s="1" t="e">
        <f>VLOOKUP(C2041,'Master truck list'!E:G,3,0)</f>
        <v>#N/A</v>
      </c>
      <c r="G2041" s="1" t="e">
        <f>VLOOKUP(C2041,'Master truck list'!E:R,14,0)</f>
        <v>#N/A</v>
      </c>
    </row>
    <row r="2042" spans="1:7" x14ac:dyDescent="0.25">
      <c r="A2042" s="1" t="str">
        <f t="shared" si="655"/>
        <v/>
      </c>
      <c r="B2042" s="1" t="str">
        <f t="shared" si="656"/>
        <v/>
      </c>
      <c r="C2042" s="1" t="e">
        <f>VLOOKUP(B2042,'Master truck list'!D:E,2,0)</f>
        <v>#N/A</v>
      </c>
      <c r="D2042" s="1" t="e">
        <f>VLOOKUP(C2042,'Master truck list'!E:F,2,0)</f>
        <v>#N/A</v>
      </c>
      <c r="E2042" s="1" t="e">
        <f>VLOOKUP(C2042,'Master truck list'!E:M,9,0)</f>
        <v>#N/A</v>
      </c>
      <c r="F2042" s="1" t="e">
        <f>VLOOKUP(C2042,'Master truck list'!E:G,3,0)</f>
        <v>#N/A</v>
      </c>
      <c r="G2042" s="1" t="e">
        <f>VLOOKUP(C2042,'Master truck list'!E:R,14,0)</f>
        <v>#N/A</v>
      </c>
    </row>
    <row r="2043" spans="1:7" x14ac:dyDescent="0.25">
      <c r="A2043" s="1" t="str">
        <f t="shared" si="655"/>
        <v/>
      </c>
      <c r="B2043" s="1" t="str">
        <f t="shared" si="656"/>
        <v/>
      </c>
      <c r="C2043" s="1" t="e">
        <f>VLOOKUP(B2043,'Master truck list'!D:E,2,0)</f>
        <v>#N/A</v>
      </c>
      <c r="D2043" s="1" t="e">
        <f>VLOOKUP(C2043,'Master truck list'!E:F,2,0)</f>
        <v>#N/A</v>
      </c>
      <c r="E2043" s="1" t="e">
        <f>VLOOKUP(C2043,'Master truck list'!E:M,9,0)</f>
        <v>#N/A</v>
      </c>
      <c r="F2043" s="1" t="e">
        <f>VLOOKUP(C2043,'Master truck list'!E:G,3,0)</f>
        <v>#N/A</v>
      </c>
      <c r="G2043" s="1" t="e">
        <f>VLOOKUP(C2043,'Master truck list'!E:R,14,0)</f>
        <v>#N/A</v>
      </c>
    </row>
    <row r="2044" spans="1:7" x14ac:dyDescent="0.25">
      <c r="A2044" s="1" t="str">
        <f t="shared" si="655"/>
        <v/>
      </c>
      <c r="B2044" s="1" t="str">
        <f t="shared" si="656"/>
        <v/>
      </c>
      <c r="C2044" s="1" t="e">
        <f>VLOOKUP(B2044,'Master truck list'!D:E,2,0)</f>
        <v>#N/A</v>
      </c>
      <c r="D2044" s="1" t="e">
        <f>VLOOKUP(C2044,'Master truck list'!E:F,2,0)</f>
        <v>#N/A</v>
      </c>
      <c r="E2044" s="1" t="e">
        <f>VLOOKUP(C2044,'Master truck list'!E:M,9,0)</f>
        <v>#N/A</v>
      </c>
      <c r="F2044" s="1" t="e">
        <f>VLOOKUP(C2044,'Master truck list'!E:G,3,0)</f>
        <v>#N/A</v>
      </c>
      <c r="G2044" s="1" t="e">
        <f>VLOOKUP(C2044,'Master truck list'!E:R,14,0)</f>
        <v>#N/A</v>
      </c>
    </row>
    <row r="2045" spans="1:7" x14ac:dyDescent="0.25">
      <c r="A2045" s="1" t="str">
        <f t="shared" si="655"/>
        <v/>
      </c>
      <c r="B2045" s="1" t="str">
        <f t="shared" si="656"/>
        <v/>
      </c>
      <c r="C2045" s="1" t="e">
        <f>VLOOKUP(B2045,'Master truck list'!D:E,2,0)</f>
        <v>#N/A</v>
      </c>
      <c r="D2045" s="1" t="e">
        <f>VLOOKUP(C2045,'Master truck list'!E:F,2,0)</f>
        <v>#N/A</v>
      </c>
      <c r="E2045" s="1" t="e">
        <f>VLOOKUP(C2045,'Master truck list'!E:M,9,0)</f>
        <v>#N/A</v>
      </c>
      <c r="F2045" s="1" t="e">
        <f>VLOOKUP(C2045,'Master truck list'!E:G,3,0)</f>
        <v>#N/A</v>
      </c>
      <c r="G2045" s="1" t="e">
        <f>VLOOKUP(C2045,'Master truck list'!E:R,14,0)</f>
        <v>#N/A</v>
      </c>
    </row>
    <row r="2046" spans="1:7" x14ac:dyDescent="0.25">
      <c r="A2046" s="1" t="str">
        <f t="shared" si="655"/>
        <v/>
      </c>
      <c r="B2046" s="1" t="str">
        <f t="shared" si="656"/>
        <v/>
      </c>
      <c r="C2046" s="1" t="e">
        <f>VLOOKUP(B2046,'Master truck list'!D:E,2,0)</f>
        <v>#N/A</v>
      </c>
      <c r="D2046" s="1" t="e">
        <f>VLOOKUP(C2046,'Master truck list'!E:F,2,0)</f>
        <v>#N/A</v>
      </c>
      <c r="E2046" s="1" t="e">
        <f>VLOOKUP(C2046,'Master truck list'!E:M,9,0)</f>
        <v>#N/A</v>
      </c>
      <c r="F2046" s="1" t="e">
        <f>VLOOKUP(C2046,'Master truck list'!E:G,3,0)</f>
        <v>#N/A</v>
      </c>
      <c r="G2046" s="1" t="e">
        <f>VLOOKUP(C2046,'Master truck list'!E:R,14,0)</f>
        <v>#N/A</v>
      </c>
    </row>
    <row r="2047" spans="1:7" x14ac:dyDescent="0.25">
      <c r="A2047" s="1" t="str">
        <f t="shared" si="655"/>
        <v/>
      </c>
      <c r="B2047" s="1" t="str">
        <f t="shared" si="656"/>
        <v/>
      </c>
      <c r="C2047" s="1" t="e">
        <f>VLOOKUP(B2047,'Master truck list'!D:E,2,0)</f>
        <v>#N/A</v>
      </c>
      <c r="D2047" s="1" t="e">
        <f>VLOOKUP(C2047,'Master truck list'!E:F,2,0)</f>
        <v>#N/A</v>
      </c>
      <c r="E2047" s="1" t="e">
        <f>VLOOKUP(C2047,'Master truck list'!E:M,9,0)</f>
        <v>#N/A</v>
      </c>
      <c r="F2047" s="1" t="e">
        <f>VLOOKUP(C2047,'Master truck list'!E:G,3,0)</f>
        <v>#N/A</v>
      </c>
      <c r="G2047" s="1" t="e">
        <f>VLOOKUP(C2047,'Master truck list'!E:R,14,0)</f>
        <v>#N/A</v>
      </c>
    </row>
    <row r="2048" spans="1:7" x14ac:dyDescent="0.25">
      <c r="A2048" s="1" t="str">
        <f t="shared" si="655"/>
        <v/>
      </c>
      <c r="B2048" s="1" t="str">
        <f t="shared" si="656"/>
        <v/>
      </c>
      <c r="C2048" s="1" t="e">
        <f>VLOOKUP(B2048,'Master truck list'!D:E,2,0)</f>
        <v>#N/A</v>
      </c>
      <c r="D2048" s="1" t="e">
        <f>VLOOKUP(C2048,'Master truck list'!E:F,2,0)</f>
        <v>#N/A</v>
      </c>
      <c r="E2048" s="1" t="e">
        <f>VLOOKUP(C2048,'Master truck list'!E:M,9,0)</f>
        <v>#N/A</v>
      </c>
      <c r="F2048" s="1" t="e">
        <f>VLOOKUP(C2048,'Master truck list'!E:G,3,0)</f>
        <v>#N/A</v>
      </c>
      <c r="G2048" s="1" t="e">
        <f>VLOOKUP(C2048,'Master truck list'!E:R,14,0)</f>
        <v>#N/A</v>
      </c>
    </row>
    <row r="2049" spans="1:7" x14ac:dyDescent="0.25">
      <c r="A2049" s="1" t="str">
        <f t="shared" si="655"/>
        <v/>
      </c>
      <c r="B2049" s="1" t="str">
        <f t="shared" si="656"/>
        <v/>
      </c>
      <c r="C2049" s="1" t="e">
        <f>VLOOKUP(B2049,'Master truck list'!D:E,2,0)</f>
        <v>#N/A</v>
      </c>
      <c r="D2049" s="1" t="e">
        <f>VLOOKUP(C2049,'Master truck list'!E:F,2,0)</f>
        <v>#N/A</v>
      </c>
      <c r="E2049" s="1" t="e">
        <f>VLOOKUP(C2049,'Master truck list'!E:M,9,0)</f>
        <v>#N/A</v>
      </c>
      <c r="F2049" s="1" t="e">
        <f>VLOOKUP(C2049,'Master truck list'!E:G,3,0)</f>
        <v>#N/A</v>
      </c>
      <c r="G2049" s="1" t="e">
        <f>VLOOKUP(C2049,'Master truck list'!E:R,14,0)</f>
        <v>#N/A</v>
      </c>
    </row>
    <row r="2050" spans="1:7" x14ac:dyDescent="0.25">
      <c r="A2050" s="1" t="str">
        <f t="shared" si="655"/>
        <v/>
      </c>
      <c r="B2050" s="1" t="str">
        <f t="shared" si="656"/>
        <v/>
      </c>
      <c r="C2050" s="1" t="e">
        <f>VLOOKUP(B2050,'Master truck list'!D:E,2,0)</f>
        <v>#N/A</v>
      </c>
      <c r="D2050" s="1" t="e">
        <f>VLOOKUP(C2050,'Master truck list'!E:F,2,0)</f>
        <v>#N/A</v>
      </c>
      <c r="E2050" s="1" t="e">
        <f>VLOOKUP(C2050,'Master truck list'!E:M,9,0)</f>
        <v>#N/A</v>
      </c>
      <c r="F2050" s="1" t="e">
        <f>VLOOKUP(C2050,'Master truck list'!E:G,3,0)</f>
        <v>#N/A</v>
      </c>
      <c r="G2050" s="1" t="e">
        <f>VLOOKUP(C2050,'Master truck list'!E:R,14,0)</f>
        <v>#N/A</v>
      </c>
    </row>
    <row r="2051" spans="1:7" x14ac:dyDescent="0.25">
      <c r="A2051" s="1" t="str">
        <f t="shared" si="655"/>
        <v/>
      </c>
      <c r="B2051" s="1" t="str">
        <f t="shared" si="656"/>
        <v/>
      </c>
      <c r="C2051" s="1" t="e">
        <f>VLOOKUP(B2051,'Master truck list'!D:E,2,0)</f>
        <v>#N/A</v>
      </c>
      <c r="D2051" s="1" t="e">
        <f>VLOOKUP(C2051,'Master truck list'!E:F,2,0)</f>
        <v>#N/A</v>
      </c>
      <c r="E2051" s="1" t="e">
        <f>VLOOKUP(C2051,'Master truck list'!E:M,9,0)</f>
        <v>#N/A</v>
      </c>
      <c r="F2051" s="1" t="e">
        <f>VLOOKUP(C2051,'Master truck list'!E:G,3,0)</f>
        <v>#N/A</v>
      </c>
      <c r="G2051" s="1" t="e">
        <f>VLOOKUP(C2051,'Master truck list'!E:R,14,0)</f>
        <v>#N/A</v>
      </c>
    </row>
    <row r="2052" spans="1:7" x14ac:dyDescent="0.25">
      <c r="A2052" s="1" t="str">
        <f t="shared" si="655"/>
        <v/>
      </c>
      <c r="B2052" s="1" t="str">
        <f t="shared" si="656"/>
        <v/>
      </c>
      <c r="C2052" s="1" t="e">
        <f>VLOOKUP(B2052,'Master truck list'!D:E,2,0)</f>
        <v>#N/A</v>
      </c>
      <c r="D2052" s="1" t="e">
        <f>VLOOKUP(C2052,'Master truck list'!E:F,2,0)</f>
        <v>#N/A</v>
      </c>
      <c r="E2052" s="1" t="e">
        <f>VLOOKUP(C2052,'Master truck list'!E:M,9,0)</f>
        <v>#N/A</v>
      </c>
      <c r="F2052" s="1" t="e">
        <f>VLOOKUP(C2052,'Master truck list'!E:G,3,0)</f>
        <v>#N/A</v>
      </c>
      <c r="G2052" s="1" t="e">
        <f>VLOOKUP(C2052,'Master truck list'!E:R,14,0)</f>
        <v>#N/A</v>
      </c>
    </row>
    <row r="2053" spans="1:7" x14ac:dyDescent="0.25">
      <c r="A2053" s="1" t="str">
        <f t="shared" si="655"/>
        <v/>
      </c>
      <c r="B2053" s="1" t="str">
        <f t="shared" si="656"/>
        <v/>
      </c>
      <c r="C2053" s="1" t="e">
        <f>VLOOKUP(B2053,'Master truck list'!D:E,2,0)</f>
        <v>#N/A</v>
      </c>
      <c r="D2053" s="1" t="e">
        <f>VLOOKUP(C2053,'Master truck list'!E:F,2,0)</f>
        <v>#N/A</v>
      </c>
      <c r="E2053" s="1" t="e">
        <f>VLOOKUP(C2053,'Master truck list'!E:M,9,0)</f>
        <v>#N/A</v>
      </c>
      <c r="F2053" s="1" t="e">
        <f>VLOOKUP(C2053,'Master truck list'!E:G,3,0)</f>
        <v>#N/A</v>
      </c>
      <c r="G2053" s="1" t="e">
        <f>VLOOKUP(C2053,'Master truck list'!E:R,14,0)</f>
        <v>#N/A</v>
      </c>
    </row>
    <row r="2054" spans="1:7" x14ac:dyDescent="0.25">
      <c r="A2054" s="1" t="str">
        <f t="shared" si="655"/>
        <v/>
      </c>
      <c r="B2054" s="1" t="str">
        <f t="shared" si="656"/>
        <v/>
      </c>
      <c r="C2054" s="1" t="e">
        <f>VLOOKUP(B2054,'Master truck list'!D:E,2,0)</f>
        <v>#N/A</v>
      </c>
      <c r="D2054" s="1" t="e">
        <f>VLOOKUP(C2054,'Master truck list'!E:F,2,0)</f>
        <v>#N/A</v>
      </c>
      <c r="E2054" s="1" t="e">
        <f>VLOOKUP(C2054,'Master truck list'!E:M,9,0)</f>
        <v>#N/A</v>
      </c>
      <c r="F2054" s="1" t="e">
        <f>VLOOKUP(C2054,'Master truck list'!E:G,3,0)</f>
        <v>#N/A</v>
      </c>
      <c r="G2054" s="1" t="e">
        <f>VLOOKUP(C2054,'Master truck list'!E:R,14,0)</f>
        <v>#N/A</v>
      </c>
    </row>
    <row r="2055" spans="1:7" x14ac:dyDescent="0.25">
      <c r="A2055" s="1" t="str">
        <f t="shared" si="655"/>
        <v/>
      </c>
      <c r="B2055" s="1" t="str">
        <f t="shared" si="656"/>
        <v/>
      </c>
      <c r="C2055" s="1" t="e">
        <f>VLOOKUP(B2055,'Master truck list'!D:E,2,0)</f>
        <v>#N/A</v>
      </c>
      <c r="D2055" s="1" t="e">
        <f>VLOOKUP(C2055,'Master truck list'!E:F,2,0)</f>
        <v>#N/A</v>
      </c>
      <c r="E2055" s="1" t="e">
        <f>VLOOKUP(C2055,'Master truck list'!E:M,9,0)</f>
        <v>#N/A</v>
      </c>
      <c r="F2055" s="1" t="e">
        <f>VLOOKUP(C2055,'Master truck list'!E:G,3,0)</f>
        <v>#N/A</v>
      </c>
      <c r="G2055" s="1" t="e">
        <f>VLOOKUP(C2055,'Master truck list'!E:R,14,0)</f>
        <v>#N/A</v>
      </c>
    </row>
    <row r="2056" spans="1:7" x14ac:dyDescent="0.25">
      <c r="A2056" s="1" t="str">
        <f t="shared" si="655"/>
        <v/>
      </c>
      <c r="B2056" s="1" t="str">
        <f t="shared" si="656"/>
        <v/>
      </c>
      <c r="C2056" s="1" t="e">
        <f>VLOOKUP(B2056,'Master truck list'!D:E,2,0)</f>
        <v>#N/A</v>
      </c>
      <c r="D2056" s="1" t="e">
        <f>VLOOKUP(C2056,'Master truck list'!E:F,2,0)</f>
        <v>#N/A</v>
      </c>
      <c r="E2056" s="1" t="e">
        <f>VLOOKUP(C2056,'Master truck list'!E:M,9,0)</f>
        <v>#N/A</v>
      </c>
      <c r="F2056" s="1" t="e">
        <f>VLOOKUP(C2056,'Master truck list'!E:G,3,0)</f>
        <v>#N/A</v>
      </c>
      <c r="G2056" s="1" t="e">
        <f>VLOOKUP(C2056,'Master truck list'!E:R,14,0)</f>
        <v>#N/A</v>
      </c>
    </row>
    <row r="2057" spans="1:7" x14ac:dyDescent="0.25">
      <c r="A2057" s="1" t="str">
        <f t="shared" si="655"/>
        <v/>
      </c>
      <c r="B2057" s="1" t="str">
        <f t="shared" si="656"/>
        <v/>
      </c>
      <c r="C2057" s="1" t="e">
        <f>VLOOKUP(B2057,'Master truck list'!D:E,2,0)</f>
        <v>#N/A</v>
      </c>
      <c r="D2057" s="1" t="e">
        <f>VLOOKUP(C2057,'Master truck list'!E:F,2,0)</f>
        <v>#N/A</v>
      </c>
      <c r="E2057" s="1" t="e">
        <f>VLOOKUP(C2057,'Master truck list'!E:M,9,0)</f>
        <v>#N/A</v>
      </c>
      <c r="F2057" s="1" t="e">
        <f>VLOOKUP(C2057,'Master truck list'!E:G,3,0)</f>
        <v>#N/A</v>
      </c>
      <c r="G2057" s="1" t="e">
        <f>VLOOKUP(C2057,'Master truck list'!E:R,14,0)</f>
        <v>#N/A</v>
      </c>
    </row>
    <row r="2058" spans="1:7" x14ac:dyDescent="0.25">
      <c r="A2058" s="1" t="str">
        <f t="shared" si="655"/>
        <v/>
      </c>
      <c r="B2058" s="1" t="str">
        <f t="shared" si="656"/>
        <v/>
      </c>
      <c r="C2058" s="1" t="e">
        <f>VLOOKUP(B2058,'Master truck list'!D:E,2,0)</f>
        <v>#N/A</v>
      </c>
      <c r="D2058" s="1" t="e">
        <f>VLOOKUP(C2058,'Master truck list'!E:F,2,0)</f>
        <v>#N/A</v>
      </c>
      <c r="E2058" s="1" t="e">
        <f>VLOOKUP(C2058,'Master truck list'!E:M,9,0)</f>
        <v>#N/A</v>
      </c>
      <c r="F2058" s="1" t="e">
        <f>VLOOKUP(C2058,'Master truck list'!E:G,3,0)</f>
        <v>#N/A</v>
      </c>
      <c r="G2058" s="1" t="e">
        <f>VLOOKUP(C2058,'Master truck list'!E:R,14,0)</f>
        <v>#N/A</v>
      </c>
    </row>
    <row r="2059" spans="1:7" x14ac:dyDescent="0.25">
      <c r="A2059" s="1" t="str">
        <f t="shared" si="655"/>
        <v/>
      </c>
      <c r="B2059" s="1" t="str">
        <f t="shared" si="656"/>
        <v/>
      </c>
      <c r="C2059" s="1" t="e">
        <f>VLOOKUP(B2059,'Master truck list'!D:E,2,0)</f>
        <v>#N/A</v>
      </c>
      <c r="D2059" s="1" t="e">
        <f>VLOOKUP(C2059,'Master truck list'!E:F,2,0)</f>
        <v>#N/A</v>
      </c>
      <c r="E2059" s="1" t="e">
        <f>VLOOKUP(C2059,'Master truck list'!E:M,9,0)</f>
        <v>#N/A</v>
      </c>
      <c r="F2059" s="1" t="e">
        <f>VLOOKUP(C2059,'Master truck list'!E:G,3,0)</f>
        <v>#N/A</v>
      </c>
      <c r="G2059" s="1" t="e">
        <f>VLOOKUP(C2059,'Master truck list'!E:R,14,0)</f>
        <v>#N/A</v>
      </c>
    </row>
    <row r="2060" spans="1:7" x14ac:dyDescent="0.25">
      <c r="A2060" s="1" t="str">
        <f t="shared" si="655"/>
        <v/>
      </c>
      <c r="B2060" s="1" t="str">
        <f t="shared" si="656"/>
        <v/>
      </c>
      <c r="C2060" s="1" t="e">
        <f>VLOOKUP(B2060,'Master truck list'!D:E,2,0)</f>
        <v>#N/A</v>
      </c>
      <c r="D2060" s="1" t="e">
        <f>VLOOKUP(C2060,'Master truck list'!E:F,2,0)</f>
        <v>#N/A</v>
      </c>
      <c r="E2060" s="1" t="e">
        <f>VLOOKUP(C2060,'Master truck list'!E:M,9,0)</f>
        <v>#N/A</v>
      </c>
      <c r="F2060" s="1" t="e">
        <f>VLOOKUP(C2060,'Master truck list'!E:G,3,0)</f>
        <v>#N/A</v>
      </c>
      <c r="G2060" s="1" t="e">
        <f>VLOOKUP(C2060,'Master truck list'!E:R,14,0)</f>
        <v>#N/A</v>
      </c>
    </row>
    <row r="2061" spans="1:7" x14ac:dyDescent="0.25">
      <c r="A2061" s="1" t="str">
        <f t="shared" si="655"/>
        <v/>
      </c>
      <c r="B2061" s="1" t="str">
        <f t="shared" si="656"/>
        <v/>
      </c>
      <c r="C2061" s="1" t="e">
        <f>VLOOKUP(B2061,'Master truck list'!D:E,2,0)</f>
        <v>#N/A</v>
      </c>
      <c r="D2061" s="1" t="e">
        <f>VLOOKUP(C2061,'Master truck list'!E:F,2,0)</f>
        <v>#N/A</v>
      </c>
      <c r="E2061" s="1" t="e">
        <f>VLOOKUP(C2061,'Master truck list'!E:M,9,0)</f>
        <v>#N/A</v>
      </c>
      <c r="F2061" s="1" t="e">
        <f>VLOOKUP(C2061,'Master truck list'!E:G,3,0)</f>
        <v>#N/A</v>
      </c>
      <c r="G2061" s="1" t="e">
        <f>VLOOKUP(C2061,'Master truck list'!E:R,14,0)</f>
        <v>#N/A</v>
      </c>
    </row>
    <row r="2062" spans="1:7" x14ac:dyDescent="0.25">
      <c r="A2062" s="1" t="str">
        <f t="shared" si="655"/>
        <v/>
      </c>
      <c r="B2062" s="1" t="str">
        <f t="shared" si="656"/>
        <v/>
      </c>
      <c r="C2062" s="1" t="e">
        <f>VLOOKUP(B2062,'Master truck list'!D:E,2,0)</f>
        <v>#N/A</v>
      </c>
      <c r="D2062" s="1" t="e">
        <f>VLOOKUP(C2062,'Master truck list'!E:F,2,0)</f>
        <v>#N/A</v>
      </c>
      <c r="E2062" s="1" t="e">
        <f>VLOOKUP(C2062,'Master truck list'!E:M,9,0)</f>
        <v>#N/A</v>
      </c>
      <c r="F2062" s="1" t="e">
        <f>VLOOKUP(C2062,'Master truck list'!E:G,3,0)</f>
        <v>#N/A</v>
      </c>
      <c r="G2062" s="1" t="e">
        <f>VLOOKUP(C2062,'Master truck list'!E:R,14,0)</f>
        <v>#N/A</v>
      </c>
    </row>
    <row r="2063" spans="1:7" x14ac:dyDescent="0.25">
      <c r="A2063" s="1" t="str">
        <f t="shared" si="655"/>
        <v/>
      </c>
      <c r="B2063" s="1" t="str">
        <f t="shared" si="656"/>
        <v/>
      </c>
      <c r="C2063" s="1" t="e">
        <f>VLOOKUP(B2063,'Master truck list'!D:E,2,0)</f>
        <v>#N/A</v>
      </c>
      <c r="D2063" s="1" t="e">
        <f>VLOOKUP(C2063,'Master truck list'!E:F,2,0)</f>
        <v>#N/A</v>
      </c>
      <c r="E2063" s="1" t="e">
        <f>VLOOKUP(C2063,'Master truck list'!E:M,9,0)</f>
        <v>#N/A</v>
      </c>
      <c r="F2063" s="1" t="e">
        <f>VLOOKUP(C2063,'Master truck list'!E:G,3,0)</f>
        <v>#N/A</v>
      </c>
      <c r="G2063" s="1" t="e">
        <f>VLOOKUP(C2063,'Master truck list'!E:R,14,0)</f>
        <v>#N/A</v>
      </c>
    </row>
    <row r="2064" spans="1:7" x14ac:dyDescent="0.25">
      <c r="A2064" s="1" t="str">
        <f t="shared" si="655"/>
        <v/>
      </c>
      <c r="B2064" s="1" t="str">
        <f t="shared" si="656"/>
        <v/>
      </c>
      <c r="C2064" s="1" t="e">
        <f>VLOOKUP(B2064,'Master truck list'!D:E,2,0)</f>
        <v>#N/A</v>
      </c>
      <c r="D2064" s="1" t="e">
        <f>VLOOKUP(C2064,'Master truck list'!E:F,2,0)</f>
        <v>#N/A</v>
      </c>
      <c r="E2064" s="1" t="e">
        <f>VLOOKUP(C2064,'Master truck list'!E:M,9,0)</f>
        <v>#N/A</v>
      </c>
      <c r="F2064" s="1" t="e">
        <f>VLOOKUP(C2064,'Master truck list'!E:G,3,0)</f>
        <v>#N/A</v>
      </c>
      <c r="G2064" s="1" t="e">
        <f>VLOOKUP(C2064,'Master truck list'!E:R,14,0)</f>
        <v>#N/A</v>
      </c>
    </row>
    <row r="2065" spans="1:7" x14ac:dyDescent="0.25">
      <c r="A2065" s="1" t="str">
        <f t="shared" si="655"/>
        <v/>
      </c>
      <c r="B2065" s="1" t="str">
        <f t="shared" si="656"/>
        <v/>
      </c>
      <c r="C2065" s="1" t="e">
        <f>VLOOKUP(B2065,'Master truck list'!D:E,2,0)</f>
        <v>#N/A</v>
      </c>
      <c r="D2065" s="1" t="e">
        <f>VLOOKUP(C2065,'Master truck list'!E:F,2,0)</f>
        <v>#N/A</v>
      </c>
      <c r="E2065" s="1" t="e">
        <f>VLOOKUP(C2065,'Master truck list'!E:M,9,0)</f>
        <v>#N/A</v>
      </c>
      <c r="F2065" s="1" t="e">
        <f>VLOOKUP(C2065,'Master truck list'!E:G,3,0)</f>
        <v>#N/A</v>
      </c>
      <c r="G2065" s="1" t="e">
        <f>VLOOKUP(C2065,'Master truck list'!E:R,14,0)</f>
        <v>#N/A</v>
      </c>
    </row>
    <row r="2066" spans="1:7" x14ac:dyDescent="0.25">
      <c r="A2066" s="1" t="str">
        <f t="shared" si="655"/>
        <v/>
      </c>
      <c r="B2066" s="1" t="str">
        <f t="shared" si="656"/>
        <v/>
      </c>
      <c r="C2066" s="1" t="e">
        <f>VLOOKUP(B2066,'Master truck list'!D:E,2,0)</f>
        <v>#N/A</v>
      </c>
      <c r="D2066" s="1" t="e">
        <f>VLOOKUP(C2066,'Master truck list'!E:F,2,0)</f>
        <v>#N/A</v>
      </c>
      <c r="E2066" s="1" t="e">
        <f>VLOOKUP(C2066,'Master truck list'!E:M,9,0)</f>
        <v>#N/A</v>
      </c>
      <c r="F2066" s="1" t="e">
        <f>VLOOKUP(C2066,'Master truck list'!E:G,3,0)</f>
        <v>#N/A</v>
      </c>
      <c r="G2066" s="1" t="e">
        <f>VLOOKUP(C2066,'Master truck list'!E:R,14,0)</f>
        <v>#N/A</v>
      </c>
    </row>
    <row r="2067" spans="1:7" x14ac:dyDescent="0.25">
      <c r="A2067" s="1" t="str">
        <f t="shared" si="655"/>
        <v/>
      </c>
      <c r="B2067" s="1" t="str">
        <f t="shared" si="656"/>
        <v/>
      </c>
      <c r="C2067" s="1" t="e">
        <f>VLOOKUP(B2067,'Master truck list'!D:E,2,0)</f>
        <v>#N/A</v>
      </c>
      <c r="D2067" s="1" t="e">
        <f>VLOOKUP(C2067,'Master truck list'!E:F,2,0)</f>
        <v>#N/A</v>
      </c>
      <c r="E2067" s="1" t="e">
        <f>VLOOKUP(C2067,'Master truck list'!E:M,9,0)</f>
        <v>#N/A</v>
      </c>
      <c r="F2067" s="1" t="e">
        <f>VLOOKUP(C2067,'Master truck list'!E:G,3,0)</f>
        <v>#N/A</v>
      </c>
      <c r="G2067" s="1" t="e">
        <f>VLOOKUP(C2067,'Master truck list'!E:R,14,0)</f>
        <v>#N/A</v>
      </c>
    </row>
    <row r="2068" spans="1:7" x14ac:dyDescent="0.25">
      <c r="A2068" s="1" t="str">
        <f t="shared" si="655"/>
        <v/>
      </c>
      <c r="B2068" s="1" t="str">
        <f t="shared" si="656"/>
        <v/>
      </c>
      <c r="C2068" s="1" t="e">
        <f>VLOOKUP(B2068,'Master truck list'!D:E,2,0)</f>
        <v>#N/A</v>
      </c>
      <c r="D2068" s="1" t="e">
        <f>VLOOKUP(C2068,'Master truck list'!E:F,2,0)</f>
        <v>#N/A</v>
      </c>
      <c r="E2068" s="1" t="e">
        <f>VLOOKUP(C2068,'Master truck list'!E:M,9,0)</f>
        <v>#N/A</v>
      </c>
      <c r="F2068" s="1" t="e">
        <f>VLOOKUP(C2068,'Master truck list'!E:G,3,0)</f>
        <v>#N/A</v>
      </c>
      <c r="G2068" s="1" t="e">
        <f>VLOOKUP(C2068,'Master truck list'!E:R,14,0)</f>
        <v>#N/A</v>
      </c>
    </row>
    <row r="2069" spans="1:7" x14ac:dyDescent="0.25">
      <c r="A2069" s="1" t="str">
        <f t="shared" si="655"/>
        <v/>
      </c>
      <c r="B2069" s="1" t="str">
        <f t="shared" si="656"/>
        <v/>
      </c>
      <c r="C2069" s="1" t="e">
        <f>VLOOKUP(B2069,'Master truck list'!D:E,2,0)</f>
        <v>#N/A</v>
      </c>
      <c r="D2069" s="1" t="e">
        <f>VLOOKUP(C2069,'Master truck list'!E:F,2,0)</f>
        <v>#N/A</v>
      </c>
      <c r="E2069" s="1" t="e">
        <f>VLOOKUP(C2069,'Master truck list'!E:M,9,0)</f>
        <v>#N/A</v>
      </c>
      <c r="F2069" s="1" t="e">
        <f>VLOOKUP(C2069,'Master truck list'!E:G,3,0)</f>
        <v>#N/A</v>
      </c>
      <c r="G2069" s="1" t="e">
        <f>VLOOKUP(C2069,'Master truck list'!E:R,14,0)</f>
        <v>#N/A</v>
      </c>
    </row>
    <row r="2070" spans="1:7" x14ac:dyDescent="0.25">
      <c r="A2070" s="1" t="str">
        <f t="shared" si="655"/>
        <v/>
      </c>
      <c r="B2070" s="1" t="str">
        <f t="shared" si="656"/>
        <v/>
      </c>
      <c r="C2070" s="1" t="e">
        <f>VLOOKUP(B2070,'Master truck list'!D:E,2,0)</f>
        <v>#N/A</v>
      </c>
      <c r="D2070" s="1" t="e">
        <f>VLOOKUP(C2070,'Master truck list'!E:F,2,0)</f>
        <v>#N/A</v>
      </c>
      <c r="E2070" s="1" t="e">
        <f>VLOOKUP(C2070,'Master truck list'!E:M,9,0)</f>
        <v>#N/A</v>
      </c>
      <c r="F2070" s="1" t="e">
        <f>VLOOKUP(C2070,'Master truck list'!E:G,3,0)</f>
        <v>#N/A</v>
      </c>
      <c r="G2070" s="1" t="e">
        <f>VLOOKUP(C2070,'Master truck list'!E:R,14,0)</f>
        <v>#N/A</v>
      </c>
    </row>
    <row r="2071" spans="1:7" x14ac:dyDescent="0.25">
      <c r="A2071" s="1" t="str">
        <f t="shared" si="655"/>
        <v/>
      </c>
      <c r="B2071" s="1" t="str">
        <f t="shared" si="656"/>
        <v/>
      </c>
      <c r="C2071" s="1" t="e">
        <f>VLOOKUP(B2071,'Master truck list'!D:E,2,0)</f>
        <v>#N/A</v>
      </c>
      <c r="D2071" s="1" t="e">
        <f>VLOOKUP(C2071,'Master truck list'!E:F,2,0)</f>
        <v>#N/A</v>
      </c>
      <c r="E2071" s="1" t="e">
        <f>VLOOKUP(C2071,'Master truck list'!E:M,9,0)</f>
        <v>#N/A</v>
      </c>
      <c r="F2071" s="1" t="e">
        <f>VLOOKUP(C2071,'Master truck list'!E:G,3,0)</f>
        <v>#N/A</v>
      </c>
      <c r="G2071" s="1" t="e">
        <f>VLOOKUP(C2071,'Master truck list'!E:R,14,0)</f>
        <v>#N/A</v>
      </c>
    </row>
    <row r="2072" spans="1:7" x14ac:dyDescent="0.25">
      <c r="A2072" s="1" t="str">
        <f t="shared" si="655"/>
        <v/>
      </c>
      <c r="B2072" s="1" t="str">
        <f t="shared" si="656"/>
        <v/>
      </c>
      <c r="C2072" s="1" t="e">
        <f>VLOOKUP(B2072,'Master truck list'!D:E,2,0)</f>
        <v>#N/A</v>
      </c>
      <c r="D2072" s="1" t="e">
        <f>VLOOKUP(C2072,'Master truck list'!E:F,2,0)</f>
        <v>#N/A</v>
      </c>
      <c r="E2072" s="1" t="e">
        <f>VLOOKUP(C2072,'Master truck list'!E:M,9,0)</f>
        <v>#N/A</v>
      </c>
      <c r="F2072" s="1" t="e">
        <f>VLOOKUP(C2072,'Master truck list'!E:G,3,0)</f>
        <v>#N/A</v>
      </c>
      <c r="G2072" s="1" t="e">
        <f>VLOOKUP(C2072,'Master truck list'!E:R,14,0)</f>
        <v>#N/A</v>
      </c>
    </row>
    <row r="2073" spans="1:7" x14ac:dyDescent="0.25">
      <c r="A2073" s="1" t="str">
        <f t="shared" si="655"/>
        <v/>
      </c>
      <c r="B2073" s="1" t="str">
        <f t="shared" si="656"/>
        <v/>
      </c>
      <c r="C2073" s="1" t="e">
        <f>VLOOKUP(B2073,'Master truck list'!D:E,2,0)</f>
        <v>#N/A</v>
      </c>
      <c r="D2073" s="1" t="e">
        <f>VLOOKUP(C2073,'Master truck list'!E:F,2,0)</f>
        <v>#N/A</v>
      </c>
      <c r="E2073" s="1" t="e">
        <f>VLOOKUP(C2073,'Master truck list'!E:M,9,0)</f>
        <v>#N/A</v>
      </c>
      <c r="F2073" s="1" t="e">
        <f>VLOOKUP(C2073,'Master truck list'!E:G,3,0)</f>
        <v>#N/A</v>
      </c>
      <c r="G2073" s="1" t="e">
        <f>VLOOKUP(C2073,'Master truck list'!E:R,14,0)</f>
        <v>#N/A</v>
      </c>
    </row>
    <row r="2074" spans="1:7" x14ac:dyDescent="0.25">
      <c r="A2074" s="1" t="str">
        <f t="shared" si="655"/>
        <v/>
      </c>
      <c r="B2074" s="1" t="str">
        <f t="shared" si="656"/>
        <v/>
      </c>
      <c r="C2074" s="1" t="e">
        <f>VLOOKUP(B2074,'Master truck list'!D:E,2,0)</f>
        <v>#N/A</v>
      </c>
      <c r="D2074" s="1" t="e">
        <f>VLOOKUP(C2074,'Master truck list'!E:F,2,0)</f>
        <v>#N/A</v>
      </c>
      <c r="E2074" s="1" t="e">
        <f>VLOOKUP(C2074,'Master truck list'!E:M,9,0)</f>
        <v>#N/A</v>
      </c>
      <c r="F2074" s="1" t="e">
        <f>VLOOKUP(C2074,'Master truck list'!E:G,3,0)</f>
        <v>#N/A</v>
      </c>
      <c r="G2074" s="1" t="e">
        <f>VLOOKUP(C2074,'Master truck list'!E:R,14,0)</f>
        <v>#N/A</v>
      </c>
    </row>
    <row r="2075" spans="1:7" x14ac:dyDescent="0.25">
      <c r="A2075" s="1" t="str">
        <f t="shared" si="655"/>
        <v/>
      </c>
      <c r="B2075" s="1" t="str">
        <f t="shared" si="656"/>
        <v/>
      </c>
      <c r="C2075" s="1" t="e">
        <f>VLOOKUP(B2075,'Master truck list'!D:E,2,0)</f>
        <v>#N/A</v>
      </c>
      <c r="D2075" s="1" t="e">
        <f>VLOOKUP(C2075,'Master truck list'!E:F,2,0)</f>
        <v>#N/A</v>
      </c>
      <c r="E2075" s="1" t="e">
        <f>VLOOKUP(C2075,'Master truck list'!E:M,9,0)</f>
        <v>#N/A</v>
      </c>
      <c r="F2075" s="1" t="e">
        <f>VLOOKUP(C2075,'Master truck list'!E:G,3,0)</f>
        <v>#N/A</v>
      </c>
      <c r="G2075" s="1" t="e">
        <f>VLOOKUP(C2075,'Master truck list'!E:R,14,0)</f>
        <v>#N/A</v>
      </c>
    </row>
    <row r="2076" spans="1:7" x14ac:dyDescent="0.25">
      <c r="A2076" s="1" t="str">
        <f t="shared" si="655"/>
        <v/>
      </c>
      <c r="B2076" s="1" t="str">
        <f t="shared" si="656"/>
        <v/>
      </c>
      <c r="C2076" s="1" t="e">
        <f>VLOOKUP(B2076,'Master truck list'!D:E,2,0)</f>
        <v>#N/A</v>
      </c>
      <c r="D2076" s="1" t="e">
        <f>VLOOKUP(C2076,'Master truck list'!E:F,2,0)</f>
        <v>#N/A</v>
      </c>
      <c r="E2076" s="1" t="e">
        <f>VLOOKUP(C2076,'Master truck list'!E:M,9,0)</f>
        <v>#N/A</v>
      </c>
      <c r="F2076" s="1" t="e">
        <f>VLOOKUP(C2076,'Master truck list'!E:G,3,0)</f>
        <v>#N/A</v>
      </c>
      <c r="G2076" s="1" t="e">
        <f>VLOOKUP(C2076,'Master truck list'!E:R,14,0)</f>
        <v>#N/A</v>
      </c>
    </row>
    <row r="2077" spans="1:7" x14ac:dyDescent="0.25">
      <c r="A2077" s="1" t="str">
        <f t="shared" si="655"/>
        <v/>
      </c>
      <c r="B2077" s="1" t="str">
        <f t="shared" si="656"/>
        <v/>
      </c>
      <c r="C2077" s="1" t="e">
        <f>VLOOKUP(B2077,'Master truck list'!D:E,2,0)</f>
        <v>#N/A</v>
      </c>
      <c r="D2077" s="1" t="e">
        <f>VLOOKUP(C2077,'Master truck list'!E:F,2,0)</f>
        <v>#N/A</v>
      </c>
      <c r="E2077" s="1" t="e">
        <f>VLOOKUP(C2077,'Master truck list'!E:M,9,0)</f>
        <v>#N/A</v>
      </c>
      <c r="F2077" s="1" t="e">
        <f>VLOOKUP(C2077,'Master truck list'!E:G,3,0)</f>
        <v>#N/A</v>
      </c>
      <c r="G2077" s="1" t="e">
        <f>VLOOKUP(C2077,'Master truck list'!E:R,14,0)</f>
        <v>#N/A</v>
      </c>
    </row>
    <row r="2078" spans="1:7" x14ac:dyDescent="0.25">
      <c r="A2078" s="1" t="str">
        <f t="shared" si="655"/>
        <v/>
      </c>
      <c r="B2078" s="1" t="str">
        <f t="shared" si="656"/>
        <v/>
      </c>
      <c r="C2078" s="1" t="e">
        <f>VLOOKUP(B2078,'Master truck list'!D:E,2,0)</f>
        <v>#N/A</v>
      </c>
      <c r="D2078" s="1" t="e">
        <f>VLOOKUP(C2078,'Master truck list'!E:F,2,0)</f>
        <v>#N/A</v>
      </c>
      <c r="E2078" s="1" t="e">
        <f>VLOOKUP(C2078,'Master truck list'!E:M,9,0)</f>
        <v>#N/A</v>
      </c>
      <c r="F2078" s="1" t="e">
        <f>VLOOKUP(C2078,'Master truck list'!E:G,3,0)</f>
        <v>#N/A</v>
      </c>
      <c r="G2078" s="1" t="e">
        <f>VLOOKUP(C2078,'Master truck list'!E:R,14,0)</f>
        <v>#N/A</v>
      </c>
    </row>
    <row r="2079" spans="1:7" x14ac:dyDescent="0.25">
      <c r="A2079" s="1" t="str">
        <f t="shared" si="655"/>
        <v/>
      </c>
      <c r="B2079" s="1" t="str">
        <f t="shared" si="656"/>
        <v/>
      </c>
      <c r="C2079" s="1" t="e">
        <f>VLOOKUP(B2079,'Master truck list'!D:E,2,0)</f>
        <v>#N/A</v>
      </c>
      <c r="D2079" s="1" t="e">
        <f>VLOOKUP(C2079,'Master truck list'!E:F,2,0)</f>
        <v>#N/A</v>
      </c>
      <c r="E2079" s="1" t="e">
        <f>VLOOKUP(C2079,'Master truck list'!E:M,9,0)</f>
        <v>#N/A</v>
      </c>
      <c r="F2079" s="1" t="e">
        <f>VLOOKUP(C2079,'Master truck list'!E:G,3,0)</f>
        <v>#N/A</v>
      </c>
      <c r="G2079" s="1" t="e">
        <f>VLOOKUP(C2079,'Master truck list'!E:R,14,0)</f>
        <v>#N/A</v>
      </c>
    </row>
    <row r="2080" spans="1:7" x14ac:dyDescent="0.25">
      <c r="A2080" s="1" t="str">
        <f t="shared" si="655"/>
        <v/>
      </c>
      <c r="B2080" s="1" t="str">
        <f t="shared" si="656"/>
        <v/>
      </c>
      <c r="C2080" s="1" t="e">
        <f>VLOOKUP(B2080,'Master truck list'!D:E,2,0)</f>
        <v>#N/A</v>
      </c>
      <c r="D2080" s="1" t="e">
        <f>VLOOKUP(C2080,'Master truck list'!E:F,2,0)</f>
        <v>#N/A</v>
      </c>
      <c r="E2080" s="1" t="e">
        <f>VLOOKUP(C2080,'Master truck list'!E:M,9,0)</f>
        <v>#N/A</v>
      </c>
      <c r="F2080" s="1" t="e">
        <f>VLOOKUP(C2080,'Master truck list'!E:G,3,0)</f>
        <v>#N/A</v>
      </c>
      <c r="G2080" s="1" t="e">
        <f>VLOOKUP(C2080,'Master truck list'!E:R,14,0)</f>
        <v>#N/A</v>
      </c>
    </row>
    <row r="2081" spans="1:7" x14ac:dyDescent="0.25">
      <c r="A2081" s="1" t="str">
        <f t="shared" si="655"/>
        <v/>
      </c>
      <c r="B2081" s="1" t="str">
        <f t="shared" si="656"/>
        <v/>
      </c>
      <c r="C2081" s="1" t="e">
        <f>VLOOKUP(B2081,'Master truck list'!D:E,2,0)</f>
        <v>#N/A</v>
      </c>
      <c r="D2081" s="1" t="e">
        <f>VLOOKUP(C2081,'Master truck list'!E:F,2,0)</f>
        <v>#N/A</v>
      </c>
      <c r="E2081" s="1" t="e">
        <f>VLOOKUP(C2081,'Master truck list'!E:M,9,0)</f>
        <v>#N/A</v>
      </c>
      <c r="F2081" s="1" t="e">
        <f>VLOOKUP(C2081,'Master truck list'!E:G,3,0)</f>
        <v>#N/A</v>
      </c>
      <c r="G2081" s="1" t="e">
        <f>VLOOKUP(C2081,'Master truck list'!E:R,14,0)</f>
        <v>#N/A</v>
      </c>
    </row>
    <row r="2082" spans="1:7" x14ac:dyDescent="0.25">
      <c r="A2082" s="1" t="str">
        <f t="shared" si="655"/>
        <v/>
      </c>
      <c r="B2082" s="1" t="str">
        <f t="shared" si="656"/>
        <v/>
      </c>
      <c r="C2082" s="1" t="e">
        <f>VLOOKUP(B2082,'Master truck list'!D:E,2,0)</f>
        <v>#N/A</v>
      </c>
      <c r="D2082" s="1" t="e">
        <f>VLOOKUP(C2082,'Master truck list'!E:F,2,0)</f>
        <v>#N/A</v>
      </c>
      <c r="E2082" s="1" t="e">
        <f>VLOOKUP(C2082,'Master truck list'!E:M,9,0)</f>
        <v>#N/A</v>
      </c>
      <c r="F2082" s="1" t="e">
        <f>VLOOKUP(C2082,'Master truck list'!E:G,3,0)</f>
        <v>#N/A</v>
      </c>
      <c r="G2082" s="1" t="e">
        <f>VLOOKUP(C2082,'Master truck list'!E:R,14,0)</f>
        <v>#N/A</v>
      </c>
    </row>
    <row r="2083" spans="1:7" x14ac:dyDescent="0.25">
      <c r="A2083" s="1" t="str">
        <f t="shared" si="655"/>
        <v/>
      </c>
      <c r="B2083" s="1" t="str">
        <f t="shared" si="656"/>
        <v/>
      </c>
      <c r="C2083" s="1" t="e">
        <f>VLOOKUP(B2083,'Master truck list'!D:E,2,0)</f>
        <v>#N/A</v>
      </c>
      <c r="D2083" s="1" t="e">
        <f>VLOOKUP(C2083,'Master truck list'!E:F,2,0)</f>
        <v>#N/A</v>
      </c>
      <c r="E2083" s="1" t="e">
        <f>VLOOKUP(C2083,'Master truck list'!E:M,9,0)</f>
        <v>#N/A</v>
      </c>
      <c r="F2083" s="1" t="e">
        <f>VLOOKUP(C2083,'Master truck list'!E:G,3,0)</f>
        <v>#N/A</v>
      </c>
      <c r="G2083" s="1" t="e">
        <f>VLOOKUP(C2083,'Master truck list'!E:R,14,0)</f>
        <v>#N/A</v>
      </c>
    </row>
    <row r="2084" spans="1:7" x14ac:dyDescent="0.25">
      <c r="A2084" s="1" t="str">
        <f t="shared" ref="A2084:A2147" si="657">LEFT(N2286,5)</f>
        <v/>
      </c>
      <c r="B2084" s="1" t="str">
        <f t="shared" si="656"/>
        <v/>
      </c>
      <c r="C2084" s="1" t="e">
        <f>VLOOKUP(B2084,'Master truck list'!D:E,2,0)</f>
        <v>#N/A</v>
      </c>
      <c r="D2084" s="1" t="e">
        <f>VLOOKUP(C2084,'Master truck list'!E:F,2,0)</f>
        <v>#N/A</v>
      </c>
      <c r="E2084" s="1" t="e">
        <f>VLOOKUP(C2084,'Master truck list'!E:M,9,0)</f>
        <v>#N/A</v>
      </c>
      <c r="F2084" s="1" t="e">
        <f>VLOOKUP(C2084,'Master truck list'!E:G,3,0)</f>
        <v>#N/A</v>
      </c>
      <c r="G2084" s="1" t="e">
        <f>VLOOKUP(C2084,'Master truck list'!E:R,14,0)</f>
        <v>#N/A</v>
      </c>
    </row>
    <row r="2085" spans="1:7" x14ac:dyDescent="0.25">
      <c r="A2085" s="1" t="str">
        <f t="shared" si="657"/>
        <v/>
      </c>
      <c r="B2085" s="1" t="str">
        <f t="shared" si="656"/>
        <v/>
      </c>
      <c r="C2085" s="1" t="e">
        <f>VLOOKUP(B2085,'Master truck list'!D:E,2,0)</f>
        <v>#N/A</v>
      </c>
      <c r="D2085" s="1" t="e">
        <f>VLOOKUP(C2085,'Master truck list'!E:F,2,0)</f>
        <v>#N/A</v>
      </c>
      <c r="E2085" s="1" t="e">
        <f>VLOOKUP(C2085,'Master truck list'!E:M,9,0)</f>
        <v>#N/A</v>
      </c>
      <c r="F2085" s="1" t="e">
        <f>VLOOKUP(C2085,'Master truck list'!E:G,3,0)</f>
        <v>#N/A</v>
      </c>
      <c r="G2085" s="1" t="e">
        <f>VLOOKUP(C2085,'Master truck list'!E:R,14,0)</f>
        <v>#N/A</v>
      </c>
    </row>
    <row r="2086" spans="1:7" x14ac:dyDescent="0.25">
      <c r="A2086" s="1" t="str">
        <f t="shared" si="657"/>
        <v/>
      </c>
      <c r="B2086" s="1" t="str">
        <f t="shared" si="656"/>
        <v/>
      </c>
      <c r="C2086" s="1" t="e">
        <f>VLOOKUP(B2086,'Master truck list'!D:E,2,0)</f>
        <v>#N/A</v>
      </c>
      <c r="D2086" s="1" t="e">
        <f>VLOOKUP(C2086,'Master truck list'!E:F,2,0)</f>
        <v>#N/A</v>
      </c>
      <c r="E2086" s="1" t="e">
        <f>VLOOKUP(C2086,'Master truck list'!E:M,9,0)</f>
        <v>#N/A</v>
      </c>
      <c r="F2086" s="1" t="e">
        <f>VLOOKUP(C2086,'Master truck list'!E:G,3,0)</f>
        <v>#N/A</v>
      </c>
      <c r="G2086" s="1" t="e">
        <f>VLOOKUP(C2086,'Master truck list'!E:R,14,0)</f>
        <v>#N/A</v>
      </c>
    </row>
    <row r="2087" spans="1:7" x14ac:dyDescent="0.25">
      <c r="A2087" s="1" t="str">
        <f t="shared" si="657"/>
        <v/>
      </c>
      <c r="B2087" s="1" t="str">
        <f t="shared" si="656"/>
        <v/>
      </c>
      <c r="C2087" s="1" t="e">
        <f>VLOOKUP(B2087,'Master truck list'!D:E,2,0)</f>
        <v>#N/A</v>
      </c>
      <c r="D2087" s="1" t="e">
        <f>VLOOKUP(C2087,'Master truck list'!E:F,2,0)</f>
        <v>#N/A</v>
      </c>
      <c r="E2087" s="1" t="e">
        <f>VLOOKUP(C2087,'Master truck list'!E:M,9,0)</f>
        <v>#N/A</v>
      </c>
      <c r="F2087" s="1" t="e">
        <f>VLOOKUP(C2087,'Master truck list'!E:G,3,0)</f>
        <v>#N/A</v>
      </c>
      <c r="G2087" s="1" t="e">
        <f>VLOOKUP(C2087,'Master truck list'!E:R,14,0)</f>
        <v>#N/A</v>
      </c>
    </row>
    <row r="2088" spans="1:7" x14ac:dyDescent="0.25">
      <c r="A2088" s="1" t="str">
        <f t="shared" si="657"/>
        <v/>
      </c>
      <c r="B2088" s="1" t="str">
        <f t="shared" si="656"/>
        <v/>
      </c>
      <c r="C2088" s="1" t="e">
        <f>VLOOKUP(B2088,'Master truck list'!D:E,2,0)</f>
        <v>#N/A</v>
      </c>
      <c r="D2088" s="1" t="e">
        <f>VLOOKUP(C2088,'Master truck list'!E:F,2,0)</f>
        <v>#N/A</v>
      </c>
      <c r="E2088" s="1" t="e">
        <f>VLOOKUP(C2088,'Master truck list'!E:M,9,0)</f>
        <v>#N/A</v>
      </c>
      <c r="F2088" s="1" t="e">
        <f>VLOOKUP(C2088,'Master truck list'!E:G,3,0)</f>
        <v>#N/A</v>
      </c>
      <c r="G2088" s="1" t="e">
        <f>VLOOKUP(C2088,'Master truck list'!E:R,14,0)</f>
        <v>#N/A</v>
      </c>
    </row>
    <row r="2089" spans="1:7" x14ac:dyDescent="0.25">
      <c r="A2089" s="1" t="str">
        <f t="shared" si="657"/>
        <v/>
      </c>
      <c r="B2089" s="1" t="str">
        <f t="shared" si="656"/>
        <v/>
      </c>
      <c r="C2089" s="1" t="e">
        <f>VLOOKUP(B2089,'Master truck list'!D:E,2,0)</f>
        <v>#N/A</v>
      </c>
      <c r="D2089" s="1" t="e">
        <f>VLOOKUP(C2089,'Master truck list'!E:F,2,0)</f>
        <v>#N/A</v>
      </c>
      <c r="E2089" s="1" t="e">
        <f>VLOOKUP(C2089,'Master truck list'!E:M,9,0)</f>
        <v>#N/A</v>
      </c>
      <c r="F2089" s="1" t="e">
        <f>VLOOKUP(C2089,'Master truck list'!E:G,3,0)</f>
        <v>#N/A</v>
      </c>
      <c r="G2089" s="1" t="e">
        <f>VLOOKUP(C2089,'Master truck list'!E:R,14,0)</f>
        <v>#N/A</v>
      </c>
    </row>
    <row r="2090" spans="1:7" x14ac:dyDescent="0.25">
      <c r="A2090" s="1" t="str">
        <f t="shared" si="657"/>
        <v/>
      </c>
      <c r="B2090" s="1" t="str">
        <f t="shared" si="656"/>
        <v/>
      </c>
      <c r="C2090" s="1" t="e">
        <f>VLOOKUP(B2090,'Master truck list'!D:E,2,0)</f>
        <v>#N/A</v>
      </c>
      <c r="D2090" s="1" t="e">
        <f>VLOOKUP(C2090,'Master truck list'!E:F,2,0)</f>
        <v>#N/A</v>
      </c>
      <c r="E2090" s="1" t="e">
        <f>VLOOKUP(C2090,'Master truck list'!E:M,9,0)</f>
        <v>#N/A</v>
      </c>
      <c r="F2090" s="1" t="e">
        <f>VLOOKUP(C2090,'Master truck list'!E:G,3,0)</f>
        <v>#N/A</v>
      </c>
      <c r="G2090" s="1" t="e">
        <f>VLOOKUP(C2090,'Master truck list'!E:R,14,0)</f>
        <v>#N/A</v>
      </c>
    </row>
    <row r="2091" spans="1:7" x14ac:dyDescent="0.25">
      <c r="A2091" s="1" t="str">
        <f t="shared" si="657"/>
        <v/>
      </c>
      <c r="B2091" s="1" t="str">
        <f t="shared" si="656"/>
        <v/>
      </c>
      <c r="C2091" s="1" t="e">
        <f>VLOOKUP(B2091,'Master truck list'!D:E,2,0)</f>
        <v>#N/A</v>
      </c>
      <c r="D2091" s="1" t="e">
        <f>VLOOKUP(C2091,'Master truck list'!E:F,2,0)</f>
        <v>#N/A</v>
      </c>
      <c r="E2091" s="1" t="e">
        <f>VLOOKUP(C2091,'Master truck list'!E:M,9,0)</f>
        <v>#N/A</v>
      </c>
      <c r="F2091" s="1" t="e">
        <f>VLOOKUP(C2091,'Master truck list'!E:G,3,0)</f>
        <v>#N/A</v>
      </c>
      <c r="G2091" s="1" t="e">
        <f>VLOOKUP(C2091,'Master truck list'!E:R,14,0)</f>
        <v>#N/A</v>
      </c>
    </row>
    <row r="2092" spans="1:7" x14ac:dyDescent="0.25">
      <c r="A2092" s="1" t="str">
        <f t="shared" si="657"/>
        <v/>
      </c>
      <c r="B2092" s="1" t="str">
        <f t="shared" si="656"/>
        <v/>
      </c>
      <c r="C2092" s="1" t="e">
        <f>VLOOKUP(B2092,'Master truck list'!D:E,2,0)</f>
        <v>#N/A</v>
      </c>
      <c r="D2092" s="1" t="e">
        <f>VLOOKUP(C2092,'Master truck list'!E:F,2,0)</f>
        <v>#N/A</v>
      </c>
      <c r="E2092" s="1" t="e">
        <f>VLOOKUP(C2092,'Master truck list'!E:M,9,0)</f>
        <v>#N/A</v>
      </c>
      <c r="F2092" s="1" t="e">
        <f>VLOOKUP(C2092,'Master truck list'!E:G,3,0)</f>
        <v>#N/A</v>
      </c>
      <c r="G2092" s="1" t="e">
        <f>VLOOKUP(C2092,'Master truck list'!E:R,14,0)</f>
        <v>#N/A</v>
      </c>
    </row>
    <row r="2093" spans="1:7" x14ac:dyDescent="0.25">
      <c r="A2093" s="1" t="str">
        <f t="shared" si="657"/>
        <v/>
      </c>
      <c r="B2093" s="1" t="str">
        <f t="shared" si="656"/>
        <v/>
      </c>
      <c r="C2093" s="1" t="e">
        <f>VLOOKUP(B2093,'Master truck list'!D:E,2,0)</f>
        <v>#N/A</v>
      </c>
      <c r="D2093" s="1" t="e">
        <f>VLOOKUP(C2093,'Master truck list'!E:F,2,0)</f>
        <v>#N/A</v>
      </c>
      <c r="E2093" s="1" t="e">
        <f>VLOOKUP(C2093,'Master truck list'!E:M,9,0)</f>
        <v>#N/A</v>
      </c>
      <c r="F2093" s="1" t="e">
        <f>VLOOKUP(C2093,'Master truck list'!E:G,3,0)</f>
        <v>#N/A</v>
      </c>
      <c r="G2093" s="1" t="e">
        <f>VLOOKUP(C2093,'Master truck list'!E:R,14,0)</f>
        <v>#N/A</v>
      </c>
    </row>
    <row r="2094" spans="1:7" x14ac:dyDescent="0.25">
      <c r="A2094" s="1" t="str">
        <f t="shared" si="657"/>
        <v/>
      </c>
      <c r="B2094" s="1" t="str">
        <f t="shared" si="656"/>
        <v/>
      </c>
      <c r="C2094" s="1" t="e">
        <f>VLOOKUP(B2094,'Master truck list'!D:E,2,0)</f>
        <v>#N/A</v>
      </c>
      <c r="D2094" s="1" t="e">
        <f>VLOOKUP(C2094,'Master truck list'!E:F,2,0)</f>
        <v>#N/A</v>
      </c>
      <c r="E2094" s="1" t="e">
        <f>VLOOKUP(C2094,'Master truck list'!E:M,9,0)</f>
        <v>#N/A</v>
      </c>
      <c r="F2094" s="1" t="e">
        <f>VLOOKUP(C2094,'Master truck list'!E:G,3,0)</f>
        <v>#N/A</v>
      </c>
      <c r="G2094" s="1" t="e">
        <f>VLOOKUP(C2094,'Master truck list'!E:R,14,0)</f>
        <v>#N/A</v>
      </c>
    </row>
    <row r="2095" spans="1:7" x14ac:dyDescent="0.25">
      <c r="A2095" s="1" t="str">
        <f t="shared" si="657"/>
        <v/>
      </c>
      <c r="B2095" s="1" t="str">
        <f t="shared" si="656"/>
        <v/>
      </c>
      <c r="C2095" s="1" t="e">
        <f>VLOOKUP(B2095,'Master truck list'!D:E,2,0)</f>
        <v>#N/A</v>
      </c>
      <c r="D2095" s="1" t="e">
        <f>VLOOKUP(C2095,'Master truck list'!E:F,2,0)</f>
        <v>#N/A</v>
      </c>
      <c r="E2095" s="1" t="e">
        <f>VLOOKUP(C2095,'Master truck list'!E:M,9,0)</f>
        <v>#N/A</v>
      </c>
      <c r="F2095" s="1" t="e">
        <f>VLOOKUP(C2095,'Master truck list'!E:G,3,0)</f>
        <v>#N/A</v>
      </c>
      <c r="G2095" s="1" t="e">
        <f>VLOOKUP(C2095,'Master truck list'!E:R,14,0)</f>
        <v>#N/A</v>
      </c>
    </row>
    <row r="2096" spans="1:7" x14ac:dyDescent="0.25">
      <c r="A2096" s="1" t="str">
        <f t="shared" si="657"/>
        <v/>
      </c>
      <c r="B2096" s="1" t="str">
        <f t="shared" si="656"/>
        <v/>
      </c>
      <c r="C2096" s="1" t="e">
        <f>VLOOKUP(B2096,'Master truck list'!D:E,2,0)</f>
        <v>#N/A</v>
      </c>
      <c r="D2096" s="1" t="e">
        <f>VLOOKUP(C2096,'Master truck list'!E:F,2,0)</f>
        <v>#N/A</v>
      </c>
      <c r="E2096" s="1" t="e">
        <f>VLOOKUP(C2096,'Master truck list'!E:M,9,0)</f>
        <v>#N/A</v>
      </c>
      <c r="F2096" s="1" t="e">
        <f>VLOOKUP(C2096,'Master truck list'!E:G,3,0)</f>
        <v>#N/A</v>
      </c>
      <c r="G2096" s="1" t="e">
        <f>VLOOKUP(C2096,'Master truck list'!E:R,14,0)</f>
        <v>#N/A</v>
      </c>
    </row>
    <row r="2097" spans="1:7" x14ac:dyDescent="0.25">
      <c r="A2097" s="1" t="str">
        <f t="shared" si="657"/>
        <v/>
      </c>
      <c r="B2097" s="1" t="str">
        <f t="shared" si="656"/>
        <v/>
      </c>
      <c r="C2097" s="1" t="e">
        <f>VLOOKUP(B2097,'Master truck list'!D:E,2,0)</f>
        <v>#N/A</v>
      </c>
      <c r="D2097" s="1" t="e">
        <f>VLOOKUP(C2097,'Master truck list'!E:F,2,0)</f>
        <v>#N/A</v>
      </c>
      <c r="E2097" s="1" t="e">
        <f>VLOOKUP(C2097,'Master truck list'!E:M,9,0)</f>
        <v>#N/A</v>
      </c>
      <c r="F2097" s="1" t="e">
        <f>VLOOKUP(C2097,'Master truck list'!E:G,3,0)</f>
        <v>#N/A</v>
      </c>
      <c r="G2097" s="1" t="e">
        <f>VLOOKUP(C2097,'Master truck list'!E:R,14,0)</f>
        <v>#N/A</v>
      </c>
    </row>
    <row r="2098" spans="1:7" x14ac:dyDescent="0.25">
      <c r="A2098" s="1" t="str">
        <f t="shared" si="657"/>
        <v/>
      </c>
      <c r="B2098" s="1" t="str">
        <f t="shared" si="656"/>
        <v/>
      </c>
      <c r="C2098" s="1" t="e">
        <f>VLOOKUP(B2098,'Master truck list'!D:E,2,0)</f>
        <v>#N/A</v>
      </c>
      <c r="D2098" s="1" t="e">
        <f>VLOOKUP(C2098,'Master truck list'!E:F,2,0)</f>
        <v>#N/A</v>
      </c>
      <c r="E2098" s="1" t="e">
        <f>VLOOKUP(C2098,'Master truck list'!E:M,9,0)</f>
        <v>#N/A</v>
      </c>
      <c r="F2098" s="1" t="e">
        <f>VLOOKUP(C2098,'Master truck list'!E:G,3,0)</f>
        <v>#N/A</v>
      </c>
      <c r="G2098" s="1" t="e">
        <f>VLOOKUP(C2098,'Master truck list'!E:R,14,0)</f>
        <v>#N/A</v>
      </c>
    </row>
    <row r="2099" spans="1:7" x14ac:dyDescent="0.25">
      <c r="A2099" s="1" t="str">
        <f t="shared" si="657"/>
        <v/>
      </c>
      <c r="B2099" s="1" t="str">
        <f t="shared" si="656"/>
        <v/>
      </c>
      <c r="C2099" s="1" t="e">
        <f>VLOOKUP(B2099,'Master truck list'!D:E,2,0)</f>
        <v>#N/A</v>
      </c>
      <c r="D2099" s="1" t="e">
        <f>VLOOKUP(C2099,'Master truck list'!E:F,2,0)</f>
        <v>#N/A</v>
      </c>
      <c r="E2099" s="1" t="e">
        <f>VLOOKUP(C2099,'Master truck list'!E:M,9,0)</f>
        <v>#N/A</v>
      </c>
      <c r="F2099" s="1" t="e">
        <f>VLOOKUP(C2099,'Master truck list'!E:G,3,0)</f>
        <v>#N/A</v>
      </c>
      <c r="G2099" s="1" t="e">
        <f>VLOOKUP(C2099,'Master truck list'!E:R,14,0)</f>
        <v>#N/A</v>
      </c>
    </row>
    <row r="2100" spans="1:7" x14ac:dyDescent="0.25">
      <c r="A2100" s="1" t="str">
        <f t="shared" si="657"/>
        <v/>
      </c>
      <c r="B2100" s="1" t="str">
        <f t="shared" si="656"/>
        <v/>
      </c>
      <c r="C2100" s="1" t="e">
        <f>VLOOKUP(B2100,'Master truck list'!D:E,2,0)</f>
        <v>#N/A</v>
      </c>
      <c r="D2100" s="1" t="e">
        <f>VLOOKUP(C2100,'Master truck list'!E:F,2,0)</f>
        <v>#N/A</v>
      </c>
      <c r="E2100" s="1" t="e">
        <f>VLOOKUP(C2100,'Master truck list'!E:M,9,0)</f>
        <v>#N/A</v>
      </c>
      <c r="F2100" s="1" t="e">
        <f>VLOOKUP(C2100,'Master truck list'!E:G,3,0)</f>
        <v>#N/A</v>
      </c>
      <c r="G2100" s="1" t="e">
        <f>VLOOKUP(C2100,'Master truck list'!E:R,14,0)</f>
        <v>#N/A</v>
      </c>
    </row>
    <row r="2101" spans="1:7" x14ac:dyDescent="0.25">
      <c r="A2101" s="1" t="str">
        <f t="shared" si="657"/>
        <v/>
      </c>
      <c r="B2101" s="1" t="str">
        <f t="shared" si="656"/>
        <v/>
      </c>
      <c r="C2101" s="1" t="e">
        <f>VLOOKUP(B2101,'Master truck list'!D:E,2,0)</f>
        <v>#N/A</v>
      </c>
      <c r="D2101" s="1" t="e">
        <f>VLOOKUP(C2101,'Master truck list'!E:F,2,0)</f>
        <v>#N/A</v>
      </c>
      <c r="E2101" s="1" t="e">
        <f>VLOOKUP(C2101,'Master truck list'!E:M,9,0)</f>
        <v>#N/A</v>
      </c>
      <c r="F2101" s="1" t="e">
        <f>VLOOKUP(C2101,'Master truck list'!E:G,3,0)</f>
        <v>#N/A</v>
      </c>
      <c r="G2101" s="1" t="e">
        <f>VLOOKUP(C2101,'Master truck list'!E:R,14,0)</f>
        <v>#N/A</v>
      </c>
    </row>
    <row r="2102" spans="1:7" x14ac:dyDescent="0.25">
      <c r="A2102" s="1" t="str">
        <f t="shared" si="657"/>
        <v/>
      </c>
      <c r="B2102" s="1" t="str">
        <f t="shared" si="656"/>
        <v/>
      </c>
      <c r="C2102" s="1" t="e">
        <f>VLOOKUP(B2102,'Master truck list'!D:E,2,0)</f>
        <v>#N/A</v>
      </c>
      <c r="D2102" s="1" t="e">
        <f>VLOOKUP(C2102,'Master truck list'!E:F,2,0)</f>
        <v>#N/A</v>
      </c>
      <c r="E2102" s="1" t="e">
        <f>VLOOKUP(C2102,'Master truck list'!E:M,9,0)</f>
        <v>#N/A</v>
      </c>
      <c r="F2102" s="1" t="e">
        <f>VLOOKUP(C2102,'Master truck list'!E:G,3,0)</f>
        <v>#N/A</v>
      </c>
      <c r="G2102" s="1" t="e">
        <f>VLOOKUP(C2102,'Master truck list'!E:R,14,0)</f>
        <v>#N/A</v>
      </c>
    </row>
    <row r="2103" spans="1:7" x14ac:dyDescent="0.25">
      <c r="A2103" s="1" t="str">
        <f t="shared" si="657"/>
        <v/>
      </c>
      <c r="B2103" s="1" t="str">
        <f t="shared" si="656"/>
        <v/>
      </c>
      <c r="C2103" s="1" t="e">
        <f>VLOOKUP(B2103,'Master truck list'!D:E,2,0)</f>
        <v>#N/A</v>
      </c>
      <c r="D2103" s="1" t="e">
        <f>VLOOKUP(C2103,'Master truck list'!E:F,2,0)</f>
        <v>#N/A</v>
      </c>
      <c r="E2103" s="1" t="e">
        <f>VLOOKUP(C2103,'Master truck list'!E:M,9,0)</f>
        <v>#N/A</v>
      </c>
      <c r="F2103" s="1" t="e">
        <f>VLOOKUP(C2103,'Master truck list'!E:G,3,0)</f>
        <v>#N/A</v>
      </c>
      <c r="G2103" s="1" t="e">
        <f>VLOOKUP(C2103,'Master truck list'!E:R,14,0)</f>
        <v>#N/A</v>
      </c>
    </row>
    <row r="2104" spans="1:7" x14ac:dyDescent="0.25">
      <c r="A2104" s="1" t="str">
        <f t="shared" si="657"/>
        <v/>
      </c>
      <c r="B2104" s="1" t="str">
        <f t="shared" si="656"/>
        <v/>
      </c>
      <c r="C2104" s="1" t="e">
        <f>VLOOKUP(B2104,'Master truck list'!D:E,2,0)</f>
        <v>#N/A</v>
      </c>
      <c r="D2104" s="1" t="e">
        <f>VLOOKUP(C2104,'Master truck list'!E:F,2,0)</f>
        <v>#N/A</v>
      </c>
      <c r="E2104" s="1" t="e">
        <f>VLOOKUP(C2104,'Master truck list'!E:M,9,0)</f>
        <v>#N/A</v>
      </c>
      <c r="F2104" s="1" t="e">
        <f>VLOOKUP(C2104,'Master truck list'!E:G,3,0)</f>
        <v>#N/A</v>
      </c>
      <c r="G2104" s="1" t="e">
        <f>VLOOKUP(C2104,'Master truck list'!E:R,14,0)</f>
        <v>#N/A</v>
      </c>
    </row>
    <row r="2105" spans="1:7" x14ac:dyDescent="0.25">
      <c r="A2105" s="1" t="str">
        <f t="shared" si="657"/>
        <v/>
      </c>
      <c r="B2105" s="1" t="str">
        <f t="shared" ref="B2105:B2168" si="658">SUBSTITUTE(A2105," ","")</f>
        <v/>
      </c>
      <c r="C2105" s="1" t="e">
        <f>VLOOKUP(B2105,'Master truck list'!D:E,2,0)</f>
        <v>#N/A</v>
      </c>
      <c r="D2105" s="1" t="e">
        <f>VLOOKUP(C2105,'Master truck list'!E:F,2,0)</f>
        <v>#N/A</v>
      </c>
      <c r="E2105" s="1" t="e">
        <f>VLOOKUP(C2105,'Master truck list'!E:M,9,0)</f>
        <v>#N/A</v>
      </c>
      <c r="F2105" s="1" t="e">
        <f>VLOOKUP(C2105,'Master truck list'!E:G,3,0)</f>
        <v>#N/A</v>
      </c>
      <c r="G2105" s="1" t="e">
        <f>VLOOKUP(C2105,'Master truck list'!E:R,14,0)</f>
        <v>#N/A</v>
      </c>
    </row>
    <row r="2106" spans="1:7" x14ac:dyDescent="0.25">
      <c r="A2106" s="1" t="str">
        <f t="shared" si="657"/>
        <v/>
      </c>
      <c r="B2106" s="1" t="str">
        <f t="shared" si="658"/>
        <v/>
      </c>
      <c r="C2106" s="1" t="e">
        <f>VLOOKUP(B2106,'Master truck list'!D:E,2,0)</f>
        <v>#N/A</v>
      </c>
      <c r="D2106" s="1" t="e">
        <f>VLOOKUP(C2106,'Master truck list'!E:F,2,0)</f>
        <v>#N/A</v>
      </c>
      <c r="E2106" s="1" t="e">
        <f>VLOOKUP(C2106,'Master truck list'!E:M,9,0)</f>
        <v>#N/A</v>
      </c>
      <c r="F2106" s="1" t="e">
        <f>VLOOKUP(C2106,'Master truck list'!E:G,3,0)</f>
        <v>#N/A</v>
      </c>
      <c r="G2106" s="1" t="e">
        <f>VLOOKUP(C2106,'Master truck list'!E:R,14,0)</f>
        <v>#N/A</v>
      </c>
    </row>
    <row r="2107" spans="1:7" x14ac:dyDescent="0.25">
      <c r="A2107" s="1" t="str">
        <f t="shared" si="657"/>
        <v/>
      </c>
      <c r="B2107" s="1" t="str">
        <f t="shared" si="658"/>
        <v/>
      </c>
      <c r="C2107" s="1" t="e">
        <f>VLOOKUP(B2107,'Master truck list'!D:E,2,0)</f>
        <v>#N/A</v>
      </c>
      <c r="D2107" s="1" t="e">
        <f>VLOOKUP(C2107,'Master truck list'!E:F,2,0)</f>
        <v>#N/A</v>
      </c>
      <c r="E2107" s="1" t="e">
        <f>VLOOKUP(C2107,'Master truck list'!E:M,9,0)</f>
        <v>#N/A</v>
      </c>
      <c r="F2107" s="1" t="e">
        <f>VLOOKUP(C2107,'Master truck list'!E:G,3,0)</f>
        <v>#N/A</v>
      </c>
      <c r="G2107" s="1" t="e">
        <f>VLOOKUP(C2107,'Master truck list'!E:R,14,0)</f>
        <v>#N/A</v>
      </c>
    </row>
    <row r="2108" spans="1:7" x14ac:dyDescent="0.25">
      <c r="A2108" s="1" t="str">
        <f t="shared" si="657"/>
        <v/>
      </c>
      <c r="B2108" s="1" t="str">
        <f t="shared" si="658"/>
        <v/>
      </c>
      <c r="C2108" s="1" t="e">
        <f>VLOOKUP(B2108,'Master truck list'!D:E,2,0)</f>
        <v>#N/A</v>
      </c>
      <c r="D2108" s="1" t="e">
        <f>VLOOKUP(C2108,'Master truck list'!E:F,2,0)</f>
        <v>#N/A</v>
      </c>
      <c r="E2108" s="1" t="e">
        <f>VLOOKUP(C2108,'Master truck list'!E:M,9,0)</f>
        <v>#N/A</v>
      </c>
      <c r="F2108" s="1" t="e">
        <f>VLOOKUP(C2108,'Master truck list'!E:G,3,0)</f>
        <v>#N/A</v>
      </c>
      <c r="G2108" s="1" t="e">
        <f>VLOOKUP(C2108,'Master truck list'!E:R,14,0)</f>
        <v>#N/A</v>
      </c>
    </row>
    <row r="2109" spans="1:7" x14ac:dyDescent="0.25">
      <c r="A2109" s="1" t="str">
        <f t="shared" si="657"/>
        <v/>
      </c>
      <c r="B2109" s="1" t="str">
        <f t="shared" si="658"/>
        <v/>
      </c>
      <c r="C2109" s="1" t="e">
        <f>VLOOKUP(B2109,'Master truck list'!D:E,2,0)</f>
        <v>#N/A</v>
      </c>
      <c r="D2109" s="1" t="e">
        <f>VLOOKUP(C2109,'Master truck list'!E:F,2,0)</f>
        <v>#N/A</v>
      </c>
      <c r="E2109" s="1" t="e">
        <f>VLOOKUP(C2109,'Master truck list'!E:M,9,0)</f>
        <v>#N/A</v>
      </c>
      <c r="F2109" s="1" t="e">
        <f>VLOOKUP(C2109,'Master truck list'!E:G,3,0)</f>
        <v>#N/A</v>
      </c>
      <c r="G2109" s="1" t="e">
        <f>VLOOKUP(C2109,'Master truck list'!E:R,14,0)</f>
        <v>#N/A</v>
      </c>
    </row>
    <row r="2110" spans="1:7" x14ac:dyDescent="0.25">
      <c r="A2110" s="1" t="str">
        <f t="shared" si="657"/>
        <v/>
      </c>
      <c r="B2110" s="1" t="str">
        <f t="shared" si="658"/>
        <v/>
      </c>
      <c r="C2110" s="1" t="e">
        <f>VLOOKUP(B2110,'Master truck list'!D:E,2,0)</f>
        <v>#N/A</v>
      </c>
      <c r="D2110" s="1" t="e">
        <f>VLOOKUP(C2110,'Master truck list'!E:F,2,0)</f>
        <v>#N/A</v>
      </c>
      <c r="E2110" s="1" t="e">
        <f>VLOOKUP(C2110,'Master truck list'!E:M,9,0)</f>
        <v>#N/A</v>
      </c>
      <c r="F2110" s="1" t="e">
        <f>VLOOKUP(C2110,'Master truck list'!E:G,3,0)</f>
        <v>#N/A</v>
      </c>
      <c r="G2110" s="1" t="e">
        <f>VLOOKUP(C2110,'Master truck list'!E:R,14,0)</f>
        <v>#N/A</v>
      </c>
    </row>
    <row r="2111" spans="1:7" x14ac:dyDescent="0.25">
      <c r="A2111" s="1" t="str">
        <f t="shared" si="657"/>
        <v/>
      </c>
      <c r="B2111" s="1" t="str">
        <f t="shared" si="658"/>
        <v/>
      </c>
      <c r="C2111" s="1" t="e">
        <f>VLOOKUP(B2111,'Master truck list'!D:E,2,0)</f>
        <v>#N/A</v>
      </c>
      <c r="D2111" s="1" t="e">
        <f>VLOOKUP(C2111,'Master truck list'!E:F,2,0)</f>
        <v>#N/A</v>
      </c>
      <c r="E2111" s="1" t="e">
        <f>VLOOKUP(C2111,'Master truck list'!E:M,9,0)</f>
        <v>#N/A</v>
      </c>
      <c r="F2111" s="1" t="e">
        <f>VLOOKUP(C2111,'Master truck list'!E:G,3,0)</f>
        <v>#N/A</v>
      </c>
      <c r="G2111" s="1" t="e">
        <f>VLOOKUP(C2111,'Master truck list'!E:R,14,0)</f>
        <v>#N/A</v>
      </c>
    </row>
    <row r="2112" spans="1:7" x14ac:dyDescent="0.25">
      <c r="A2112" s="1" t="str">
        <f t="shared" si="657"/>
        <v/>
      </c>
      <c r="B2112" s="1" t="str">
        <f t="shared" si="658"/>
        <v/>
      </c>
      <c r="C2112" s="1" t="e">
        <f>VLOOKUP(B2112,'Master truck list'!D:E,2,0)</f>
        <v>#N/A</v>
      </c>
      <c r="D2112" s="1" t="e">
        <f>VLOOKUP(C2112,'Master truck list'!E:F,2,0)</f>
        <v>#N/A</v>
      </c>
      <c r="E2112" s="1" t="e">
        <f>VLOOKUP(C2112,'Master truck list'!E:M,9,0)</f>
        <v>#N/A</v>
      </c>
      <c r="F2112" s="1" t="e">
        <f>VLOOKUP(C2112,'Master truck list'!E:G,3,0)</f>
        <v>#N/A</v>
      </c>
      <c r="G2112" s="1" t="e">
        <f>VLOOKUP(C2112,'Master truck list'!E:R,14,0)</f>
        <v>#N/A</v>
      </c>
    </row>
    <row r="2113" spans="1:7" x14ac:dyDescent="0.25">
      <c r="A2113" s="1" t="str">
        <f t="shared" si="657"/>
        <v/>
      </c>
      <c r="B2113" s="1" t="str">
        <f t="shared" si="658"/>
        <v/>
      </c>
      <c r="C2113" s="1" t="e">
        <f>VLOOKUP(B2113,'Master truck list'!D:E,2,0)</f>
        <v>#N/A</v>
      </c>
      <c r="D2113" s="1" t="e">
        <f>VLOOKUP(C2113,'Master truck list'!E:F,2,0)</f>
        <v>#N/A</v>
      </c>
      <c r="E2113" s="1" t="e">
        <f>VLOOKUP(C2113,'Master truck list'!E:M,9,0)</f>
        <v>#N/A</v>
      </c>
      <c r="F2113" s="1" t="e">
        <f>VLOOKUP(C2113,'Master truck list'!E:G,3,0)</f>
        <v>#N/A</v>
      </c>
      <c r="G2113" s="1" t="e">
        <f>VLOOKUP(C2113,'Master truck list'!E:R,14,0)</f>
        <v>#N/A</v>
      </c>
    </row>
    <row r="2114" spans="1:7" x14ac:dyDescent="0.25">
      <c r="A2114" s="1" t="str">
        <f t="shared" si="657"/>
        <v/>
      </c>
      <c r="B2114" s="1" t="str">
        <f t="shared" si="658"/>
        <v/>
      </c>
      <c r="C2114" s="1" t="e">
        <f>VLOOKUP(B2114,'Master truck list'!D:E,2,0)</f>
        <v>#N/A</v>
      </c>
      <c r="D2114" s="1" t="e">
        <f>VLOOKUP(C2114,'Master truck list'!E:F,2,0)</f>
        <v>#N/A</v>
      </c>
      <c r="E2114" s="1" t="e">
        <f>VLOOKUP(C2114,'Master truck list'!E:M,9,0)</f>
        <v>#N/A</v>
      </c>
      <c r="F2114" s="1" t="e">
        <f>VLOOKUP(C2114,'Master truck list'!E:G,3,0)</f>
        <v>#N/A</v>
      </c>
      <c r="G2114" s="1" t="e">
        <f>VLOOKUP(C2114,'Master truck list'!E:R,14,0)</f>
        <v>#N/A</v>
      </c>
    </row>
    <row r="2115" spans="1:7" x14ac:dyDescent="0.25">
      <c r="A2115" s="1" t="str">
        <f t="shared" si="657"/>
        <v/>
      </c>
      <c r="B2115" s="1" t="str">
        <f t="shared" si="658"/>
        <v/>
      </c>
      <c r="C2115" s="1" t="e">
        <f>VLOOKUP(B2115,'Master truck list'!D:E,2,0)</f>
        <v>#N/A</v>
      </c>
      <c r="D2115" s="1" t="e">
        <f>VLOOKUP(C2115,'Master truck list'!E:F,2,0)</f>
        <v>#N/A</v>
      </c>
      <c r="E2115" s="1" t="e">
        <f>VLOOKUP(C2115,'Master truck list'!E:M,9,0)</f>
        <v>#N/A</v>
      </c>
      <c r="F2115" s="1" t="e">
        <f>VLOOKUP(C2115,'Master truck list'!E:G,3,0)</f>
        <v>#N/A</v>
      </c>
      <c r="G2115" s="1" t="e">
        <f>VLOOKUP(C2115,'Master truck list'!E:R,14,0)</f>
        <v>#N/A</v>
      </c>
    </row>
    <row r="2116" spans="1:7" x14ac:dyDescent="0.25">
      <c r="A2116" s="1" t="str">
        <f t="shared" si="657"/>
        <v/>
      </c>
      <c r="B2116" s="1" t="str">
        <f t="shared" si="658"/>
        <v/>
      </c>
      <c r="C2116" s="1" t="e">
        <f>VLOOKUP(B2116,'Master truck list'!D:E,2,0)</f>
        <v>#N/A</v>
      </c>
      <c r="D2116" s="1" t="e">
        <f>VLOOKUP(C2116,'Master truck list'!E:F,2,0)</f>
        <v>#N/A</v>
      </c>
      <c r="E2116" s="1" t="e">
        <f>VLOOKUP(C2116,'Master truck list'!E:M,9,0)</f>
        <v>#N/A</v>
      </c>
      <c r="F2116" s="1" t="e">
        <f>VLOOKUP(C2116,'Master truck list'!E:G,3,0)</f>
        <v>#N/A</v>
      </c>
      <c r="G2116" s="1" t="e">
        <f>VLOOKUP(C2116,'Master truck list'!E:R,14,0)</f>
        <v>#N/A</v>
      </c>
    </row>
    <row r="2117" spans="1:7" x14ac:dyDescent="0.25">
      <c r="A2117" s="1" t="str">
        <f t="shared" si="657"/>
        <v/>
      </c>
      <c r="B2117" s="1" t="str">
        <f t="shared" si="658"/>
        <v/>
      </c>
      <c r="C2117" s="1" t="e">
        <f>VLOOKUP(B2117,'Master truck list'!D:E,2,0)</f>
        <v>#N/A</v>
      </c>
      <c r="D2117" s="1" t="e">
        <f>VLOOKUP(C2117,'Master truck list'!E:F,2,0)</f>
        <v>#N/A</v>
      </c>
      <c r="E2117" s="1" t="e">
        <f>VLOOKUP(C2117,'Master truck list'!E:M,9,0)</f>
        <v>#N/A</v>
      </c>
      <c r="F2117" s="1" t="e">
        <f>VLOOKUP(C2117,'Master truck list'!E:G,3,0)</f>
        <v>#N/A</v>
      </c>
      <c r="G2117" s="1" t="e">
        <f>VLOOKUP(C2117,'Master truck list'!E:R,14,0)</f>
        <v>#N/A</v>
      </c>
    </row>
    <row r="2118" spans="1:7" x14ac:dyDescent="0.25">
      <c r="A2118" s="1" t="str">
        <f t="shared" si="657"/>
        <v/>
      </c>
      <c r="B2118" s="1" t="str">
        <f t="shared" si="658"/>
        <v/>
      </c>
      <c r="C2118" s="1" t="e">
        <f>VLOOKUP(B2118,'Master truck list'!D:E,2,0)</f>
        <v>#N/A</v>
      </c>
      <c r="D2118" s="1" t="e">
        <f>VLOOKUP(C2118,'Master truck list'!E:F,2,0)</f>
        <v>#N/A</v>
      </c>
      <c r="E2118" s="1" t="e">
        <f>VLOOKUP(C2118,'Master truck list'!E:M,9,0)</f>
        <v>#N/A</v>
      </c>
      <c r="F2118" s="1" t="e">
        <f>VLOOKUP(C2118,'Master truck list'!E:G,3,0)</f>
        <v>#N/A</v>
      </c>
      <c r="G2118" s="1" t="e">
        <f>VLOOKUP(C2118,'Master truck list'!E:R,14,0)</f>
        <v>#N/A</v>
      </c>
    </row>
    <row r="2119" spans="1:7" x14ac:dyDescent="0.25">
      <c r="A2119" s="1" t="str">
        <f t="shared" si="657"/>
        <v/>
      </c>
      <c r="B2119" s="1" t="str">
        <f t="shared" si="658"/>
        <v/>
      </c>
      <c r="C2119" s="1" t="e">
        <f>VLOOKUP(B2119,'Master truck list'!D:E,2,0)</f>
        <v>#N/A</v>
      </c>
      <c r="D2119" s="1" t="e">
        <f>VLOOKUP(C2119,'Master truck list'!E:F,2,0)</f>
        <v>#N/A</v>
      </c>
      <c r="E2119" s="1" t="e">
        <f>VLOOKUP(C2119,'Master truck list'!E:M,9,0)</f>
        <v>#N/A</v>
      </c>
      <c r="F2119" s="1" t="e">
        <f>VLOOKUP(C2119,'Master truck list'!E:G,3,0)</f>
        <v>#N/A</v>
      </c>
      <c r="G2119" s="1" t="e">
        <f>VLOOKUP(C2119,'Master truck list'!E:R,14,0)</f>
        <v>#N/A</v>
      </c>
    </row>
    <row r="2120" spans="1:7" x14ac:dyDescent="0.25">
      <c r="A2120" s="1" t="str">
        <f t="shared" si="657"/>
        <v/>
      </c>
      <c r="B2120" s="1" t="str">
        <f t="shared" si="658"/>
        <v/>
      </c>
      <c r="C2120" s="1" t="e">
        <f>VLOOKUP(B2120,'Master truck list'!D:E,2,0)</f>
        <v>#N/A</v>
      </c>
      <c r="D2120" s="1" t="e">
        <f>VLOOKUP(C2120,'Master truck list'!E:F,2,0)</f>
        <v>#N/A</v>
      </c>
      <c r="E2120" s="1" t="e">
        <f>VLOOKUP(C2120,'Master truck list'!E:M,9,0)</f>
        <v>#N/A</v>
      </c>
      <c r="F2120" s="1" t="e">
        <f>VLOOKUP(C2120,'Master truck list'!E:G,3,0)</f>
        <v>#N/A</v>
      </c>
      <c r="G2120" s="1" t="e">
        <f>VLOOKUP(C2120,'Master truck list'!E:R,14,0)</f>
        <v>#N/A</v>
      </c>
    </row>
    <row r="2121" spans="1:7" x14ac:dyDescent="0.25">
      <c r="A2121" s="1" t="str">
        <f t="shared" si="657"/>
        <v/>
      </c>
      <c r="B2121" s="1" t="str">
        <f t="shared" si="658"/>
        <v/>
      </c>
      <c r="C2121" s="1" t="e">
        <f>VLOOKUP(B2121,'Master truck list'!D:E,2,0)</f>
        <v>#N/A</v>
      </c>
      <c r="D2121" s="1" t="e">
        <f>VLOOKUP(C2121,'Master truck list'!E:F,2,0)</f>
        <v>#N/A</v>
      </c>
      <c r="E2121" s="1" t="e">
        <f>VLOOKUP(C2121,'Master truck list'!E:M,9,0)</f>
        <v>#N/A</v>
      </c>
      <c r="F2121" s="1" t="e">
        <f>VLOOKUP(C2121,'Master truck list'!E:G,3,0)</f>
        <v>#N/A</v>
      </c>
      <c r="G2121" s="1" t="e">
        <f>VLOOKUP(C2121,'Master truck list'!E:R,14,0)</f>
        <v>#N/A</v>
      </c>
    </row>
    <row r="2122" spans="1:7" x14ac:dyDescent="0.25">
      <c r="A2122" s="1" t="str">
        <f t="shared" si="657"/>
        <v/>
      </c>
      <c r="B2122" s="1" t="str">
        <f t="shared" si="658"/>
        <v/>
      </c>
      <c r="C2122" s="1" t="e">
        <f>VLOOKUP(B2122,'Master truck list'!D:E,2,0)</f>
        <v>#N/A</v>
      </c>
      <c r="D2122" s="1" t="e">
        <f>VLOOKUP(C2122,'Master truck list'!E:F,2,0)</f>
        <v>#N/A</v>
      </c>
      <c r="E2122" s="1" t="e">
        <f>VLOOKUP(C2122,'Master truck list'!E:M,9,0)</f>
        <v>#N/A</v>
      </c>
      <c r="F2122" s="1" t="e">
        <f>VLOOKUP(C2122,'Master truck list'!E:G,3,0)</f>
        <v>#N/A</v>
      </c>
      <c r="G2122" s="1" t="e">
        <f>VLOOKUP(C2122,'Master truck list'!E:R,14,0)</f>
        <v>#N/A</v>
      </c>
    </row>
    <row r="2123" spans="1:7" x14ac:dyDescent="0.25">
      <c r="A2123" s="1" t="str">
        <f t="shared" si="657"/>
        <v/>
      </c>
      <c r="B2123" s="1" t="str">
        <f t="shared" si="658"/>
        <v/>
      </c>
      <c r="C2123" s="1" t="e">
        <f>VLOOKUP(B2123,'Master truck list'!D:E,2,0)</f>
        <v>#N/A</v>
      </c>
      <c r="D2123" s="1" t="e">
        <f>VLOOKUP(C2123,'Master truck list'!E:F,2,0)</f>
        <v>#N/A</v>
      </c>
      <c r="E2123" s="1" t="e">
        <f>VLOOKUP(C2123,'Master truck list'!E:M,9,0)</f>
        <v>#N/A</v>
      </c>
      <c r="F2123" s="1" t="e">
        <f>VLOOKUP(C2123,'Master truck list'!E:G,3,0)</f>
        <v>#N/A</v>
      </c>
      <c r="G2123" s="1" t="e">
        <f>VLOOKUP(C2123,'Master truck list'!E:R,14,0)</f>
        <v>#N/A</v>
      </c>
    </row>
    <row r="2124" spans="1:7" x14ac:dyDescent="0.25">
      <c r="A2124" s="1" t="str">
        <f t="shared" si="657"/>
        <v/>
      </c>
      <c r="B2124" s="1" t="str">
        <f t="shared" si="658"/>
        <v/>
      </c>
      <c r="C2124" s="1" t="e">
        <f>VLOOKUP(B2124,'Master truck list'!D:E,2,0)</f>
        <v>#N/A</v>
      </c>
      <c r="D2124" s="1" t="e">
        <f>VLOOKUP(C2124,'Master truck list'!E:F,2,0)</f>
        <v>#N/A</v>
      </c>
      <c r="E2124" s="1" t="e">
        <f>VLOOKUP(C2124,'Master truck list'!E:M,9,0)</f>
        <v>#N/A</v>
      </c>
      <c r="F2124" s="1" t="e">
        <f>VLOOKUP(C2124,'Master truck list'!E:G,3,0)</f>
        <v>#N/A</v>
      </c>
      <c r="G2124" s="1" t="e">
        <f>VLOOKUP(C2124,'Master truck list'!E:R,14,0)</f>
        <v>#N/A</v>
      </c>
    </row>
    <row r="2125" spans="1:7" x14ac:dyDescent="0.25">
      <c r="A2125" s="1" t="str">
        <f t="shared" si="657"/>
        <v/>
      </c>
      <c r="B2125" s="1" t="str">
        <f t="shared" si="658"/>
        <v/>
      </c>
      <c r="C2125" s="1" t="e">
        <f>VLOOKUP(B2125,'Master truck list'!D:E,2,0)</f>
        <v>#N/A</v>
      </c>
      <c r="D2125" s="1" t="e">
        <f>VLOOKUP(C2125,'Master truck list'!E:F,2,0)</f>
        <v>#N/A</v>
      </c>
      <c r="E2125" s="1" t="e">
        <f>VLOOKUP(C2125,'Master truck list'!E:M,9,0)</f>
        <v>#N/A</v>
      </c>
      <c r="F2125" s="1" t="e">
        <f>VLOOKUP(C2125,'Master truck list'!E:G,3,0)</f>
        <v>#N/A</v>
      </c>
      <c r="G2125" s="1" t="e">
        <f>VLOOKUP(C2125,'Master truck list'!E:R,14,0)</f>
        <v>#N/A</v>
      </c>
    </row>
    <row r="2126" spans="1:7" x14ac:dyDescent="0.25">
      <c r="A2126" s="1" t="str">
        <f t="shared" si="657"/>
        <v/>
      </c>
      <c r="B2126" s="1" t="str">
        <f t="shared" si="658"/>
        <v/>
      </c>
      <c r="C2126" s="1" t="e">
        <f>VLOOKUP(B2126,'Master truck list'!D:E,2,0)</f>
        <v>#N/A</v>
      </c>
      <c r="D2126" s="1" t="e">
        <f>VLOOKUP(C2126,'Master truck list'!E:F,2,0)</f>
        <v>#N/A</v>
      </c>
      <c r="E2126" s="1" t="e">
        <f>VLOOKUP(C2126,'Master truck list'!E:M,9,0)</f>
        <v>#N/A</v>
      </c>
      <c r="F2126" s="1" t="e">
        <f>VLOOKUP(C2126,'Master truck list'!E:G,3,0)</f>
        <v>#N/A</v>
      </c>
      <c r="G2126" s="1" t="e">
        <f>VLOOKUP(C2126,'Master truck list'!E:R,14,0)</f>
        <v>#N/A</v>
      </c>
    </row>
    <row r="2127" spans="1:7" x14ac:dyDescent="0.25">
      <c r="A2127" s="1" t="str">
        <f t="shared" si="657"/>
        <v/>
      </c>
      <c r="B2127" s="1" t="str">
        <f t="shared" si="658"/>
        <v/>
      </c>
      <c r="C2127" s="1" t="e">
        <f>VLOOKUP(B2127,'Master truck list'!D:E,2,0)</f>
        <v>#N/A</v>
      </c>
      <c r="D2127" s="1" t="e">
        <f>VLOOKUP(C2127,'Master truck list'!E:F,2,0)</f>
        <v>#N/A</v>
      </c>
      <c r="E2127" s="1" t="e">
        <f>VLOOKUP(C2127,'Master truck list'!E:M,9,0)</f>
        <v>#N/A</v>
      </c>
      <c r="F2127" s="1" t="e">
        <f>VLOOKUP(C2127,'Master truck list'!E:G,3,0)</f>
        <v>#N/A</v>
      </c>
      <c r="G2127" s="1" t="e">
        <f>VLOOKUP(C2127,'Master truck list'!E:R,14,0)</f>
        <v>#N/A</v>
      </c>
    </row>
    <row r="2128" spans="1:7" x14ac:dyDescent="0.25">
      <c r="A2128" s="1" t="str">
        <f t="shared" si="657"/>
        <v/>
      </c>
      <c r="B2128" s="1" t="str">
        <f t="shared" si="658"/>
        <v/>
      </c>
      <c r="C2128" s="1" t="e">
        <f>VLOOKUP(B2128,'Master truck list'!D:E,2,0)</f>
        <v>#N/A</v>
      </c>
      <c r="D2128" s="1" t="e">
        <f>VLOOKUP(C2128,'Master truck list'!E:F,2,0)</f>
        <v>#N/A</v>
      </c>
      <c r="E2128" s="1" t="e">
        <f>VLOOKUP(C2128,'Master truck list'!E:M,9,0)</f>
        <v>#N/A</v>
      </c>
      <c r="F2128" s="1" t="e">
        <f>VLOOKUP(C2128,'Master truck list'!E:G,3,0)</f>
        <v>#N/A</v>
      </c>
      <c r="G2128" s="1" t="e">
        <f>VLOOKUP(C2128,'Master truck list'!E:R,14,0)</f>
        <v>#N/A</v>
      </c>
    </row>
    <row r="2129" spans="1:7" x14ac:dyDescent="0.25">
      <c r="A2129" s="1" t="str">
        <f t="shared" si="657"/>
        <v/>
      </c>
      <c r="B2129" s="1" t="str">
        <f t="shared" si="658"/>
        <v/>
      </c>
      <c r="C2129" s="1" t="e">
        <f>VLOOKUP(B2129,'Master truck list'!D:E,2,0)</f>
        <v>#N/A</v>
      </c>
      <c r="D2129" s="1" t="e">
        <f>VLOOKUP(C2129,'Master truck list'!E:F,2,0)</f>
        <v>#N/A</v>
      </c>
      <c r="E2129" s="1" t="e">
        <f>VLOOKUP(C2129,'Master truck list'!E:M,9,0)</f>
        <v>#N/A</v>
      </c>
      <c r="F2129" s="1" t="e">
        <f>VLOOKUP(C2129,'Master truck list'!E:G,3,0)</f>
        <v>#N/A</v>
      </c>
      <c r="G2129" s="1" t="e">
        <f>VLOOKUP(C2129,'Master truck list'!E:R,14,0)</f>
        <v>#N/A</v>
      </c>
    </row>
    <row r="2130" spans="1:7" x14ac:dyDescent="0.25">
      <c r="A2130" s="1" t="str">
        <f t="shared" si="657"/>
        <v/>
      </c>
      <c r="B2130" s="1" t="str">
        <f t="shared" si="658"/>
        <v/>
      </c>
      <c r="C2130" s="1" t="e">
        <f>VLOOKUP(B2130,'Master truck list'!D:E,2,0)</f>
        <v>#N/A</v>
      </c>
      <c r="D2130" s="1" t="e">
        <f>VLOOKUP(C2130,'Master truck list'!E:F,2,0)</f>
        <v>#N/A</v>
      </c>
      <c r="E2130" s="1" t="e">
        <f>VLOOKUP(C2130,'Master truck list'!E:M,9,0)</f>
        <v>#N/A</v>
      </c>
      <c r="F2130" s="1" t="e">
        <f>VLOOKUP(C2130,'Master truck list'!E:G,3,0)</f>
        <v>#N/A</v>
      </c>
      <c r="G2130" s="1" t="e">
        <f>VLOOKUP(C2130,'Master truck list'!E:R,14,0)</f>
        <v>#N/A</v>
      </c>
    </row>
    <row r="2131" spans="1:7" x14ac:dyDescent="0.25">
      <c r="A2131" s="1" t="str">
        <f t="shared" si="657"/>
        <v/>
      </c>
      <c r="B2131" s="1" t="str">
        <f t="shared" si="658"/>
        <v/>
      </c>
      <c r="C2131" s="1" t="e">
        <f>VLOOKUP(B2131,'Master truck list'!D:E,2,0)</f>
        <v>#N/A</v>
      </c>
      <c r="D2131" s="1" t="e">
        <f>VLOOKUP(C2131,'Master truck list'!E:F,2,0)</f>
        <v>#N/A</v>
      </c>
      <c r="E2131" s="1" t="e">
        <f>VLOOKUP(C2131,'Master truck list'!E:M,9,0)</f>
        <v>#N/A</v>
      </c>
      <c r="F2131" s="1" t="e">
        <f>VLOOKUP(C2131,'Master truck list'!E:G,3,0)</f>
        <v>#N/A</v>
      </c>
      <c r="G2131" s="1" t="e">
        <f>VLOOKUP(C2131,'Master truck list'!E:R,14,0)</f>
        <v>#N/A</v>
      </c>
    </row>
    <row r="2132" spans="1:7" x14ac:dyDescent="0.25">
      <c r="A2132" s="1" t="str">
        <f t="shared" si="657"/>
        <v/>
      </c>
      <c r="B2132" s="1" t="str">
        <f t="shared" si="658"/>
        <v/>
      </c>
      <c r="C2132" s="1" t="e">
        <f>VLOOKUP(B2132,'Master truck list'!D:E,2,0)</f>
        <v>#N/A</v>
      </c>
      <c r="D2132" s="1" t="e">
        <f>VLOOKUP(C2132,'Master truck list'!E:F,2,0)</f>
        <v>#N/A</v>
      </c>
      <c r="E2132" s="1" t="e">
        <f>VLOOKUP(C2132,'Master truck list'!E:M,9,0)</f>
        <v>#N/A</v>
      </c>
      <c r="F2132" s="1" t="e">
        <f>VLOOKUP(C2132,'Master truck list'!E:G,3,0)</f>
        <v>#N/A</v>
      </c>
      <c r="G2132" s="1" t="e">
        <f>VLOOKUP(C2132,'Master truck list'!E:R,14,0)</f>
        <v>#N/A</v>
      </c>
    </row>
    <row r="2133" spans="1:7" x14ac:dyDescent="0.25">
      <c r="A2133" s="1" t="str">
        <f t="shared" si="657"/>
        <v/>
      </c>
      <c r="B2133" s="1" t="str">
        <f t="shared" si="658"/>
        <v/>
      </c>
      <c r="C2133" s="1" t="e">
        <f>VLOOKUP(B2133,'Master truck list'!D:E,2,0)</f>
        <v>#N/A</v>
      </c>
      <c r="D2133" s="1" t="e">
        <f>VLOOKUP(C2133,'Master truck list'!E:F,2,0)</f>
        <v>#N/A</v>
      </c>
      <c r="E2133" s="1" t="e">
        <f>VLOOKUP(C2133,'Master truck list'!E:M,9,0)</f>
        <v>#N/A</v>
      </c>
      <c r="F2133" s="1" t="e">
        <f>VLOOKUP(C2133,'Master truck list'!E:G,3,0)</f>
        <v>#N/A</v>
      </c>
      <c r="G2133" s="1" t="e">
        <f>VLOOKUP(C2133,'Master truck list'!E:R,14,0)</f>
        <v>#N/A</v>
      </c>
    </row>
    <row r="2134" spans="1:7" x14ac:dyDescent="0.25">
      <c r="A2134" s="1" t="str">
        <f t="shared" si="657"/>
        <v/>
      </c>
      <c r="B2134" s="1" t="str">
        <f t="shared" si="658"/>
        <v/>
      </c>
      <c r="C2134" s="1" t="e">
        <f>VLOOKUP(B2134,'Master truck list'!D:E,2,0)</f>
        <v>#N/A</v>
      </c>
      <c r="D2134" s="1" t="e">
        <f>VLOOKUP(C2134,'Master truck list'!E:F,2,0)</f>
        <v>#N/A</v>
      </c>
      <c r="E2134" s="1" t="e">
        <f>VLOOKUP(C2134,'Master truck list'!E:M,9,0)</f>
        <v>#N/A</v>
      </c>
      <c r="F2134" s="1" t="e">
        <f>VLOOKUP(C2134,'Master truck list'!E:G,3,0)</f>
        <v>#N/A</v>
      </c>
      <c r="G2134" s="1" t="e">
        <f>VLOOKUP(C2134,'Master truck list'!E:R,14,0)</f>
        <v>#N/A</v>
      </c>
    </row>
    <row r="2135" spans="1:7" x14ac:dyDescent="0.25">
      <c r="A2135" s="1" t="str">
        <f t="shared" si="657"/>
        <v/>
      </c>
      <c r="B2135" s="1" t="str">
        <f t="shared" si="658"/>
        <v/>
      </c>
      <c r="C2135" s="1" t="e">
        <f>VLOOKUP(B2135,'Master truck list'!D:E,2,0)</f>
        <v>#N/A</v>
      </c>
      <c r="D2135" s="1" t="e">
        <f>VLOOKUP(C2135,'Master truck list'!E:F,2,0)</f>
        <v>#N/A</v>
      </c>
      <c r="E2135" s="1" t="e">
        <f>VLOOKUP(C2135,'Master truck list'!E:M,9,0)</f>
        <v>#N/A</v>
      </c>
      <c r="F2135" s="1" t="e">
        <f>VLOOKUP(C2135,'Master truck list'!E:G,3,0)</f>
        <v>#N/A</v>
      </c>
      <c r="G2135" s="1" t="e">
        <f>VLOOKUP(C2135,'Master truck list'!E:R,14,0)</f>
        <v>#N/A</v>
      </c>
    </row>
    <row r="2136" spans="1:7" x14ac:dyDescent="0.25">
      <c r="A2136" s="1" t="str">
        <f t="shared" si="657"/>
        <v/>
      </c>
      <c r="B2136" s="1" t="str">
        <f t="shared" si="658"/>
        <v/>
      </c>
      <c r="C2136" s="1" t="e">
        <f>VLOOKUP(B2136,'Master truck list'!D:E,2,0)</f>
        <v>#N/A</v>
      </c>
      <c r="D2136" s="1" t="e">
        <f>VLOOKUP(C2136,'Master truck list'!E:F,2,0)</f>
        <v>#N/A</v>
      </c>
      <c r="E2136" s="1" t="e">
        <f>VLOOKUP(C2136,'Master truck list'!E:M,9,0)</f>
        <v>#N/A</v>
      </c>
      <c r="F2136" s="1" t="e">
        <f>VLOOKUP(C2136,'Master truck list'!E:G,3,0)</f>
        <v>#N/A</v>
      </c>
      <c r="G2136" s="1" t="e">
        <f>VLOOKUP(C2136,'Master truck list'!E:R,14,0)</f>
        <v>#N/A</v>
      </c>
    </row>
    <row r="2137" spans="1:7" x14ac:dyDescent="0.25">
      <c r="A2137" s="1" t="str">
        <f t="shared" si="657"/>
        <v/>
      </c>
      <c r="B2137" s="1" t="str">
        <f t="shared" si="658"/>
        <v/>
      </c>
      <c r="C2137" s="1" t="e">
        <f>VLOOKUP(B2137,'Master truck list'!D:E,2,0)</f>
        <v>#N/A</v>
      </c>
      <c r="D2137" s="1" t="e">
        <f>VLOOKUP(C2137,'Master truck list'!E:F,2,0)</f>
        <v>#N/A</v>
      </c>
      <c r="E2137" s="1" t="e">
        <f>VLOOKUP(C2137,'Master truck list'!E:M,9,0)</f>
        <v>#N/A</v>
      </c>
      <c r="F2137" s="1" t="e">
        <f>VLOOKUP(C2137,'Master truck list'!E:G,3,0)</f>
        <v>#N/A</v>
      </c>
      <c r="G2137" s="1" t="e">
        <f>VLOOKUP(C2137,'Master truck list'!E:R,14,0)</f>
        <v>#N/A</v>
      </c>
    </row>
    <row r="2138" spans="1:7" x14ac:dyDescent="0.25">
      <c r="A2138" s="1" t="str">
        <f t="shared" si="657"/>
        <v/>
      </c>
      <c r="B2138" s="1" t="str">
        <f t="shared" si="658"/>
        <v/>
      </c>
      <c r="C2138" s="1" t="e">
        <f>VLOOKUP(B2138,'Master truck list'!D:E,2,0)</f>
        <v>#N/A</v>
      </c>
      <c r="D2138" s="1" t="e">
        <f>VLOOKUP(C2138,'Master truck list'!E:F,2,0)</f>
        <v>#N/A</v>
      </c>
      <c r="E2138" s="1" t="e">
        <f>VLOOKUP(C2138,'Master truck list'!E:M,9,0)</f>
        <v>#N/A</v>
      </c>
      <c r="F2138" s="1" t="e">
        <f>VLOOKUP(C2138,'Master truck list'!E:G,3,0)</f>
        <v>#N/A</v>
      </c>
      <c r="G2138" s="1" t="e">
        <f>VLOOKUP(C2138,'Master truck list'!E:R,14,0)</f>
        <v>#N/A</v>
      </c>
    </row>
    <row r="2139" spans="1:7" x14ac:dyDescent="0.25">
      <c r="A2139" s="1" t="str">
        <f t="shared" si="657"/>
        <v/>
      </c>
      <c r="B2139" s="1" t="str">
        <f t="shared" si="658"/>
        <v/>
      </c>
      <c r="C2139" s="1" t="e">
        <f>VLOOKUP(B2139,'Master truck list'!D:E,2,0)</f>
        <v>#N/A</v>
      </c>
      <c r="D2139" s="1" t="e">
        <f>VLOOKUP(C2139,'Master truck list'!E:F,2,0)</f>
        <v>#N/A</v>
      </c>
      <c r="E2139" s="1" t="e">
        <f>VLOOKUP(C2139,'Master truck list'!E:M,9,0)</f>
        <v>#N/A</v>
      </c>
      <c r="F2139" s="1" t="e">
        <f>VLOOKUP(C2139,'Master truck list'!E:G,3,0)</f>
        <v>#N/A</v>
      </c>
      <c r="G2139" s="1" t="e">
        <f>VLOOKUP(C2139,'Master truck list'!E:R,14,0)</f>
        <v>#N/A</v>
      </c>
    </row>
    <row r="2140" spans="1:7" x14ac:dyDescent="0.25">
      <c r="A2140" s="1" t="str">
        <f t="shared" si="657"/>
        <v/>
      </c>
      <c r="B2140" s="1" t="str">
        <f t="shared" si="658"/>
        <v/>
      </c>
      <c r="C2140" s="1" t="e">
        <f>VLOOKUP(B2140,'Master truck list'!D:E,2,0)</f>
        <v>#N/A</v>
      </c>
      <c r="D2140" s="1" t="e">
        <f>VLOOKUP(C2140,'Master truck list'!E:F,2,0)</f>
        <v>#N/A</v>
      </c>
      <c r="E2140" s="1" t="e">
        <f>VLOOKUP(C2140,'Master truck list'!E:M,9,0)</f>
        <v>#N/A</v>
      </c>
      <c r="F2140" s="1" t="e">
        <f>VLOOKUP(C2140,'Master truck list'!E:G,3,0)</f>
        <v>#N/A</v>
      </c>
      <c r="G2140" s="1" t="e">
        <f>VLOOKUP(C2140,'Master truck list'!E:R,14,0)</f>
        <v>#N/A</v>
      </c>
    </row>
    <row r="2141" spans="1:7" x14ac:dyDescent="0.25">
      <c r="A2141" s="1" t="str">
        <f t="shared" si="657"/>
        <v/>
      </c>
      <c r="B2141" s="1" t="str">
        <f t="shared" si="658"/>
        <v/>
      </c>
      <c r="C2141" s="1" t="e">
        <f>VLOOKUP(B2141,'Master truck list'!D:E,2,0)</f>
        <v>#N/A</v>
      </c>
      <c r="D2141" s="1" t="e">
        <f>VLOOKUP(C2141,'Master truck list'!E:F,2,0)</f>
        <v>#N/A</v>
      </c>
      <c r="E2141" s="1" t="e">
        <f>VLOOKUP(C2141,'Master truck list'!E:M,9,0)</f>
        <v>#N/A</v>
      </c>
      <c r="F2141" s="1" t="e">
        <f>VLOOKUP(C2141,'Master truck list'!E:G,3,0)</f>
        <v>#N/A</v>
      </c>
      <c r="G2141" s="1" t="e">
        <f>VLOOKUP(C2141,'Master truck list'!E:R,14,0)</f>
        <v>#N/A</v>
      </c>
    </row>
    <row r="2142" spans="1:7" x14ac:dyDescent="0.25">
      <c r="A2142" s="1" t="str">
        <f t="shared" si="657"/>
        <v/>
      </c>
      <c r="B2142" s="1" t="str">
        <f t="shared" si="658"/>
        <v/>
      </c>
      <c r="C2142" s="1" t="e">
        <f>VLOOKUP(B2142,'Master truck list'!D:E,2,0)</f>
        <v>#N/A</v>
      </c>
      <c r="D2142" s="1" t="e">
        <f>VLOOKUP(C2142,'Master truck list'!E:F,2,0)</f>
        <v>#N/A</v>
      </c>
      <c r="E2142" s="1" t="e">
        <f>VLOOKUP(C2142,'Master truck list'!E:M,9,0)</f>
        <v>#N/A</v>
      </c>
      <c r="F2142" s="1" t="e">
        <f>VLOOKUP(C2142,'Master truck list'!E:G,3,0)</f>
        <v>#N/A</v>
      </c>
      <c r="G2142" s="1" t="e">
        <f>VLOOKUP(C2142,'Master truck list'!E:R,14,0)</f>
        <v>#N/A</v>
      </c>
    </row>
    <row r="2143" spans="1:7" x14ac:dyDescent="0.25">
      <c r="A2143" s="1" t="str">
        <f t="shared" si="657"/>
        <v/>
      </c>
      <c r="B2143" s="1" t="str">
        <f t="shared" si="658"/>
        <v/>
      </c>
      <c r="C2143" s="1" t="e">
        <f>VLOOKUP(B2143,'Master truck list'!D:E,2,0)</f>
        <v>#N/A</v>
      </c>
      <c r="D2143" s="1" t="e">
        <f>VLOOKUP(C2143,'Master truck list'!E:F,2,0)</f>
        <v>#N/A</v>
      </c>
      <c r="E2143" s="1" t="e">
        <f>VLOOKUP(C2143,'Master truck list'!E:M,9,0)</f>
        <v>#N/A</v>
      </c>
      <c r="F2143" s="1" t="e">
        <f>VLOOKUP(C2143,'Master truck list'!E:G,3,0)</f>
        <v>#N/A</v>
      </c>
      <c r="G2143" s="1" t="e">
        <f>VLOOKUP(C2143,'Master truck list'!E:R,14,0)</f>
        <v>#N/A</v>
      </c>
    </row>
    <row r="2144" spans="1:7" x14ac:dyDescent="0.25">
      <c r="A2144" s="1" t="str">
        <f t="shared" si="657"/>
        <v/>
      </c>
      <c r="B2144" s="1" t="str">
        <f t="shared" si="658"/>
        <v/>
      </c>
      <c r="C2144" s="1" t="e">
        <f>VLOOKUP(B2144,'Master truck list'!D:E,2,0)</f>
        <v>#N/A</v>
      </c>
      <c r="D2144" s="1" t="e">
        <f>VLOOKUP(C2144,'Master truck list'!E:F,2,0)</f>
        <v>#N/A</v>
      </c>
      <c r="E2144" s="1" t="e">
        <f>VLOOKUP(C2144,'Master truck list'!E:M,9,0)</f>
        <v>#N/A</v>
      </c>
      <c r="F2144" s="1" t="e">
        <f>VLOOKUP(C2144,'Master truck list'!E:G,3,0)</f>
        <v>#N/A</v>
      </c>
      <c r="G2144" s="1" t="e">
        <f>VLOOKUP(C2144,'Master truck list'!E:R,14,0)</f>
        <v>#N/A</v>
      </c>
    </row>
    <row r="2145" spans="1:7" x14ac:dyDescent="0.25">
      <c r="A2145" s="1" t="str">
        <f t="shared" si="657"/>
        <v/>
      </c>
      <c r="B2145" s="1" t="str">
        <f t="shared" si="658"/>
        <v/>
      </c>
      <c r="C2145" s="1" t="e">
        <f>VLOOKUP(B2145,'Master truck list'!D:E,2,0)</f>
        <v>#N/A</v>
      </c>
      <c r="D2145" s="1" t="e">
        <f>VLOOKUP(C2145,'Master truck list'!E:F,2,0)</f>
        <v>#N/A</v>
      </c>
      <c r="E2145" s="1" t="e">
        <f>VLOOKUP(C2145,'Master truck list'!E:M,9,0)</f>
        <v>#N/A</v>
      </c>
      <c r="F2145" s="1" t="e">
        <f>VLOOKUP(C2145,'Master truck list'!E:G,3,0)</f>
        <v>#N/A</v>
      </c>
      <c r="G2145" s="1" t="e">
        <f>VLOOKUP(C2145,'Master truck list'!E:R,14,0)</f>
        <v>#N/A</v>
      </c>
    </row>
    <row r="2146" spans="1:7" x14ac:dyDescent="0.25">
      <c r="A2146" s="1" t="str">
        <f t="shared" si="657"/>
        <v/>
      </c>
      <c r="B2146" s="1" t="str">
        <f t="shared" si="658"/>
        <v/>
      </c>
      <c r="C2146" s="1" t="e">
        <f>VLOOKUP(B2146,'Master truck list'!D:E,2,0)</f>
        <v>#N/A</v>
      </c>
      <c r="D2146" s="1" t="e">
        <f>VLOOKUP(C2146,'Master truck list'!E:F,2,0)</f>
        <v>#N/A</v>
      </c>
      <c r="E2146" s="1" t="e">
        <f>VLOOKUP(C2146,'Master truck list'!E:M,9,0)</f>
        <v>#N/A</v>
      </c>
      <c r="F2146" s="1" t="e">
        <f>VLOOKUP(C2146,'Master truck list'!E:G,3,0)</f>
        <v>#N/A</v>
      </c>
      <c r="G2146" s="1" t="e">
        <f>VLOOKUP(C2146,'Master truck list'!E:R,14,0)</f>
        <v>#N/A</v>
      </c>
    </row>
    <row r="2147" spans="1:7" x14ac:dyDescent="0.25">
      <c r="A2147" s="1" t="str">
        <f t="shared" si="657"/>
        <v/>
      </c>
      <c r="B2147" s="1" t="str">
        <f t="shared" si="658"/>
        <v/>
      </c>
      <c r="C2147" s="1" t="e">
        <f>VLOOKUP(B2147,'Master truck list'!D:E,2,0)</f>
        <v>#N/A</v>
      </c>
      <c r="D2147" s="1" t="e">
        <f>VLOOKUP(C2147,'Master truck list'!E:F,2,0)</f>
        <v>#N/A</v>
      </c>
      <c r="E2147" s="1" t="e">
        <f>VLOOKUP(C2147,'Master truck list'!E:M,9,0)</f>
        <v>#N/A</v>
      </c>
      <c r="F2147" s="1" t="e">
        <f>VLOOKUP(C2147,'Master truck list'!E:G,3,0)</f>
        <v>#N/A</v>
      </c>
      <c r="G2147" s="1" t="e">
        <f>VLOOKUP(C2147,'Master truck list'!E:R,14,0)</f>
        <v>#N/A</v>
      </c>
    </row>
    <row r="2148" spans="1:7" x14ac:dyDescent="0.25">
      <c r="A2148" s="1" t="str">
        <f t="shared" ref="A2148:A2211" si="659">LEFT(N2350,5)</f>
        <v/>
      </c>
      <c r="B2148" s="1" t="str">
        <f t="shared" si="658"/>
        <v/>
      </c>
      <c r="C2148" s="1" t="e">
        <f>VLOOKUP(B2148,'Master truck list'!D:E,2,0)</f>
        <v>#N/A</v>
      </c>
      <c r="D2148" s="1" t="e">
        <f>VLOOKUP(C2148,'Master truck list'!E:F,2,0)</f>
        <v>#N/A</v>
      </c>
      <c r="E2148" s="1" t="e">
        <f>VLOOKUP(C2148,'Master truck list'!E:M,9,0)</f>
        <v>#N/A</v>
      </c>
      <c r="F2148" s="1" t="e">
        <f>VLOOKUP(C2148,'Master truck list'!E:G,3,0)</f>
        <v>#N/A</v>
      </c>
      <c r="G2148" s="1" t="e">
        <f>VLOOKUP(C2148,'Master truck list'!E:R,14,0)</f>
        <v>#N/A</v>
      </c>
    </row>
    <row r="2149" spans="1:7" x14ac:dyDescent="0.25">
      <c r="A2149" s="1" t="str">
        <f t="shared" si="659"/>
        <v/>
      </c>
      <c r="B2149" s="1" t="str">
        <f t="shared" si="658"/>
        <v/>
      </c>
      <c r="C2149" s="1" t="e">
        <f>VLOOKUP(B2149,'Master truck list'!D:E,2,0)</f>
        <v>#N/A</v>
      </c>
      <c r="D2149" s="1" t="e">
        <f>VLOOKUP(C2149,'Master truck list'!E:F,2,0)</f>
        <v>#N/A</v>
      </c>
      <c r="E2149" s="1" t="e">
        <f>VLOOKUP(C2149,'Master truck list'!E:M,9,0)</f>
        <v>#N/A</v>
      </c>
      <c r="F2149" s="1" t="e">
        <f>VLOOKUP(C2149,'Master truck list'!E:G,3,0)</f>
        <v>#N/A</v>
      </c>
      <c r="G2149" s="1" t="e">
        <f>VLOOKUP(C2149,'Master truck list'!E:R,14,0)</f>
        <v>#N/A</v>
      </c>
    </row>
    <row r="2150" spans="1:7" x14ac:dyDescent="0.25">
      <c r="A2150" s="1" t="str">
        <f t="shared" si="659"/>
        <v/>
      </c>
      <c r="B2150" s="1" t="str">
        <f t="shared" si="658"/>
        <v/>
      </c>
      <c r="C2150" s="1" t="e">
        <f>VLOOKUP(B2150,'Master truck list'!D:E,2,0)</f>
        <v>#N/A</v>
      </c>
      <c r="D2150" s="1" t="e">
        <f>VLOOKUP(C2150,'Master truck list'!E:F,2,0)</f>
        <v>#N/A</v>
      </c>
      <c r="E2150" s="1" t="e">
        <f>VLOOKUP(C2150,'Master truck list'!E:M,9,0)</f>
        <v>#N/A</v>
      </c>
      <c r="F2150" s="1" t="e">
        <f>VLOOKUP(C2150,'Master truck list'!E:G,3,0)</f>
        <v>#N/A</v>
      </c>
      <c r="G2150" s="1" t="e">
        <f>VLOOKUP(C2150,'Master truck list'!E:R,14,0)</f>
        <v>#N/A</v>
      </c>
    </row>
    <row r="2151" spans="1:7" x14ac:dyDescent="0.25">
      <c r="A2151" s="1" t="str">
        <f t="shared" si="659"/>
        <v/>
      </c>
      <c r="B2151" s="1" t="str">
        <f t="shared" si="658"/>
        <v/>
      </c>
      <c r="C2151" s="1" t="e">
        <f>VLOOKUP(B2151,'Master truck list'!D:E,2,0)</f>
        <v>#N/A</v>
      </c>
      <c r="D2151" s="1" t="e">
        <f>VLOOKUP(C2151,'Master truck list'!E:F,2,0)</f>
        <v>#N/A</v>
      </c>
      <c r="E2151" s="1" t="e">
        <f>VLOOKUP(C2151,'Master truck list'!E:M,9,0)</f>
        <v>#N/A</v>
      </c>
      <c r="F2151" s="1" t="e">
        <f>VLOOKUP(C2151,'Master truck list'!E:G,3,0)</f>
        <v>#N/A</v>
      </c>
      <c r="G2151" s="1" t="e">
        <f>VLOOKUP(C2151,'Master truck list'!E:R,14,0)</f>
        <v>#N/A</v>
      </c>
    </row>
    <row r="2152" spans="1:7" x14ac:dyDescent="0.25">
      <c r="A2152" s="1" t="str">
        <f t="shared" si="659"/>
        <v/>
      </c>
      <c r="B2152" s="1" t="str">
        <f t="shared" si="658"/>
        <v/>
      </c>
      <c r="C2152" s="1" t="e">
        <f>VLOOKUP(B2152,'Master truck list'!D:E,2,0)</f>
        <v>#N/A</v>
      </c>
      <c r="D2152" s="1" t="e">
        <f>VLOOKUP(C2152,'Master truck list'!E:F,2,0)</f>
        <v>#N/A</v>
      </c>
      <c r="E2152" s="1" t="e">
        <f>VLOOKUP(C2152,'Master truck list'!E:M,9,0)</f>
        <v>#N/A</v>
      </c>
      <c r="F2152" s="1" t="e">
        <f>VLOOKUP(C2152,'Master truck list'!E:G,3,0)</f>
        <v>#N/A</v>
      </c>
      <c r="G2152" s="1" t="e">
        <f>VLOOKUP(C2152,'Master truck list'!E:R,14,0)</f>
        <v>#N/A</v>
      </c>
    </row>
    <row r="2153" spans="1:7" x14ac:dyDescent="0.25">
      <c r="A2153" s="1" t="str">
        <f t="shared" si="659"/>
        <v/>
      </c>
      <c r="B2153" s="1" t="str">
        <f t="shared" si="658"/>
        <v/>
      </c>
      <c r="C2153" s="1" t="e">
        <f>VLOOKUP(B2153,'Master truck list'!D:E,2,0)</f>
        <v>#N/A</v>
      </c>
      <c r="D2153" s="1" t="e">
        <f>VLOOKUP(C2153,'Master truck list'!E:F,2,0)</f>
        <v>#N/A</v>
      </c>
      <c r="E2153" s="1" t="e">
        <f>VLOOKUP(C2153,'Master truck list'!E:M,9,0)</f>
        <v>#N/A</v>
      </c>
      <c r="F2153" s="1" t="e">
        <f>VLOOKUP(C2153,'Master truck list'!E:G,3,0)</f>
        <v>#N/A</v>
      </c>
      <c r="G2153" s="1" t="e">
        <f>VLOOKUP(C2153,'Master truck list'!E:R,14,0)</f>
        <v>#N/A</v>
      </c>
    </row>
    <row r="2154" spans="1:7" x14ac:dyDescent="0.25">
      <c r="A2154" s="1" t="str">
        <f t="shared" si="659"/>
        <v/>
      </c>
      <c r="B2154" s="1" t="str">
        <f t="shared" si="658"/>
        <v/>
      </c>
      <c r="C2154" s="1" t="e">
        <f>VLOOKUP(B2154,'Master truck list'!D:E,2,0)</f>
        <v>#N/A</v>
      </c>
      <c r="D2154" s="1" t="e">
        <f>VLOOKUP(C2154,'Master truck list'!E:F,2,0)</f>
        <v>#N/A</v>
      </c>
      <c r="E2154" s="1" t="e">
        <f>VLOOKUP(C2154,'Master truck list'!E:M,9,0)</f>
        <v>#N/A</v>
      </c>
      <c r="F2154" s="1" t="e">
        <f>VLOOKUP(C2154,'Master truck list'!E:G,3,0)</f>
        <v>#N/A</v>
      </c>
      <c r="G2154" s="1" t="e">
        <f>VLOOKUP(C2154,'Master truck list'!E:R,14,0)</f>
        <v>#N/A</v>
      </c>
    </row>
    <row r="2155" spans="1:7" x14ac:dyDescent="0.25">
      <c r="A2155" s="1" t="str">
        <f t="shared" si="659"/>
        <v/>
      </c>
      <c r="B2155" s="1" t="str">
        <f t="shared" si="658"/>
        <v/>
      </c>
      <c r="C2155" s="1" t="e">
        <f>VLOOKUP(B2155,'Master truck list'!D:E,2,0)</f>
        <v>#N/A</v>
      </c>
      <c r="D2155" s="1" t="e">
        <f>VLOOKUP(C2155,'Master truck list'!E:F,2,0)</f>
        <v>#N/A</v>
      </c>
      <c r="E2155" s="1" t="e">
        <f>VLOOKUP(C2155,'Master truck list'!E:M,9,0)</f>
        <v>#N/A</v>
      </c>
      <c r="F2155" s="1" t="e">
        <f>VLOOKUP(C2155,'Master truck list'!E:G,3,0)</f>
        <v>#N/A</v>
      </c>
      <c r="G2155" s="1" t="e">
        <f>VLOOKUP(C2155,'Master truck list'!E:R,14,0)</f>
        <v>#N/A</v>
      </c>
    </row>
    <row r="2156" spans="1:7" x14ac:dyDescent="0.25">
      <c r="A2156" s="1" t="str">
        <f t="shared" si="659"/>
        <v/>
      </c>
      <c r="B2156" s="1" t="str">
        <f t="shared" si="658"/>
        <v/>
      </c>
      <c r="C2156" s="1" t="e">
        <f>VLOOKUP(B2156,'Master truck list'!D:E,2,0)</f>
        <v>#N/A</v>
      </c>
      <c r="D2156" s="1" t="e">
        <f>VLOOKUP(C2156,'Master truck list'!E:F,2,0)</f>
        <v>#N/A</v>
      </c>
      <c r="E2156" s="1" t="e">
        <f>VLOOKUP(C2156,'Master truck list'!E:M,9,0)</f>
        <v>#N/A</v>
      </c>
      <c r="F2156" s="1" t="e">
        <f>VLOOKUP(C2156,'Master truck list'!E:G,3,0)</f>
        <v>#N/A</v>
      </c>
      <c r="G2156" s="1" t="e">
        <f>VLOOKUP(C2156,'Master truck list'!E:R,14,0)</f>
        <v>#N/A</v>
      </c>
    </row>
    <row r="2157" spans="1:7" x14ac:dyDescent="0.25">
      <c r="A2157" s="1" t="str">
        <f t="shared" si="659"/>
        <v/>
      </c>
      <c r="B2157" s="1" t="str">
        <f t="shared" si="658"/>
        <v/>
      </c>
      <c r="C2157" s="1" t="e">
        <f>VLOOKUP(B2157,'Master truck list'!D:E,2,0)</f>
        <v>#N/A</v>
      </c>
      <c r="D2157" s="1" t="e">
        <f>VLOOKUP(C2157,'Master truck list'!E:F,2,0)</f>
        <v>#N/A</v>
      </c>
      <c r="E2157" s="1" t="e">
        <f>VLOOKUP(C2157,'Master truck list'!E:M,9,0)</f>
        <v>#N/A</v>
      </c>
      <c r="F2157" s="1" t="e">
        <f>VLOOKUP(C2157,'Master truck list'!E:G,3,0)</f>
        <v>#N/A</v>
      </c>
      <c r="G2157" s="1" t="e">
        <f>VLOOKUP(C2157,'Master truck list'!E:R,14,0)</f>
        <v>#N/A</v>
      </c>
    </row>
    <row r="2158" spans="1:7" x14ac:dyDescent="0.25">
      <c r="A2158" s="1" t="str">
        <f t="shared" si="659"/>
        <v/>
      </c>
      <c r="B2158" s="1" t="str">
        <f t="shared" si="658"/>
        <v/>
      </c>
      <c r="C2158" s="1" t="e">
        <f>VLOOKUP(B2158,'Master truck list'!D:E,2,0)</f>
        <v>#N/A</v>
      </c>
      <c r="D2158" s="1" t="e">
        <f>VLOOKUP(C2158,'Master truck list'!E:F,2,0)</f>
        <v>#N/A</v>
      </c>
      <c r="E2158" s="1" t="e">
        <f>VLOOKUP(C2158,'Master truck list'!E:M,9,0)</f>
        <v>#N/A</v>
      </c>
      <c r="F2158" s="1" t="e">
        <f>VLOOKUP(C2158,'Master truck list'!E:G,3,0)</f>
        <v>#N/A</v>
      </c>
      <c r="G2158" s="1" t="e">
        <f>VLOOKUP(C2158,'Master truck list'!E:R,14,0)</f>
        <v>#N/A</v>
      </c>
    </row>
    <row r="2159" spans="1:7" x14ac:dyDescent="0.25">
      <c r="A2159" s="1" t="str">
        <f t="shared" si="659"/>
        <v/>
      </c>
      <c r="B2159" s="1" t="str">
        <f t="shared" si="658"/>
        <v/>
      </c>
      <c r="C2159" s="1" t="e">
        <f>VLOOKUP(B2159,'Master truck list'!D:E,2,0)</f>
        <v>#N/A</v>
      </c>
      <c r="D2159" s="1" t="e">
        <f>VLOOKUP(C2159,'Master truck list'!E:F,2,0)</f>
        <v>#N/A</v>
      </c>
      <c r="E2159" s="1" t="e">
        <f>VLOOKUP(C2159,'Master truck list'!E:M,9,0)</f>
        <v>#N/A</v>
      </c>
      <c r="F2159" s="1" t="e">
        <f>VLOOKUP(C2159,'Master truck list'!E:G,3,0)</f>
        <v>#N/A</v>
      </c>
      <c r="G2159" s="1" t="e">
        <f>VLOOKUP(C2159,'Master truck list'!E:R,14,0)</f>
        <v>#N/A</v>
      </c>
    </row>
    <row r="2160" spans="1:7" x14ac:dyDescent="0.25">
      <c r="A2160" s="1" t="str">
        <f t="shared" si="659"/>
        <v/>
      </c>
      <c r="B2160" s="1" t="str">
        <f t="shared" si="658"/>
        <v/>
      </c>
      <c r="C2160" s="1" t="e">
        <f>VLOOKUP(B2160,'Master truck list'!D:E,2,0)</f>
        <v>#N/A</v>
      </c>
      <c r="D2160" s="1" t="e">
        <f>VLOOKUP(C2160,'Master truck list'!E:F,2,0)</f>
        <v>#N/A</v>
      </c>
      <c r="E2160" s="1" t="e">
        <f>VLOOKUP(C2160,'Master truck list'!E:M,9,0)</f>
        <v>#N/A</v>
      </c>
      <c r="F2160" s="1" t="e">
        <f>VLOOKUP(C2160,'Master truck list'!E:G,3,0)</f>
        <v>#N/A</v>
      </c>
      <c r="G2160" s="1" t="e">
        <f>VLOOKUP(C2160,'Master truck list'!E:R,14,0)</f>
        <v>#N/A</v>
      </c>
    </row>
    <row r="2161" spans="1:7" x14ac:dyDescent="0.25">
      <c r="A2161" s="1" t="str">
        <f t="shared" si="659"/>
        <v/>
      </c>
      <c r="B2161" s="1" t="str">
        <f t="shared" si="658"/>
        <v/>
      </c>
      <c r="C2161" s="1" t="e">
        <f>VLOOKUP(B2161,'Master truck list'!D:E,2,0)</f>
        <v>#N/A</v>
      </c>
      <c r="D2161" s="1" t="e">
        <f>VLOOKUP(C2161,'Master truck list'!E:F,2,0)</f>
        <v>#N/A</v>
      </c>
      <c r="E2161" s="1" t="e">
        <f>VLOOKUP(C2161,'Master truck list'!E:M,9,0)</f>
        <v>#N/A</v>
      </c>
      <c r="F2161" s="1" t="e">
        <f>VLOOKUP(C2161,'Master truck list'!E:G,3,0)</f>
        <v>#N/A</v>
      </c>
      <c r="G2161" s="1" t="e">
        <f>VLOOKUP(C2161,'Master truck list'!E:R,14,0)</f>
        <v>#N/A</v>
      </c>
    </row>
    <row r="2162" spans="1:7" x14ac:dyDescent="0.25">
      <c r="A2162" s="1" t="str">
        <f t="shared" si="659"/>
        <v/>
      </c>
      <c r="B2162" s="1" t="str">
        <f t="shared" si="658"/>
        <v/>
      </c>
      <c r="C2162" s="1" t="e">
        <f>VLOOKUP(B2162,'Master truck list'!D:E,2,0)</f>
        <v>#N/A</v>
      </c>
      <c r="D2162" s="1" t="e">
        <f>VLOOKUP(C2162,'Master truck list'!E:F,2,0)</f>
        <v>#N/A</v>
      </c>
      <c r="E2162" s="1" t="e">
        <f>VLOOKUP(C2162,'Master truck list'!E:M,9,0)</f>
        <v>#N/A</v>
      </c>
      <c r="F2162" s="1" t="e">
        <f>VLOOKUP(C2162,'Master truck list'!E:G,3,0)</f>
        <v>#N/A</v>
      </c>
      <c r="G2162" s="1" t="e">
        <f>VLOOKUP(C2162,'Master truck list'!E:R,14,0)</f>
        <v>#N/A</v>
      </c>
    </row>
    <row r="2163" spans="1:7" x14ac:dyDescent="0.25">
      <c r="A2163" s="1" t="str">
        <f t="shared" si="659"/>
        <v/>
      </c>
      <c r="B2163" s="1" t="str">
        <f t="shared" si="658"/>
        <v/>
      </c>
      <c r="C2163" s="1" t="e">
        <f>VLOOKUP(B2163,'Master truck list'!D:E,2,0)</f>
        <v>#N/A</v>
      </c>
      <c r="D2163" s="1" t="e">
        <f>VLOOKUP(C2163,'Master truck list'!E:F,2,0)</f>
        <v>#N/A</v>
      </c>
      <c r="E2163" s="1" t="e">
        <f>VLOOKUP(C2163,'Master truck list'!E:M,9,0)</f>
        <v>#N/A</v>
      </c>
      <c r="F2163" s="1" t="e">
        <f>VLOOKUP(C2163,'Master truck list'!E:G,3,0)</f>
        <v>#N/A</v>
      </c>
      <c r="G2163" s="1" t="e">
        <f>VLOOKUP(C2163,'Master truck list'!E:R,14,0)</f>
        <v>#N/A</v>
      </c>
    </row>
    <row r="2164" spans="1:7" x14ac:dyDescent="0.25">
      <c r="A2164" s="1" t="str">
        <f t="shared" si="659"/>
        <v/>
      </c>
      <c r="B2164" s="1" t="str">
        <f t="shared" si="658"/>
        <v/>
      </c>
      <c r="C2164" s="1" t="e">
        <f>VLOOKUP(B2164,'Master truck list'!D:E,2,0)</f>
        <v>#N/A</v>
      </c>
      <c r="D2164" s="1" t="e">
        <f>VLOOKUP(C2164,'Master truck list'!E:F,2,0)</f>
        <v>#N/A</v>
      </c>
      <c r="E2164" s="1" t="e">
        <f>VLOOKUP(C2164,'Master truck list'!E:M,9,0)</f>
        <v>#N/A</v>
      </c>
      <c r="F2164" s="1" t="e">
        <f>VLOOKUP(C2164,'Master truck list'!E:G,3,0)</f>
        <v>#N/A</v>
      </c>
      <c r="G2164" s="1" t="e">
        <f>VLOOKUP(C2164,'Master truck list'!E:R,14,0)</f>
        <v>#N/A</v>
      </c>
    </row>
    <row r="2165" spans="1:7" x14ac:dyDescent="0.25">
      <c r="A2165" s="1" t="str">
        <f t="shared" si="659"/>
        <v/>
      </c>
      <c r="B2165" s="1" t="str">
        <f t="shared" si="658"/>
        <v/>
      </c>
      <c r="C2165" s="1" t="e">
        <f>VLOOKUP(B2165,'Master truck list'!D:E,2,0)</f>
        <v>#N/A</v>
      </c>
      <c r="D2165" s="1" t="e">
        <f>VLOOKUP(C2165,'Master truck list'!E:F,2,0)</f>
        <v>#N/A</v>
      </c>
      <c r="E2165" s="1" t="e">
        <f>VLOOKUP(C2165,'Master truck list'!E:M,9,0)</f>
        <v>#N/A</v>
      </c>
      <c r="F2165" s="1" t="e">
        <f>VLOOKUP(C2165,'Master truck list'!E:G,3,0)</f>
        <v>#N/A</v>
      </c>
      <c r="G2165" s="1" t="e">
        <f>VLOOKUP(C2165,'Master truck list'!E:R,14,0)</f>
        <v>#N/A</v>
      </c>
    </row>
    <row r="2166" spans="1:7" x14ac:dyDescent="0.25">
      <c r="A2166" s="1" t="str">
        <f t="shared" si="659"/>
        <v/>
      </c>
      <c r="B2166" s="1" t="str">
        <f t="shared" si="658"/>
        <v/>
      </c>
      <c r="C2166" s="1" t="e">
        <f>VLOOKUP(B2166,'Master truck list'!D:E,2,0)</f>
        <v>#N/A</v>
      </c>
      <c r="D2166" s="1" t="e">
        <f>VLOOKUP(C2166,'Master truck list'!E:F,2,0)</f>
        <v>#N/A</v>
      </c>
      <c r="E2166" s="1" t="e">
        <f>VLOOKUP(C2166,'Master truck list'!E:M,9,0)</f>
        <v>#N/A</v>
      </c>
      <c r="F2166" s="1" t="e">
        <f>VLOOKUP(C2166,'Master truck list'!E:G,3,0)</f>
        <v>#N/A</v>
      </c>
      <c r="G2166" s="1" t="e">
        <f>VLOOKUP(C2166,'Master truck list'!E:R,14,0)</f>
        <v>#N/A</v>
      </c>
    </row>
    <row r="2167" spans="1:7" x14ac:dyDescent="0.25">
      <c r="A2167" s="1" t="str">
        <f t="shared" si="659"/>
        <v/>
      </c>
      <c r="B2167" s="1" t="str">
        <f t="shared" si="658"/>
        <v/>
      </c>
      <c r="C2167" s="1" t="e">
        <f>VLOOKUP(B2167,'Master truck list'!D:E,2,0)</f>
        <v>#N/A</v>
      </c>
      <c r="D2167" s="1" t="e">
        <f>VLOOKUP(C2167,'Master truck list'!E:F,2,0)</f>
        <v>#N/A</v>
      </c>
      <c r="E2167" s="1" t="e">
        <f>VLOOKUP(C2167,'Master truck list'!E:M,9,0)</f>
        <v>#N/A</v>
      </c>
      <c r="F2167" s="1" t="e">
        <f>VLOOKUP(C2167,'Master truck list'!E:G,3,0)</f>
        <v>#N/A</v>
      </c>
      <c r="G2167" s="1" t="e">
        <f>VLOOKUP(C2167,'Master truck list'!E:R,14,0)</f>
        <v>#N/A</v>
      </c>
    </row>
    <row r="2168" spans="1:7" x14ac:dyDescent="0.25">
      <c r="A2168" s="1" t="str">
        <f t="shared" si="659"/>
        <v/>
      </c>
      <c r="B2168" s="1" t="str">
        <f t="shared" si="658"/>
        <v/>
      </c>
      <c r="C2168" s="1" t="e">
        <f>VLOOKUP(B2168,'Master truck list'!D:E,2,0)</f>
        <v>#N/A</v>
      </c>
      <c r="D2168" s="1" t="e">
        <f>VLOOKUP(C2168,'Master truck list'!E:F,2,0)</f>
        <v>#N/A</v>
      </c>
      <c r="E2168" s="1" t="e">
        <f>VLOOKUP(C2168,'Master truck list'!E:M,9,0)</f>
        <v>#N/A</v>
      </c>
      <c r="F2168" s="1" t="e">
        <f>VLOOKUP(C2168,'Master truck list'!E:G,3,0)</f>
        <v>#N/A</v>
      </c>
      <c r="G2168" s="1" t="e">
        <f>VLOOKUP(C2168,'Master truck list'!E:R,14,0)</f>
        <v>#N/A</v>
      </c>
    </row>
    <row r="2169" spans="1:7" x14ac:dyDescent="0.25">
      <c r="A2169" s="1" t="str">
        <f t="shared" si="659"/>
        <v/>
      </c>
      <c r="B2169" s="1" t="str">
        <f t="shared" ref="B2169:B2232" si="660">SUBSTITUTE(A2169," ","")</f>
        <v/>
      </c>
      <c r="C2169" s="1" t="e">
        <f>VLOOKUP(B2169,'Master truck list'!D:E,2,0)</f>
        <v>#N/A</v>
      </c>
      <c r="D2169" s="1" t="e">
        <f>VLOOKUP(C2169,'Master truck list'!E:F,2,0)</f>
        <v>#N/A</v>
      </c>
      <c r="E2169" s="1" t="e">
        <f>VLOOKUP(C2169,'Master truck list'!E:M,9,0)</f>
        <v>#N/A</v>
      </c>
      <c r="F2169" s="1" t="e">
        <f>VLOOKUP(C2169,'Master truck list'!E:G,3,0)</f>
        <v>#N/A</v>
      </c>
      <c r="G2169" s="1" t="e">
        <f>VLOOKUP(C2169,'Master truck list'!E:R,14,0)</f>
        <v>#N/A</v>
      </c>
    </row>
    <row r="2170" spans="1:7" x14ac:dyDescent="0.25">
      <c r="A2170" s="1" t="str">
        <f t="shared" si="659"/>
        <v/>
      </c>
      <c r="B2170" s="1" t="str">
        <f t="shared" si="660"/>
        <v/>
      </c>
      <c r="C2170" s="1" t="e">
        <f>VLOOKUP(B2170,'Master truck list'!D:E,2,0)</f>
        <v>#N/A</v>
      </c>
      <c r="D2170" s="1" t="e">
        <f>VLOOKUP(C2170,'Master truck list'!E:F,2,0)</f>
        <v>#N/A</v>
      </c>
      <c r="E2170" s="1" t="e">
        <f>VLOOKUP(C2170,'Master truck list'!E:M,9,0)</f>
        <v>#N/A</v>
      </c>
      <c r="F2170" s="1" t="e">
        <f>VLOOKUP(C2170,'Master truck list'!E:G,3,0)</f>
        <v>#N/A</v>
      </c>
      <c r="G2170" s="1" t="e">
        <f>VLOOKUP(C2170,'Master truck list'!E:R,14,0)</f>
        <v>#N/A</v>
      </c>
    </row>
    <row r="2171" spans="1:7" x14ac:dyDescent="0.25">
      <c r="A2171" s="1" t="str">
        <f t="shared" si="659"/>
        <v/>
      </c>
      <c r="B2171" s="1" t="str">
        <f t="shared" si="660"/>
        <v/>
      </c>
      <c r="C2171" s="1" t="e">
        <f>VLOOKUP(B2171,'Master truck list'!D:E,2,0)</f>
        <v>#N/A</v>
      </c>
      <c r="D2171" s="1" t="e">
        <f>VLOOKUP(C2171,'Master truck list'!E:F,2,0)</f>
        <v>#N/A</v>
      </c>
      <c r="E2171" s="1" t="e">
        <f>VLOOKUP(C2171,'Master truck list'!E:M,9,0)</f>
        <v>#N/A</v>
      </c>
      <c r="F2171" s="1" t="e">
        <f>VLOOKUP(C2171,'Master truck list'!E:G,3,0)</f>
        <v>#N/A</v>
      </c>
      <c r="G2171" s="1" t="e">
        <f>VLOOKUP(C2171,'Master truck list'!E:R,14,0)</f>
        <v>#N/A</v>
      </c>
    </row>
    <row r="2172" spans="1:7" x14ac:dyDescent="0.25">
      <c r="A2172" s="1" t="str">
        <f t="shared" si="659"/>
        <v/>
      </c>
      <c r="B2172" s="1" t="str">
        <f t="shared" si="660"/>
        <v/>
      </c>
      <c r="C2172" s="1" t="e">
        <f>VLOOKUP(B2172,'Master truck list'!D:E,2,0)</f>
        <v>#N/A</v>
      </c>
      <c r="D2172" s="1" t="e">
        <f>VLOOKUP(C2172,'Master truck list'!E:F,2,0)</f>
        <v>#N/A</v>
      </c>
      <c r="E2172" s="1" t="e">
        <f>VLOOKUP(C2172,'Master truck list'!E:M,9,0)</f>
        <v>#N/A</v>
      </c>
      <c r="F2172" s="1" t="e">
        <f>VLOOKUP(C2172,'Master truck list'!E:G,3,0)</f>
        <v>#N/A</v>
      </c>
      <c r="G2172" s="1" t="e">
        <f>VLOOKUP(C2172,'Master truck list'!E:R,14,0)</f>
        <v>#N/A</v>
      </c>
    </row>
    <row r="2173" spans="1:7" x14ac:dyDescent="0.25">
      <c r="A2173" s="1" t="str">
        <f t="shared" si="659"/>
        <v/>
      </c>
      <c r="B2173" s="1" t="str">
        <f t="shared" si="660"/>
        <v/>
      </c>
      <c r="C2173" s="1" t="e">
        <f>VLOOKUP(B2173,'Master truck list'!D:E,2,0)</f>
        <v>#N/A</v>
      </c>
      <c r="D2173" s="1" t="e">
        <f>VLOOKUP(C2173,'Master truck list'!E:F,2,0)</f>
        <v>#N/A</v>
      </c>
      <c r="E2173" s="1" t="e">
        <f>VLOOKUP(C2173,'Master truck list'!E:M,9,0)</f>
        <v>#N/A</v>
      </c>
      <c r="F2173" s="1" t="e">
        <f>VLOOKUP(C2173,'Master truck list'!E:G,3,0)</f>
        <v>#N/A</v>
      </c>
      <c r="G2173" s="1" t="e">
        <f>VLOOKUP(C2173,'Master truck list'!E:R,14,0)</f>
        <v>#N/A</v>
      </c>
    </row>
    <row r="2174" spans="1:7" x14ac:dyDescent="0.25">
      <c r="A2174" s="1" t="str">
        <f t="shared" si="659"/>
        <v/>
      </c>
      <c r="B2174" s="1" t="str">
        <f t="shared" si="660"/>
        <v/>
      </c>
      <c r="C2174" s="1" t="e">
        <f>VLOOKUP(B2174,'Master truck list'!D:E,2,0)</f>
        <v>#N/A</v>
      </c>
      <c r="D2174" s="1" t="e">
        <f>VLOOKUP(C2174,'Master truck list'!E:F,2,0)</f>
        <v>#N/A</v>
      </c>
      <c r="E2174" s="1" t="e">
        <f>VLOOKUP(C2174,'Master truck list'!E:M,9,0)</f>
        <v>#N/A</v>
      </c>
      <c r="F2174" s="1" t="e">
        <f>VLOOKUP(C2174,'Master truck list'!E:G,3,0)</f>
        <v>#N/A</v>
      </c>
      <c r="G2174" s="1" t="e">
        <f>VLOOKUP(C2174,'Master truck list'!E:R,14,0)</f>
        <v>#N/A</v>
      </c>
    </row>
    <row r="2175" spans="1:7" x14ac:dyDescent="0.25">
      <c r="A2175" s="1" t="str">
        <f t="shared" si="659"/>
        <v/>
      </c>
      <c r="B2175" s="1" t="str">
        <f t="shared" si="660"/>
        <v/>
      </c>
      <c r="C2175" s="1" t="e">
        <f>VLOOKUP(B2175,'Master truck list'!D:E,2,0)</f>
        <v>#N/A</v>
      </c>
      <c r="D2175" s="1" t="e">
        <f>VLOOKUP(C2175,'Master truck list'!E:F,2,0)</f>
        <v>#N/A</v>
      </c>
      <c r="E2175" s="1" t="e">
        <f>VLOOKUP(C2175,'Master truck list'!E:M,9,0)</f>
        <v>#N/A</v>
      </c>
      <c r="F2175" s="1" t="e">
        <f>VLOOKUP(C2175,'Master truck list'!E:G,3,0)</f>
        <v>#N/A</v>
      </c>
      <c r="G2175" s="1" t="e">
        <f>VLOOKUP(C2175,'Master truck list'!E:R,14,0)</f>
        <v>#N/A</v>
      </c>
    </row>
    <row r="2176" spans="1:7" x14ac:dyDescent="0.25">
      <c r="A2176" s="1" t="str">
        <f t="shared" si="659"/>
        <v/>
      </c>
      <c r="B2176" s="1" t="str">
        <f t="shared" si="660"/>
        <v/>
      </c>
      <c r="C2176" s="1" t="e">
        <f>VLOOKUP(B2176,'Master truck list'!D:E,2,0)</f>
        <v>#N/A</v>
      </c>
      <c r="D2176" s="1" t="e">
        <f>VLOOKUP(C2176,'Master truck list'!E:F,2,0)</f>
        <v>#N/A</v>
      </c>
      <c r="E2176" s="1" t="e">
        <f>VLOOKUP(C2176,'Master truck list'!E:M,9,0)</f>
        <v>#N/A</v>
      </c>
      <c r="F2176" s="1" t="e">
        <f>VLOOKUP(C2176,'Master truck list'!E:G,3,0)</f>
        <v>#N/A</v>
      </c>
      <c r="G2176" s="1" t="e">
        <f>VLOOKUP(C2176,'Master truck list'!E:R,14,0)</f>
        <v>#N/A</v>
      </c>
    </row>
    <row r="2177" spans="1:7" x14ac:dyDescent="0.25">
      <c r="A2177" s="1" t="str">
        <f t="shared" si="659"/>
        <v/>
      </c>
      <c r="B2177" s="1" t="str">
        <f t="shared" si="660"/>
        <v/>
      </c>
      <c r="C2177" s="1" t="e">
        <f>VLOOKUP(B2177,'Master truck list'!D:E,2,0)</f>
        <v>#N/A</v>
      </c>
      <c r="D2177" s="1" t="e">
        <f>VLOOKUP(C2177,'Master truck list'!E:F,2,0)</f>
        <v>#N/A</v>
      </c>
      <c r="E2177" s="1" t="e">
        <f>VLOOKUP(C2177,'Master truck list'!E:M,9,0)</f>
        <v>#N/A</v>
      </c>
      <c r="F2177" s="1" t="e">
        <f>VLOOKUP(C2177,'Master truck list'!E:G,3,0)</f>
        <v>#N/A</v>
      </c>
      <c r="G2177" s="1" t="e">
        <f>VLOOKUP(C2177,'Master truck list'!E:R,14,0)</f>
        <v>#N/A</v>
      </c>
    </row>
    <row r="2178" spans="1:7" x14ac:dyDescent="0.25">
      <c r="A2178" s="1" t="str">
        <f t="shared" si="659"/>
        <v/>
      </c>
      <c r="B2178" s="1" t="str">
        <f t="shared" si="660"/>
        <v/>
      </c>
      <c r="C2178" s="1" t="e">
        <f>VLOOKUP(B2178,'Master truck list'!D:E,2,0)</f>
        <v>#N/A</v>
      </c>
      <c r="D2178" s="1" t="e">
        <f>VLOOKUP(C2178,'Master truck list'!E:F,2,0)</f>
        <v>#N/A</v>
      </c>
      <c r="E2178" s="1" t="e">
        <f>VLOOKUP(C2178,'Master truck list'!E:M,9,0)</f>
        <v>#N/A</v>
      </c>
      <c r="F2178" s="1" t="e">
        <f>VLOOKUP(C2178,'Master truck list'!E:G,3,0)</f>
        <v>#N/A</v>
      </c>
      <c r="G2178" s="1" t="e">
        <f>VLOOKUP(C2178,'Master truck list'!E:R,14,0)</f>
        <v>#N/A</v>
      </c>
    </row>
    <row r="2179" spans="1:7" x14ac:dyDescent="0.25">
      <c r="A2179" s="1" t="str">
        <f t="shared" si="659"/>
        <v/>
      </c>
      <c r="B2179" s="1" t="str">
        <f t="shared" si="660"/>
        <v/>
      </c>
      <c r="C2179" s="1" t="e">
        <f>VLOOKUP(B2179,'Master truck list'!D:E,2,0)</f>
        <v>#N/A</v>
      </c>
      <c r="D2179" s="1" t="e">
        <f>VLOOKUP(C2179,'Master truck list'!E:F,2,0)</f>
        <v>#N/A</v>
      </c>
      <c r="E2179" s="1" t="e">
        <f>VLOOKUP(C2179,'Master truck list'!E:M,9,0)</f>
        <v>#N/A</v>
      </c>
      <c r="F2179" s="1" t="e">
        <f>VLOOKUP(C2179,'Master truck list'!E:G,3,0)</f>
        <v>#N/A</v>
      </c>
      <c r="G2179" s="1" t="e">
        <f>VLOOKUP(C2179,'Master truck list'!E:R,14,0)</f>
        <v>#N/A</v>
      </c>
    </row>
    <row r="2180" spans="1:7" x14ac:dyDescent="0.25">
      <c r="A2180" s="1" t="str">
        <f t="shared" si="659"/>
        <v/>
      </c>
      <c r="B2180" s="1" t="str">
        <f t="shared" si="660"/>
        <v/>
      </c>
      <c r="C2180" s="1" t="e">
        <f>VLOOKUP(B2180,'Master truck list'!D:E,2,0)</f>
        <v>#N/A</v>
      </c>
      <c r="D2180" s="1" t="e">
        <f>VLOOKUP(C2180,'Master truck list'!E:F,2,0)</f>
        <v>#N/A</v>
      </c>
      <c r="E2180" s="1" t="e">
        <f>VLOOKUP(C2180,'Master truck list'!E:M,9,0)</f>
        <v>#N/A</v>
      </c>
      <c r="F2180" s="1" t="e">
        <f>VLOOKUP(C2180,'Master truck list'!E:G,3,0)</f>
        <v>#N/A</v>
      </c>
      <c r="G2180" s="1" t="e">
        <f>VLOOKUP(C2180,'Master truck list'!E:R,14,0)</f>
        <v>#N/A</v>
      </c>
    </row>
    <row r="2181" spans="1:7" x14ac:dyDescent="0.25">
      <c r="A2181" s="1" t="str">
        <f t="shared" si="659"/>
        <v/>
      </c>
      <c r="B2181" s="1" t="str">
        <f t="shared" si="660"/>
        <v/>
      </c>
      <c r="C2181" s="1" t="e">
        <f>VLOOKUP(B2181,'Master truck list'!D:E,2,0)</f>
        <v>#N/A</v>
      </c>
      <c r="D2181" s="1" t="e">
        <f>VLOOKUP(C2181,'Master truck list'!E:F,2,0)</f>
        <v>#N/A</v>
      </c>
      <c r="E2181" s="1" t="e">
        <f>VLOOKUP(C2181,'Master truck list'!E:M,9,0)</f>
        <v>#N/A</v>
      </c>
      <c r="F2181" s="1" t="e">
        <f>VLOOKUP(C2181,'Master truck list'!E:G,3,0)</f>
        <v>#N/A</v>
      </c>
      <c r="G2181" s="1" t="e">
        <f>VLOOKUP(C2181,'Master truck list'!E:R,14,0)</f>
        <v>#N/A</v>
      </c>
    </row>
    <row r="2182" spans="1:7" x14ac:dyDescent="0.25">
      <c r="A2182" s="1" t="str">
        <f t="shared" si="659"/>
        <v/>
      </c>
      <c r="B2182" s="1" t="str">
        <f t="shared" si="660"/>
        <v/>
      </c>
      <c r="C2182" s="1" t="e">
        <f>VLOOKUP(B2182,'Master truck list'!D:E,2,0)</f>
        <v>#N/A</v>
      </c>
      <c r="D2182" s="1" t="e">
        <f>VLOOKUP(C2182,'Master truck list'!E:F,2,0)</f>
        <v>#N/A</v>
      </c>
      <c r="E2182" s="1" t="e">
        <f>VLOOKUP(C2182,'Master truck list'!E:M,9,0)</f>
        <v>#N/A</v>
      </c>
      <c r="F2182" s="1" t="e">
        <f>VLOOKUP(C2182,'Master truck list'!E:G,3,0)</f>
        <v>#N/A</v>
      </c>
      <c r="G2182" s="1" t="e">
        <f>VLOOKUP(C2182,'Master truck list'!E:R,14,0)</f>
        <v>#N/A</v>
      </c>
    </row>
    <row r="2183" spans="1:7" x14ac:dyDescent="0.25">
      <c r="A2183" s="1" t="str">
        <f t="shared" si="659"/>
        <v/>
      </c>
      <c r="B2183" s="1" t="str">
        <f t="shared" si="660"/>
        <v/>
      </c>
      <c r="C2183" s="1" t="e">
        <f>VLOOKUP(B2183,'Master truck list'!D:E,2,0)</f>
        <v>#N/A</v>
      </c>
      <c r="D2183" s="1" t="e">
        <f>VLOOKUP(C2183,'Master truck list'!E:F,2,0)</f>
        <v>#N/A</v>
      </c>
      <c r="E2183" s="1" t="e">
        <f>VLOOKUP(C2183,'Master truck list'!E:M,9,0)</f>
        <v>#N/A</v>
      </c>
      <c r="F2183" s="1" t="e">
        <f>VLOOKUP(C2183,'Master truck list'!E:G,3,0)</f>
        <v>#N/A</v>
      </c>
      <c r="G2183" s="1" t="e">
        <f>VLOOKUP(C2183,'Master truck list'!E:R,14,0)</f>
        <v>#N/A</v>
      </c>
    </row>
    <row r="2184" spans="1:7" x14ac:dyDescent="0.25">
      <c r="A2184" s="1" t="str">
        <f t="shared" si="659"/>
        <v/>
      </c>
      <c r="B2184" s="1" t="str">
        <f t="shared" si="660"/>
        <v/>
      </c>
      <c r="C2184" s="1" t="e">
        <f>VLOOKUP(B2184,'Master truck list'!D:E,2,0)</f>
        <v>#N/A</v>
      </c>
      <c r="D2184" s="1" t="e">
        <f>VLOOKUP(C2184,'Master truck list'!E:F,2,0)</f>
        <v>#N/A</v>
      </c>
      <c r="E2184" s="1" t="e">
        <f>VLOOKUP(C2184,'Master truck list'!E:M,9,0)</f>
        <v>#N/A</v>
      </c>
      <c r="F2184" s="1" t="e">
        <f>VLOOKUP(C2184,'Master truck list'!E:G,3,0)</f>
        <v>#N/A</v>
      </c>
      <c r="G2184" s="1" t="e">
        <f>VLOOKUP(C2184,'Master truck list'!E:R,14,0)</f>
        <v>#N/A</v>
      </c>
    </row>
    <row r="2185" spans="1:7" x14ac:dyDescent="0.25">
      <c r="A2185" s="1" t="str">
        <f t="shared" si="659"/>
        <v/>
      </c>
      <c r="B2185" s="1" t="str">
        <f t="shared" si="660"/>
        <v/>
      </c>
      <c r="C2185" s="1" t="e">
        <f>VLOOKUP(B2185,'Master truck list'!D:E,2,0)</f>
        <v>#N/A</v>
      </c>
      <c r="D2185" s="1" t="e">
        <f>VLOOKUP(C2185,'Master truck list'!E:F,2,0)</f>
        <v>#N/A</v>
      </c>
      <c r="E2185" s="1" t="e">
        <f>VLOOKUP(C2185,'Master truck list'!E:M,9,0)</f>
        <v>#N/A</v>
      </c>
      <c r="F2185" s="1" t="e">
        <f>VLOOKUP(C2185,'Master truck list'!E:G,3,0)</f>
        <v>#N/A</v>
      </c>
      <c r="G2185" s="1" t="e">
        <f>VLOOKUP(C2185,'Master truck list'!E:R,14,0)</f>
        <v>#N/A</v>
      </c>
    </row>
    <row r="2186" spans="1:7" x14ac:dyDescent="0.25">
      <c r="A2186" s="1" t="str">
        <f t="shared" si="659"/>
        <v/>
      </c>
      <c r="B2186" s="1" t="str">
        <f t="shared" si="660"/>
        <v/>
      </c>
      <c r="C2186" s="1" t="e">
        <f>VLOOKUP(B2186,'Master truck list'!D:E,2,0)</f>
        <v>#N/A</v>
      </c>
      <c r="D2186" s="1" t="e">
        <f>VLOOKUP(C2186,'Master truck list'!E:F,2,0)</f>
        <v>#N/A</v>
      </c>
      <c r="E2186" s="1" t="e">
        <f>VLOOKUP(C2186,'Master truck list'!E:M,9,0)</f>
        <v>#N/A</v>
      </c>
      <c r="F2186" s="1" t="e">
        <f>VLOOKUP(C2186,'Master truck list'!E:G,3,0)</f>
        <v>#N/A</v>
      </c>
      <c r="G2186" s="1" t="e">
        <f>VLOOKUP(C2186,'Master truck list'!E:R,14,0)</f>
        <v>#N/A</v>
      </c>
    </row>
    <row r="2187" spans="1:7" x14ac:dyDescent="0.25">
      <c r="A2187" s="1" t="str">
        <f t="shared" si="659"/>
        <v/>
      </c>
      <c r="B2187" s="1" t="str">
        <f t="shared" si="660"/>
        <v/>
      </c>
      <c r="C2187" s="1" t="e">
        <f>VLOOKUP(B2187,'Master truck list'!D:E,2,0)</f>
        <v>#N/A</v>
      </c>
      <c r="D2187" s="1" t="e">
        <f>VLOOKUP(C2187,'Master truck list'!E:F,2,0)</f>
        <v>#N/A</v>
      </c>
      <c r="E2187" s="1" t="e">
        <f>VLOOKUP(C2187,'Master truck list'!E:M,9,0)</f>
        <v>#N/A</v>
      </c>
      <c r="F2187" s="1" t="e">
        <f>VLOOKUP(C2187,'Master truck list'!E:G,3,0)</f>
        <v>#N/A</v>
      </c>
      <c r="G2187" s="1" t="e">
        <f>VLOOKUP(C2187,'Master truck list'!E:R,14,0)</f>
        <v>#N/A</v>
      </c>
    </row>
    <row r="2188" spans="1:7" x14ac:dyDescent="0.25">
      <c r="A2188" s="1" t="str">
        <f t="shared" si="659"/>
        <v/>
      </c>
      <c r="B2188" s="1" t="str">
        <f t="shared" si="660"/>
        <v/>
      </c>
      <c r="C2188" s="1" t="e">
        <f>VLOOKUP(B2188,'Master truck list'!D:E,2,0)</f>
        <v>#N/A</v>
      </c>
      <c r="D2188" s="1" t="e">
        <f>VLOOKUP(C2188,'Master truck list'!E:F,2,0)</f>
        <v>#N/A</v>
      </c>
      <c r="E2188" s="1" t="e">
        <f>VLOOKUP(C2188,'Master truck list'!E:M,9,0)</f>
        <v>#N/A</v>
      </c>
      <c r="F2188" s="1" t="e">
        <f>VLOOKUP(C2188,'Master truck list'!E:G,3,0)</f>
        <v>#N/A</v>
      </c>
      <c r="G2188" s="1" t="e">
        <f>VLOOKUP(C2188,'Master truck list'!E:R,14,0)</f>
        <v>#N/A</v>
      </c>
    </row>
    <row r="2189" spans="1:7" x14ac:dyDescent="0.25">
      <c r="A2189" s="1" t="str">
        <f t="shared" si="659"/>
        <v/>
      </c>
      <c r="B2189" s="1" t="str">
        <f t="shared" si="660"/>
        <v/>
      </c>
      <c r="C2189" s="1" t="e">
        <f>VLOOKUP(B2189,'Master truck list'!D:E,2,0)</f>
        <v>#N/A</v>
      </c>
      <c r="D2189" s="1" t="e">
        <f>VLOOKUP(C2189,'Master truck list'!E:F,2,0)</f>
        <v>#N/A</v>
      </c>
      <c r="E2189" s="1" t="e">
        <f>VLOOKUP(C2189,'Master truck list'!E:M,9,0)</f>
        <v>#N/A</v>
      </c>
      <c r="F2189" s="1" t="e">
        <f>VLOOKUP(C2189,'Master truck list'!E:G,3,0)</f>
        <v>#N/A</v>
      </c>
      <c r="G2189" s="1" t="e">
        <f>VLOOKUP(C2189,'Master truck list'!E:R,14,0)</f>
        <v>#N/A</v>
      </c>
    </row>
    <row r="2190" spans="1:7" x14ac:dyDescent="0.25">
      <c r="A2190" s="1" t="str">
        <f t="shared" si="659"/>
        <v/>
      </c>
      <c r="B2190" s="1" t="str">
        <f t="shared" si="660"/>
        <v/>
      </c>
      <c r="C2190" s="1" t="e">
        <f>VLOOKUP(B2190,'Master truck list'!D:E,2,0)</f>
        <v>#N/A</v>
      </c>
      <c r="D2190" s="1" t="e">
        <f>VLOOKUP(C2190,'Master truck list'!E:F,2,0)</f>
        <v>#N/A</v>
      </c>
      <c r="E2190" s="1" t="e">
        <f>VLOOKUP(C2190,'Master truck list'!E:M,9,0)</f>
        <v>#N/A</v>
      </c>
      <c r="F2190" s="1" t="e">
        <f>VLOOKUP(C2190,'Master truck list'!E:G,3,0)</f>
        <v>#N/A</v>
      </c>
      <c r="G2190" s="1" t="e">
        <f>VLOOKUP(C2190,'Master truck list'!E:R,14,0)</f>
        <v>#N/A</v>
      </c>
    </row>
    <row r="2191" spans="1:7" x14ac:dyDescent="0.25">
      <c r="A2191" s="1" t="str">
        <f t="shared" si="659"/>
        <v/>
      </c>
      <c r="B2191" s="1" t="str">
        <f t="shared" si="660"/>
        <v/>
      </c>
      <c r="C2191" s="1" t="e">
        <f>VLOOKUP(B2191,'Master truck list'!D:E,2,0)</f>
        <v>#N/A</v>
      </c>
      <c r="D2191" s="1" t="e">
        <f>VLOOKUP(C2191,'Master truck list'!E:F,2,0)</f>
        <v>#N/A</v>
      </c>
      <c r="E2191" s="1" t="e">
        <f>VLOOKUP(C2191,'Master truck list'!E:M,9,0)</f>
        <v>#N/A</v>
      </c>
      <c r="F2191" s="1" t="e">
        <f>VLOOKUP(C2191,'Master truck list'!E:G,3,0)</f>
        <v>#N/A</v>
      </c>
      <c r="G2191" s="1" t="e">
        <f>VLOOKUP(C2191,'Master truck list'!E:R,14,0)</f>
        <v>#N/A</v>
      </c>
    </row>
    <row r="2192" spans="1:7" x14ac:dyDescent="0.25">
      <c r="A2192" s="1" t="str">
        <f t="shared" si="659"/>
        <v/>
      </c>
      <c r="B2192" s="1" t="str">
        <f t="shared" si="660"/>
        <v/>
      </c>
      <c r="C2192" s="1" t="e">
        <f>VLOOKUP(B2192,'Master truck list'!D:E,2,0)</f>
        <v>#N/A</v>
      </c>
      <c r="D2192" s="1" t="e">
        <f>VLOOKUP(C2192,'Master truck list'!E:F,2,0)</f>
        <v>#N/A</v>
      </c>
      <c r="E2192" s="1" t="e">
        <f>VLOOKUP(C2192,'Master truck list'!E:M,9,0)</f>
        <v>#N/A</v>
      </c>
      <c r="F2192" s="1" t="e">
        <f>VLOOKUP(C2192,'Master truck list'!E:G,3,0)</f>
        <v>#N/A</v>
      </c>
      <c r="G2192" s="1" t="e">
        <f>VLOOKUP(C2192,'Master truck list'!E:R,14,0)</f>
        <v>#N/A</v>
      </c>
    </row>
    <row r="2193" spans="1:7" x14ac:dyDescent="0.25">
      <c r="A2193" s="1" t="str">
        <f t="shared" si="659"/>
        <v/>
      </c>
      <c r="B2193" s="1" t="str">
        <f t="shared" si="660"/>
        <v/>
      </c>
      <c r="C2193" s="1" t="e">
        <f>VLOOKUP(B2193,'Master truck list'!D:E,2,0)</f>
        <v>#N/A</v>
      </c>
      <c r="D2193" s="1" t="e">
        <f>VLOOKUP(C2193,'Master truck list'!E:F,2,0)</f>
        <v>#N/A</v>
      </c>
      <c r="E2193" s="1" t="e">
        <f>VLOOKUP(C2193,'Master truck list'!E:M,9,0)</f>
        <v>#N/A</v>
      </c>
      <c r="F2193" s="1" t="e">
        <f>VLOOKUP(C2193,'Master truck list'!E:G,3,0)</f>
        <v>#N/A</v>
      </c>
      <c r="G2193" s="1" t="e">
        <f>VLOOKUP(C2193,'Master truck list'!E:R,14,0)</f>
        <v>#N/A</v>
      </c>
    </row>
    <row r="2194" spans="1:7" x14ac:dyDescent="0.25">
      <c r="A2194" s="1" t="str">
        <f t="shared" si="659"/>
        <v/>
      </c>
      <c r="B2194" s="1" t="str">
        <f t="shared" si="660"/>
        <v/>
      </c>
      <c r="C2194" s="1" t="e">
        <f>VLOOKUP(B2194,'Master truck list'!D:E,2,0)</f>
        <v>#N/A</v>
      </c>
      <c r="D2194" s="1" t="e">
        <f>VLOOKUP(C2194,'Master truck list'!E:F,2,0)</f>
        <v>#N/A</v>
      </c>
      <c r="E2194" s="1" t="e">
        <f>VLOOKUP(C2194,'Master truck list'!E:M,9,0)</f>
        <v>#N/A</v>
      </c>
      <c r="F2194" s="1" t="e">
        <f>VLOOKUP(C2194,'Master truck list'!E:G,3,0)</f>
        <v>#N/A</v>
      </c>
      <c r="G2194" s="1" t="e">
        <f>VLOOKUP(C2194,'Master truck list'!E:R,14,0)</f>
        <v>#N/A</v>
      </c>
    </row>
    <row r="2195" spans="1:7" x14ac:dyDescent="0.25">
      <c r="A2195" s="1" t="str">
        <f t="shared" si="659"/>
        <v/>
      </c>
      <c r="B2195" s="1" t="str">
        <f t="shared" si="660"/>
        <v/>
      </c>
      <c r="C2195" s="1" t="e">
        <f>VLOOKUP(B2195,'Master truck list'!D:E,2,0)</f>
        <v>#N/A</v>
      </c>
      <c r="D2195" s="1" t="e">
        <f>VLOOKUP(C2195,'Master truck list'!E:F,2,0)</f>
        <v>#N/A</v>
      </c>
      <c r="E2195" s="1" t="e">
        <f>VLOOKUP(C2195,'Master truck list'!E:M,9,0)</f>
        <v>#N/A</v>
      </c>
      <c r="F2195" s="1" t="e">
        <f>VLOOKUP(C2195,'Master truck list'!E:G,3,0)</f>
        <v>#N/A</v>
      </c>
      <c r="G2195" s="1" t="e">
        <f>VLOOKUP(C2195,'Master truck list'!E:R,14,0)</f>
        <v>#N/A</v>
      </c>
    </row>
    <row r="2196" spans="1:7" x14ac:dyDescent="0.25">
      <c r="A2196" s="1" t="str">
        <f t="shared" si="659"/>
        <v/>
      </c>
      <c r="B2196" s="1" t="str">
        <f t="shared" si="660"/>
        <v/>
      </c>
      <c r="C2196" s="1" t="e">
        <f>VLOOKUP(B2196,'Master truck list'!D:E,2,0)</f>
        <v>#N/A</v>
      </c>
      <c r="D2196" s="1" t="e">
        <f>VLOOKUP(C2196,'Master truck list'!E:F,2,0)</f>
        <v>#N/A</v>
      </c>
      <c r="E2196" s="1" t="e">
        <f>VLOOKUP(C2196,'Master truck list'!E:M,9,0)</f>
        <v>#N/A</v>
      </c>
      <c r="F2196" s="1" t="e">
        <f>VLOOKUP(C2196,'Master truck list'!E:G,3,0)</f>
        <v>#N/A</v>
      </c>
      <c r="G2196" s="1" t="e">
        <f>VLOOKUP(C2196,'Master truck list'!E:R,14,0)</f>
        <v>#N/A</v>
      </c>
    </row>
    <row r="2197" spans="1:7" x14ac:dyDescent="0.25">
      <c r="A2197" s="1" t="str">
        <f t="shared" si="659"/>
        <v/>
      </c>
      <c r="B2197" s="1" t="str">
        <f t="shared" si="660"/>
        <v/>
      </c>
      <c r="C2197" s="1" t="e">
        <f>VLOOKUP(B2197,'Master truck list'!D:E,2,0)</f>
        <v>#N/A</v>
      </c>
      <c r="D2197" s="1" t="e">
        <f>VLOOKUP(C2197,'Master truck list'!E:F,2,0)</f>
        <v>#N/A</v>
      </c>
      <c r="E2197" s="1" t="e">
        <f>VLOOKUP(C2197,'Master truck list'!E:M,9,0)</f>
        <v>#N/A</v>
      </c>
      <c r="F2197" s="1" t="e">
        <f>VLOOKUP(C2197,'Master truck list'!E:G,3,0)</f>
        <v>#N/A</v>
      </c>
      <c r="G2197" s="1" t="e">
        <f>VLOOKUP(C2197,'Master truck list'!E:R,14,0)</f>
        <v>#N/A</v>
      </c>
    </row>
    <row r="2198" spans="1:7" x14ac:dyDescent="0.25">
      <c r="A2198" s="1" t="str">
        <f t="shared" si="659"/>
        <v/>
      </c>
      <c r="B2198" s="1" t="str">
        <f t="shared" si="660"/>
        <v/>
      </c>
      <c r="C2198" s="1" t="e">
        <f>VLOOKUP(B2198,'Master truck list'!D:E,2,0)</f>
        <v>#N/A</v>
      </c>
      <c r="D2198" s="1" t="e">
        <f>VLOOKUP(C2198,'Master truck list'!E:F,2,0)</f>
        <v>#N/A</v>
      </c>
      <c r="E2198" s="1" t="e">
        <f>VLOOKUP(C2198,'Master truck list'!E:M,9,0)</f>
        <v>#N/A</v>
      </c>
      <c r="F2198" s="1" t="e">
        <f>VLOOKUP(C2198,'Master truck list'!E:G,3,0)</f>
        <v>#N/A</v>
      </c>
      <c r="G2198" s="1" t="e">
        <f>VLOOKUP(C2198,'Master truck list'!E:R,14,0)</f>
        <v>#N/A</v>
      </c>
    </row>
    <row r="2199" spans="1:7" x14ac:dyDescent="0.25">
      <c r="A2199" s="1" t="str">
        <f t="shared" si="659"/>
        <v/>
      </c>
      <c r="B2199" s="1" t="str">
        <f t="shared" si="660"/>
        <v/>
      </c>
      <c r="C2199" s="1" t="e">
        <f>VLOOKUP(B2199,'Master truck list'!D:E,2,0)</f>
        <v>#N/A</v>
      </c>
      <c r="D2199" s="1" t="e">
        <f>VLOOKUP(C2199,'Master truck list'!E:F,2,0)</f>
        <v>#N/A</v>
      </c>
      <c r="E2199" s="1" t="e">
        <f>VLOOKUP(C2199,'Master truck list'!E:M,9,0)</f>
        <v>#N/A</v>
      </c>
      <c r="F2199" s="1" t="e">
        <f>VLOOKUP(C2199,'Master truck list'!E:G,3,0)</f>
        <v>#N/A</v>
      </c>
      <c r="G2199" s="1" t="e">
        <f>VLOOKUP(C2199,'Master truck list'!E:R,14,0)</f>
        <v>#N/A</v>
      </c>
    </row>
    <row r="2200" spans="1:7" x14ac:dyDescent="0.25">
      <c r="A2200" s="1" t="str">
        <f t="shared" si="659"/>
        <v/>
      </c>
      <c r="B2200" s="1" t="str">
        <f t="shared" si="660"/>
        <v/>
      </c>
      <c r="C2200" s="1" t="e">
        <f>VLOOKUP(B2200,'Master truck list'!D:E,2,0)</f>
        <v>#N/A</v>
      </c>
      <c r="D2200" s="1" t="e">
        <f>VLOOKUP(C2200,'Master truck list'!E:F,2,0)</f>
        <v>#N/A</v>
      </c>
      <c r="E2200" s="1" t="e">
        <f>VLOOKUP(C2200,'Master truck list'!E:M,9,0)</f>
        <v>#N/A</v>
      </c>
      <c r="F2200" s="1" t="e">
        <f>VLOOKUP(C2200,'Master truck list'!E:G,3,0)</f>
        <v>#N/A</v>
      </c>
      <c r="G2200" s="1" t="e">
        <f>VLOOKUP(C2200,'Master truck list'!E:R,14,0)</f>
        <v>#N/A</v>
      </c>
    </row>
    <row r="2201" spans="1:7" x14ac:dyDescent="0.25">
      <c r="A2201" s="1" t="str">
        <f t="shared" si="659"/>
        <v/>
      </c>
      <c r="B2201" s="1" t="str">
        <f t="shared" si="660"/>
        <v/>
      </c>
      <c r="C2201" s="1" t="e">
        <f>VLOOKUP(B2201,'Master truck list'!D:E,2,0)</f>
        <v>#N/A</v>
      </c>
      <c r="D2201" s="1" t="e">
        <f>VLOOKUP(C2201,'Master truck list'!E:F,2,0)</f>
        <v>#N/A</v>
      </c>
      <c r="E2201" s="1" t="e">
        <f>VLOOKUP(C2201,'Master truck list'!E:M,9,0)</f>
        <v>#N/A</v>
      </c>
      <c r="F2201" s="1" t="e">
        <f>VLOOKUP(C2201,'Master truck list'!E:G,3,0)</f>
        <v>#N/A</v>
      </c>
      <c r="G2201" s="1" t="e">
        <f>VLOOKUP(C2201,'Master truck list'!E:R,14,0)</f>
        <v>#N/A</v>
      </c>
    </row>
    <row r="2202" spans="1:7" x14ac:dyDescent="0.25">
      <c r="A2202" s="1" t="str">
        <f t="shared" si="659"/>
        <v/>
      </c>
      <c r="B2202" s="1" t="str">
        <f t="shared" si="660"/>
        <v/>
      </c>
      <c r="C2202" s="1" t="e">
        <f>VLOOKUP(B2202,'Master truck list'!D:E,2,0)</f>
        <v>#N/A</v>
      </c>
      <c r="D2202" s="1" t="e">
        <f>VLOOKUP(C2202,'Master truck list'!E:F,2,0)</f>
        <v>#N/A</v>
      </c>
      <c r="E2202" s="1" t="e">
        <f>VLOOKUP(C2202,'Master truck list'!E:M,9,0)</f>
        <v>#N/A</v>
      </c>
      <c r="F2202" s="1" t="e">
        <f>VLOOKUP(C2202,'Master truck list'!E:G,3,0)</f>
        <v>#N/A</v>
      </c>
      <c r="G2202" s="1" t="e">
        <f>VLOOKUP(C2202,'Master truck list'!E:R,14,0)</f>
        <v>#N/A</v>
      </c>
    </row>
    <row r="2203" spans="1:7" x14ac:dyDescent="0.25">
      <c r="A2203" s="1" t="str">
        <f t="shared" si="659"/>
        <v/>
      </c>
      <c r="B2203" s="1" t="str">
        <f t="shared" si="660"/>
        <v/>
      </c>
      <c r="C2203" s="1" t="e">
        <f>VLOOKUP(B2203,'Master truck list'!D:E,2,0)</f>
        <v>#N/A</v>
      </c>
      <c r="D2203" s="1" t="e">
        <f>VLOOKUP(C2203,'Master truck list'!E:F,2,0)</f>
        <v>#N/A</v>
      </c>
      <c r="E2203" s="1" t="e">
        <f>VLOOKUP(C2203,'Master truck list'!E:M,9,0)</f>
        <v>#N/A</v>
      </c>
      <c r="F2203" s="1" t="e">
        <f>VLOOKUP(C2203,'Master truck list'!E:G,3,0)</f>
        <v>#N/A</v>
      </c>
      <c r="G2203" s="1" t="e">
        <f>VLOOKUP(C2203,'Master truck list'!E:R,14,0)</f>
        <v>#N/A</v>
      </c>
    </row>
    <row r="2204" spans="1:7" x14ac:dyDescent="0.25">
      <c r="A2204" s="1" t="str">
        <f t="shared" si="659"/>
        <v/>
      </c>
      <c r="B2204" s="1" t="str">
        <f t="shared" si="660"/>
        <v/>
      </c>
      <c r="C2204" s="1" t="e">
        <f>VLOOKUP(B2204,'Master truck list'!D:E,2,0)</f>
        <v>#N/A</v>
      </c>
      <c r="D2204" s="1" t="e">
        <f>VLOOKUP(C2204,'Master truck list'!E:F,2,0)</f>
        <v>#N/A</v>
      </c>
      <c r="E2204" s="1" t="e">
        <f>VLOOKUP(C2204,'Master truck list'!E:M,9,0)</f>
        <v>#N/A</v>
      </c>
      <c r="F2204" s="1" t="e">
        <f>VLOOKUP(C2204,'Master truck list'!E:G,3,0)</f>
        <v>#N/A</v>
      </c>
      <c r="G2204" s="1" t="e">
        <f>VLOOKUP(C2204,'Master truck list'!E:R,14,0)</f>
        <v>#N/A</v>
      </c>
    </row>
    <row r="2205" spans="1:7" x14ac:dyDescent="0.25">
      <c r="A2205" s="1" t="str">
        <f t="shared" si="659"/>
        <v/>
      </c>
      <c r="B2205" s="1" t="str">
        <f t="shared" si="660"/>
        <v/>
      </c>
      <c r="C2205" s="1" t="e">
        <f>VLOOKUP(B2205,'Master truck list'!D:E,2,0)</f>
        <v>#N/A</v>
      </c>
      <c r="D2205" s="1" t="e">
        <f>VLOOKUP(C2205,'Master truck list'!E:F,2,0)</f>
        <v>#N/A</v>
      </c>
      <c r="E2205" s="1" t="e">
        <f>VLOOKUP(C2205,'Master truck list'!E:M,9,0)</f>
        <v>#N/A</v>
      </c>
      <c r="F2205" s="1" t="e">
        <f>VLOOKUP(C2205,'Master truck list'!E:G,3,0)</f>
        <v>#N/A</v>
      </c>
      <c r="G2205" s="1" t="e">
        <f>VLOOKUP(C2205,'Master truck list'!E:R,14,0)</f>
        <v>#N/A</v>
      </c>
    </row>
    <row r="2206" spans="1:7" x14ac:dyDescent="0.25">
      <c r="A2206" s="1" t="str">
        <f t="shared" si="659"/>
        <v/>
      </c>
      <c r="B2206" s="1" t="str">
        <f t="shared" si="660"/>
        <v/>
      </c>
      <c r="C2206" s="1" t="e">
        <f>VLOOKUP(B2206,'Master truck list'!D:E,2,0)</f>
        <v>#N/A</v>
      </c>
      <c r="D2206" s="1" t="e">
        <f>VLOOKUP(C2206,'Master truck list'!E:F,2,0)</f>
        <v>#N/A</v>
      </c>
      <c r="E2206" s="1" t="e">
        <f>VLOOKUP(C2206,'Master truck list'!E:M,9,0)</f>
        <v>#N/A</v>
      </c>
      <c r="F2206" s="1" t="e">
        <f>VLOOKUP(C2206,'Master truck list'!E:G,3,0)</f>
        <v>#N/A</v>
      </c>
      <c r="G2206" s="1" t="e">
        <f>VLOOKUP(C2206,'Master truck list'!E:R,14,0)</f>
        <v>#N/A</v>
      </c>
    </row>
    <row r="2207" spans="1:7" x14ac:dyDescent="0.25">
      <c r="A2207" s="1" t="str">
        <f t="shared" si="659"/>
        <v/>
      </c>
      <c r="B2207" s="1" t="str">
        <f t="shared" si="660"/>
        <v/>
      </c>
      <c r="C2207" s="1" t="e">
        <f>VLOOKUP(B2207,'Master truck list'!D:E,2,0)</f>
        <v>#N/A</v>
      </c>
      <c r="D2207" s="1" t="e">
        <f>VLOOKUP(C2207,'Master truck list'!E:F,2,0)</f>
        <v>#N/A</v>
      </c>
      <c r="E2207" s="1" t="e">
        <f>VLOOKUP(C2207,'Master truck list'!E:M,9,0)</f>
        <v>#N/A</v>
      </c>
      <c r="F2207" s="1" t="e">
        <f>VLOOKUP(C2207,'Master truck list'!E:G,3,0)</f>
        <v>#N/A</v>
      </c>
      <c r="G2207" s="1" t="e">
        <f>VLOOKUP(C2207,'Master truck list'!E:R,14,0)</f>
        <v>#N/A</v>
      </c>
    </row>
    <row r="2208" spans="1:7" x14ac:dyDescent="0.25">
      <c r="A2208" s="1" t="str">
        <f t="shared" si="659"/>
        <v/>
      </c>
      <c r="B2208" s="1" t="str">
        <f t="shared" si="660"/>
        <v/>
      </c>
      <c r="C2208" s="1" t="e">
        <f>VLOOKUP(B2208,'Master truck list'!D:E,2,0)</f>
        <v>#N/A</v>
      </c>
      <c r="D2208" s="1" t="e">
        <f>VLOOKUP(C2208,'Master truck list'!E:F,2,0)</f>
        <v>#N/A</v>
      </c>
      <c r="E2208" s="1" t="e">
        <f>VLOOKUP(C2208,'Master truck list'!E:M,9,0)</f>
        <v>#N/A</v>
      </c>
      <c r="F2208" s="1" t="e">
        <f>VLOOKUP(C2208,'Master truck list'!E:G,3,0)</f>
        <v>#N/A</v>
      </c>
      <c r="G2208" s="1" t="e">
        <f>VLOOKUP(C2208,'Master truck list'!E:R,14,0)</f>
        <v>#N/A</v>
      </c>
    </row>
    <row r="2209" spans="1:7" x14ac:dyDescent="0.25">
      <c r="A2209" s="1" t="str">
        <f t="shared" si="659"/>
        <v/>
      </c>
      <c r="B2209" s="1" t="str">
        <f t="shared" si="660"/>
        <v/>
      </c>
      <c r="C2209" s="1" t="e">
        <f>VLOOKUP(B2209,'Master truck list'!D:E,2,0)</f>
        <v>#N/A</v>
      </c>
      <c r="D2209" s="1" t="e">
        <f>VLOOKUP(C2209,'Master truck list'!E:F,2,0)</f>
        <v>#N/A</v>
      </c>
      <c r="E2209" s="1" t="e">
        <f>VLOOKUP(C2209,'Master truck list'!E:M,9,0)</f>
        <v>#N/A</v>
      </c>
      <c r="F2209" s="1" t="e">
        <f>VLOOKUP(C2209,'Master truck list'!E:G,3,0)</f>
        <v>#N/A</v>
      </c>
      <c r="G2209" s="1" t="e">
        <f>VLOOKUP(C2209,'Master truck list'!E:R,14,0)</f>
        <v>#N/A</v>
      </c>
    </row>
    <row r="2210" spans="1:7" x14ac:dyDescent="0.25">
      <c r="A2210" s="1" t="str">
        <f t="shared" si="659"/>
        <v/>
      </c>
      <c r="B2210" s="1" t="str">
        <f t="shared" si="660"/>
        <v/>
      </c>
      <c r="C2210" s="1" t="e">
        <f>VLOOKUP(B2210,'Master truck list'!D:E,2,0)</f>
        <v>#N/A</v>
      </c>
      <c r="D2210" s="1" t="e">
        <f>VLOOKUP(C2210,'Master truck list'!E:F,2,0)</f>
        <v>#N/A</v>
      </c>
      <c r="E2210" s="1" t="e">
        <f>VLOOKUP(C2210,'Master truck list'!E:M,9,0)</f>
        <v>#N/A</v>
      </c>
      <c r="F2210" s="1" t="e">
        <f>VLOOKUP(C2210,'Master truck list'!E:G,3,0)</f>
        <v>#N/A</v>
      </c>
      <c r="G2210" s="1" t="e">
        <f>VLOOKUP(C2210,'Master truck list'!E:R,14,0)</f>
        <v>#N/A</v>
      </c>
    </row>
    <row r="2211" spans="1:7" x14ac:dyDescent="0.25">
      <c r="A2211" s="1" t="str">
        <f t="shared" si="659"/>
        <v/>
      </c>
      <c r="B2211" s="1" t="str">
        <f t="shared" si="660"/>
        <v/>
      </c>
      <c r="C2211" s="1" t="e">
        <f>VLOOKUP(B2211,'Master truck list'!D:E,2,0)</f>
        <v>#N/A</v>
      </c>
      <c r="D2211" s="1" t="e">
        <f>VLOOKUP(C2211,'Master truck list'!E:F,2,0)</f>
        <v>#N/A</v>
      </c>
      <c r="E2211" s="1" t="e">
        <f>VLOOKUP(C2211,'Master truck list'!E:M,9,0)</f>
        <v>#N/A</v>
      </c>
      <c r="F2211" s="1" t="e">
        <f>VLOOKUP(C2211,'Master truck list'!E:G,3,0)</f>
        <v>#N/A</v>
      </c>
      <c r="G2211" s="1" t="e">
        <f>VLOOKUP(C2211,'Master truck list'!E:R,14,0)</f>
        <v>#N/A</v>
      </c>
    </row>
    <row r="2212" spans="1:7" x14ac:dyDescent="0.25">
      <c r="A2212" s="1" t="str">
        <f t="shared" ref="A2212:A2275" si="661">LEFT(N2414,5)</f>
        <v/>
      </c>
      <c r="B2212" s="1" t="str">
        <f t="shared" si="660"/>
        <v/>
      </c>
      <c r="C2212" s="1" t="e">
        <f>VLOOKUP(B2212,'Master truck list'!D:E,2,0)</f>
        <v>#N/A</v>
      </c>
      <c r="D2212" s="1" t="e">
        <f>VLOOKUP(C2212,'Master truck list'!E:F,2,0)</f>
        <v>#N/A</v>
      </c>
      <c r="E2212" s="1" t="e">
        <f>VLOOKUP(C2212,'Master truck list'!E:M,9,0)</f>
        <v>#N/A</v>
      </c>
      <c r="F2212" s="1" t="e">
        <f>VLOOKUP(C2212,'Master truck list'!E:G,3,0)</f>
        <v>#N/A</v>
      </c>
      <c r="G2212" s="1" t="e">
        <f>VLOOKUP(C2212,'Master truck list'!E:R,14,0)</f>
        <v>#N/A</v>
      </c>
    </row>
    <row r="2213" spans="1:7" x14ac:dyDescent="0.25">
      <c r="A2213" s="1" t="str">
        <f t="shared" si="661"/>
        <v/>
      </c>
      <c r="B2213" s="1" t="str">
        <f t="shared" si="660"/>
        <v/>
      </c>
      <c r="C2213" s="1" t="e">
        <f>VLOOKUP(B2213,'Master truck list'!D:E,2,0)</f>
        <v>#N/A</v>
      </c>
      <c r="D2213" s="1" t="e">
        <f>VLOOKUP(C2213,'Master truck list'!E:F,2,0)</f>
        <v>#N/A</v>
      </c>
      <c r="E2213" s="1" t="e">
        <f>VLOOKUP(C2213,'Master truck list'!E:M,9,0)</f>
        <v>#N/A</v>
      </c>
      <c r="F2213" s="1" t="e">
        <f>VLOOKUP(C2213,'Master truck list'!E:G,3,0)</f>
        <v>#N/A</v>
      </c>
      <c r="G2213" s="1" t="e">
        <f>VLOOKUP(C2213,'Master truck list'!E:R,14,0)</f>
        <v>#N/A</v>
      </c>
    </row>
    <row r="2214" spans="1:7" x14ac:dyDescent="0.25">
      <c r="A2214" s="1" t="str">
        <f t="shared" si="661"/>
        <v/>
      </c>
      <c r="B2214" s="1" t="str">
        <f t="shared" si="660"/>
        <v/>
      </c>
      <c r="C2214" s="1" t="e">
        <f>VLOOKUP(B2214,'Master truck list'!D:E,2,0)</f>
        <v>#N/A</v>
      </c>
      <c r="D2214" s="1" t="e">
        <f>VLOOKUP(C2214,'Master truck list'!E:F,2,0)</f>
        <v>#N/A</v>
      </c>
      <c r="E2214" s="1" t="e">
        <f>VLOOKUP(C2214,'Master truck list'!E:M,9,0)</f>
        <v>#N/A</v>
      </c>
      <c r="F2214" s="1" t="e">
        <f>VLOOKUP(C2214,'Master truck list'!E:G,3,0)</f>
        <v>#N/A</v>
      </c>
      <c r="G2214" s="1" t="e">
        <f>VLOOKUP(C2214,'Master truck list'!E:R,14,0)</f>
        <v>#N/A</v>
      </c>
    </row>
    <row r="2215" spans="1:7" x14ac:dyDescent="0.25">
      <c r="A2215" s="1" t="str">
        <f t="shared" si="661"/>
        <v/>
      </c>
      <c r="B2215" s="1" t="str">
        <f t="shared" si="660"/>
        <v/>
      </c>
      <c r="C2215" s="1" t="e">
        <f>VLOOKUP(B2215,'Master truck list'!D:E,2,0)</f>
        <v>#N/A</v>
      </c>
      <c r="D2215" s="1" t="e">
        <f>VLOOKUP(C2215,'Master truck list'!E:F,2,0)</f>
        <v>#N/A</v>
      </c>
      <c r="E2215" s="1" t="e">
        <f>VLOOKUP(C2215,'Master truck list'!E:M,9,0)</f>
        <v>#N/A</v>
      </c>
      <c r="F2215" s="1" t="e">
        <f>VLOOKUP(C2215,'Master truck list'!E:G,3,0)</f>
        <v>#N/A</v>
      </c>
      <c r="G2215" s="1" t="e">
        <f>VLOOKUP(C2215,'Master truck list'!E:R,14,0)</f>
        <v>#N/A</v>
      </c>
    </row>
    <row r="2216" spans="1:7" x14ac:dyDescent="0.25">
      <c r="A2216" s="1" t="str">
        <f t="shared" si="661"/>
        <v/>
      </c>
      <c r="B2216" s="1" t="str">
        <f t="shared" si="660"/>
        <v/>
      </c>
      <c r="C2216" s="1" t="e">
        <f>VLOOKUP(B2216,'Master truck list'!D:E,2,0)</f>
        <v>#N/A</v>
      </c>
      <c r="D2216" s="1" t="e">
        <f>VLOOKUP(C2216,'Master truck list'!E:F,2,0)</f>
        <v>#N/A</v>
      </c>
      <c r="E2216" s="1" t="e">
        <f>VLOOKUP(C2216,'Master truck list'!E:M,9,0)</f>
        <v>#N/A</v>
      </c>
      <c r="F2216" s="1" t="e">
        <f>VLOOKUP(C2216,'Master truck list'!E:G,3,0)</f>
        <v>#N/A</v>
      </c>
      <c r="G2216" s="1" t="e">
        <f>VLOOKUP(C2216,'Master truck list'!E:R,14,0)</f>
        <v>#N/A</v>
      </c>
    </row>
    <row r="2217" spans="1:7" x14ac:dyDescent="0.25">
      <c r="A2217" s="1" t="str">
        <f t="shared" si="661"/>
        <v/>
      </c>
      <c r="B2217" s="1" t="str">
        <f t="shared" si="660"/>
        <v/>
      </c>
      <c r="C2217" s="1" t="e">
        <f>VLOOKUP(B2217,'Master truck list'!D:E,2,0)</f>
        <v>#N/A</v>
      </c>
      <c r="D2217" s="1" t="e">
        <f>VLOOKUP(C2217,'Master truck list'!E:F,2,0)</f>
        <v>#N/A</v>
      </c>
      <c r="E2217" s="1" t="e">
        <f>VLOOKUP(C2217,'Master truck list'!E:M,9,0)</f>
        <v>#N/A</v>
      </c>
      <c r="F2217" s="1" t="e">
        <f>VLOOKUP(C2217,'Master truck list'!E:G,3,0)</f>
        <v>#N/A</v>
      </c>
      <c r="G2217" s="1" t="e">
        <f>VLOOKUP(C2217,'Master truck list'!E:R,14,0)</f>
        <v>#N/A</v>
      </c>
    </row>
    <row r="2218" spans="1:7" x14ac:dyDescent="0.25">
      <c r="A2218" s="1" t="str">
        <f t="shared" si="661"/>
        <v/>
      </c>
      <c r="B2218" s="1" t="str">
        <f t="shared" si="660"/>
        <v/>
      </c>
      <c r="C2218" s="1" t="e">
        <f>VLOOKUP(B2218,'Master truck list'!D:E,2,0)</f>
        <v>#N/A</v>
      </c>
      <c r="D2218" s="1" t="e">
        <f>VLOOKUP(C2218,'Master truck list'!E:F,2,0)</f>
        <v>#N/A</v>
      </c>
      <c r="E2218" s="1" t="e">
        <f>VLOOKUP(C2218,'Master truck list'!E:M,9,0)</f>
        <v>#N/A</v>
      </c>
      <c r="F2218" s="1" t="e">
        <f>VLOOKUP(C2218,'Master truck list'!E:G,3,0)</f>
        <v>#N/A</v>
      </c>
      <c r="G2218" s="1" t="e">
        <f>VLOOKUP(C2218,'Master truck list'!E:R,14,0)</f>
        <v>#N/A</v>
      </c>
    </row>
    <row r="2219" spans="1:7" x14ac:dyDescent="0.25">
      <c r="A2219" s="1" t="str">
        <f t="shared" si="661"/>
        <v/>
      </c>
      <c r="B2219" s="1" t="str">
        <f t="shared" si="660"/>
        <v/>
      </c>
      <c r="C2219" s="1" t="e">
        <f>VLOOKUP(B2219,'Master truck list'!D:E,2,0)</f>
        <v>#N/A</v>
      </c>
      <c r="D2219" s="1" t="e">
        <f>VLOOKUP(C2219,'Master truck list'!E:F,2,0)</f>
        <v>#N/A</v>
      </c>
      <c r="E2219" s="1" t="e">
        <f>VLOOKUP(C2219,'Master truck list'!E:M,9,0)</f>
        <v>#N/A</v>
      </c>
      <c r="F2219" s="1" t="e">
        <f>VLOOKUP(C2219,'Master truck list'!E:G,3,0)</f>
        <v>#N/A</v>
      </c>
      <c r="G2219" s="1" t="e">
        <f>VLOOKUP(C2219,'Master truck list'!E:R,14,0)</f>
        <v>#N/A</v>
      </c>
    </row>
    <row r="2220" spans="1:7" x14ac:dyDescent="0.25">
      <c r="A2220" s="1" t="str">
        <f t="shared" si="661"/>
        <v/>
      </c>
      <c r="B2220" s="1" t="str">
        <f t="shared" si="660"/>
        <v/>
      </c>
      <c r="C2220" s="1" t="e">
        <f>VLOOKUP(B2220,'Master truck list'!D:E,2,0)</f>
        <v>#N/A</v>
      </c>
      <c r="D2220" s="1" t="e">
        <f>VLOOKUP(C2220,'Master truck list'!E:F,2,0)</f>
        <v>#N/A</v>
      </c>
      <c r="E2220" s="1" t="e">
        <f>VLOOKUP(C2220,'Master truck list'!E:M,9,0)</f>
        <v>#N/A</v>
      </c>
      <c r="F2220" s="1" t="e">
        <f>VLOOKUP(C2220,'Master truck list'!E:G,3,0)</f>
        <v>#N/A</v>
      </c>
      <c r="G2220" s="1" t="e">
        <f>VLOOKUP(C2220,'Master truck list'!E:R,14,0)</f>
        <v>#N/A</v>
      </c>
    </row>
    <row r="2221" spans="1:7" x14ac:dyDescent="0.25">
      <c r="A2221" s="1" t="str">
        <f t="shared" si="661"/>
        <v/>
      </c>
      <c r="B2221" s="1" t="str">
        <f t="shared" si="660"/>
        <v/>
      </c>
      <c r="C2221" s="1" t="e">
        <f>VLOOKUP(B2221,'Master truck list'!D:E,2,0)</f>
        <v>#N/A</v>
      </c>
      <c r="D2221" s="1" t="e">
        <f>VLOOKUP(C2221,'Master truck list'!E:F,2,0)</f>
        <v>#N/A</v>
      </c>
      <c r="E2221" s="1" t="e">
        <f>VLOOKUP(C2221,'Master truck list'!E:M,9,0)</f>
        <v>#N/A</v>
      </c>
      <c r="F2221" s="1" t="e">
        <f>VLOOKUP(C2221,'Master truck list'!E:G,3,0)</f>
        <v>#N/A</v>
      </c>
      <c r="G2221" s="1" t="e">
        <f>VLOOKUP(C2221,'Master truck list'!E:R,14,0)</f>
        <v>#N/A</v>
      </c>
    </row>
    <row r="2222" spans="1:7" x14ac:dyDescent="0.25">
      <c r="A2222" s="1" t="str">
        <f t="shared" si="661"/>
        <v/>
      </c>
      <c r="B2222" s="1" t="str">
        <f t="shared" si="660"/>
        <v/>
      </c>
      <c r="C2222" s="1" t="e">
        <f>VLOOKUP(B2222,'Master truck list'!D:E,2,0)</f>
        <v>#N/A</v>
      </c>
      <c r="D2222" s="1" t="e">
        <f>VLOOKUP(C2222,'Master truck list'!E:F,2,0)</f>
        <v>#N/A</v>
      </c>
      <c r="E2222" s="1" t="e">
        <f>VLOOKUP(C2222,'Master truck list'!E:M,9,0)</f>
        <v>#N/A</v>
      </c>
      <c r="F2222" s="1" t="e">
        <f>VLOOKUP(C2222,'Master truck list'!E:G,3,0)</f>
        <v>#N/A</v>
      </c>
      <c r="G2222" s="1" t="e">
        <f>VLOOKUP(C2222,'Master truck list'!E:R,14,0)</f>
        <v>#N/A</v>
      </c>
    </row>
    <row r="2223" spans="1:7" x14ac:dyDescent="0.25">
      <c r="A2223" s="1" t="str">
        <f t="shared" si="661"/>
        <v/>
      </c>
      <c r="B2223" s="1" t="str">
        <f t="shared" si="660"/>
        <v/>
      </c>
      <c r="C2223" s="1" t="e">
        <f>VLOOKUP(B2223,'Master truck list'!D:E,2,0)</f>
        <v>#N/A</v>
      </c>
      <c r="D2223" s="1" t="e">
        <f>VLOOKUP(C2223,'Master truck list'!E:F,2,0)</f>
        <v>#N/A</v>
      </c>
      <c r="E2223" s="1" t="e">
        <f>VLOOKUP(C2223,'Master truck list'!E:M,9,0)</f>
        <v>#N/A</v>
      </c>
      <c r="F2223" s="1" t="e">
        <f>VLOOKUP(C2223,'Master truck list'!E:G,3,0)</f>
        <v>#N/A</v>
      </c>
      <c r="G2223" s="1" t="e">
        <f>VLOOKUP(C2223,'Master truck list'!E:R,14,0)</f>
        <v>#N/A</v>
      </c>
    </row>
    <row r="2224" spans="1:7" x14ac:dyDescent="0.25">
      <c r="A2224" s="1" t="str">
        <f t="shared" si="661"/>
        <v/>
      </c>
      <c r="B2224" s="1" t="str">
        <f t="shared" si="660"/>
        <v/>
      </c>
      <c r="C2224" s="1" t="e">
        <f>VLOOKUP(B2224,'Master truck list'!D:E,2,0)</f>
        <v>#N/A</v>
      </c>
      <c r="D2224" s="1" t="e">
        <f>VLOOKUP(C2224,'Master truck list'!E:F,2,0)</f>
        <v>#N/A</v>
      </c>
      <c r="E2224" s="1" t="e">
        <f>VLOOKUP(C2224,'Master truck list'!E:M,9,0)</f>
        <v>#N/A</v>
      </c>
      <c r="F2224" s="1" t="e">
        <f>VLOOKUP(C2224,'Master truck list'!E:G,3,0)</f>
        <v>#N/A</v>
      </c>
      <c r="G2224" s="1" t="e">
        <f>VLOOKUP(C2224,'Master truck list'!E:R,14,0)</f>
        <v>#N/A</v>
      </c>
    </row>
    <row r="2225" spans="1:7" x14ac:dyDescent="0.25">
      <c r="A2225" s="1" t="str">
        <f t="shared" si="661"/>
        <v/>
      </c>
      <c r="B2225" s="1" t="str">
        <f t="shared" si="660"/>
        <v/>
      </c>
      <c r="C2225" s="1" t="e">
        <f>VLOOKUP(B2225,'Master truck list'!D:E,2,0)</f>
        <v>#N/A</v>
      </c>
      <c r="D2225" s="1" t="e">
        <f>VLOOKUP(C2225,'Master truck list'!E:F,2,0)</f>
        <v>#N/A</v>
      </c>
      <c r="E2225" s="1" t="e">
        <f>VLOOKUP(C2225,'Master truck list'!E:M,9,0)</f>
        <v>#N/A</v>
      </c>
      <c r="F2225" s="1" t="e">
        <f>VLOOKUP(C2225,'Master truck list'!E:G,3,0)</f>
        <v>#N/A</v>
      </c>
      <c r="G2225" s="1" t="e">
        <f>VLOOKUP(C2225,'Master truck list'!E:R,14,0)</f>
        <v>#N/A</v>
      </c>
    </row>
    <row r="2226" spans="1:7" x14ac:dyDescent="0.25">
      <c r="A2226" s="1" t="str">
        <f t="shared" si="661"/>
        <v/>
      </c>
      <c r="B2226" s="1" t="str">
        <f t="shared" si="660"/>
        <v/>
      </c>
      <c r="C2226" s="1" t="e">
        <f>VLOOKUP(B2226,'Master truck list'!D:E,2,0)</f>
        <v>#N/A</v>
      </c>
      <c r="D2226" s="1" t="e">
        <f>VLOOKUP(C2226,'Master truck list'!E:F,2,0)</f>
        <v>#N/A</v>
      </c>
      <c r="E2226" s="1" t="e">
        <f>VLOOKUP(C2226,'Master truck list'!E:M,9,0)</f>
        <v>#N/A</v>
      </c>
      <c r="F2226" s="1" t="e">
        <f>VLOOKUP(C2226,'Master truck list'!E:G,3,0)</f>
        <v>#N/A</v>
      </c>
      <c r="G2226" s="1" t="e">
        <f>VLOOKUP(C2226,'Master truck list'!E:R,14,0)</f>
        <v>#N/A</v>
      </c>
    </row>
    <row r="2227" spans="1:7" x14ac:dyDescent="0.25">
      <c r="A2227" s="1" t="str">
        <f t="shared" si="661"/>
        <v/>
      </c>
      <c r="B2227" s="1" t="str">
        <f t="shared" si="660"/>
        <v/>
      </c>
      <c r="C2227" s="1" t="e">
        <f>VLOOKUP(B2227,'Master truck list'!D:E,2,0)</f>
        <v>#N/A</v>
      </c>
      <c r="D2227" s="1" t="e">
        <f>VLOOKUP(C2227,'Master truck list'!E:F,2,0)</f>
        <v>#N/A</v>
      </c>
      <c r="E2227" s="1" t="e">
        <f>VLOOKUP(C2227,'Master truck list'!E:M,9,0)</f>
        <v>#N/A</v>
      </c>
      <c r="F2227" s="1" t="e">
        <f>VLOOKUP(C2227,'Master truck list'!E:G,3,0)</f>
        <v>#N/A</v>
      </c>
      <c r="G2227" s="1" t="e">
        <f>VLOOKUP(C2227,'Master truck list'!E:R,14,0)</f>
        <v>#N/A</v>
      </c>
    </row>
    <row r="2228" spans="1:7" x14ac:dyDescent="0.25">
      <c r="A2228" s="1" t="str">
        <f t="shared" si="661"/>
        <v/>
      </c>
      <c r="B2228" s="1" t="str">
        <f t="shared" si="660"/>
        <v/>
      </c>
      <c r="C2228" s="1" t="e">
        <f>VLOOKUP(B2228,'Master truck list'!D:E,2,0)</f>
        <v>#N/A</v>
      </c>
      <c r="D2228" s="1" t="e">
        <f>VLOOKUP(C2228,'Master truck list'!E:F,2,0)</f>
        <v>#N/A</v>
      </c>
      <c r="E2228" s="1" t="e">
        <f>VLOOKUP(C2228,'Master truck list'!E:M,9,0)</f>
        <v>#N/A</v>
      </c>
      <c r="F2228" s="1" t="e">
        <f>VLOOKUP(C2228,'Master truck list'!E:G,3,0)</f>
        <v>#N/A</v>
      </c>
      <c r="G2228" s="1" t="e">
        <f>VLOOKUP(C2228,'Master truck list'!E:R,14,0)</f>
        <v>#N/A</v>
      </c>
    </row>
    <row r="2229" spans="1:7" x14ac:dyDescent="0.25">
      <c r="A2229" s="1" t="str">
        <f t="shared" si="661"/>
        <v/>
      </c>
      <c r="B2229" s="1" t="str">
        <f t="shared" si="660"/>
        <v/>
      </c>
      <c r="C2229" s="1" t="e">
        <f>VLOOKUP(B2229,'Master truck list'!D:E,2,0)</f>
        <v>#N/A</v>
      </c>
      <c r="D2229" s="1" t="e">
        <f>VLOOKUP(C2229,'Master truck list'!E:F,2,0)</f>
        <v>#N/A</v>
      </c>
      <c r="E2229" s="1" t="e">
        <f>VLOOKUP(C2229,'Master truck list'!E:M,9,0)</f>
        <v>#N/A</v>
      </c>
      <c r="F2229" s="1" t="e">
        <f>VLOOKUP(C2229,'Master truck list'!E:G,3,0)</f>
        <v>#N/A</v>
      </c>
      <c r="G2229" s="1" t="e">
        <f>VLOOKUP(C2229,'Master truck list'!E:R,14,0)</f>
        <v>#N/A</v>
      </c>
    </row>
    <row r="2230" spans="1:7" x14ac:dyDescent="0.25">
      <c r="A2230" s="1" t="str">
        <f t="shared" si="661"/>
        <v/>
      </c>
      <c r="B2230" s="1" t="str">
        <f t="shared" si="660"/>
        <v/>
      </c>
      <c r="C2230" s="1" t="e">
        <f>VLOOKUP(B2230,'Master truck list'!D:E,2,0)</f>
        <v>#N/A</v>
      </c>
      <c r="D2230" s="1" t="e">
        <f>VLOOKUP(C2230,'Master truck list'!E:F,2,0)</f>
        <v>#N/A</v>
      </c>
      <c r="E2230" s="1" t="e">
        <f>VLOOKUP(C2230,'Master truck list'!E:M,9,0)</f>
        <v>#N/A</v>
      </c>
      <c r="F2230" s="1" t="e">
        <f>VLOOKUP(C2230,'Master truck list'!E:G,3,0)</f>
        <v>#N/A</v>
      </c>
      <c r="G2230" s="1" t="e">
        <f>VLOOKUP(C2230,'Master truck list'!E:R,14,0)</f>
        <v>#N/A</v>
      </c>
    </row>
    <row r="2231" spans="1:7" x14ac:dyDescent="0.25">
      <c r="A2231" s="1" t="str">
        <f t="shared" si="661"/>
        <v/>
      </c>
      <c r="B2231" s="1" t="str">
        <f t="shared" si="660"/>
        <v/>
      </c>
      <c r="C2231" s="1" t="e">
        <f>VLOOKUP(B2231,'Master truck list'!D:E,2,0)</f>
        <v>#N/A</v>
      </c>
      <c r="D2231" s="1" t="e">
        <f>VLOOKUP(C2231,'Master truck list'!E:F,2,0)</f>
        <v>#N/A</v>
      </c>
      <c r="E2231" s="1" t="e">
        <f>VLOOKUP(C2231,'Master truck list'!E:M,9,0)</f>
        <v>#N/A</v>
      </c>
      <c r="F2231" s="1" t="e">
        <f>VLOOKUP(C2231,'Master truck list'!E:G,3,0)</f>
        <v>#N/A</v>
      </c>
      <c r="G2231" s="1" t="e">
        <f>VLOOKUP(C2231,'Master truck list'!E:R,14,0)</f>
        <v>#N/A</v>
      </c>
    </row>
    <row r="2232" spans="1:7" x14ac:dyDescent="0.25">
      <c r="A2232" s="1" t="str">
        <f t="shared" si="661"/>
        <v/>
      </c>
      <c r="B2232" s="1" t="str">
        <f t="shared" si="660"/>
        <v/>
      </c>
      <c r="C2232" s="1" t="e">
        <f>VLOOKUP(B2232,'Master truck list'!D:E,2,0)</f>
        <v>#N/A</v>
      </c>
      <c r="D2232" s="1" t="e">
        <f>VLOOKUP(C2232,'Master truck list'!E:F,2,0)</f>
        <v>#N/A</v>
      </c>
      <c r="E2232" s="1" t="e">
        <f>VLOOKUP(C2232,'Master truck list'!E:M,9,0)</f>
        <v>#N/A</v>
      </c>
      <c r="F2232" s="1" t="e">
        <f>VLOOKUP(C2232,'Master truck list'!E:G,3,0)</f>
        <v>#N/A</v>
      </c>
      <c r="G2232" s="1" t="e">
        <f>VLOOKUP(C2232,'Master truck list'!E:R,14,0)</f>
        <v>#N/A</v>
      </c>
    </row>
    <row r="2233" spans="1:7" x14ac:dyDescent="0.25">
      <c r="A2233" s="1" t="str">
        <f t="shared" si="661"/>
        <v/>
      </c>
      <c r="B2233" s="1" t="str">
        <f t="shared" ref="B2233:B2296" si="662">SUBSTITUTE(A2233," ","")</f>
        <v/>
      </c>
      <c r="C2233" s="1" t="e">
        <f>VLOOKUP(B2233,'Master truck list'!D:E,2,0)</f>
        <v>#N/A</v>
      </c>
      <c r="D2233" s="1" t="e">
        <f>VLOOKUP(C2233,'Master truck list'!E:F,2,0)</f>
        <v>#N/A</v>
      </c>
      <c r="E2233" s="1" t="e">
        <f>VLOOKUP(C2233,'Master truck list'!E:M,9,0)</f>
        <v>#N/A</v>
      </c>
      <c r="F2233" s="1" t="e">
        <f>VLOOKUP(C2233,'Master truck list'!E:G,3,0)</f>
        <v>#N/A</v>
      </c>
      <c r="G2233" s="1" t="e">
        <f>VLOOKUP(C2233,'Master truck list'!E:R,14,0)</f>
        <v>#N/A</v>
      </c>
    </row>
    <row r="2234" spans="1:7" x14ac:dyDescent="0.25">
      <c r="A2234" s="1" t="str">
        <f t="shared" si="661"/>
        <v/>
      </c>
      <c r="B2234" s="1" t="str">
        <f t="shared" si="662"/>
        <v/>
      </c>
      <c r="C2234" s="1" t="e">
        <f>VLOOKUP(B2234,'Master truck list'!D:E,2,0)</f>
        <v>#N/A</v>
      </c>
      <c r="D2234" s="1" t="e">
        <f>VLOOKUP(C2234,'Master truck list'!E:F,2,0)</f>
        <v>#N/A</v>
      </c>
      <c r="E2234" s="1" t="e">
        <f>VLOOKUP(C2234,'Master truck list'!E:M,9,0)</f>
        <v>#N/A</v>
      </c>
      <c r="F2234" s="1" t="e">
        <f>VLOOKUP(C2234,'Master truck list'!E:G,3,0)</f>
        <v>#N/A</v>
      </c>
      <c r="G2234" s="1" t="e">
        <f>VLOOKUP(C2234,'Master truck list'!E:R,14,0)</f>
        <v>#N/A</v>
      </c>
    </row>
    <row r="2235" spans="1:7" x14ac:dyDescent="0.25">
      <c r="A2235" s="1" t="str">
        <f t="shared" si="661"/>
        <v/>
      </c>
      <c r="B2235" s="1" t="str">
        <f t="shared" si="662"/>
        <v/>
      </c>
      <c r="C2235" s="1" t="e">
        <f>VLOOKUP(B2235,'Master truck list'!D:E,2,0)</f>
        <v>#N/A</v>
      </c>
      <c r="D2235" s="1" t="e">
        <f>VLOOKUP(C2235,'Master truck list'!E:F,2,0)</f>
        <v>#N/A</v>
      </c>
      <c r="E2235" s="1" t="e">
        <f>VLOOKUP(C2235,'Master truck list'!E:M,9,0)</f>
        <v>#N/A</v>
      </c>
      <c r="F2235" s="1" t="e">
        <f>VLOOKUP(C2235,'Master truck list'!E:G,3,0)</f>
        <v>#N/A</v>
      </c>
      <c r="G2235" s="1" t="e">
        <f>VLOOKUP(C2235,'Master truck list'!E:R,14,0)</f>
        <v>#N/A</v>
      </c>
    </row>
    <row r="2236" spans="1:7" x14ac:dyDescent="0.25">
      <c r="A2236" s="1" t="str">
        <f t="shared" si="661"/>
        <v/>
      </c>
      <c r="B2236" s="1" t="str">
        <f t="shared" si="662"/>
        <v/>
      </c>
      <c r="C2236" s="1" t="e">
        <f>VLOOKUP(B2236,'Master truck list'!D:E,2,0)</f>
        <v>#N/A</v>
      </c>
      <c r="D2236" s="1" t="e">
        <f>VLOOKUP(C2236,'Master truck list'!E:F,2,0)</f>
        <v>#N/A</v>
      </c>
      <c r="E2236" s="1" t="e">
        <f>VLOOKUP(C2236,'Master truck list'!E:M,9,0)</f>
        <v>#N/A</v>
      </c>
      <c r="F2236" s="1" t="e">
        <f>VLOOKUP(C2236,'Master truck list'!E:G,3,0)</f>
        <v>#N/A</v>
      </c>
      <c r="G2236" s="1" t="e">
        <f>VLOOKUP(C2236,'Master truck list'!E:R,14,0)</f>
        <v>#N/A</v>
      </c>
    </row>
    <row r="2237" spans="1:7" x14ac:dyDescent="0.25">
      <c r="A2237" s="1" t="str">
        <f t="shared" si="661"/>
        <v/>
      </c>
      <c r="B2237" s="1" t="str">
        <f t="shared" si="662"/>
        <v/>
      </c>
      <c r="C2237" s="1" t="e">
        <f>VLOOKUP(B2237,'Master truck list'!D:E,2,0)</f>
        <v>#N/A</v>
      </c>
      <c r="D2237" s="1" t="e">
        <f>VLOOKUP(C2237,'Master truck list'!E:F,2,0)</f>
        <v>#N/A</v>
      </c>
      <c r="E2237" s="1" t="e">
        <f>VLOOKUP(C2237,'Master truck list'!E:M,9,0)</f>
        <v>#N/A</v>
      </c>
      <c r="F2237" s="1" t="e">
        <f>VLOOKUP(C2237,'Master truck list'!E:G,3,0)</f>
        <v>#N/A</v>
      </c>
      <c r="G2237" s="1" t="e">
        <f>VLOOKUP(C2237,'Master truck list'!E:R,14,0)</f>
        <v>#N/A</v>
      </c>
    </row>
    <row r="2238" spans="1:7" x14ac:dyDescent="0.25">
      <c r="A2238" s="1" t="str">
        <f t="shared" si="661"/>
        <v/>
      </c>
      <c r="B2238" s="1" t="str">
        <f t="shared" si="662"/>
        <v/>
      </c>
      <c r="C2238" s="1" t="e">
        <f>VLOOKUP(B2238,'Master truck list'!D:E,2,0)</f>
        <v>#N/A</v>
      </c>
      <c r="D2238" s="1" t="e">
        <f>VLOOKUP(C2238,'Master truck list'!E:F,2,0)</f>
        <v>#N/A</v>
      </c>
      <c r="E2238" s="1" t="e">
        <f>VLOOKUP(C2238,'Master truck list'!E:M,9,0)</f>
        <v>#N/A</v>
      </c>
      <c r="F2238" s="1" t="e">
        <f>VLOOKUP(C2238,'Master truck list'!E:G,3,0)</f>
        <v>#N/A</v>
      </c>
      <c r="G2238" s="1" t="e">
        <f>VLOOKUP(C2238,'Master truck list'!E:R,14,0)</f>
        <v>#N/A</v>
      </c>
    </row>
    <row r="2239" spans="1:7" x14ac:dyDescent="0.25">
      <c r="A2239" s="1" t="str">
        <f t="shared" si="661"/>
        <v/>
      </c>
      <c r="B2239" s="1" t="str">
        <f t="shared" si="662"/>
        <v/>
      </c>
      <c r="C2239" s="1" t="e">
        <f>VLOOKUP(B2239,'Master truck list'!D:E,2,0)</f>
        <v>#N/A</v>
      </c>
      <c r="D2239" s="1" t="e">
        <f>VLOOKUP(C2239,'Master truck list'!E:F,2,0)</f>
        <v>#N/A</v>
      </c>
      <c r="E2239" s="1" t="e">
        <f>VLOOKUP(C2239,'Master truck list'!E:M,9,0)</f>
        <v>#N/A</v>
      </c>
      <c r="F2239" s="1" t="e">
        <f>VLOOKUP(C2239,'Master truck list'!E:G,3,0)</f>
        <v>#N/A</v>
      </c>
      <c r="G2239" s="1" t="e">
        <f>VLOOKUP(C2239,'Master truck list'!E:R,14,0)</f>
        <v>#N/A</v>
      </c>
    </row>
    <row r="2240" spans="1:7" x14ac:dyDescent="0.25">
      <c r="A2240" s="1" t="str">
        <f t="shared" si="661"/>
        <v/>
      </c>
      <c r="B2240" s="1" t="str">
        <f t="shared" si="662"/>
        <v/>
      </c>
      <c r="C2240" s="1" t="e">
        <f>VLOOKUP(B2240,'Master truck list'!D:E,2,0)</f>
        <v>#N/A</v>
      </c>
      <c r="D2240" s="1" t="e">
        <f>VLOOKUP(C2240,'Master truck list'!E:F,2,0)</f>
        <v>#N/A</v>
      </c>
      <c r="E2240" s="1" t="e">
        <f>VLOOKUP(C2240,'Master truck list'!E:M,9,0)</f>
        <v>#N/A</v>
      </c>
      <c r="F2240" s="1" t="e">
        <f>VLOOKUP(C2240,'Master truck list'!E:G,3,0)</f>
        <v>#N/A</v>
      </c>
      <c r="G2240" s="1" t="e">
        <f>VLOOKUP(C2240,'Master truck list'!E:R,14,0)</f>
        <v>#N/A</v>
      </c>
    </row>
    <row r="2241" spans="1:7" x14ac:dyDescent="0.25">
      <c r="A2241" s="1" t="str">
        <f t="shared" si="661"/>
        <v/>
      </c>
      <c r="B2241" s="1" t="str">
        <f t="shared" si="662"/>
        <v/>
      </c>
      <c r="C2241" s="1" t="e">
        <f>VLOOKUP(B2241,'Master truck list'!D:E,2,0)</f>
        <v>#N/A</v>
      </c>
      <c r="D2241" s="1" t="e">
        <f>VLOOKUP(C2241,'Master truck list'!E:F,2,0)</f>
        <v>#N/A</v>
      </c>
      <c r="E2241" s="1" t="e">
        <f>VLOOKUP(C2241,'Master truck list'!E:M,9,0)</f>
        <v>#N/A</v>
      </c>
      <c r="F2241" s="1" t="e">
        <f>VLOOKUP(C2241,'Master truck list'!E:G,3,0)</f>
        <v>#N/A</v>
      </c>
      <c r="G2241" s="1" t="e">
        <f>VLOOKUP(C2241,'Master truck list'!E:R,14,0)</f>
        <v>#N/A</v>
      </c>
    </row>
    <row r="2242" spans="1:7" x14ac:dyDescent="0.25">
      <c r="A2242" s="1" t="str">
        <f t="shared" si="661"/>
        <v/>
      </c>
      <c r="B2242" s="1" t="str">
        <f t="shared" si="662"/>
        <v/>
      </c>
      <c r="C2242" s="1" t="e">
        <f>VLOOKUP(B2242,'Master truck list'!D:E,2,0)</f>
        <v>#N/A</v>
      </c>
      <c r="D2242" s="1" t="e">
        <f>VLOOKUP(C2242,'Master truck list'!E:F,2,0)</f>
        <v>#N/A</v>
      </c>
      <c r="E2242" s="1" t="e">
        <f>VLOOKUP(C2242,'Master truck list'!E:M,9,0)</f>
        <v>#N/A</v>
      </c>
      <c r="F2242" s="1" t="e">
        <f>VLOOKUP(C2242,'Master truck list'!E:G,3,0)</f>
        <v>#N/A</v>
      </c>
      <c r="G2242" s="1" t="e">
        <f>VLOOKUP(C2242,'Master truck list'!E:R,14,0)</f>
        <v>#N/A</v>
      </c>
    </row>
    <row r="2243" spans="1:7" x14ac:dyDescent="0.25">
      <c r="A2243" s="1" t="str">
        <f t="shared" si="661"/>
        <v/>
      </c>
      <c r="B2243" s="1" t="str">
        <f t="shared" si="662"/>
        <v/>
      </c>
      <c r="C2243" s="1" t="e">
        <f>VLOOKUP(B2243,'Master truck list'!D:E,2,0)</f>
        <v>#N/A</v>
      </c>
      <c r="D2243" s="1" t="e">
        <f>VLOOKUP(C2243,'Master truck list'!E:F,2,0)</f>
        <v>#N/A</v>
      </c>
      <c r="E2243" s="1" t="e">
        <f>VLOOKUP(C2243,'Master truck list'!E:M,9,0)</f>
        <v>#N/A</v>
      </c>
      <c r="F2243" s="1" t="e">
        <f>VLOOKUP(C2243,'Master truck list'!E:G,3,0)</f>
        <v>#N/A</v>
      </c>
      <c r="G2243" s="1" t="e">
        <f>VLOOKUP(C2243,'Master truck list'!E:R,14,0)</f>
        <v>#N/A</v>
      </c>
    </row>
    <row r="2244" spans="1:7" x14ac:dyDescent="0.25">
      <c r="A2244" s="1" t="str">
        <f t="shared" si="661"/>
        <v/>
      </c>
      <c r="B2244" s="1" t="str">
        <f t="shared" si="662"/>
        <v/>
      </c>
      <c r="C2244" s="1" t="e">
        <f>VLOOKUP(B2244,'Master truck list'!D:E,2,0)</f>
        <v>#N/A</v>
      </c>
      <c r="D2244" s="1" t="e">
        <f>VLOOKUP(C2244,'Master truck list'!E:F,2,0)</f>
        <v>#N/A</v>
      </c>
      <c r="E2244" s="1" t="e">
        <f>VLOOKUP(C2244,'Master truck list'!E:M,9,0)</f>
        <v>#N/A</v>
      </c>
      <c r="F2244" s="1" t="e">
        <f>VLOOKUP(C2244,'Master truck list'!E:G,3,0)</f>
        <v>#N/A</v>
      </c>
      <c r="G2244" s="1" t="e">
        <f>VLOOKUP(C2244,'Master truck list'!E:R,14,0)</f>
        <v>#N/A</v>
      </c>
    </row>
    <row r="2245" spans="1:7" x14ac:dyDescent="0.25">
      <c r="A2245" s="1" t="str">
        <f t="shared" si="661"/>
        <v/>
      </c>
      <c r="B2245" s="1" t="str">
        <f t="shared" si="662"/>
        <v/>
      </c>
      <c r="C2245" s="1" t="e">
        <f>VLOOKUP(B2245,'Master truck list'!D:E,2,0)</f>
        <v>#N/A</v>
      </c>
      <c r="D2245" s="1" t="e">
        <f>VLOOKUP(C2245,'Master truck list'!E:F,2,0)</f>
        <v>#N/A</v>
      </c>
      <c r="E2245" s="1" t="e">
        <f>VLOOKUP(C2245,'Master truck list'!E:M,9,0)</f>
        <v>#N/A</v>
      </c>
      <c r="F2245" s="1" t="e">
        <f>VLOOKUP(C2245,'Master truck list'!E:G,3,0)</f>
        <v>#N/A</v>
      </c>
      <c r="G2245" s="1" t="e">
        <f>VLOOKUP(C2245,'Master truck list'!E:R,14,0)</f>
        <v>#N/A</v>
      </c>
    </row>
    <row r="2246" spans="1:7" x14ac:dyDescent="0.25">
      <c r="A2246" s="1" t="str">
        <f t="shared" si="661"/>
        <v/>
      </c>
      <c r="B2246" s="1" t="str">
        <f t="shared" si="662"/>
        <v/>
      </c>
      <c r="C2246" s="1" t="e">
        <f>VLOOKUP(B2246,'Master truck list'!D:E,2,0)</f>
        <v>#N/A</v>
      </c>
      <c r="D2246" s="1" t="e">
        <f>VLOOKUP(C2246,'Master truck list'!E:F,2,0)</f>
        <v>#N/A</v>
      </c>
      <c r="E2246" s="1" t="e">
        <f>VLOOKUP(C2246,'Master truck list'!E:M,9,0)</f>
        <v>#N/A</v>
      </c>
      <c r="F2246" s="1" t="e">
        <f>VLOOKUP(C2246,'Master truck list'!E:G,3,0)</f>
        <v>#N/A</v>
      </c>
      <c r="G2246" s="1" t="e">
        <f>VLOOKUP(C2246,'Master truck list'!E:R,14,0)</f>
        <v>#N/A</v>
      </c>
    </row>
    <row r="2247" spans="1:7" x14ac:dyDescent="0.25">
      <c r="A2247" s="1" t="str">
        <f t="shared" si="661"/>
        <v/>
      </c>
      <c r="B2247" s="1" t="str">
        <f t="shared" si="662"/>
        <v/>
      </c>
      <c r="C2247" s="1" t="e">
        <f>VLOOKUP(B2247,'Master truck list'!D:E,2,0)</f>
        <v>#N/A</v>
      </c>
      <c r="D2247" s="1" t="e">
        <f>VLOOKUP(C2247,'Master truck list'!E:F,2,0)</f>
        <v>#N/A</v>
      </c>
      <c r="E2247" s="1" t="e">
        <f>VLOOKUP(C2247,'Master truck list'!E:M,9,0)</f>
        <v>#N/A</v>
      </c>
      <c r="F2247" s="1" t="e">
        <f>VLOOKUP(C2247,'Master truck list'!E:G,3,0)</f>
        <v>#N/A</v>
      </c>
      <c r="G2247" s="1" t="e">
        <f>VLOOKUP(C2247,'Master truck list'!E:R,14,0)</f>
        <v>#N/A</v>
      </c>
    </row>
    <row r="2248" spans="1:7" x14ac:dyDescent="0.25">
      <c r="A2248" s="1" t="str">
        <f t="shared" si="661"/>
        <v/>
      </c>
      <c r="B2248" s="1" t="str">
        <f t="shared" si="662"/>
        <v/>
      </c>
      <c r="C2248" s="1" t="e">
        <f>VLOOKUP(B2248,'Master truck list'!D:E,2,0)</f>
        <v>#N/A</v>
      </c>
      <c r="D2248" s="1" t="e">
        <f>VLOOKUP(C2248,'Master truck list'!E:F,2,0)</f>
        <v>#N/A</v>
      </c>
      <c r="E2248" s="1" t="e">
        <f>VLOOKUP(C2248,'Master truck list'!E:M,9,0)</f>
        <v>#N/A</v>
      </c>
      <c r="F2248" s="1" t="e">
        <f>VLOOKUP(C2248,'Master truck list'!E:G,3,0)</f>
        <v>#N/A</v>
      </c>
      <c r="G2248" s="1" t="e">
        <f>VLOOKUP(C2248,'Master truck list'!E:R,14,0)</f>
        <v>#N/A</v>
      </c>
    </row>
    <row r="2249" spans="1:7" x14ac:dyDescent="0.25">
      <c r="A2249" s="1" t="str">
        <f t="shared" si="661"/>
        <v/>
      </c>
      <c r="B2249" s="1" t="str">
        <f t="shared" si="662"/>
        <v/>
      </c>
      <c r="C2249" s="1" t="e">
        <f>VLOOKUP(B2249,'Master truck list'!D:E,2,0)</f>
        <v>#N/A</v>
      </c>
      <c r="D2249" s="1" t="e">
        <f>VLOOKUP(C2249,'Master truck list'!E:F,2,0)</f>
        <v>#N/A</v>
      </c>
      <c r="E2249" s="1" t="e">
        <f>VLOOKUP(C2249,'Master truck list'!E:M,9,0)</f>
        <v>#N/A</v>
      </c>
      <c r="F2249" s="1" t="e">
        <f>VLOOKUP(C2249,'Master truck list'!E:G,3,0)</f>
        <v>#N/A</v>
      </c>
      <c r="G2249" s="1" t="e">
        <f>VLOOKUP(C2249,'Master truck list'!E:R,14,0)</f>
        <v>#N/A</v>
      </c>
    </row>
    <row r="2250" spans="1:7" x14ac:dyDescent="0.25">
      <c r="A2250" s="1" t="str">
        <f t="shared" si="661"/>
        <v/>
      </c>
      <c r="B2250" s="1" t="str">
        <f t="shared" si="662"/>
        <v/>
      </c>
      <c r="C2250" s="1" t="e">
        <f>VLOOKUP(B2250,'Master truck list'!D:E,2,0)</f>
        <v>#N/A</v>
      </c>
      <c r="D2250" s="1" t="e">
        <f>VLOOKUP(C2250,'Master truck list'!E:F,2,0)</f>
        <v>#N/A</v>
      </c>
      <c r="E2250" s="1" t="e">
        <f>VLOOKUP(C2250,'Master truck list'!E:M,9,0)</f>
        <v>#N/A</v>
      </c>
      <c r="F2250" s="1" t="e">
        <f>VLOOKUP(C2250,'Master truck list'!E:G,3,0)</f>
        <v>#N/A</v>
      </c>
      <c r="G2250" s="1" t="e">
        <f>VLOOKUP(C2250,'Master truck list'!E:R,14,0)</f>
        <v>#N/A</v>
      </c>
    </row>
    <row r="2251" spans="1:7" x14ac:dyDescent="0.25">
      <c r="A2251" s="1" t="str">
        <f t="shared" si="661"/>
        <v/>
      </c>
      <c r="B2251" s="1" t="str">
        <f t="shared" si="662"/>
        <v/>
      </c>
      <c r="C2251" s="1" t="e">
        <f>VLOOKUP(B2251,'Master truck list'!D:E,2,0)</f>
        <v>#N/A</v>
      </c>
      <c r="D2251" s="1" t="e">
        <f>VLOOKUP(C2251,'Master truck list'!E:F,2,0)</f>
        <v>#N/A</v>
      </c>
      <c r="E2251" s="1" t="e">
        <f>VLOOKUP(C2251,'Master truck list'!E:M,9,0)</f>
        <v>#N/A</v>
      </c>
      <c r="F2251" s="1" t="e">
        <f>VLOOKUP(C2251,'Master truck list'!E:G,3,0)</f>
        <v>#N/A</v>
      </c>
      <c r="G2251" s="1" t="e">
        <f>VLOOKUP(C2251,'Master truck list'!E:R,14,0)</f>
        <v>#N/A</v>
      </c>
    </row>
    <row r="2252" spans="1:7" x14ac:dyDescent="0.25">
      <c r="A2252" s="1" t="str">
        <f t="shared" si="661"/>
        <v/>
      </c>
      <c r="B2252" s="1" t="str">
        <f t="shared" si="662"/>
        <v/>
      </c>
      <c r="C2252" s="1" t="e">
        <f>VLOOKUP(B2252,'Master truck list'!D:E,2,0)</f>
        <v>#N/A</v>
      </c>
      <c r="D2252" s="1" t="e">
        <f>VLOOKUP(C2252,'Master truck list'!E:F,2,0)</f>
        <v>#N/A</v>
      </c>
      <c r="E2252" s="1" t="e">
        <f>VLOOKUP(C2252,'Master truck list'!E:M,9,0)</f>
        <v>#N/A</v>
      </c>
      <c r="F2252" s="1" t="e">
        <f>VLOOKUP(C2252,'Master truck list'!E:G,3,0)</f>
        <v>#N/A</v>
      </c>
      <c r="G2252" s="1" t="e">
        <f>VLOOKUP(C2252,'Master truck list'!E:R,14,0)</f>
        <v>#N/A</v>
      </c>
    </row>
    <row r="2253" spans="1:7" x14ac:dyDescent="0.25">
      <c r="A2253" s="1" t="str">
        <f t="shared" si="661"/>
        <v/>
      </c>
      <c r="B2253" s="1" t="str">
        <f t="shared" si="662"/>
        <v/>
      </c>
      <c r="C2253" s="1" t="e">
        <f>VLOOKUP(B2253,'Master truck list'!D:E,2,0)</f>
        <v>#N/A</v>
      </c>
      <c r="D2253" s="1" t="e">
        <f>VLOOKUP(C2253,'Master truck list'!E:F,2,0)</f>
        <v>#N/A</v>
      </c>
      <c r="E2253" s="1" t="e">
        <f>VLOOKUP(C2253,'Master truck list'!E:M,9,0)</f>
        <v>#N/A</v>
      </c>
      <c r="F2253" s="1" t="e">
        <f>VLOOKUP(C2253,'Master truck list'!E:G,3,0)</f>
        <v>#N/A</v>
      </c>
      <c r="G2253" s="1" t="e">
        <f>VLOOKUP(C2253,'Master truck list'!E:R,14,0)</f>
        <v>#N/A</v>
      </c>
    </row>
    <row r="2254" spans="1:7" x14ac:dyDescent="0.25">
      <c r="A2254" s="1" t="str">
        <f t="shared" si="661"/>
        <v/>
      </c>
      <c r="B2254" s="1" t="str">
        <f t="shared" si="662"/>
        <v/>
      </c>
      <c r="C2254" s="1" t="e">
        <f>VLOOKUP(B2254,'Master truck list'!D:E,2,0)</f>
        <v>#N/A</v>
      </c>
      <c r="D2254" s="1" t="e">
        <f>VLOOKUP(C2254,'Master truck list'!E:F,2,0)</f>
        <v>#N/A</v>
      </c>
      <c r="E2254" s="1" t="e">
        <f>VLOOKUP(C2254,'Master truck list'!E:M,9,0)</f>
        <v>#N/A</v>
      </c>
      <c r="F2254" s="1" t="e">
        <f>VLOOKUP(C2254,'Master truck list'!E:G,3,0)</f>
        <v>#N/A</v>
      </c>
      <c r="G2254" s="1" t="e">
        <f>VLOOKUP(C2254,'Master truck list'!E:R,14,0)</f>
        <v>#N/A</v>
      </c>
    </row>
    <row r="2255" spans="1:7" x14ac:dyDescent="0.25">
      <c r="A2255" s="1" t="str">
        <f t="shared" si="661"/>
        <v/>
      </c>
      <c r="B2255" s="1" t="str">
        <f t="shared" si="662"/>
        <v/>
      </c>
      <c r="C2255" s="1" t="e">
        <f>VLOOKUP(B2255,'Master truck list'!D:E,2,0)</f>
        <v>#N/A</v>
      </c>
      <c r="D2255" s="1" t="e">
        <f>VLOOKUP(C2255,'Master truck list'!E:F,2,0)</f>
        <v>#N/A</v>
      </c>
      <c r="E2255" s="1" t="e">
        <f>VLOOKUP(C2255,'Master truck list'!E:M,9,0)</f>
        <v>#N/A</v>
      </c>
      <c r="F2255" s="1" t="e">
        <f>VLOOKUP(C2255,'Master truck list'!E:G,3,0)</f>
        <v>#N/A</v>
      </c>
      <c r="G2255" s="1" t="e">
        <f>VLOOKUP(C2255,'Master truck list'!E:R,14,0)</f>
        <v>#N/A</v>
      </c>
    </row>
    <row r="2256" spans="1:7" x14ac:dyDescent="0.25">
      <c r="A2256" s="1" t="str">
        <f t="shared" si="661"/>
        <v/>
      </c>
      <c r="B2256" s="1" t="str">
        <f t="shared" si="662"/>
        <v/>
      </c>
      <c r="C2256" s="1" t="e">
        <f>VLOOKUP(B2256,'Master truck list'!D:E,2,0)</f>
        <v>#N/A</v>
      </c>
      <c r="D2256" s="1" t="e">
        <f>VLOOKUP(C2256,'Master truck list'!E:F,2,0)</f>
        <v>#N/A</v>
      </c>
      <c r="E2256" s="1" t="e">
        <f>VLOOKUP(C2256,'Master truck list'!E:M,9,0)</f>
        <v>#N/A</v>
      </c>
      <c r="F2256" s="1" t="e">
        <f>VLOOKUP(C2256,'Master truck list'!E:G,3,0)</f>
        <v>#N/A</v>
      </c>
      <c r="G2256" s="1" t="e">
        <f>VLOOKUP(C2256,'Master truck list'!E:R,14,0)</f>
        <v>#N/A</v>
      </c>
    </row>
    <row r="2257" spans="1:7" x14ac:dyDescent="0.25">
      <c r="A2257" s="1" t="str">
        <f t="shared" si="661"/>
        <v/>
      </c>
      <c r="B2257" s="1" t="str">
        <f t="shared" si="662"/>
        <v/>
      </c>
      <c r="C2257" s="1" t="e">
        <f>VLOOKUP(B2257,'Master truck list'!D:E,2,0)</f>
        <v>#N/A</v>
      </c>
      <c r="D2257" s="1" t="e">
        <f>VLOOKUP(C2257,'Master truck list'!E:F,2,0)</f>
        <v>#N/A</v>
      </c>
      <c r="E2257" s="1" t="e">
        <f>VLOOKUP(C2257,'Master truck list'!E:M,9,0)</f>
        <v>#N/A</v>
      </c>
      <c r="F2257" s="1" t="e">
        <f>VLOOKUP(C2257,'Master truck list'!E:G,3,0)</f>
        <v>#N/A</v>
      </c>
      <c r="G2257" s="1" t="e">
        <f>VLOOKUP(C2257,'Master truck list'!E:R,14,0)</f>
        <v>#N/A</v>
      </c>
    </row>
    <row r="2258" spans="1:7" x14ac:dyDescent="0.25">
      <c r="A2258" s="1" t="str">
        <f t="shared" si="661"/>
        <v/>
      </c>
      <c r="B2258" s="1" t="str">
        <f t="shared" si="662"/>
        <v/>
      </c>
      <c r="C2258" s="1" t="e">
        <f>VLOOKUP(B2258,'Master truck list'!D:E,2,0)</f>
        <v>#N/A</v>
      </c>
      <c r="D2258" s="1" t="e">
        <f>VLOOKUP(C2258,'Master truck list'!E:F,2,0)</f>
        <v>#N/A</v>
      </c>
      <c r="E2258" s="1" t="e">
        <f>VLOOKUP(C2258,'Master truck list'!E:M,9,0)</f>
        <v>#N/A</v>
      </c>
      <c r="F2258" s="1" t="e">
        <f>VLOOKUP(C2258,'Master truck list'!E:G,3,0)</f>
        <v>#N/A</v>
      </c>
      <c r="G2258" s="1" t="e">
        <f>VLOOKUP(C2258,'Master truck list'!E:R,14,0)</f>
        <v>#N/A</v>
      </c>
    </row>
    <row r="2259" spans="1:7" x14ac:dyDescent="0.25">
      <c r="A2259" s="1" t="str">
        <f t="shared" si="661"/>
        <v/>
      </c>
      <c r="B2259" s="1" t="str">
        <f t="shared" si="662"/>
        <v/>
      </c>
      <c r="C2259" s="1" t="e">
        <f>VLOOKUP(B2259,'Master truck list'!D:E,2,0)</f>
        <v>#N/A</v>
      </c>
      <c r="D2259" s="1" t="e">
        <f>VLOOKUP(C2259,'Master truck list'!E:F,2,0)</f>
        <v>#N/A</v>
      </c>
      <c r="E2259" s="1" t="e">
        <f>VLOOKUP(C2259,'Master truck list'!E:M,9,0)</f>
        <v>#N/A</v>
      </c>
      <c r="F2259" s="1" t="e">
        <f>VLOOKUP(C2259,'Master truck list'!E:G,3,0)</f>
        <v>#N/A</v>
      </c>
      <c r="G2259" s="1" t="e">
        <f>VLOOKUP(C2259,'Master truck list'!E:R,14,0)</f>
        <v>#N/A</v>
      </c>
    </row>
    <row r="2260" spans="1:7" x14ac:dyDescent="0.25">
      <c r="A2260" s="1" t="str">
        <f t="shared" si="661"/>
        <v/>
      </c>
      <c r="B2260" s="1" t="str">
        <f t="shared" si="662"/>
        <v/>
      </c>
      <c r="C2260" s="1" t="e">
        <f>VLOOKUP(B2260,'Master truck list'!D:E,2,0)</f>
        <v>#N/A</v>
      </c>
      <c r="D2260" s="1" t="e">
        <f>VLOOKUP(C2260,'Master truck list'!E:F,2,0)</f>
        <v>#N/A</v>
      </c>
      <c r="E2260" s="1" t="e">
        <f>VLOOKUP(C2260,'Master truck list'!E:M,9,0)</f>
        <v>#N/A</v>
      </c>
      <c r="F2260" s="1" t="e">
        <f>VLOOKUP(C2260,'Master truck list'!E:G,3,0)</f>
        <v>#N/A</v>
      </c>
      <c r="G2260" s="1" t="e">
        <f>VLOOKUP(C2260,'Master truck list'!E:R,14,0)</f>
        <v>#N/A</v>
      </c>
    </row>
    <row r="2261" spans="1:7" x14ac:dyDescent="0.25">
      <c r="A2261" s="1" t="str">
        <f t="shared" si="661"/>
        <v/>
      </c>
      <c r="B2261" s="1" t="str">
        <f t="shared" si="662"/>
        <v/>
      </c>
      <c r="C2261" s="1" t="e">
        <f>VLOOKUP(B2261,'Master truck list'!D:E,2,0)</f>
        <v>#N/A</v>
      </c>
      <c r="D2261" s="1" t="e">
        <f>VLOOKUP(C2261,'Master truck list'!E:F,2,0)</f>
        <v>#N/A</v>
      </c>
      <c r="E2261" s="1" t="e">
        <f>VLOOKUP(C2261,'Master truck list'!E:M,9,0)</f>
        <v>#N/A</v>
      </c>
      <c r="F2261" s="1" t="e">
        <f>VLOOKUP(C2261,'Master truck list'!E:G,3,0)</f>
        <v>#N/A</v>
      </c>
      <c r="G2261" s="1" t="e">
        <f>VLOOKUP(C2261,'Master truck list'!E:R,14,0)</f>
        <v>#N/A</v>
      </c>
    </row>
    <row r="2262" spans="1:7" x14ac:dyDescent="0.25">
      <c r="A2262" s="1" t="str">
        <f t="shared" si="661"/>
        <v/>
      </c>
      <c r="B2262" s="1" t="str">
        <f t="shared" si="662"/>
        <v/>
      </c>
      <c r="C2262" s="1" t="e">
        <f>VLOOKUP(B2262,'Master truck list'!D:E,2,0)</f>
        <v>#N/A</v>
      </c>
      <c r="D2262" s="1" t="e">
        <f>VLOOKUP(C2262,'Master truck list'!E:F,2,0)</f>
        <v>#N/A</v>
      </c>
      <c r="E2262" s="1" t="e">
        <f>VLOOKUP(C2262,'Master truck list'!E:M,9,0)</f>
        <v>#N/A</v>
      </c>
      <c r="F2262" s="1" t="e">
        <f>VLOOKUP(C2262,'Master truck list'!E:G,3,0)</f>
        <v>#N/A</v>
      </c>
      <c r="G2262" s="1" t="e">
        <f>VLOOKUP(C2262,'Master truck list'!E:R,14,0)</f>
        <v>#N/A</v>
      </c>
    </row>
    <row r="2263" spans="1:7" x14ac:dyDescent="0.25">
      <c r="A2263" s="1" t="str">
        <f t="shared" si="661"/>
        <v/>
      </c>
      <c r="B2263" s="1" t="str">
        <f t="shared" si="662"/>
        <v/>
      </c>
      <c r="C2263" s="1" t="e">
        <f>VLOOKUP(B2263,'Master truck list'!D:E,2,0)</f>
        <v>#N/A</v>
      </c>
      <c r="D2263" s="1" t="e">
        <f>VLOOKUP(C2263,'Master truck list'!E:F,2,0)</f>
        <v>#N/A</v>
      </c>
      <c r="E2263" s="1" t="e">
        <f>VLOOKUP(C2263,'Master truck list'!E:M,9,0)</f>
        <v>#N/A</v>
      </c>
      <c r="F2263" s="1" t="e">
        <f>VLOOKUP(C2263,'Master truck list'!E:G,3,0)</f>
        <v>#N/A</v>
      </c>
      <c r="G2263" s="1" t="e">
        <f>VLOOKUP(C2263,'Master truck list'!E:R,14,0)</f>
        <v>#N/A</v>
      </c>
    </row>
    <row r="2264" spans="1:7" x14ac:dyDescent="0.25">
      <c r="A2264" s="1" t="str">
        <f t="shared" si="661"/>
        <v/>
      </c>
      <c r="B2264" s="1" t="str">
        <f t="shared" si="662"/>
        <v/>
      </c>
      <c r="C2264" s="1" t="e">
        <f>VLOOKUP(B2264,'Master truck list'!D:E,2,0)</f>
        <v>#N/A</v>
      </c>
      <c r="D2264" s="1" t="e">
        <f>VLOOKUP(C2264,'Master truck list'!E:F,2,0)</f>
        <v>#N/A</v>
      </c>
      <c r="E2264" s="1" t="e">
        <f>VLOOKUP(C2264,'Master truck list'!E:M,9,0)</f>
        <v>#N/A</v>
      </c>
      <c r="F2264" s="1" t="e">
        <f>VLOOKUP(C2264,'Master truck list'!E:G,3,0)</f>
        <v>#N/A</v>
      </c>
      <c r="G2264" s="1" t="e">
        <f>VLOOKUP(C2264,'Master truck list'!E:R,14,0)</f>
        <v>#N/A</v>
      </c>
    </row>
    <row r="2265" spans="1:7" x14ac:dyDescent="0.25">
      <c r="A2265" s="1" t="str">
        <f t="shared" si="661"/>
        <v/>
      </c>
      <c r="B2265" s="1" t="str">
        <f t="shared" si="662"/>
        <v/>
      </c>
      <c r="C2265" s="1" t="e">
        <f>VLOOKUP(B2265,'Master truck list'!D:E,2,0)</f>
        <v>#N/A</v>
      </c>
      <c r="D2265" s="1" t="e">
        <f>VLOOKUP(C2265,'Master truck list'!E:F,2,0)</f>
        <v>#N/A</v>
      </c>
      <c r="E2265" s="1" t="e">
        <f>VLOOKUP(C2265,'Master truck list'!E:M,9,0)</f>
        <v>#N/A</v>
      </c>
      <c r="F2265" s="1" t="e">
        <f>VLOOKUP(C2265,'Master truck list'!E:G,3,0)</f>
        <v>#N/A</v>
      </c>
      <c r="G2265" s="1" t="e">
        <f>VLOOKUP(C2265,'Master truck list'!E:R,14,0)</f>
        <v>#N/A</v>
      </c>
    </row>
    <row r="2266" spans="1:7" x14ac:dyDescent="0.25">
      <c r="A2266" s="1" t="str">
        <f t="shared" si="661"/>
        <v/>
      </c>
      <c r="B2266" s="1" t="str">
        <f t="shared" si="662"/>
        <v/>
      </c>
      <c r="C2266" s="1" t="e">
        <f>VLOOKUP(B2266,'Master truck list'!D:E,2,0)</f>
        <v>#N/A</v>
      </c>
      <c r="D2266" s="1" t="e">
        <f>VLOOKUP(C2266,'Master truck list'!E:F,2,0)</f>
        <v>#N/A</v>
      </c>
      <c r="E2266" s="1" t="e">
        <f>VLOOKUP(C2266,'Master truck list'!E:M,9,0)</f>
        <v>#N/A</v>
      </c>
      <c r="F2266" s="1" t="e">
        <f>VLOOKUP(C2266,'Master truck list'!E:G,3,0)</f>
        <v>#N/A</v>
      </c>
      <c r="G2266" s="1" t="e">
        <f>VLOOKUP(C2266,'Master truck list'!E:R,14,0)</f>
        <v>#N/A</v>
      </c>
    </row>
    <row r="2267" spans="1:7" x14ac:dyDescent="0.25">
      <c r="A2267" s="1" t="str">
        <f t="shared" si="661"/>
        <v/>
      </c>
      <c r="B2267" s="1" t="str">
        <f t="shared" si="662"/>
        <v/>
      </c>
      <c r="C2267" s="1" t="e">
        <f>VLOOKUP(B2267,'Master truck list'!D:E,2,0)</f>
        <v>#N/A</v>
      </c>
      <c r="D2267" s="1" t="e">
        <f>VLOOKUP(C2267,'Master truck list'!E:F,2,0)</f>
        <v>#N/A</v>
      </c>
      <c r="E2267" s="1" t="e">
        <f>VLOOKUP(C2267,'Master truck list'!E:M,9,0)</f>
        <v>#N/A</v>
      </c>
      <c r="F2267" s="1" t="e">
        <f>VLOOKUP(C2267,'Master truck list'!E:G,3,0)</f>
        <v>#N/A</v>
      </c>
      <c r="G2267" s="1" t="e">
        <f>VLOOKUP(C2267,'Master truck list'!E:R,14,0)</f>
        <v>#N/A</v>
      </c>
    </row>
    <row r="2268" spans="1:7" x14ac:dyDescent="0.25">
      <c r="A2268" s="1" t="str">
        <f t="shared" si="661"/>
        <v/>
      </c>
      <c r="B2268" s="1" t="str">
        <f t="shared" si="662"/>
        <v/>
      </c>
      <c r="C2268" s="1" t="e">
        <f>VLOOKUP(B2268,'Master truck list'!D:E,2,0)</f>
        <v>#N/A</v>
      </c>
      <c r="D2268" s="1" t="e">
        <f>VLOOKUP(C2268,'Master truck list'!E:F,2,0)</f>
        <v>#N/A</v>
      </c>
      <c r="E2268" s="1" t="e">
        <f>VLOOKUP(C2268,'Master truck list'!E:M,9,0)</f>
        <v>#N/A</v>
      </c>
      <c r="F2268" s="1" t="e">
        <f>VLOOKUP(C2268,'Master truck list'!E:G,3,0)</f>
        <v>#N/A</v>
      </c>
      <c r="G2268" s="1" t="e">
        <f>VLOOKUP(C2268,'Master truck list'!E:R,14,0)</f>
        <v>#N/A</v>
      </c>
    </row>
    <row r="2269" spans="1:7" x14ac:dyDescent="0.25">
      <c r="A2269" s="1" t="str">
        <f t="shared" si="661"/>
        <v/>
      </c>
      <c r="B2269" s="1" t="str">
        <f t="shared" si="662"/>
        <v/>
      </c>
      <c r="C2269" s="1" t="e">
        <f>VLOOKUP(B2269,'Master truck list'!D:E,2,0)</f>
        <v>#N/A</v>
      </c>
      <c r="D2269" s="1" t="e">
        <f>VLOOKUP(C2269,'Master truck list'!E:F,2,0)</f>
        <v>#N/A</v>
      </c>
      <c r="E2269" s="1" t="e">
        <f>VLOOKUP(C2269,'Master truck list'!E:M,9,0)</f>
        <v>#N/A</v>
      </c>
      <c r="F2269" s="1" t="e">
        <f>VLOOKUP(C2269,'Master truck list'!E:G,3,0)</f>
        <v>#N/A</v>
      </c>
      <c r="G2269" s="1" t="e">
        <f>VLOOKUP(C2269,'Master truck list'!E:R,14,0)</f>
        <v>#N/A</v>
      </c>
    </row>
    <row r="2270" spans="1:7" x14ac:dyDescent="0.25">
      <c r="A2270" s="1" t="str">
        <f t="shared" si="661"/>
        <v/>
      </c>
      <c r="B2270" s="1" t="str">
        <f t="shared" si="662"/>
        <v/>
      </c>
      <c r="C2270" s="1" t="e">
        <f>VLOOKUP(B2270,'Master truck list'!D:E,2,0)</f>
        <v>#N/A</v>
      </c>
      <c r="D2270" s="1" t="e">
        <f>VLOOKUP(C2270,'Master truck list'!E:F,2,0)</f>
        <v>#N/A</v>
      </c>
      <c r="E2270" s="1" t="e">
        <f>VLOOKUP(C2270,'Master truck list'!E:M,9,0)</f>
        <v>#N/A</v>
      </c>
      <c r="F2270" s="1" t="e">
        <f>VLOOKUP(C2270,'Master truck list'!E:G,3,0)</f>
        <v>#N/A</v>
      </c>
      <c r="G2270" s="1" t="e">
        <f>VLOOKUP(C2270,'Master truck list'!E:R,14,0)</f>
        <v>#N/A</v>
      </c>
    </row>
    <row r="2271" spans="1:7" x14ac:dyDescent="0.25">
      <c r="A2271" s="1" t="str">
        <f t="shared" si="661"/>
        <v/>
      </c>
      <c r="B2271" s="1" t="str">
        <f t="shared" si="662"/>
        <v/>
      </c>
      <c r="C2271" s="1" t="e">
        <f>VLOOKUP(B2271,'Master truck list'!D:E,2,0)</f>
        <v>#N/A</v>
      </c>
      <c r="D2271" s="1" t="e">
        <f>VLOOKUP(C2271,'Master truck list'!E:F,2,0)</f>
        <v>#N/A</v>
      </c>
      <c r="E2271" s="1" t="e">
        <f>VLOOKUP(C2271,'Master truck list'!E:M,9,0)</f>
        <v>#N/A</v>
      </c>
      <c r="F2271" s="1" t="e">
        <f>VLOOKUP(C2271,'Master truck list'!E:G,3,0)</f>
        <v>#N/A</v>
      </c>
      <c r="G2271" s="1" t="e">
        <f>VLOOKUP(C2271,'Master truck list'!E:R,14,0)</f>
        <v>#N/A</v>
      </c>
    </row>
    <row r="2272" spans="1:7" x14ac:dyDescent="0.25">
      <c r="A2272" s="1" t="str">
        <f t="shared" si="661"/>
        <v/>
      </c>
      <c r="B2272" s="1" t="str">
        <f t="shared" si="662"/>
        <v/>
      </c>
      <c r="C2272" s="1" t="e">
        <f>VLOOKUP(B2272,'Master truck list'!D:E,2,0)</f>
        <v>#N/A</v>
      </c>
      <c r="D2272" s="1" t="e">
        <f>VLOOKUP(C2272,'Master truck list'!E:F,2,0)</f>
        <v>#N/A</v>
      </c>
      <c r="E2272" s="1" t="e">
        <f>VLOOKUP(C2272,'Master truck list'!E:M,9,0)</f>
        <v>#N/A</v>
      </c>
      <c r="F2272" s="1" t="e">
        <f>VLOOKUP(C2272,'Master truck list'!E:G,3,0)</f>
        <v>#N/A</v>
      </c>
      <c r="G2272" s="1" t="e">
        <f>VLOOKUP(C2272,'Master truck list'!E:R,14,0)</f>
        <v>#N/A</v>
      </c>
    </row>
    <row r="2273" spans="1:7" x14ac:dyDescent="0.25">
      <c r="A2273" s="1" t="str">
        <f t="shared" si="661"/>
        <v/>
      </c>
      <c r="B2273" s="1" t="str">
        <f t="shared" si="662"/>
        <v/>
      </c>
      <c r="C2273" s="1" t="e">
        <f>VLOOKUP(B2273,'Master truck list'!D:E,2,0)</f>
        <v>#N/A</v>
      </c>
      <c r="D2273" s="1" t="e">
        <f>VLOOKUP(C2273,'Master truck list'!E:F,2,0)</f>
        <v>#N/A</v>
      </c>
      <c r="E2273" s="1" t="e">
        <f>VLOOKUP(C2273,'Master truck list'!E:M,9,0)</f>
        <v>#N/A</v>
      </c>
      <c r="F2273" s="1" t="e">
        <f>VLOOKUP(C2273,'Master truck list'!E:G,3,0)</f>
        <v>#N/A</v>
      </c>
      <c r="G2273" s="1" t="e">
        <f>VLOOKUP(C2273,'Master truck list'!E:R,14,0)</f>
        <v>#N/A</v>
      </c>
    </row>
    <row r="2274" spans="1:7" x14ac:dyDescent="0.25">
      <c r="A2274" s="1" t="str">
        <f t="shared" si="661"/>
        <v/>
      </c>
      <c r="B2274" s="1" t="str">
        <f t="shared" si="662"/>
        <v/>
      </c>
      <c r="C2274" s="1" t="e">
        <f>VLOOKUP(B2274,'Master truck list'!D:E,2,0)</f>
        <v>#N/A</v>
      </c>
      <c r="D2274" s="1" t="e">
        <f>VLOOKUP(C2274,'Master truck list'!E:F,2,0)</f>
        <v>#N/A</v>
      </c>
      <c r="E2274" s="1" t="e">
        <f>VLOOKUP(C2274,'Master truck list'!E:M,9,0)</f>
        <v>#N/A</v>
      </c>
      <c r="F2274" s="1" t="e">
        <f>VLOOKUP(C2274,'Master truck list'!E:G,3,0)</f>
        <v>#N/A</v>
      </c>
      <c r="G2274" s="1" t="e">
        <f>VLOOKUP(C2274,'Master truck list'!E:R,14,0)</f>
        <v>#N/A</v>
      </c>
    </row>
    <row r="2275" spans="1:7" x14ac:dyDescent="0.25">
      <c r="A2275" s="1" t="str">
        <f t="shared" si="661"/>
        <v/>
      </c>
      <c r="B2275" s="1" t="str">
        <f t="shared" si="662"/>
        <v/>
      </c>
      <c r="C2275" s="1" t="e">
        <f>VLOOKUP(B2275,'Master truck list'!D:E,2,0)</f>
        <v>#N/A</v>
      </c>
      <c r="D2275" s="1" t="e">
        <f>VLOOKUP(C2275,'Master truck list'!E:F,2,0)</f>
        <v>#N/A</v>
      </c>
      <c r="E2275" s="1" t="e">
        <f>VLOOKUP(C2275,'Master truck list'!E:M,9,0)</f>
        <v>#N/A</v>
      </c>
      <c r="F2275" s="1" t="e">
        <f>VLOOKUP(C2275,'Master truck list'!E:G,3,0)</f>
        <v>#N/A</v>
      </c>
      <c r="G2275" s="1" t="e">
        <f>VLOOKUP(C2275,'Master truck list'!E:R,14,0)</f>
        <v>#N/A</v>
      </c>
    </row>
    <row r="2276" spans="1:7" x14ac:dyDescent="0.25">
      <c r="A2276" s="1" t="str">
        <f t="shared" ref="A2276:A2339" si="663">LEFT(N2478,5)</f>
        <v/>
      </c>
      <c r="B2276" s="1" t="str">
        <f t="shared" si="662"/>
        <v/>
      </c>
      <c r="C2276" s="1" t="e">
        <f>VLOOKUP(B2276,'Master truck list'!D:E,2,0)</f>
        <v>#N/A</v>
      </c>
      <c r="D2276" s="1" t="e">
        <f>VLOOKUP(C2276,'Master truck list'!E:F,2,0)</f>
        <v>#N/A</v>
      </c>
      <c r="E2276" s="1" t="e">
        <f>VLOOKUP(C2276,'Master truck list'!E:M,9,0)</f>
        <v>#N/A</v>
      </c>
      <c r="F2276" s="1" t="e">
        <f>VLOOKUP(C2276,'Master truck list'!E:G,3,0)</f>
        <v>#N/A</v>
      </c>
      <c r="G2276" s="1" t="e">
        <f>VLOOKUP(C2276,'Master truck list'!E:R,14,0)</f>
        <v>#N/A</v>
      </c>
    </row>
    <row r="2277" spans="1:7" x14ac:dyDescent="0.25">
      <c r="A2277" s="1" t="str">
        <f t="shared" si="663"/>
        <v/>
      </c>
      <c r="B2277" s="1" t="str">
        <f t="shared" si="662"/>
        <v/>
      </c>
      <c r="C2277" s="1" t="e">
        <f>VLOOKUP(B2277,'Master truck list'!D:E,2,0)</f>
        <v>#N/A</v>
      </c>
      <c r="D2277" s="1" t="e">
        <f>VLOOKUP(C2277,'Master truck list'!E:F,2,0)</f>
        <v>#N/A</v>
      </c>
      <c r="E2277" s="1" t="e">
        <f>VLOOKUP(C2277,'Master truck list'!E:M,9,0)</f>
        <v>#N/A</v>
      </c>
      <c r="F2277" s="1" t="e">
        <f>VLOOKUP(C2277,'Master truck list'!E:G,3,0)</f>
        <v>#N/A</v>
      </c>
      <c r="G2277" s="1" t="e">
        <f>VLOOKUP(C2277,'Master truck list'!E:R,14,0)</f>
        <v>#N/A</v>
      </c>
    </row>
    <row r="2278" spans="1:7" x14ac:dyDescent="0.25">
      <c r="A2278" s="1" t="str">
        <f t="shared" si="663"/>
        <v/>
      </c>
      <c r="B2278" s="1" t="str">
        <f t="shared" si="662"/>
        <v/>
      </c>
      <c r="C2278" s="1" t="e">
        <f>VLOOKUP(B2278,'Master truck list'!D:E,2,0)</f>
        <v>#N/A</v>
      </c>
      <c r="D2278" s="1" t="e">
        <f>VLOOKUP(C2278,'Master truck list'!E:F,2,0)</f>
        <v>#N/A</v>
      </c>
      <c r="E2278" s="1" t="e">
        <f>VLOOKUP(C2278,'Master truck list'!E:M,9,0)</f>
        <v>#N/A</v>
      </c>
      <c r="F2278" s="1" t="e">
        <f>VLOOKUP(C2278,'Master truck list'!E:G,3,0)</f>
        <v>#N/A</v>
      </c>
      <c r="G2278" s="1" t="e">
        <f>VLOOKUP(C2278,'Master truck list'!E:R,14,0)</f>
        <v>#N/A</v>
      </c>
    </row>
    <row r="2279" spans="1:7" x14ac:dyDescent="0.25">
      <c r="A2279" s="1" t="str">
        <f t="shared" si="663"/>
        <v/>
      </c>
      <c r="B2279" s="1" t="str">
        <f t="shared" si="662"/>
        <v/>
      </c>
      <c r="C2279" s="1" t="e">
        <f>VLOOKUP(B2279,'Master truck list'!D:E,2,0)</f>
        <v>#N/A</v>
      </c>
      <c r="D2279" s="1" t="e">
        <f>VLOOKUP(C2279,'Master truck list'!E:F,2,0)</f>
        <v>#N/A</v>
      </c>
      <c r="E2279" s="1" t="e">
        <f>VLOOKUP(C2279,'Master truck list'!E:M,9,0)</f>
        <v>#N/A</v>
      </c>
      <c r="F2279" s="1" t="e">
        <f>VLOOKUP(C2279,'Master truck list'!E:G,3,0)</f>
        <v>#N/A</v>
      </c>
      <c r="G2279" s="1" t="e">
        <f>VLOOKUP(C2279,'Master truck list'!E:R,14,0)</f>
        <v>#N/A</v>
      </c>
    </row>
    <row r="2280" spans="1:7" x14ac:dyDescent="0.25">
      <c r="A2280" s="1" t="str">
        <f t="shared" si="663"/>
        <v/>
      </c>
      <c r="B2280" s="1" t="str">
        <f t="shared" si="662"/>
        <v/>
      </c>
      <c r="C2280" s="1" t="e">
        <f>VLOOKUP(B2280,'Master truck list'!D:E,2,0)</f>
        <v>#N/A</v>
      </c>
      <c r="D2280" s="1" t="e">
        <f>VLOOKUP(C2280,'Master truck list'!E:F,2,0)</f>
        <v>#N/A</v>
      </c>
      <c r="E2280" s="1" t="e">
        <f>VLOOKUP(C2280,'Master truck list'!E:M,9,0)</f>
        <v>#N/A</v>
      </c>
      <c r="F2280" s="1" t="e">
        <f>VLOOKUP(C2280,'Master truck list'!E:G,3,0)</f>
        <v>#N/A</v>
      </c>
      <c r="G2280" s="1" t="e">
        <f>VLOOKUP(C2280,'Master truck list'!E:R,14,0)</f>
        <v>#N/A</v>
      </c>
    </row>
    <row r="2281" spans="1:7" x14ac:dyDescent="0.25">
      <c r="A2281" s="1" t="str">
        <f t="shared" si="663"/>
        <v/>
      </c>
      <c r="B2281" s="1" t="str">
        <f t="shared" si="662"/>
        <v/>
      </c>
      <c r="C2281" s="1" t="e">
        <f>VLOOKUP(B2281,'Master truck list'!D:E,2,0)</f>
        <v>#N/A</v>
      </c>
      <c r="D2281" s="1" t="e">
        <f>VLOOKUP(C2281,'Master truck list'!E:F,2,0)</f>
        <v>#N/A</v>
      </c>
      <c r="E2281" s="1" t="e">
        <f>VLOOKUP(C2281,'Master truck list'!E:M,9,0)</f>
        <v>#N/A</v>
      </c>
      <c r="F2281" s="1" t="e">
        <f>VLOOKUP(C2281,'Master truck list'!E:G,3,0)</f>
        <v>#N/A</v>
      </c>
      <c r="G2281" s="1" t="e">
        <f>VLOOKUP(C2281,'Master truck list'!E:R,14,0)</f>
        <v>#N/A</v>
      </c>
    </row>
    <row r="2282" spans="1:7" x14ac:dyDescent="0.25">
      <c r="A2282" s="1" t="str">
        <f t="shared" si="663"/>
        <v/>
      </c>
      <c r="B2282" s="1" t="str">
        <f t="shared" si="662"/>
        <v/>
      </c>
      <c r="C2282" s="1" t="e">
        <f>VLOOKUP(B2282,'Master truck list'!D:E,2,0)</f>
        <v>#N/A</v>
      </c>
      <c r="D2282" s="1" t="e">
        <f>VLOOKUP(C2282,'Master truck list'!E:F,2,0)</f>
        <v>#N/A</v>
      </c>
      <c r="E2282" s="1" t="e">
        <f>VLOOKUP(C2282,'Master truck list'!E:M,9,0)</f>
        <v>#N/A</v>
      </c>
      <c r="F2282" s="1" t="e">
        <f>VLOOKUP(C2282,'Master truck list'!E:G,3,0)</f>
        <v>#N/A</v>
      </c>
      <c r="G2282" s="1" t="e">
        <f>VLOOKUP(C2282,'Master truck list'!E:R,14,0)</f>
        <v>#N/A</v>
      </c>
    </row>
    <row r="2283" spans="1:7" x14ac:dyDescent="0.25">
      <c r="A2283" s="1" t="str">
        <f t="shared" si="663"/>
        <v/>
      </c>
      <c r="B2283" s="1" t="str">
        <f t="shared" si="662"/>
        <v/>
      </c>
      <c r="C2283" s="1" t="e">
        <f>VLOOKUP(B2283,'Master truck list'!D:E,2,0)</f>
        <v>#N/A</v>
      </c>
      <c r="D2283" s="1" t="e">
        <f>VLOOKUP(C2283,'Master truck list'!E:F,2,0)</f>
        <v>#N/A</v>
      </c>
      <c r="E2283" s="1" t="e">
        <f>VLOOKUP(C2283,'Master truck list'!E:M,9,0)</f>
        <v>#N/A</v>
      </c>
      <c r="F2283" s="1" t="e">
        <f>VLOOKUP(C2283,'Master truck list'!E:G,3,0)</f>
        <v>#N/A</v>
      </c>
      <c r="G2283" s="1" t="e">
        <f>VLOOKUP(C2283,'Master truck list'!E:R,14,0)</f>
        <v>#N/A</v>
      </c>
    </row>
    <row r="2284" spans="1:7" x14ac:dyDescent="0.25">
      <c r="A2284" s="1" t="str">
        <f t="shared" si="663"/>
        <v/>
      </c>
      <c r="B2284" s="1" t="str">
        <f t="shared" si="662"/>
        <v/>
      </c>
      <c r="C2284" s="1" t="e">
        <f>VLOOKUP(B2284,'Master truck list'!D:E,2,0)</f>
        <v>#N/A</v>
      </c>
      <c r="D2284" s="1" t="e">
        <f>VLOOKUP(C2284,'Master truck list'!E:F,2,0)</f>
        <v>#N/A</v>
      </c>
      <c r="E2284" s="1" t="e">
        <f>VLOOKUP(C2284,'Master truck list'!E:M,9,0)</f>
        <v>#N/A</v>
      </c>
      <c r="F2284" s="1" t="e">
        <f>VLOOKUP(C2284,'Master truck list'!E:G,3,0)</f>
        <v>#N/A</v>
      </c>
      <c r="G2284" s="1" t="e">
        <f>VLOOKUP(C2284,'Master truck list'!E:R,14,0)</f>
        <v>#N/A</v>
      </c>
    </row>
    <row r="2285" spans="1:7" x14ac:dyDescent="0.25">
      <c r="A2285" s="1" t="str">
        <f t="shared" si="663"/>
        <v/>
      </c>
      <c r="B2285" s="1" t="str">
        <f t="shared" si="662"/>
        <v/>
      </c>
      <c r="C2285" s="1" t="e">
        <f>VLOOKUP(B2285,'Master truck list'!D:E,2,0)</f>
        <v>#N/A</v>
      </c>
      <c r="D2285" s="1" t="e">
        <f>VLOOKUP(C2285,'Master truck list'!E:F,2,0)</f>
        <v>#N/A</v>
      </c>
      <c r="E2285" s="1" t="e">
        <f>VLOOKUP(C2285,'Master truck list'!E:M,9,0)</f>
        <v>#N/A</v>
      </c>
      <c r="F2285" s="1" t="e">
        <f>VLOOKUP(C2285,'Master truck list'!E:G,3,0)</f>
        <v>#N/A</v>
      </c>
      <c r="G2285" s="1" t="e">
        <f>VLOOKUP(C2285,'Master truck list'!E:R,14,0)</f>
        <v>#N/A</v>
      </c>
    </row>
    <row r="2286" spans="1:7" x14ac:dyDescent="0.25">
      <c r="A2286" s="1" t="str">
        <f t="shared" si="663"/>
        <v/>
      </c>
      <c r="B2286" s="1" t="str">
        <f t="shared" si="662"/>
        <v/>
      </c>
      <c r="C2286" s="1" t="e">
        <f>VLOOKUP(B2286,'Master truck list'!D:E,2,0)</f>
        <v>#N/A</v>
      </c>
      <c r="D2286" s="1" t="e">
        <f>VLOOKUP(C2286,'Master truck list'!E:F,2,0)</f>
        <v>#N/A</v>
      </c>
      <c r="E2286" s="1" t="e">
        <f>VLOOKUP(C2286,'Master truck list'!E:M,9,0)</f>
        <v>#N/A</v>
      </c>
      <c r="F2286" s="1" t="e">
        <f>VLOOKUP(C2286,'Master truck list'!E:G,3,0)</f>
        <v>#N/A</v>
      </c>
      <c r="G2286" s="1" t="e">
        <f>VLOOKUP(C2286,'Master truck list'!E:R,14,0)</f>
        <v>#N/A</v>
      </c>
    </row>
    <row r="2287" spans="1:7" x14ac:dyDescent="0.25">
      <c r="A2287" s="1" t="str">
        <f t="shared" si="663"/>
        <v/>
      </c>
      <c r="B2287" s="1" t="str">
        <f t="shared" si="662"/>
        <v/>
      </c>
      <c r="C2287" s="1" t="e">
        <f>VLOOKUP(B2287,'Master truck list'!D:E,2,0)</f>
        <v>#N/A</v>
      </c>
      <c r="D2287" s="1" t="e">
        <f>VLOOKUP(C2287,'Master truck list'!E:F,2,0)</f>
        <v>#N/A</v>
      </c>
      <c r="E2287" s="1" t="e">
        <f>VLOOKUP(C2287,'Master truck list'!E:M,9,0)</f>
        <v>#N/A</v>
      </c>
      <c r="F2287" s="1" t="e">
        <f>VLOOKUP(C2287,'Master truck list'!E:G,3,0)</f>
        <v>#N/A</v>
      </c>
      <c r="G2287" s="1" t="e">
        <f>VLOOKUP(C2287,'Master truck list'!E:R,14,0)</f>
        <v>#N/A</v>
      </c>
    </row>
    <row r="2288" spans="1:7" x14ac:dyDescent="0.25">
      <c r="A2288" s="1" t="str">
        <f t="shared" si="663"/>
        <v/>
      </c>
      <c r="B2288" s="1" t="str">
        <f t="shared" si="662"/>
        <v/>
      </c>
      <c r="C2288" s="1" t="e">
        <f>VLOOKUP(B2288,'Master truck list'!D:E,2,0)</f>
        <v>#N/A</v>
      </c>
      <c r="D2288" s="1" t="e">
        <f>VLOOKUP(C2288,'Master truck list'!E:F,2,0)</f>
        <v>#N/A</v>
      </c>
      <c r="E2288" s="1" t="e">
        <f>VLOOKUP(C2288,'Master truck list'!E:M,9,0)</f>
        <v>#N/A</v>
      </c>
      <c r="F2288" s="1" t="e">
        <f>VLOOKUP(C2288,'Master truck list'!E:G,3,0)</f>
        <v>#N/A</v>
      </c>
      <c r="G2288" s="1" t="e">
        <f>VLOOKUP(C2288,'Master truck list'!E:R,14,0)</f>
        <v>#N/A</v>
      </c>
    </row>
    <row r="2289" spans="1:7" x14ac:dyDescent="0.25">
      <c r="A2289" s="1" t="str">
        <f t="shared" si="663"/>
        <v/>
      </c>
      <c r="B2289" s="1" t="str">
        <f t="shared" si="662"/>
        <v/>
      </c>
      <c r="C2289" s="1" t="e">
        <f>VLOOKUP(B2289,'Master truck list'!D:E,2,0)</f>
        <v>#N/A</v>
      </c>
      <c r="D2289" s="1" t="e">
        <f>VLOOKUP(C2289,'Master truck list'!E:F,2,0)</f>
        <v>#N/A</v>
      </c>
      <c r="E2289" s="1" t="e">
        <f>VLOOKUP(C2289,'Master truck list'!E:M,9,0)</f>
        <v>#N/A</v>
      </c>
      <c r="F2289" s="1" t="e">
        <f>VLOOKUP(C2289,'Master truck list'!E:G,3,0)</f>
        <v>#N/A</v>
      </c>
      <c r="G2289" s="1" t="e">
        <f>VLOOKUP(C2289,'Master truck list'!E:R,14,0)</f>
        <v>#N/A</v>
      </c>
    </row>
    <row r="2290" spans="1:7" x14ac:dyDescent="0.25">
      <c r="A2290" s="1" t="str">
        <f t="shared" si="663"/>
        <v/>
      </c>
      <c r="B2290" s="1" t="str">
        <f t="shared" si="662"/>
        <v/>
      </c>
      <c r="C2290" s="1" t="e">
        <f>VLOOKUP(B2290,'Master truck list'!D:E,2,0)</f>
        <v>#N/A</v>
      </c>
      <c r="D2290" s="1" t="e">
        <f>VLOOKUP(C2290,'Master truck list'!E:F,2,0)</f>
        <v>#N/A</v>
      </c>
      <c r="E2290" s="1" t="e">
        <f>VLOOKUP(C2290,'Master truck list'!E:M,9,0)</f>
        <v>#N/A</v>
      </c>
      <c r="F2290" s="1" t="e">
        <f>VLOOKUP(C2290,'Master truck list'!E:G,3,0)</f>
        <v>#N/A</v>
      </c>
      <c r="G2290" s="1" t="e">
        <f>VLOOKUP(C2290,'Master truck list'!E:R,14,0)</f>
        <v>#N/A</v>
      </c>
    </row>
    <row r="2291" spans="1:7" x14ac:dyDescent="0.25">
      <c r="A2291" s="1" t="str">
        <f t="shared" si="663"/>
        <v/>
      </c>
      <c r="B2291" s="1" t="str">
        <f t="shared" si="662"/>
        <v/>
      </c>
      <c r="C2291" s="1" t="e">
        <f>VLOOKUP(B2291,'Master truck list'!D:E,2,0)</f>
        <v>#N/A</v>
      </c>
      <c r="D2291" s="1" t="e">
        <f>VLOOKUP(C2291,'Master truck list'!E:F,2,0)</f>
        <v>#N/A</v>
      </c>
      <c r="E2291" s="1" t="e">
        <f>VLOOKUP(C2291,'Master truck list'!E:M,9,0)</f>
        <v>#N/A</v>
      </c>
      <c r="F2291" s="1" t="e">
        <f>VLOOKUP(C2291,'Master truck list'!E:G,3,0)</f>
        <v>#N/A</v>
      </c>
      <c r="G2291" s="1" t="e">
        <f>VLOOKUP(C2291,'Master truck list'!E:R,14,0)</f>
        <v>#N/A</v>
      </c>
    </row>
    <row r="2292" spans="1:7" x14ac:dyDescent="0.25">
      <c r="A2292" s="1" t="str">
        <f t="shared" si="663"/>
        <v/>
      </c>
      <c r="B2292" s="1" t="str">
        <f t="shared" si="662"/>
        <v/>
      </c>
      <c r="C2292" s="1" t="e">
        <f>VLOOKUP(B2292,'Master truck list'!D:E,2,0)</f>
        <v>#N/A</v>
      </c>
      <c r="D2292" s="1" t="e">
        <f>VLOOKUP(C2292,'Master truck list'!E:F,2,0)</f>
        <v>#N/A</v>
      </c>
      <c r="E2292" s="1" t="e">
        <f>VLOOKUP(C2292,'Master truck list'!E:M,9,0)</f>
        <v>#N/A</v>
      </c>
      <c r="F2292" s="1" t="e">
        <f>VLOOKUP(C2292,'Master truck list'!E:G,3,0)</f>
        <v>#N/A</v>
      </c>
      <c r="G2292" s="1" t="e">
        <f>VLOOKUP(C2292,'Master truck list'!E:R,14,0)</f>
        <v>#N/A</v>
      </c>
    </row>
    <row r="2293" spans="1:7" x14ac:dyDescent="0.25">
      <c r="A2293" s="1" t="str">
        <f t="shared" si="663"/>
        <v/>
      </c>
      <c r="B2293" s="1" t="str">
        <f t="shared" si="662"/>
        <v/>
      </c>
      <c r="C2293" s="1" t="e">
        <f>VLOOKUP(B2293,'Master truck list'!D:E,2,0)</f>
        <v>#N/A</v>
      </c>
      <c r="D2293" s="1" t="e">
        <f>VLOOKUP(C2293,'Master truck list'!E:F,2,0)</f>
        <v>#N/A</v>
      </c>
      <c r="E2293" s="1" t="e">
        <f>VLOOKUP(C2293,'Master truck list'!E:M,9,0)</f>
        <v>#N/A</v>
      </c>
      <c r="F2293" s="1" t="e">
        <f>VLOOKUP(C2293,'Master truck list'!E:G,3,0)</f>
        <v>#N/A</v>
      </c>
      <c r="G2293" s="1" t="e">
        <f>VLOOKUP(C2293,'Master truck list'!E:R,14,0)</f>
        <v>#N/A</v>
      </c>
    </row>
    <row r="2294" spans="1:7" x14ac:dyDescent="0.25">
      <c r="A2294" s="1" t="str">
        <f t="shared" si="663"/>
        <v/>
      </c>
      <c r="B2294" s="1" t="str">
        <f t="shared" si="662"/>
        <v/>
      </c>
      <c r="C2294" s="1" t="e">
        <f>VLOOKUP(B2294,'Master truck list'!D:E,2,0)</f>
        <v>#N/A</v>
      </c>
      <c r="D2294" s="1" t="e">
        <f>VLOOKUP(C2294,'Master truck list'!E:F,2,0)</f>
        <v>#N/A</v>
      </c>
      <c r="E2294" s="1" t="e">
        <f>VLOOKUP(C2294,'Master truck list'!E:M,9,0)</f>
        <v>#N/A</v>
      </c>
      <c r="F2294" s="1" t="e">
        <f>VLOOKUP(C2294,'Master truck list'!E:G,3,0)</f>
        <v>#N/A</v>
      </c>
      <c r="G2294" s="1" t="e">
        <f>VLOOKUP(C2294,'Master truck list'!E:R,14,0)</f>
        <v>#N/A</v>
      </c>
    </row>
    <row r="2295" spans="1:7" x14ac:dyDescent="0.25">
      <c r="A2295" s="1" t="str">
        <f t="shared" si="663"/>
        <v/>
      </c>
      <c r="B2295" s="1" t="str">
        <f t="shared" si="662"/>
        <v/>
      </c>
      <c r="C2295" s="1" t="e">
        <f>VLOOKUP(B2295,'Master truck list'!D:E,2,0)</f>
        <v>#N/A</v>
      </c>
      <c r="D2295" s="1" t="e">
        <f>VLOOKUP(C2295,'Master truck list'!E:F,2,0)</f>
        <v>#N/A</v>
      </c>
      <c r="E2295" s="1" t="e">
        <f>VLOOKUP(C2295,'Master truck list'!E:M,9,0)</f>
        <v>#N/A</v>
      </c>
      <c r="F2295" s="1" t="e">
        <f>VLOOKUP(C2295,'Master truck list'!E:G,3,0)</f>
        <v>#N/A</v>
      </c>
      <c r="G2295" s="1" t="e">
        <f>VLOOKUP(C2295,'Master truck list'!E:R,14,0)</f>
        <v>#N/A</v>
      </c>
    </row>
    <row r="2296" spans="1:7" x14ac:dyDescent="0.25">
      <c r="A2296" s="1" t="str">
        <f t="shared" si="663"/>
        <v/>
      </c>
      <c r="B2296" s="1" t="str">
        <f t="shared" si="662"/>
        <v/>
      </c>
      <c r="C2296" s="1" t="e">
        <f>VLOOKUP(B2296,'Master truck list'!D:E,2,0)</f>
        <v>#N/A</v>
      </c>
      <c r="D2296" s="1" t="e">
        <f>VLOOKUP(C2296,'Master truck list'!E:F,2,0)</f>
        <v>#N/A</v>
      </c>
      <c r="E2296" s="1" t="e">
        <f>VLOOKUP(C2296,'Master truck list'!E:M,9,0)</f>
        <v>#N/A</v>
      </c>
      <c r="F2296" s="1" t="e">
        <f>VLOOKUP(C2296,'Master truck list'!E:G,3,0)</f>
        <v>#N/A</v>
      </c>
      <c r="G2296" s="1" t="e">
        <f>VLOOKUP(C2296,'Master truck list'!E:R,14,0)</f>
        <v>#N/A</v>
      </c>
    </row>
    <row r="2297" spans="1:7" x14ac:dyDescent="0.25">
      <c r="A2297" s="1" t="str">
        <f t="shared" si="663"/>
        <v/>
      </c>
      <c r="B2297" s="1" t="str">
        <f t="shared" ref="B2297:B2360" si="664">SUBSTITUTE(A2297," ","")</f>
        <v/>
      </c>
      <c r="C2297" s="1" t="e">
        <f>VLOOKUP(B2297,'Master truck list'!D:E,2,0)</f>
        <v>#N/A</v>
      </c>
      <c r="D2297" s="1" t="e">
        <f>VLOOKUP(C2297,'Master truck list'!E:F,2,0)</f>
        <v>#N/A</v>
      </c>
      <c r="E2297" s="1" t="e">
        <f>VLOOKUP(C2297,'Master truck list'!E:M,9,0)</f>
        <v>#N/A</v>
      </c>
      <c r="F2297" s="1" t="e">
        <f>VLOOKUP(C2297,'Master truck list'!E:G,3,0)</f>
        <v>#N/A</v>
      </c>
      <c r="G2297" s="1" t="e">
        <f>VLOOKUP(C2297,'Master truck list'!E:R,14,0)</f>
        <v>#N/A</v>
      </c>
    </row>
    <row r="2298" spans="1:7" x14ac:dyDescent="0.25">
      <c r="A2298" s="1" t="str">
        <f t="shared" si="663"/>
        <v/>
      </c>
      <c r="B2298" s="1" t="str">
        <f t="shared" si="664"/>
        <v/>
      </c>
      <c r="C2298" s="1" t="e">
        <f>VLOOKUP(B2298,'Master truck list'!D:E,2,0)</f>
        <v>#N/A</v>
      </c>
      <c r="D2298" s="1" t="e">
        <f>VLOOKUP(C2298,'Master truck list'!E:F,2,0)</f>
        <v>#N/A</v>
      </c>
      <c r="E2298" s="1" t="e">
        <f>VLOOKUP(C2298,'Master truck list'!E:M,9,0)</f>
        <v>#N/A</v>
      </c>
      <c r="F2298" s="1" t="e">
        <f>VLOOKUP(C2298,'Master truck list'!E:G,3,0)</f>
        <v>#N/A</v>
      </c>
      <c r="G2298" s="1" t="e">
        <f>VLOOKUP(C2298,'Master truck list'!E:R,14,0)</f>
        <v>#N/A</v>
      </c>
    </row>
    <row r="2299" spans="1:7" x14ac:dyDescent="0.25">
      <c r="A2299" s="1" t="str">
        <f t="shared" si="663"/>
        <v/>
      </c>
      <c r="B2299" s="1" t="str">
        <f t="shared" si="664"/>
        <v/>
      </c>
      <c r="C2299" s="1" t="e">
        <f>VLOOKUP(B2299,'Master truck list'!D:E,2,0)</f>
        <v>#N/A</v>
      </c>
      <c r="D2299" s="1" t="e">
        <f>VLOOKUP(C2299,'Master truck list'!E:F,2,0)</f>
        <v>#N/A</v>
      </c>
      <c r="E2299" s="1" t="e">
        <f>VLOOKUP(C2299,'Master truck list'!E:M,9,0)</f>
        <v>#N/A</v>
      </c>
      <c r="F2299" s="1" t="e">
        <f>VLOOKUP(C2299,'Master truck list'!E:G,3,0)</f>
        <v>#N/A</v>
      </c>
      <c r="G2299" s="1" t="e">
        <f>VLOOKUP(C2299,'Master truck list'!E:R,14,0)</f>
        <v>#N/A</v>
      </c>
    </row>
    <row r="2300" spans="1:7" x14ac:dyDescent="0.25">
      <c r="A2300" s="1" t="str">
        <f t="shared" si="663"/>
        <v/>
      </c>
      <c r="B2300" s="1" t="str">
        <f t="shared" si="664"/>
        <v/>
      </c>
      <c r="C2300" s="1" t="e">
        <f>VLOOKUP(B2300,'Master truck list'!D:E,2,0)</f>
        <v>#N/A</v>
      </c>
      <c r="D2300" s="1" t="e">
        <f>VLOOKUP(C2300,'Master truck list'!E:F,2,0)</f>
        <v>#N/A</v>
      </c>
      <c r="E2300" s="1" t="e">
        <f>VLOOKUP(C2300,'Master truck list'!E:M,9,0)</f>
        <v>#N/A</v>
      </c>
      <c r="F2300" s="1" t="e">
        <f>VLOOKUP(C2300,'Master truck list'!E:G,3,0)</f>
        <v>#N/A</v>
      </c>
      <c r="G2300" s="1" t="e">
        <f>VLOOKUP(C2300,'Master truck list'!E:R,14,0)</f>
        <v>#N/A</v>
      </c>
    </row>
    <row r="2301" spans="1:7" x14ac:dyDescent="0.25">
      <c r="A2301" s="1" t="str">
        <f t="shared" si="663"/>
        <v/>
      </c>
      <c r="B2301" s="1" t="str">
        <f t="shared" si="664"/>
        <v/>
      </c>
      <c r="C2301" s="1" t="e">
        <f>VLOOKUP(B2301,'Master truck list'!D:E,2,0)</f>
        <v>#N/A</v>
      </c>
      <c r="D2301" s="1" t="e">
        <f>VLOOKUP(C2301,'Master truck list'!E:F,2,0)</f>
        <v>#N/A</v>
      </c>
      <c r="E2301" s="1" t="e">
        <f>VLOOKUP(C2301,'Master truck list'!E:M,9,0)</f>
        <v>#N/A</v>
      </c>
      <c r="F2301" s="1" t="e">
        <f>VLOOKUP(C2301,'Master truck list'!E:G,3,0)</f>
        <v>#N/A</v>
      </c>
      <c r="G2301" s="1" t="e">
        <f>VLOOKUP(C2301,'Master truck list'!E:R,14,0)</f>
        <v>#N/A</v>
      </c>
    </row>
    <row r="2302" spans="1:7" x14ac:dyDescent="0.25">
      <c r="A2302" s="1" t="str">
        <f t="shared" si="663"/>
        <v/>
      </c>
      <c r="B2302" s="1" t="str">
        <f t="shared" si="664"/>
        <v/>
      </c>
      <c r="C2302" s="1" t="e">
        <f>VLOOKUP(B2302,'Master truck list'!D:E,2,0)</f>
        <v>#N/A</v>
      </c>
      <c r="D2302" s="1" t="e">
        <f>VLOOKUP(C2302,'Master truck list'!E:F,2,0)</f>
        <v>#N/A</v>
      </c>
      <c r="E2302" s="1" t="e">
        <f>VLOOKUP(C2302,'Master truck list'!E:M,9,0)</f>
        <v>#N/A</v>
      </c>
      <c r="F2302" s="1" t="e">
        <f>VLOOKUP(C2302,'Master truck list'!E:G,3,0)</f>
        <v>#N/A</v>
      </c>
      <c r="G2302" s="1" t="e">
        <f>VLOOKUP(C2302,'Master truck list'!E:R,14,0)</f>
        <v>#N/A</v>
      </c>
    </row>
    <row r="2303" spans="1:7" x14ac:dyDescent="0.25">
      <c r="A2303" s="1" t="str">
        <f t="shared" si="663"/>
        <v/>
      </c>
      <c r="B2303" s="1" t="str">
        <f t="shared" si="664"/>
        <v/>
      </c>
      <c r="C2303" s="1" t="e">
        <f>VLOOKUP(B2303,'Master truck list'!D:E,2,0)</f>
        <v>#N/A</v>
      </c>
      <c r="D2303" s="1" t="e">
        <f>VLOOKUP(C2303,'Master truck list'!E:F,2,0)</f>
        <v>#N/A</v>
      </c>
      <c r="E2303" s="1" t="e">
        <f>VLOOKUP(C2303,'Master truck list'!E:M,9,0)</f>
        <v>#N/A</v>
      </c>
      <c r="F2303" s="1" t="e">
        <f>VLOOKUP(C2303,'Master truck list'!E:G,3,0)</f>
        <v>#N/A</v>
      </c>
      <c r="G2303" s="1" t="e">
        <f>VLOOKUP(C2303,'Master truck list'!E:R,14,0)</f>
        <v>#N/A</v>
      </c>
    </row>
    <row r="2304" spans="1:7" x14ac:dyDescent="0.25">
      <c r="A2304" s="1" t="str">
        <f t="shared" si="663"/>
        <v/>
      </c>
      <c r="B2304" s="1" t="str">
        <f t="shared" si="664"/>
        <v/>
      </c>
      <c r="C2304" s="1" t="e">
        <f>VLOOKUP(B2304,'Master truck list'!D:E,2,0)</f>
        <v>#N/A</v>
      </c>
      <c r="D2304" s="1" t="e">
        <f>VLOOKUP(C2304,'Master truck list'!E:F,2,0)</f>
        <v>#N/A</v>
      </c>
      <c r="E2304" s="1" t="e">
        <f>VLOOKUP(C2304,'Master truck list'!E:M,9,0)</f>
        <v>#N/A</v>
      </c>
      <c r="F2304" s="1" t="e">
        <f>VLOOKUP(C2304,'Master truck list'!E:G,3,0)</f>
        <v>#N/A</v>
      </c>
      <c r="G2304" s="1" t="e">
        <f>VLOOKUP(C2304,'Master truck list'!E:R,14,0)</f>
        <v>#N/A</v>
      </c>
    </row>
    <row r="2305" spans="1:7" x14ac:dyDescent="0.25">
      <c r="A2305" s="1" t="str">
        <f t="shared" si="663"/>
        <v/>
      </c>
      <c r="B2305" s="1" t="str">
        <f t="shared" si="664"/>
        <v/>
      </c>
      <c r="C2305" s="1" t="e">
        <f>VLOOKUP(B2305,'Master truck list'!D:E,2,0)</f>
        <v>#N/A</v>
      </c>
      <c r="D2305" s="1" t="e">
        <f>VLOOKUP(C2305,'Master truck list'!E:F,2,0)</f>
        <v>#N/A</v>
      </c>
      <c r="E2305" s="1" t="e">
        <f>VLOOKUP(C2305,'Master truck list'!E:M,9,0)</f>
        <v>#N/A</v>
      </c>
      <c r="F2305" s="1" t="e">
        <f>VLOOKUP(C2305,'Master truck list'!E:G,3,0)</f>
        <v>#N/A</v>
      </c>
      <c r="G2305" s="1" t="e">
        <f>VLOOKUP(C2305,'Master truck list'!E:R,14,0)</f>
        <v>#N/A</v>
      </c>
    </row>
    <row r="2306" spans="1:7" x14ac:dyDescent="0.25">
      <c r="A2306" s="1" t="str">
        <f t="shared" si="663"/>
        <v/>
      </c>
      <c r="B2306" s="1" t="str">
        <f t="shared" si="664"/>
        <v/>
      </c>
      <c r="C2306" s="1" t="e">
        <f>VLOOKUP(B2306,'Master truck list'!D:E,2,0)</f>
        <v>#N/A</v>
      </c>
      <c r="D2306" s="1" t="e">
        <f>VLOOKUP(C2306,'Master truck list'!E:F,2,0)</f>
        <v>#N/A</v>
      </c>
      <c r="E2306" s="1" t="e">
        <f>VLOOKUP(C2306,'Master truck list'!E:M,9,0)</f>
        <v>#N/A</v>
      </c>
      <c r="F2306" s="1" t="e">
        <f>VLOOKUP(C2306,'Master truck list'!E:G,3,0)</f>
        <v>#N/A</v>
      </c>
      <c r="G2306" s="1" t="e">
        <f>VLOOKUP(C2306,'Master truck list'!E:R,14,0)</f>
        <v>#N/A</v>
      </c>
    </row>
    <row r="2307" spans="1:7" x14ac:dyDescent="0.25">
      <c r="A2307" s="1" t="str">
        <f t="shared" si="663"/>
        <v/>
      </c>
      <c r="B2307" s="1" t="str">
        <f t="shared" si="664"/>
        <v/>
      </c>
      <c r="C2307" s="1" t="e">
        <f>VLOOKUP(B2307,'Master truck list'!D:E,2,0)</f>
        <v>#N/A</v>
      </c>
      <c r="D2307" s="1" t="e">
        <f>VLOOKUP(C2307,'Master truck list'!E:F,2,0)</f>
        <v>#N/A</v>
      </c>
      <c r="E2307" s="1" t="e">
        <f>VLOOKUP(C2307,'Master truck list'!E:M,9,0)</f>
        <v>#N/A</v>
      </c>
      <c r="F2307" s="1" t="e">
        <f>VLOOKUP(C2307,'Master truck list'!E:G,3,0)</f>
        <v>#N/A</v>
      </c>
      <c r="G2307" s="1" t="e">
        <f>VLOOKUP(C2307,'Master truck list'!E:R,14,0)</f>
        <v>#N/A</v>
      </c>
    </row>
    <row r="2308" spans="1:7" x14ac:dyDescent="0.25">
      <c r="A2308" s="1" t="str">
        <f t="shared" si="663"/>
        <v/>
      </c>
      <c r="B2308" s="1" t="str">
        <f t="shared" si="664"/>
        <v/>
      </c>
      <c r="C2308" s="1" t="e">
        <f>VLOOKUP(B2308,'Master truck list'!D:E,2,0)</f>
        <v>#N/A</v>
      </c>
      <c r="D2308" s="1" t="e">
        <f>VLOOKUP(C2308,'Master truck list'!E:F,2,0)</f>
        <v>#N/A</v>
      </c>
      <c r="E2308" s="1" t="e">
        <f>VLOOKUP(C2308,'Master truck list'!E:M,9,0)</f>
        <v>#N/A</v>
      </c>
      <c r="F2308" s="1" t="e">
        <f>VLOOKUP(C2308,'Master truck list'!E:G,3,0)</f>
        <v>#N/A</v>
      </c>
      <c r="G2308" s="1" t="e">
        <f>VLOOKUP(C2308,'Master truck list'!E:R,14,0)</f>
        <v>#N/A</v>
      </c>
    </row>
    <row r="2309" spans="1:7" x14ac:dyDescent="0.25">
      <c r="A2309" s="1" t="str">
        <f t="shared" si="663"/>
        <v/>
      </c>
      <c r="B2309" s="1" t="str">
        <f t="shared" si="664"/>
        <v/>
      </c>
      <c r="C2309" s="1" t="e">
        <f>VLOOKUP(B2309,'Master truck list'!D:E,2,0)</f>
        <v>#N/A</v>
      </c>
      <c r="D2309" s="1" t="e">
        <f>VLOOKUP(C2309,'Master truck list'!E:F,2,0)</f>
        <v>#N/A</v>
      </c>
      <c r="E2309" s="1" t="e">
        <f>VLOOKUP(C2309,'Master truck list'!E:M,9,0)</f>
        <v>#N/A</v>
      </c>
      <c r="F2309" s="1" t="e">
        <f>VLOOKUP(C2309,'Master truck list'!E:G,3,0)</f>
        <v>#N/A</v>
      </c>
      <c r="G2309" s="1" t="e">
        <f>VLOOKUP(C2309,'Master truck list'!E:R,14,0)</f>
        <v>#N/A</v>
      </c>
    </row>
    <row r="2310" spans="1:7" x14ac:dyDescent="0.25">
      <c r="A2310" s="1" t="str">
        <f t="shared" si="663"/>
        <v/>
      </c>
      <c r="B2310" s="1" t="str">
        <f t="shared" si="664"/>
        <v/>
      </c>
      <c r="C2310" s="1" t="e">
        <f>VLOOKUP(B2310,'Master truck list'!D:E,2,0)</f>
        <v>#N/A</v>
      </c>
      <c r="D2310" s="1" t="e">
        <f>VLOOKUP(C2310,'Master truck list'!E:F,2,0)</f>
        <v>#N/A</v>
      </c>
      <c r="E2310" s="1" t="e">
        <f>VLOOKUP(C2310,'Master truck list'!E:M,9,0)</f>
        <v>#N/A</v>
      </c>
      <c r="F2310" s="1" t="e">
        <f>VLOOKUP(C2310,'Master truck list'!E:G,3,0)</f>
        <v>#N/A</v>
      </c>
      <c r="G2310" s="1" t="e">
        <f>VLOOKUP(C2310,'Master truck list'!E:R,14,0)</f>
        <v>#N/A</v>
      </c>
    </row>
    <row r="2311" spans="1:7" x14ac:dyDescent="0.25">
      <c r="A2311" s="1" t="str">
        <f t="shared" si="663"/>
        <v/>
      </c>
      <c r="B2311" s="1" t="str">
        <f t="shared" si="664"/>
        <v/>
      </c>
      <c r="C2311" s="1" t="e">
        <f>VLOOKUP(B2311,'Master truck list'!D:E,2,0)</f>
        <v>#N/A</v>
      </c>
      <c r="D2311" s="1" t="e">
        <f>VLOOKUP(C2311,'Master truck list'!E:F,2,0)</f>
        <v>#N/A</v>
      </c>
      <c r="E2311" s="1" t="e">
        <f>VLOOKUP(C2311,'Master truck list'!E:M,9,0)</f>
        <v>#N/A</v>
      </c>
      <c r="F2311" s="1" t="e">
        <f>VLOOKUP(C2311,'Master truck list'!E:G,3,0)</f>
        <v>#N/A</v>
      </c>
      <c r="G2311" s="1" t="e">
        <f>VLOOKUP(C2311,'Master truck list'!E:R,14,0)</f>
        <v>#N/A</v>
      </c>
    </row>
    <row r="2312" spans="1:7" x14ac:dyDescent="0.25">
      <c r="A2312" s="1" t="str">
        <f t="shared" si="663"/>
        <v/>
      </c>
      <c r="B2312" s="1" t="str">
        <f t="shared" si="664"/>
        <v/>
      </c>
      <c r="C2312" s="1" t="e">
        <f>VLOOKUP(B2312,'Master truck list'!D:E,2,0)</f>
        <v>#N/A</v>
      </c>
      <c r="D2312" s="1" t="e">
        <f>VLOOKUP(C2312,'Master truck list'!E:F,2,0)</f>
        <v>#N/A</v>
      </c>
      <c r="E2312" s="1" t="e">
        <f>VLOOKUP(C2312,'Master truck list'!E:M,9,0)</f>
        <v>#N/A</v>
      </c>
      <c r="F2312" s="1" t="e">
        <f>VLOOKUP(C2312,'Master truck list'!E:G,3,0)</f>
        <v>#N/A</v>
      </c>
      <c r="G2312" s="1" t="e">
        <f>VLOOKUP(C2312,'Master truck list'!E:R,14,0)</f>
        <v>#N/A</v>
      </c>
    </row>
    <row r="2313" spans="1:7" x14ac:dyDescent="0.25">
      <c r="A2313" s="1" t="str">
        <f t="shared" si="663"/>
        <v/>
      </c>
      <c r="B2313" s="1" t="str">
        <f t="shared" si="664"/>
        <v/>
      </c>
      <c r="C2313" s="1" t="e">
        <f>VLOOKUP(B2313,'Master truck list'!D:E,2,0)</f>
        <v>#N/A</v>
      </c>
      <c r="D2313" s="1" t="e">
        <f>VLOOKUP(C2313,'Master truck list'!E:F,2,0)</f>
        <v>#N/A</v>
      </c>
      <c r="E2313" s="1" t="e">
        <f>VLOOKUP(C2313,'Master truck list'!E:M,9,0)</f>
        <v>#N/A</v>
      </c>
      <c r="F2313" s="1" t="e">
        <f>VLOOKUP(C2313,'Master truck list'!E:G,3,0)</f>
        <v>#N/A</v>
      </c>
      <c r="G2313" s="1" t="e">
        <f>VLOOKUP(C2313,'Master truck list'!E:R,14,0)</f>
        <v>#N/A</v>
      </c>
    </row>
    <row r="2314" spans="1:7" x14ac:dyDescent="0.25">
      <c r="A2314" s="1" t="str">
        <f t="shared" si="663"/>
        <v/>
      </c>
      <c r="B2314" s="1" t="str">
        <f t="shared" si="664"/>
        <v/>
      </c>
      <c r="C2314" s="1" t="e">
        <f>VLOOKUP(B2314,'Master truck list'!D:E,2,0)</f>
        <v>#N/A</v>
      </c>
      <c r="D2314" s="1" t="e">
        <f>VLOOKUP(C2314,'Master truck list'!E:F,2,0)</f>
        <v>#N/A</v>
      </c>
      <c r="E2314" s="1" t="e">
        <f>VLOOKUP(C2314,'Master truck list'!E:M,9,0)</f>
        <v>#N/A</v>
      </c>
      <c r="F2314" s="1" t="e">
        <f>VLOOKUP(C2314,'Master truck list'!E:G,3,0)</f>
        <v>#N/A</v>
      </c>
      <c r="G2314" s="1" t="e">
        <f>VLOOKUP(C2314,'Master truck list'!E:R,14,0)</f>
        <v>#N/A</v>
      </c>
    </row>
    <row r="2315" spans="1:7" x14ac:dyDescent="0.25">
      <c r="A2315" s="1" t="str">
        <f t="shared" si="663"/>
        <v/>
      </c>
      <c r="B2315" s="1" t="str">
        <f t="shared" si="664"/>
        <v/>
      </c>
      <c r="C2315" s="1" t="e">
        <f>VLOOKUP(B2315,'Master truck list'!D:E,2,0)</f>
        <v>#N/A</v>
      </c>
      <c r="D2315" s="1" t="e">
        <f>VLOOKUP(C2315,'Master truck list'!E:F,2,0)</f>
        <v>#N/A</v>
      </c>
      <c r="E2315" s="1" t="e">
        <f>VLOOKUP(C2315,'Master truck list'!E:M,9,0)</f>
        <v>#N/A</v>
      </c>
      <c r="F2315" s="1" t="e">
        <f>VLOOKUP(C2315,'Master truck list'!E:G,3,0)</f>
        <v>#N/A</v>
      </c>
      <c r="G2315" s="1" t="e">
        <f>VLOOKUP(C2315,'Master truck list'!E:R,14,0)</f>
        <v>#N/A</v>
      </c>
    </row>
    <row r="2316" spans="1:7" x14ac:dyDescent="0.25">
      <c r="A2316" s="1" t="str">
        <f t="shared" si="663"/>
        <v/>
      </c>
      <c r="B2316" s="1" t="str">
        <f t="shared" si="664"/>
        <v/>
      </c>
      <c r="C2316" s="1" t="e">
        <f>VLOOKUP(B2316,'Master truck list'!D:E,2,0)</f>
        <v>#N/A</v>
      </c>
      <c r="D2316" s="1" t="e">
        <f>VLOOKUP(C2316,'Master truck list'!E:F,2,0)</f>
        <v>#N/A</v>
      </c>
      <c r="E2316" s="1" t="e">
        <f>VLOOKUP(C2316,'Master truck list'!E:M,9,0)</f>
        <v>#N/A</v>
      </c>
      <c r="F2316" s="1" t="e">
        <f>VLOOKUP(C2316,'Master truck list'!E:G,3,0)</f>
        <v>#N/A</v>
      </c>
      <c r="G2316" s="1" t="e">
        <f>VLOOKUP(C2316,'Master truck list'!E:R,14,0)</f>
        <v>#N/A</v>
      </c>
    </row>
    <row r="2317" spans="1:7" x14ac:dyDescent="0.25">
      <c r="A2317" s="1" t="str">
        <f t="shared" si="663"/>
        <v/>
      </c>
      <c r="B2317" s="1" t="str">
        <f t="shared" si="664"/>
        <v/>
      </c>
      <c r="C2317" s="1" t="e">
        <f>VLOOKUP(B2317,'Master truck list'!D:E,2,0)</f>
        <v>#N/A</v>
      </c>
      <c r="D2317" s="1" t="e">
        <f>VLOOKUP(C2317,'Master truck list'!E:F,2,0)</f>
        <v>#N/A</v>
      </c>
      <c r="E2317" s="1" t="e">
        <f>VLOOKUP(C2317,'Master truck list'!E:M,9,0)</f>
        <v>#N/A</v>
      </c>
      <c r="F2317" s="1" t="e">
        <f>VLOOKUP(C2317,'Master truck list'!E:G,3,0)</f>
        <v>#N/A</v>
      </c>
      <c r="G2317" s="1" t="e">
        <f>VLOOKUP(C2317,'Master truck list'!E:R,14,0)</f>
        <v>#N/A</v>
      </c>
    </row>
    <row r="2318" spans="1:7" x14ac:dyDescent="0.25">
      <c r="A2318" s="1" t="str">
        <f t="shared" si="663"/>
        <v/>
      </c>
      <c r="B2318" s="1" t="str">
        <f t="shared" si="664"/>
        <v/>
      </c>
      <c r="C2318" s="1" t="e">
        <f>VLOOKUP(B2318,'Master truck list'!D:E,2,0)</f>
        <v>#N/A</v>
      </c>
      <c r="D2318" s="1" t="e">
        <f>VLOOKUP(C2318,'Master truck list'!E:F,2,0)</f>
        <v>#N/A</v>
      </c>
      <c r="E2318" s="1" t="e">
        <f>VLOOKUP(C2318,'Master truck list'!E:M,9,0)</f>
        <v>#N/A</v>
      </c>
      <c r="F2318" s="1" t="e">
        <f>VLOOKUP(C2318,'Master truck list'!E:G,3,0)</f>
        <v>#N/A</v>
      </c>
      <c r="G2318" s="1" t="e">
        <f>VLOOKUP(C2318,'Master truck list'!E:R,14,0)</f>
        <v>#N/A</v>
      </c>
    </row>
    <row r="2319" spans="1:7" x14ac:dyDescent="0.25">
      <c r="A2319" s="1" t="str">
        <f t="shared" si="663"/>
        <v/>
      </c>
      <c r="B2319" s="1" t="str">
        <f t="shared" si="664"/>
        <v/>
      </c>
      <c r="C2319" s="1" t="e">
        <f>VLOOKUP(B2319,'Master truck list'!D:E,2,0)</f>
        <v>#N/A</v>
      </c>
      <c r="D2319" s="1" t="e">
        <f>VLOOKUP(C2319,'Master truck list'!E:F,2,0)</f>
        <v>#N/A</v>
      </c>
      <c r="E2319" s="1" t="e">
        <f>VLOOKUP(C2319,'Master truck list'!E:M,9,0)</f>
        <v>#N/A</v>
      </c>
      <c r="F2319" s="1" t="e">
        <f>VLOOKUP(C2319,'Master truck list'!E:G,3,0)</f>
        <v>#N/A</v>
      </c>
      <c r="G2319" s="1" t="e">
        <f>VLOOKUP(C2319,'Master truck list'!E:R,14,0)</f>
        <v>#N/A</v>
      </c>
    </row>
    <row r="2320" spans="1:7" x14ac:dyDescent="0.25">
      <c r="A2320" s="1" t="str">
        <f t="shared" si="663"/>
        <v/>
      </c>
      <c r="B2320" s="1" t="str">
        <f t="shared" si="664"/>
        <v/>
      </c>
      <c r="C2320" s="1" t="e">
        <f>VLOOKUP(B2320,'Master truck list'!D:E,2,0)</f>
        <v>#N/A</v>
      </c>
      <c r="D2320" s="1" t="e">
        <f>VLOOKUP(C2320,'Master truck list'!E:F,2,0)</f>
        <v>#N/A</v>
      </c>
      <c r="E2320" s="1" t="e">
        <f>VLOOKUP(C2320,'Master truck list'!E:M,9,0)</f>
        <v>#N/A</v>
      </c>
      <c r="F2320" s="1" t="e">
        <f>VLOOKUP(C2320,'Master truck list'!E:G,3,0)</f>
        <v>#N/A</v>
      </c>
      <c r="G2320" s="1" t="e">
        <f>VLOOKUP(C2320,'Master truck list'!E:R,14,0)</f>
        <v>#N/A</v>
      </c>
    </row>
    <row r="2321" spans="1:7" x14ac:dyDescent="0.25">
      <c r="A2321" s="1" t="str">
        <f t="shared" si="663"/>
        <v/>
      </c>
      <c r="B2321" s="1" t="str">
        <f t="shared" si="664"/>
        <v/>
      </c>
      <c r="C2321" s="1" t="e">
        <f>VLOOKUP(B2321,'Master truck list'!D:E,2,0)</f>
        <v>#N/A</v>
      </c>
      <c r="D2321" s="1" t="e">
        <f>VLOOKUP(C2321,'Master truck list'!E:F,2,0)</f>
        <v>#N/A</v>
      </c>
      <c r="E2321" s="1" t="e">
        <f>VLOOKUP(C2321,'Master truck list'!E:M,9,0)</f>
        <v>#N/A</v>
      </c>
      <c r="F2321" s="1" t="e">
        <f>VLOOKUP(C2321,'Master truck list'!E:G,3,0)</f>
        <v>#N/A</v>
      </c>
      <c r="G2321" s="1" t="e">
        <f>VLOOKUP(C2321,'Master truck list'!E:R,14,0)</f>
        <v>#N/A</v>
      </c>
    </row>
    <row r="2322" spans="1:7" x14ac:dyDescent="0.25">
      <c r="A2322" s="1" t="str">
        <f t="shared" si="663"/>
        <v/>
      </c>
      <c r="B2322" s="1" t="str">
        <f t="shared" si="664"/>
        <v/>
      </c>
      <c r="C2322" s="1" t="e">
        <f>VLOOKUP(B2322,'Master truck list'!D:E,2,0)</f>
        <v>#N/A</v>
      </c>
      <c r="D2322" s="1" t="e">
        <f>VLOOKUP(C2322,'Master truck list'!E:F,2,0)</f>
        <v>#N/A</v>
      </c>
      <c r="E2322" s="1" t="e">
        <f>VLOOKUP(C2322,'Master truck list'!E:M,9,0)</f>
        <v>#N/A</v>
      </c>
      <c r="F2322" s="1" t="e">
        <f>VLOOKUP(C2322,'Master truck list'!E:G,3,0)</f>
        <v>#N/A</v>
      </c>
      <c r="G2322" s="1" t="e">
        <f>VLOOKUP(C2322,'Master truck list'!E:R,14,0)</f>
        <v>#N/A</v>
      </c>
    </row>
    <row r="2323" spans="1:7" x14ac:dyDescent="0.25">
      <c r="A2323" s="1" t="str">
        <f t="shared" si="663"/>
        <v/>
      </c>
      <c r="B2323" s="1" t="str">
        <f t="shared" si="664"/>
        <v/>
      </c>
      <c r="C2323" s="1" t="e">
        <f>VLOOKUP(B2323,'Master truck list'!D:E,2,0)</f>
        <v>#N/A</v>
      </c>
      <c r="D2323" s="1" t="e">
        <f>VLOOKUP(C2323,'Master truck list'!E:F,2,0)</f>
        <v>#N/A</v>
      </c>
      <c r="E2323" s="1" t="e">
        <f>VLOOKUP(C2323,'Master truck list'!E:M,9,0)</f>
        <v>#N/A</v>
      </c>
      <c r="F2323" s="1" t="e">
        <f>VLOOKUP(C2323,'Master truck list'!E:G,3,0)</f>
        <v>#N/A</v>
      </c>
      <c r="G2323" s="1" t="e">
        <f>VLOOKUP(C2323,'Master truck list'!E:R,14,0)</f>
        <v>#N/A</v>
      </c>
    </row>
    <row r="2324" spans="1:7" x14ac:dyDescent="0.25">
      <c r="A2324" s="1" t="str">
        <f t="shared" si="663"/>
        <v/>
      </c>
      <c r="B2324" s="1" t="str">
        <f t="shared" si="664"/>
        <v/>
      </c>
      <c r="C2324" s="1" t="e">
        <f>VLOOKUP(B2324,'Master truck list'!D:E,2,0)</f>
        <v>#N/A</v>
      </c>
      <c r="D2324" s="1" t="e">
        <f>VLOOKUP(C2324,'Master truck list'!E:F,2,0)</f>
        <v>#N/A</v>
      </c>
      <c r="E2324" s="1" t="e">
        <f>VLOOKUP(C2324,'Master truck list'!E:M,9,0)</f>
        <v>#N/A</v>
      </c>
      <c r="F2324" s="1" t="e">
        <f>VLOOKUP(C2324,'Master truck list'!E:G,3,0)</f>
        <v>#N/A</v>
      </c>
      <c r="G2324" s="1" t="e">
        <f>VLOOKUP(C2324,'Master truck list'!E:R,14,0)</f>
        <v>#N/A</v>
      </c>
    </row>
    <row r="2325" spans="1:7" x14ac:dyDescent="0.25">
      <c r="A2325" s="1" t="str">
        <f t="shared" si="663"/>
        <v/>
      </c>
      <c r="B2325" s="1" t="str">
        <f t="shared" si="664"/>
        <v/>
      </c>
      <c r="C2325" s="1" t="e">
        <f>VLOOKUP(B2325,'Master truck list'!D:E,2,0)</f>
        <v>#N/A</v>
      </c>
      <c r="D2325" s="1" t="e">
        <f>VLOOKUP(C2325,'Master truck list'!E:F,2,0)</f>
        <v>#N/A</v>
      </c>
      <c r="E2325" s="1" t="e">
        <f>VLOOKUP(C2325,'Master truck list'!E:M,9,0)</f>
        <v>#N/A</v>
      </c>
      <c r="F2325" s="1" t="e">
        <f>VLOOKUP(C2325,'Master truck list'!E:G,3,0)</f>
        <v>#N/A</v>
      </c>
      <c r="G2325" s="1" t="e">
        <f>VLOOKUP(C2325,'Master truck list'!E:R,14,0)</f>
        <v>#N/A</v>
      </c>
    </row>
    <row r="2326" spans="1:7" x14ac:dyDescent="0.25">
      <c r="A2326" s="1" t="str">
        <f t="shared" si="663"/>
        <v/>
      </c>
      <c r="B2326" s="1" t="str">
        <f t="shared" si="664"/>
        <v/>
      </c>
      <c r="C2326" s="1" t="e">
        <f>VLOOKUP(B2326,'Master truck list'!D:E,2,0)</f>
        <v>#N/A</v>
      </c>
      <c r="D2326" s="1" t="e">
        <f>VLOOKUP(C2326,'Master truck list'!E:F,2,0)</f>
        <v>#N/A</v>
      </c>
      <c r="E2326" s="1" t="e">
        <f>VLOOKUP(C2326,'Master truck list'!E:M,9,0)</f>
        <v>#N/A</v>
      </c>
      <c r="F2326" s="1" t="e">
        <f>VLOOKUP(C2326,'Master truck list'!E:G,3,0)</f>
        <v>#N/A</v>
      </c>
      <c r="G2326" s="1" t="e">
        <f>VLOOKUP(C2326,'Master truck list'!E:R,14,0)</f>
        <v>#N/A</v>
      </c>
    </row>
    <row r="2327" spans="1:7" x14ac:dyDescent="0.25">
      <c r="A2327" s="1" t="str">
        <f t="shared" si="663"/>
        <v/>
      </c>
      <c r="B2327" s="1" t="str">
        <f t="shared" si="664"/>
        <v/>
      </c>
      <c r="C2327" s="1" t="e">
        <f>VLOOKUP(B2327,'Master truck list'!D:E,2,0)</f>
        <v>#N/A</v>
      </c>
      <c r="D2327" s="1" t="e">
        <f>VLOOKUP(C2327,'Master truck list'!E:F,2,0)</f>
        <v>#N/A</v>
      </c>
      <c r="E2327" s="1" t="e">
        <f>VLOOKUP(C2327,'Master truck list'!E:M,9,0)</f>
        <v>#N/A</v>
      </c>
      <c r="F2327" s="1" t="e">
        <f>VLOOKUP(C2327,'Master truck list'!E:G,3,0)</f>
        <v>#N/A</v>
      </c>
      <c r="G2327" s="1" t="e">
        <f>VLOOKUP(C2327,'Master truck list'!E:R,14,0)</f>
        <v>#N/A</v>
      </c>
    </row>
    <row r="2328" spans="1:7" x14ac:dyDescent="0.25">
      <c r="A2328" s="1" t="str">
        <f t="shared" si="663"/>
        <v/>
      </c>
      <c r="B2328" s="1" t="str">
        <f t="shared" si="664"/>
        <v/>
      </c>
      <c r="C2328" s="1" t="e">
        <f>VLOOKUP(B2328,'Master truck list'!D:E,2,0)</f>
        <v>#N/A</v>
      </c>
      <c r="D2328" s="1" t="e">
        <f>VLOOKUP(C2328,'Master truck list'!E:F,2,0)</f>
        <v>#N/A</v>
      </c>
      <c r="E2328" s="1" t="e">
        <f>VLOOKUP(C2328,'Master truck list'!E:M,9,0)</f>
        <v>#N/A</v>
      </c>
      <c r="F2328" s="1" t="e">
        <f>VLOOKUP(C2328,'Master truck list'!E:G,3,0)</f>
        <v>#N/A</v>
      </c>
      <c r="G2328" s="1" t="e">
        <f>VLOOKUP(C2328,'Master truck list'!E:R,14,0)</f>
        <v>#N/A</v>
      </c>
    </row>
    <row r="2329" spans="1:7" x14ac:dyDescent="0.25">
      <c r="A2329" s="1" t="str">
        <f t="shared" si="663"/>
        <v/>
      </c>
      <c r="B2329" s="1" t="str">
        <f t="shared" si="664"/>
        <v/>
      </c>
      <c r="C2329" s="1" t="e">
        <f>VLOOKUP(B2329,'Master truck list'!D:E,2,0)</f>
        <v>#N/A</v>
      </c>
      <c r="D2329" s="1" t="e">
        <f>VLOOKUP(C2329,'Master truck list'!E:F,2,0)</f>
        <v>#N/A</v>
      </c>
      <c r="E2329" s="1" t="e">
        <f>VLOOKUP(C2329,'Master truck list'!E:M,9,0)</f>
        <v>#N/A</v>
      </c>
      <c r="F2329" s="1" t="e">
        <f>VLOOKUP(C2329,'Master truck list'!E:G,3,0)</f>
        <v>#N/A</v>
      </c>
      <c r="G2329" s="1" t="e">
        <f>VLOOKUP(C2329,'Master truck list'!E:R,14,0)</f>
        <v>#N/A</v>
      </c>
    </row>
    <row r="2330" spans="1:7" x14ac:dyDescent="0.25">
      <c r="A2330" s="1" t="str">
        <f t="shared" si="663"/>
        <v/>
      </c>
      <c r="B2330" s="1" t="str">
        <f t="shared" si="664"/>
        <v/>
      </c>
      <c r="C2330" s="1" t="e">
        <f>VLOOKUP(B2330,'Master truck list'!D:E,2,0)</f>
        <v>#N/A</v>
      </c>
      <c r="D2330" s="1" t="e">
        <f>VLOOKUP(C2330,'Master truck list'!E:F,2,0)</f>
        <v>#N/A</v>
      </c>
      <c r="E2330" s="1" t="e">
        <f>VLOOKUP(C2330,'Master truck list'!E:M,9,0)</f>
        <v>#N/A</v>
      </c>
      <c r="F2330" s="1" t="e">
        <f>VLOOKUP(C2330,'Master truck list'!E:G,3,0)</f>
        <v>#N/A</v>
      </c>
      <c r="G2330" s="1" t="e">
        <f>VLOOKUP(C2330,'Master truck list'!E:R,14,0)</f>
        <v>#N/A</v>
      </c>
    </row>
    <row r="2331" spans="1:7" x14ac:dyDescent="0.25">
      <c r="A2331" s="1" t="str">
        <f t="shared" si="663"/>
        <v/>
      </c>
      <c r="B2331" s="1" t="str">
        <f t="shared" si="664"/>
        <v/>
      </c>
      <c r="C2331" s="1" t="e">
        <f>VLOOKUP(B2331,'Master truck list'!D:E,2,0)</f>
        <v>#N/A</v>
      </c>
      <c r="D2331" s="1" t="e">
        <f>VLOOKUP(C2331,'Master truck list'!E:F,2,0)</f>
        <v>#N/A</v>
      </c>
      <c r="E2331" s="1" t="e">
        <f>VLOOKUP(C2331,'Master truck list'!E:M,9,0)</f>
        <v>#N/A</v>
      </c>
      <c r="F2331" s="1" t="e">
        <f>VLOOKUP(C2331,'Master truck list'!E:G,3,0)</f>
        <v>#N/A</v>
      </c>
      <c r="G2331" s="1" t="e">
        <f>VLOOKUP(C2331,'Master truck list'!E:R,14,0)</f>
        <v>#N/A</v>
      </c>
    </row>
    <row r="2332" spans="1:7" x14ac:dyDescent="0.25">
      <c r="A2332" s="1" t="str">
        <f t="shared" si="663"/>
        <v/>
      </c>
      <c r="B2332" s="1" t="str">
        <f t="shared" si="664"/>
        <v/>
      </c>
      <c r="C2332" s="1" t="e">
        <f>VLOOKUP(B2332,'Master truck list'!D:E,2,0)</f>
        <v>#N/A</v>
      </c>
      <c r="D2332" s="1" t="e">
        <f>VLOOKUP(C2332,'Master truck list'!E:F,2,0)</f>
        <v>#N/A</v>
      </c>
      <c r="E2332" s="1" t="e">
        <f>VLOOKUP(C2332,'Master truck list'!E:M,9,0)</f>
        <v>#N/A</v>
      </c>
      <c r="F2332" s="1" t="e">
        <f>VLOOKUP(C2332,'Master truck list'!E:G,3,0)</f>
        <v>#N/A</v>
      </c>
      <c r="G2332" s="1" t="e">
        <f>VLOOKUP(C2332,'Master truck list'!E:R,14,0)</f>
        <v>#N/A</v>
      </c>
    </row>
    <row r="2333" spans="1:7" x14ac:dyDescent="0.25">
      <c r="A2333" s="1" t="str">
        <f t="shared" si="663"/>
        <v/>
      </c>
      <c r="B2333" s="1" t="str">
        <f t="shared" si="664"/>
        <v/>
      </c>
      <c r="C2333" s="1" t="e">
        <f>VLOOKUP(B2333,'Master truck list'!D:E,2,0)</f>
        <v>#N/A</v>
      </c>
      <c r="D2333" s="1" t="e">
        <f>VLOOKUP(C2333,'Master truck list'!E:F,2,0)</f>
        <v>#N/A</v>
      </c>
      <c r="E2333" s="1" t="e">
        <f>VLOOKUP(C2333,'Master truck list'!E:M,9,0)</f>
        <v>#N/A</v>
      </c>
      <c r="F2333" s="1" t="e">
        <f>VLOOKUP(C2333,'Master truck list'!E:G,3,0)</f>
        <v>#N/A</v>
      </c>
      <c r="G2333" s="1" t="e">
        <f>VLOOKUP(C2333,'Master truck list'!E:R,14,0)</f>
        <v>#N/A</v>
      </c>
    </row>
    <row r="2334" spans="1:7" x14ac:dyDescent="0.25">
      <c r="A2334" s="1" t="str">
        <f t="shared" si="663"/>
        <v/>
      </c>
      <c r="B2334" s="1" t="str">
        <f t="shared" si="664"/>
        <v/>
      </c>
      <c r="C2334" s="1" t="e">
        <f>VLOOKUP(B2334,'Master truck list'!D:E,2,0)</f>
        <v>#N/A</v>
      </c>
      <c r="D2334" s="1" t="e">
        <f>VLOOKUP(C2334,'Master truck list'!E:F,2,0)</f>
        <v>#N/A</v>
      </c>
      <c r="E2334" s="1" t="e">
        <f>VLOOKUP(C2334,'Master truck list'!E:M,9,0)</f>
        <v>#N/A</v>
      </c>
      <c r="F2334" s="1" t="e">
        <f>VLOOKUP(C2334,'Master truck list'!E:G,3,0)</f>
        <v>#N/A</v>
      </c>
      <c r="G2334" s="1" t="e">
        <f>VLOOKUP(C2334,'Master truck list'!E:R,14,0)</f>
        <v>#N/A</v>
      </c>
    </row>
    <row r="2335" spans="1:7" x14ac:dyDescent="0.25">
      <c r="A2335" s="1" t="str">
        <f t="shared" si="663"/>
        <v/>
      </c>
      <c r="B2335" s="1" t="str">
        <f t="shared" si="664"/>
        <v/>
      </c>
      <c r="C2335" s="1" t="e">
        <f>VLOOKUP(B2335,'Master truck list'!D:E,2,0)</f>
        <v>#N/A</v>
      </c>
      <c r="D2335" s="1" t="e">
        <f>VLOOKUP(C2335,'Master truck list'!E:F,2,0)</f>
        <v>#N/A</v>
      </c>
      <c r="E2335" s="1" t="e">
        <f>VLOOKUP(C2335,'Master truck list'!E:M,9,0)</f>
        <v>#N/A</v>
      </c>
      <c r="F2335" s="1" t="e">
        <f>VLOOKUP(C2335,'Master truck list'!E:G,3,0)</f>
        <v>#N/A</v>
      </c>
      <c r="G2335" s="1" t="e">
        <f>VLOOKUP(C2335,'Master truck list'!E:R,14,0)</f>
        <v>#N/A</v>
      </c>
    </row>
    <row r="2336" spans="1:7" x14ac:dyDescent="0.25">
      <c r="A2336" s="1" t="str">
        <f t="shared" si="663"/>
        <v/>
      </c>
      <c r="B2336" s="1" t="str">
        <f t="shared" si="664"/>
        <v/>
      </c>
      <c r="C2336" s="1" t="e">
        <f>VLOOKUP(B2336,'Master truck list'!D:E,2,0)</f>
        <v>#N/A</v>
      </c>
      <c r="D2336" s="1" t="e">
        <f>VLOOKUP(C2336,'Master truck list'!E:F,2,0)</f>
        <v>#N/A</v>
      </c>
      <c r="E2336" s="1" t="e">
        <f>VLOOKUP(C2336,'Master truck list'!E:M,9,0)</f>
        <v>#N/A</v>
      </c>
      <c r="F2336" s="1" t="e">
        <f>VLOOKUP(C2336,'Master truck list'!E:G,3,0)</f>
        <v>#N/A</v>
      </c>
      <c r="G2336" s="1" t="e">
        <f>VLOOKUP(C2336,'Master truck list'!E:R,14,0)</f>
        <v>#N/A</v>
      </c>
    </row>
    <row r="2337" spans="1:7" x14ac:dyDescent="0.25">
      <c r="A2337" s="1" t="str">
        <f t="shared" si="663"/>
        <v/>
      </c>
      <c r="B2337" s="1" t="str">
        <f t="shared" si="664"/>
        <v/>
      </c>
      <c r="C2337" s="1" t="e">
        <f>VLOOKUP(B2337,'Master truck list'!D:E,2,0)</f>
        <v>#N/A</v>
      </c>
      <c r="D2337" s="1" t="e">
        <f>VLOOKUP(C2337,'Master truck list'!E:F,2,0)</f>
        <v>#N/A</v>
      </c>
      <c r="E2337" s="1" t="e">
        <f>VLOOKUP(C2337,'Master truck list'!E:M,9,0)</f>
        <v>#N/A</v>
      </c>
      <c r="F2337" s="1" t="e">
        <f>VLOOKUP(C2337,'Master truck list'!E:G,3,0)</f>
        <v>#N/A</v>
      </c>
      <c r="G2337" s="1" t="e">
        <f>VLOOKUP(C2337,'Master truck list'!E:R,14,0)</f>
        <v>#N/A</v>
      </c>
    </row>
    <row r="2338" spans="1:7" x14ac:dyDescent="0.25">
      <c r="A2338" s="1" t="str">
        <f t="shared" si="663"/>
        <v/>
      </c>
      <c r="B2338" s="1" t="str">
        <f t="shared" si="664"/>
        <v/>
      </c>
      <c r="C2338" s="1" t="e">
        <f>VLOOKUP(B2338,'Master truck list'!D:E,2,0)</f>
        <v>#N/A</v>
      </c>
      <c r="D2338" s="1" t="e">
        <f>VLOOKUP(C2338,'Master truck list'!E:F,2,0)</f>
        <v>#N/A</v>
      </c>
      <c r="E2338" s="1" t="e">
        <f>VLOOKUP(C2338,'Master truck list'!E:M,9,0)</f>
        <v>#N/A</v>
      </c>
      <c r="F2338" s="1" t="e">
        <f>VLOOKUP(C2338,'Master truck list'!E:G,3,0)</f>
        <v>#N/A</v>
      </c>
      <c r="G2338" s="1" t="e">
        <f>VLOOKUP(C2338,'Master truck list'!E:R,14,0)</f>
        <v>#N/A</v>
      </c>
    </row>
    <row r="2339" spans="1:7" x14ac:dyDescent="0.25">
      <c r="A2339" s="1" t="str">
        <f t="shared" si="663"/>
        <v/>
      </c>
      <c r="B2339" s="1" t="str">
        <f t="shared" si="664"/>
        <v/>
      </c>
      <c r="C2339" s="1" t="e">
        <f>VLOOKUP(B2339,'Master truck list'!D:E,2,0)</f>
        <v>#N/A</v>
      </c>
      <c r="D2339" s="1" t="e">
        <f>VLOOKUP(C2339,'Master truck list'!E:F,2,0)</f>
        <v>#N/A</v>
      </c>
      <c r="E2339" s="1" t="e">
        <f>VLOOKUP(C2339,'Master truck list'!E:M,9,0)</f>
        <v>#N/A</v>
      </c>
      <c r="F2339" s="1" t="e">
        <f>VLOOKUP(C2339,'Master truck list'!E:G,3,0)</f>
        <v>#N/A</v>
      </c>
      <c r="G2339" s="1" t="e">
        <f>VLOOKUP(C2339,'Master truck list'!E:R,14,0)</f>
        <v>#N/A</v>
      </c>
    </row>
    <row r="2340" spans="1:7" x14ac:dyDescent="0.25">
      <c r="A2340" s="1" t="str">
        <f t="shared" ref="A2340:A2403" si="665">LEFT(N2542,5)</f>
        <v/>
      </c>
      <c r="B2340" s="1" t="str">
        <f t="shared" si="664"/>
        <v/>
      </c>
      <c r="C2340" s="1" t="e">
        <f>VLOOKUP(B2340,'Master truck list'!D:E,2,0)</f>
        <v>#N/A</v>
      </c>
      <c r="D2340" s="1" t="e">
        <f>VLOOKUP(C2340,'Master truck list'!E:F,2,0)</f>
        <v>#N/A</v>
      </c>
      <c r="E2340" s="1" t="e">
        <f>VLOOKUP(C2340,'Master truck list'!E:M,9,0)</f>
        <v>#N/A</v>
      </c>
      <c r="F2340" s="1" t="e">
        <f>VLOOKUP(C2340,'Master truck list'!E:G,3,0)</f>
        <v>#N/A</v>
      </c>
      <c r="G2340" s="1" t="e">
        <f>VLOOKUP(C2340,'Master truck list'!E:R,14,0)</f>
        <v>#N/A</v>
      </c>
    </row>
    <row r="2341" spans="1:7" x14ac:dyDescent="0.25">
      <c r="A2341" s="1" t="str">
        <f t="shared" si="665"/>
        <v/>
      </c>
      <c r="B2341" s="1" t="str">
        <f t="shared" si="664"/>
        <v/>
      </c>
      <c r="C2341" s="1" t="e">
        <f>VLOOKUP(B2341,'Master truck list'!D:E,2,0)</f>
        <v>#N/A</v>
      </c>
      <c r="D2341" s="1" t="e">
        <f>VLOOKUP(C2341,'Master truck list'!E:F,2,0)</f>
        <v>#N/A</v>
      </c>
      <c r="E2341" s="1" t="e">
        <f>VLOOKUP(C2341,'Master truck list'!E:M,9,0)</f>
        <v>#N/A</v>
      </c>
      <c r="F2341" s="1" t="e">
        <f>VLOOKUP(C2341,'Master truck list'!E:G,3,0)</f>
        <v>#N/A</v>
      </c>
      <c r="G2341" s="1" t="e">
        <f>VLOOKUP(C2341,'Master truck list'!E:R,14,0)</f>
        <v>#N/A</v>
      </c>
    </row>
    <row r="2342" spans="1:7" x14ac:dyDescent="0.25">
      <c r="A2342" s="1" t="str">
        <f t="shared" si="665"/>
        <v/>
      </c>
      <c r="B2342" s="1" t="str">
        <f t="shared" si="664"/>
        <v/>
      </c>
      <c r="C2342" s="1" t="e">
        <f>VLOOKUP(B2342,'Master truck list'!D:E,2,0)</f>
        <v>#N/A</v>
      </c>
      <c r="D2342" s="1" t="e">
        <f>VLOOKUP(C2342,'Master truck list'!E:F,2,0)</f>
        <v>#N/A</v>
      </c>
      <c r="E2342" s="1" t="e">
        <f>VLOOKUP(C2342,'Master truck list'!E:M,9,0)</f>
        <v>#N/A</v>
      </c>
      <c r="F2342" s="1" t="e">
        <f>VLOOKUP(C2342,'Master truck list'!E:G,3,0)</f>
        <v>#N/A</v>
      </c>
      <c r="G2342" s="1" t="e">
        <f>VLOOKUP(C2342,'Master truck list'!E:R,14,0)</f>
        <v>#N/A</v>
      </c>
    </row>
    <row r="2343" spans="1:7" x14ac:dyDescent="0.25">
      <c r="A2343" s="1" t="str">
        <f t="shared" si="665"/>
        <v/>
      </c>
      <c r="B2343" s="1" t="str">
        <f t="shared" si="664"/>
        <v/>
      </c>
      <c r="C2343" s="1" t="e">
        <f>VLOOKUP(B2343,'Master truck list'!D:E,2,0)</f>
        <v>#N/A</v>
      </c>
      <c r="D2343" s="1" t="e">
        <f>VLOOKUP(C2343,'Master truck list'!E:F,2,0)</f>
        <v>#N/A</v>
      </c>
      <c r="E2343" s="1" t="e">
        <f>VLOOKUP(C2343,'Master truck list'!E:M,9,0)</f>
        <v>#N/A</v>
      </c>
      <c r="F2343" s="1" t="e">
        <f>VLOOKUP(C2343,'Master truck list'!E:G,3,0)</f>
        <v>#N/A</v>
      </c>
      <c r="G2343" s="1" t="e">
        <f>VLOOKUP(C2343,'Master truck list'!E:R,14,0)</f>
        <v>#N/A</v>
      </c>
    </row>
    <row r="2344" spans="1:7" x14ac:dyDescent="0.25">
      <c r="A2344" s="1" t="str">
        <f t="shared" si="665"/>
        <v/>
      </c>
      <c r="B2344" s="1" t="str">
        <f t="shared" si="664"/>
        <v/>
      </c>
      <c r="C2344" s="1" t="e">
        <f>VLOOKUP(B2344,'Master truck list'!D:E,2,0)</f>
        <v>#N/A</v>
      </c>
      <c r="D2344" s="1" t="e">
        <f>VLOOKUP(C2344,'Master truck list'!E:F,2,0)</f>
        <v>#N/A</v>
      </c>
      <c r="E2344" s="1" t="e">
        <f>VLOOKUP(C2344,'Master truck list'!E:M,9,0)</f>
        <v>#N/A</v>
      </c>
      <c r="F2344" s="1" t="e">
        <f>VLOOKUP(C2344,'Master truck list'!E:G,3,0)</f>
        <v>#N/A</v>
      </c>
      <c r="G2344" s="1" t="e">
        <f>VLOOKUP(C2344,'Master truck list'!E:R,14,0)</f>
        <v>#N/A</v>
      </c>
    </row>
    <row r="2345" spans="1:7" x14ac:dyDescent="0.25">
      <c r="A2345" s="1" t="str">
        <f t="shared" si="665"/>
        <v/>
      </c>
      <c r="B2345" s="1" t="str">
        <f t="shared" si="664"/>
        <v/>
      </c>
      <c r="C2345" s="1" t="e">
        <f>VLOOKUP(B2345,'Master truck list'!D:E,2,0)</f>
        <v>#N/A</v>
      </c>
      <c r="D2345" s="1" t="e">
        <f>VLOOKUP(C2345,'Master truck list'!E:F,2,0)</f>
        <v>#N/A</v>
      </c>
      <c r="E2345" s="1" t="e">
        <f>VLOOKUP(C2345,'Master truck list'!E:M,9,0)</f>
        <v>#N/A</v>
      </c>
      <c r="F2345" s="1" t="e">
        <f>VLOOKUP(C2345,'Master truck list'!E:G,3,0)</f>
        <v>#N/A</v>
      </c>
      <c r="G2345" s="1" t="e">
        <f>VLOOKUP(C2345,'Master truck list'!E:R,14,0)</f>
        <v>#N/A</v>
      </c>
    </row>
    <row r="2346" spans="1:7" x14ac:dyDescent="0.25">
      <c r="A2346" s="1" t="str">
        <f t="shared" si="665"/>
        <v/>
      </c>
      <c r="B2346" s="1" t="str">
        <f t="shared" si="664"/>
        <v/>
      </c>
      <c r="C2346" s="1" t="e">
        <f>VLOOKUP(B2346,'Master truck list'!D:E,2,0)</f>
        <v>#N/A</v>
      </c>
      <c r="D2346" s="1" t="e">
        <f>VLOOKUP(C2346,'Master truck list'!E:F,2,0)</f>
        <v>#N/A</v>
      </c>
      <c r="E2346" s="1" t="e">
        <f>VLOOKUP(C2346,'Master truck list'!E:M,9,0)</f>
        <v>#N/A</v>
      </c>
      <c r="F2346" s="1" t="e">
        <f>VLOOKUP(C2346,'Master truck list'!E:G,3,0)</f>
        <v>#N/A</v>
      </c>
      <c r="G2346" s="1" t="e">
        <f>VLOOKUP(C2346,'Master truck list'!E:R,14,0)</f>
        <v>#N/A</v>
      </c>
    </row>
    <row r="2347" spans="1:7" x14ac:dyDescent="0.25">
      <c r="A2347" s="1" t="str">
        <f t="shared" si="665"/>
        <v/>
      </c>
      <c r="B2347" s="1" t="str">
        <f t="shared" si="664"/>
        <v/>
      </c>
      <c r="C2347" s="1" t="e">
        <f>VLOOKUP(B2347,'Master truck list'!D:E,2,0)</f>
        <v>#N/A</v>
      </c>
      <c r="D2347" s="1" t="e">
        <f>VLOOKUP(C2347,'Master truck list'!E:F,2,0)</f>
        <v>#N/A</v>
      </c>
      <c r="E2347" s="1" t="e">
        <f>VLOOKUP(C2347,'Master truck list'!E:M,9,0)</f>
        <v>#N/A</v>
      </c>
      <c r="F2347" s="1" t="e">
        <f>VLOOKUP(C2347,'Master truck list'!E:G,3,0)</f>
        <v>#N/A</v>
      </c>
      <c r="G2347" s="1" t="e">
        <f>VLOOKUP(C2347,'Master truck list'!E:R,14,0)</f>
        <v>#N/A</v>
      </c>
    </row>
    <row r="2348" spans="1:7" x14ac:dyDescent="0.25">
      <c r="A2348" s="1" t="str">
        <f t="shared" si="665"/>
        <v/>
      </c>
      <c r="B2348" s="1" t="str">
        <f t="shared" si="664"/>
        <v/>
      </c>
      <c r="C2348" s="1" t="e">
        <f>VLOOKUP(B2348,'Master truck list'!D:E,2,0)</f>
        <v>#N/A</v>
      </c>
      <c r="D2348" s="1" t="e">
        <f>VLOOKUP(C2348,'Master truck list'!E:F,2,0)</f>
        <v>#N/A</v>
      </c>
      <c r="E2348" s="1" t="e">
        <f>VLOOKUP(C2348,'Master truck list'!E:M,9,0)</f>
        <v>#N/A</v>
      </c>
      <c r="F2348" s="1" t="e">
        <f>VLOOKUP(C2348,'Master truck list'!E:G,3,0)</f>
        <v>#N/A</v>
      </c>
      <c r="G2348" s="1" t="e">
        <f>VLOOKUP(C2348,'Master truck list'!E:R,14,0)</f>
        <v>#N/A</v>
      </c>
    </row>
    <row r="2349" spans="1:7" x14ac:dyDescent="0.25">
      <c r="A2349" s="1" t="str">
        <f t="shared" si="665"/>
        <v/>
      </c>
      <c r="B2349" s="1" t="str">
        <f t="shared" si="664"/>
        <v/>
      </c>
      <c r="C2349" s="1" t="e">
        <f>VLOOKUP(B2349,'Master truck list'!D:E,2,0)</f>
        <v>#N/A</v>
      </c>
      <c r="D2349" s="1" t="e">
        <f>VLOOKUP(C2349,'Master truck list'!E:F,2,0)</f>
        <v>#N/A</v>
      </c>
      <c r="E2349" s="1" t="e">
        <f>VLOOKUP(C2349,'Master truck list'!E:M,9,0)</f>
        <v>#N/A</v>
      </c>
      <c r="F2349" s="1" t="e">
        <f>VLOOKUP(C2349,'Master truck list'!E:G,3,0)</f>
        <v>#N/A</v>
      </c>
      <c r="G2349" s="1" t="e">
        <f>VLOOKUP(C2349,'Master truck list'!E:R,14,0)</f>
        <v>#N/A</v>
      </c>
    </row>
    <row r="2350" spans="1:7" x14ac:dyDescent="0.25">
      <c r="A2350" s="1" t="str">
        <f t="shared" si="665"/>
        <v/>
      </c>
      <c r="B2350" s="1" t="str">
        <f t="shared" si="664"/>
        <v/>
      </c>
      <c r="C2350" s="1" t="e">
        <f>VLOOKUP(B2350,'Master truck list'!D:E,2,0)</f>
        <v>#N/A</v>
      </c>
      <c r="D2350" s="1" t="e">
        <f>VLOOKUP(C2350,'Master truck list'!E:F,2,0)</f>
        <v>#N/A</v>
      </c>
      <c r="E2350" s="1" t="e">
        <f>VLOOKUP(C2350,'Master truck list'!E:M,9,0)</f>
        <v>#N/A</v>
      </c>
      <c r="F2350" s="1" t="e">
        <f>VLOOKUP(C2350,'Master truck list'!E:G,3,0)</f>
        <v>#N/A</v>
      </c>
      <c r="G2350" s="1" t="e">
        <f>VLOOKUP(C2350,'Master truck list'!E:R,14,0)</f>
        <v>#N/A</v>
      </c>
    </row>
    <row r="2351" spans="1:7" x14ac:dyDescent="0.25">
      <c r="A2351" s="1" t="str">
        <f t="shared" si="665"/>
        <v/>
      </c>
      <c r="B2351" s="1" t="str">
        <f t="shared" si="664"/>
        <v/>
      </c>
      <c r="C2351" s="1" t="e">
        <f>VLOOKUP(B2351,'Master truck list'!D:E,2,0)</f>
        <v>#N/A</v>
      </c>
      <c r="D2351" s="1" t="e">
        <f>VLOOKUP(C2351,'Master truck list'!E:F,2,0)</f>
        <v>#N/A</v>
      </c>
      <c r="E2351" s="1" t="e">
        <f>VLOOKUP(C2351,'Master truck list'!E:M,9,0)</f>
        <v>#N/A</v>
      </c>
      <c r="F2351" s="1" t="e">
        <f>VLOOKUP(C2351,'Master truck list'!E:G,3,0)</f>
        <v>#N/A</v>
      </c>
      <c r="G2351" s="1" t="e">
        <f>VLOOKUP(C2351,'Master truck list'!E:R,14,0)</f>
        <v>#N/A</v>
      </c>
    </row>
    <row r="2352" spans="1:7" x14ac:dyDescent="0.25">
      <c r="A2352" s="1" t="str">
        <f t="shared" si="665"/>
        <v/>
      </c>
      <c r="B2352" s="1" t="str">
        <f t="shared" si="664"/>
        <v/>
      </c>
      <c r="C2352" s="1" t="e">
        <f>VLOOKUP(B2352,'Master truck list'!D:E,2,0)</f>
        <v>#N/A</v>
      </c>
      <c r="D2352" s="1" t="e">
        <f>VLOOKUP(C2352,'Master truck list'!E:F,2,0)</f>
        <v>#N/A</v>
      </c>
      <c r="E2352" s="1" t="e">
        <f>VLOOKUP(C2352,'Master truck list'!E:M,9,0)</f>
        <v>#N/A</v>
      </c>
      <c r="F2352" s="1" t="e">
        <f>VLOOKUP(C2352,'Master truck list'!E:G,3,0)</f>
        <v>#N/A</v>
      </c>
      <c r="G2352" s="1" t="e">
        <f>VLOOKUP(C2352,'Master truck list'!E:R,14,0)</f>
        <v>#N/A</v>
      </c>
    </row>
    <row r="2353" spans="1:7" x14ac:dyDescent="0.25">
      <c r="A2353" s="1" t="str">
        <f t="shared" si="665"/>
        <v/>
      </c>
      <c r="B2353" s="1" t="str">
        <f t="shared" si="664"/>
        <v/>
      </c>
      <c r="C2353" s="1" t="e">
        <f>VLOOKUP(B2353,'Master truck list'!D:E,2,0)</f>
        <v>#N/A</v>
      </c>
      <c r="D2353" s="1" t="e">
        <f>VLOOKUP(C2353,'Master truck list'!E:F,2,0)</f>
        <v>#N/A</v>
      </c>
      <c r="E2353" s="1" t="e">
        <f>VLOOKUP(C2353,'Master truck list'!E:M,9,0)</f>
        <v>#N/A</v>
      </c>
      <c r="F2353" s="1" t="e">
        <f>VLOOKUP(C2353,'Master truck list'!E:G,3,0)</f>
        <v>#N/A</v>
      </c>
      <c r="G2353" s="1" t="e">
        <f>VLOOKUP(C2353,'Master truck list'!E:R,14,0)</f>
        <v>#N/A</v>
      </c>
    </row>
    <row r="2354" spans="1:7" x14ac:dyDescent="0.25">
      <c r="A2354" s="1" t="str">
        <f t="shared" si="665"/>
        <v/>
      </c>
      <c r="B2354" s="1" t="str">
        <f t="shared" si="664"/>
        <v/>
      </c>
      <c r="C2354" s="1" t="e">
        <f>VLOOKUP(B2354,'Master truck list'!D:E,2,0)</f>
        <v>#N/A</v>
      </c>
      <c r="D2354" s="1" t="e">
        <f>VLOOKUP(C2354,'Master truck list'!E:F,2,0)</f>
        <v>#N/A</v>
      </c>
      <c r="E2354" s="1" t="e">
        <f>VLOOKUP(C2354,'Master truck list'!E:M,9,0)</f>
        <v>#N/A</v>
      </c>
      <c r="F2354" s="1" t="e">
        <f>VLOOKUP(C2354,'Master truck list'!E:G,3,0)</f>
        <v>#N/A</v>
      </c>
      <c r="G2354" s="1" t="e">
        <f>VLOOKUP(C2354,'Master truck list'!E:R,14,0)</f>
        <v>#N/A</v>
      </c>
    </row>
    <row r="2355" spans="1:7" x14ac:dyDescent="0.25">
      <c r="A2355" s="1" t="str">
        <f t="shared" si="665"/>
        <v/>
      </c>
      <c r="B2355" s="1" t="str">
        <f t="shared" si="664"/>
        <v/>
      </c>
      <c r="C2355" s="1" t="e">
        <f>VLOOKUP(B2355,'Master truck list'!D:E,2,0)</f>
        <v>#N/A</v>
      </c>
      <c r="D2355" s="1" t="e">
        <f>VLOOKUP(C2355,'Master truck list'!E:F,2,0)</f>
        <v>#N/A</v>
      </c>
      <c r="E2355" s="1" t="e">
        <f>VLOOKUP(C2355,'Master truck list'!E:M,9,0)</f>
        <v>#N/A</v>
      </c>
      <c r="F2355" s="1" t="e">
        <f>VLOOKUP(C2355,'Master truck list'!E:G,3,0)</f>
        <v>#N/A</v>
      </c>
      <c r="G2355" s="1" t="e">
        <f>VLOOKUP(C2355,'Master truck list'!E:R,14,0)</f>
        <v>#N/A</v>
      </c>
    </row>
    <row r="2356" spans="1:7" x14ac:dyDescent="0.25">
      <c r="A2356" s="1" t="str">
        <f t="shared" si="665"/>
        <v/>
      </c>
      <c r="B2356" s="1" t="str">
        <f t="shared" si="664"/>
        <v/>
      </c>
      <c r="C2356" s="1" t="e">
        <f>VLOOKUP(B2356,'Master truck list'!D:E,2,0)</f>
        <v>#N/A</v>
      </c>
      <c r="D2356" s="1" t="e">
        <f>VLOOKUP(C2356,'Master truck list'!E:F,2,0)</f>
        <v>#N/A</v>
      </c>
      <c r="E2356" s="1" t="e">
        <f>VLOOKUP(C2356,'Master truck list'!E:M,9,0)</f>
        <v>#N/A</v>
      </c>
      <c r="F2356" s="1" t="e">
        <f>VLOOKUP(C2356,'Master truck list'!E:G,3,0)</f>
        <v>#N/A</v>
      </c>
      <c r="G2356" s="1" t="e">
        <f>VLOOKUP(C2356,'Master truck list'!E:R,14,0)</f>
        <v>#N/A</v>
      </c>
    </row>
    <row r="2357" spans="1:7" x14ac:dyDescent="0.25">
      <c r="A2357" s="1" t="str">
        <f t="shared" si="665"/>
        <v/>
      </c>
      <c r="B2357" s="1" t="str">
        <f t="shared" si="664"/>
        <v/>
      </c>
      <c r="C2357" s="1" t="e">
        <f>VLOOKUP(B2357,'Master truck list'!D:E,2,0)</f>
        <v>#N/A</v>
      </c>
      <c r="D2357" s="1" t="e">
        <f>VLOOKUP(C2357,'Master truck list'!E:F,2,0)</f>
        <v>#N/A</v>
      </c>
      <c r="E2357" s="1" t="e">
        <f>VLOOKUP(C2357,'Master truck list'!E:M,9,0)</f>
        <v>#N/A</v>
      </c>
      <c r="F2357" s="1" t="e">
        <f>VLOOKUP(C2357,'Master truck list'!E:G,3,0)</f>
        <v>#N/A</v>
      </c>
      <c r="G2357" s="1" t="e">
        <f>VLOOKUP(C2357,'Master truck list'!E:R,14,0)</f>
        <v>#N/A</v>
      </c>
    </row>
    <row r="2358" spans="1:7" x14ac:dyDescent="0.25">
      <c r="A2358" s="1" t="str">
        <f t="shared" si="665"/>
        <v/>
      </c>
      <c r="B2358" s="1" t="str">
        <f t="shared" si="664"/>
        <v/>
      </c>
      <c r="C2358" s="1" t="e">
        <f>VLOOKUP(B2358,'Master truck list'!D:E,2,0)</f>
        <v>#N/A</v>
      </c>
      <c r="D2358" s="1" t="e">
        <f>VLOOKUP(C2358,'Master truck list'!E:F,2,0)</f>
        <v>#N/A</v>
      </c>
      <c r="E2358" s="1" t="e">
        <f>VLOOKUP(C2358,'Master truck list'!E:M,9,0)</f>
        <v>#N/A</v>
      </c>
      <c r="F2358" s="1" t="e">
        <f>VLOOKUP(C2358,'Master truck list'!E:G,3,0)</f>
        <v>#N/A</v>
      </c>
      <c r="G2358" s="1" t="e">
        <f>VLOOKUP(C2358,'Master truck list'!E:R,14,0)</f>
        <v>#N/A</v>
      </c>
    </row>
    <row r="2359" spans="1:7" x14ac:dyDescent="0.25">
      <c r="A2359" s="1" t="str">
        <f t="shared" si="665"/>
        <v/>
      </c>
      <c r="B2359" s="1" t="str">
        <f t="shared" si="664"/>
        <v/>
      </c>
      <c r="C2359" s="1" t="e">
        <f>VLOOKUP(B2359,'Master truck list'!D:E,2,0)</f>
        <v>#N/A</v>
      </c>
      <c r="D2359" s="1" t="e">
        <f>VLOOKUP(C2359,'Master truck list'!E:F,2,0)</f>
        <v>#N/A</v>
      </c>
      <c r="E2359" s="1" t="e">
        <f>VLOOKUP(C2359,'Master truck list'!E:M,9,0)</f>
        <v>#N/A</v>
      </c>
      <c r="F2359" s="1" t="e">
        <f>VLOOKUP(C2359,'Master truck list'!E:G,3,0)</f>
        <v>#N/A</v>
      </c>
      <c r="G2359" s="1" t="e">
        <f>VLOOKUP(C2359,'Master truck list'!E:R,14,0)</f>
        <v>#N/A</v>
      </c>
    </row>
    <row r="2360" spans="1:7" x14ac:dyDescent="0.25">
      <c r="A2360" s="1" t="str">
        <f t="shared" si="665"/>
        <v/>
      </c>
      <c r="B2360" s="1" t="str">
        <f t="shared" si="664"/>
        <v/>
      </c>
      <c r="C2360" s="1" t="e">
        <f>VLOOKUP(B2360,'Master truck list'!D:E,2,0)</f>
        <v>#N/A</v>
      </c>
      <c r="D2360" s="1" t="e">
        <f>VLOOKUP(C2360,'Master truck list'!E:F,2,0)</f>
        <v>#N/A</v>
      </c>
      <c r="E2360" s="1" t="e">
        <f>VLOOKUP(C2360,'Master truck list'!E:M,9,0)</f>
        <v>#N/A</v>
      </c>
      <c r="F2360" s="1" t="e">
        <f>VLOOKUP(C2360,'Master truck list'!E:G,3,0)</f>
        <v>#N/A</v>
      </c>
      <c r="G2360" s="1" t="e">
        <f>VLOOKUP(C2360,'Master truck list'!E:R,14,0)</f>
        <v>#N/A</v>
      </c>
    </row>
    <row r="2361" spans="1:7" x14ac:dyDescent="0.25">
      <c r="A2361" s="1" t="str">
        <f t="shared" si="665"/>
        <v/>
      </c>
      <c r="B2361" s="1" t="str">
        <f t="shared" ref="B2361:B2421" si="666">SUBSTITUTE(A2361," ","")</f>
        <v/>
      </c>
      <c r="C2361" s="1" t="e">
        <f>VLOOKUP(B2361,'Master truck list'!D:E,2,0)</f>
        <v>#N/A</v>
      </c>
      <c r="D2361" s="1" t="e">
        <f>VLOOKUP(C2361,'Master truck list'!E:F,2,0)</f>
        <v>#N/A</v>
      </c>
      <c r="E2361" s="1" t="e">
        <f>VLOOKUP(C2361,'Master truck list'!E:M,9,0)</f>
        <v>#N/A</v>
      </c>
      <c r="F2361" s="1" t="e">
        <f>VLOOKUP(C2361,'Master truck list'!E:G,3,0)</f>
        <v>#N/A</v>
      </c>
      <c r="G2361" s="1" t="e">
        <f>VLOOKUP(C2361,'Master truck list'!E:R,14,0)</f>
        <v>#N/A</v>
      </c>
    </row>
    <row r="2362" spans="1:7" x14ac:dyDescent="0.25">
      <c r="A2362" s="1" t="str">
        <f t="shared" si="665"/>
        <v/>
      </c>
      <c r="B2362" s="1" t="str">
        <f t="shared" si="666"/>
        <v/>
      </c>
      <c r="C2362" s="1" t="e">
        <f>VLOOKUP(B2362,'Master truck list'!D:E,2,0)</f>
        <v>#N/A</v>
      </c>
      <c r="D2362" s="1" t="e">
        <f>VLOOKUP(C2362,'Master truck list'!E:F,2,0)</f>
        <v>#N/A</v>
      </c>
      <c r="E2362" s="1" t="e">
        <f>VLOOKUP(C2362,'Master truck list'!E:M,9,0)</f>
        <v>#N/A</v>
      </c>
      <c r="F2362" s="1" t="e">
        <f>VLOOKUP(C2362,'Master truck list'!E:G,3,0)</f>
        <v>#N/A</v>
      </c>
      <c r="G2362" s="1" t="e">
        <f>VLOOKUP(C2362,'Master truck list'!E:R,14,0)</f>
        <v>#N/A</v>
      </c>
    </row>
    <row r="2363" spans="1:7" x14ac:dyDescent="0.25">
      <c r="A2363" s="1" t="str">
        <f t="shared" si="665"/>
        <v/>
      </c>
      <c r="B2363" s="1" t="str">
        <f t="shared" si="666"/>
        <v/>
      </c>
      <c r="C2363" s="1" t="e">
        <f>VLOOKUP(B2363,'Master truck list'!D:E,2,0)</f>
        <v>#N/A</v>
      </c>
      <c r="D2363" s="1" t="e">
        <f>VLOOKUP(C2363,'Master truck list'!E:F,2,0)</f>
        <v>#N/A</v>
      </c>
      <c r="E2363" s="1" t="e">
        <f>VLOOKUP(C2363,'Master truck list'!E:M,9,0)</f>
        <v>#N/A</v>
      </c>
      <c r="F2363" s="1" t="e">
        <f>VLOOKUP(C2363,'Master truck list'!E:G,3,0)</f>
        <v>#N/A</v>
      </c>
      <c r="G2363" s="1" t="e">
        <f>VLOOKUP(C2363,'Master truck list'!E:R,14,0)</f>
        <v>#N/A</v>
      </c>
    </row>
    <row r="2364" spans="1:7" x14ac:dyDescent="0.25">
      <c r="A2364" s="1" t="str">
        <f t="shared" si="665"/>
        <v/>
      </c>
      <c r="B2364" s="1" t="str">
        <f t="shared" si="666"/>
        <v/>
      </c>
      <c r="C2364" s="1" t="e">
        <f>VLOOKUP(B2364,'Master truck list'!D:E,2,0)</f>
        <v>#N/A</v>
      </c>
      <c r="D2364" s="1" t="e">
        <f>VLOOKUP(C2364,'Master truck list'!E:F,2,0)</f>
        <v>#N/A</v>
      </c>
      <c r="E2364" s="1" t="e">
        <f>VLOOKUP(C2364,'Master truck list'!E:M,9,0)</f>
        <v>#N/A</v>
      </c>
      <c r="F2364" s="1" t="e">
        <f>VLOOKUP(C2364,'Master truck list'!E:G,3,0)</f>
        <v>#N/A</v>
      </c>
      <c r="G2364" s="1" t="e">
        <f>VLOOKUP(C2364,'Master truck list'!E:R,14,0)</f>
        <v>#N/A</v>
      </c>
    </row>
    <row r="2365" spans="1:7" x14ac:dyDescent="0.25">
      <c r="A2365" s="1" t="str">
        <f t="shared" si="665"/>
        <v/>
      </c>
      <c r="B2365" s="1" t="str">
        <f t="shared" si="666"/>
        <v/>
      </c>
      <c r="C2365" s="1" t="e">
        <f>VLOOKUP(B2365,'Master truck list'!D:E,2,0)</f>
        <v>#N/A</v>
      </c>
      <c r="D2365" s="1" t="e">
        <f>VLOOKUP(C2365,'Master truck list'!E:F,2,0)</f>
        <v>#N/A</v>
      </c>
      <c r="E2365" s="1" t="e">
        <f>VLOOKUP(C2365,'Master truck list'!E:M,9,0)</f>
        <v>#N/A</v>
      </c>
      <c r="F2365" s="1" t="e">
        <f>VLOOKUP(C2365,'Master truck list'!E:G,3,0)</f>
        <v>#N/A</v>
      </c>
      <c r="G2365" s="1" t="e">
        <f>VLOOKUP(C2365,'Master truck list'!E:R,14,0)</f>
        <v>#N/A</v>
      </c>
    </row>
    <row r="2366" spans="1:7" x14ac:dyDescent="0.25">
      <c r="A2366" s="1" t="str">
        <f t="shared" si="665"/>
        <v/>
      </c>
      <c r="B2366" s="1" t="str">
        <f t="shared" si="666"/>
        <v/>
      </c>
      <c r="C2366" s="1" t="e">
        <f>VLOOKUP(B2366,'Master truck list'!D:E,2,0)</f>
        <v>#N/A</v>
      </c>
      <c r="D2366" s="1" t="e">
        <f>VLOOKUP(C2366,'Master truck list'!E:F,2,0)</f>
        <v>#N/A</v>
      </c>
      <c r="E2366" s="1" t="e">
        <f>VLOOKUP(C2366,'Master truck list'!E:M,9,0)</f>
        <v>#N/A</v>
      </c>
      <c r="F2366" s="1" t="e">
        <f>VLOOKUP(C2366,'Master truck list'!E:G,3,0)</f>
        <v>#N/A</v>
      </c>
      <c r="G2366" s="1" t="e">
        <f>VLOOKUP(C2366,'Master truck list'!E:R,14,0)</f>
        <v>#N/A</v>
      </c>
    </row>
    <row r="2367" spans="1:7" x14ac:dyDescent="0.25">
      <c r="A2367" s="1" t="str">
        <f t="shared" si="665"/>
        <v/>
      </c>
      <c r="B2367" s="1" t="str">
        <f t="shared" si="666"/>
        <v/>
      </c>
      <c r="C2367" s="1" t="e">
        <f>VLOOKUP(B2367,'Master truck list'!D:E,2,0)</f>
        <v>#N/A</v>
      </c>
      <c r="D2367" s="1" t="e">
        <f>VLOOKUP(C2367,'Master truck list'!E:F,2,0)</f>
        <v>#N/A</v>
      </c>
      <c r="E2367" s="1" t="e">
        <f>VLOOKUP(C2367,'Master truck list'!E:M,9,0)</f>
        <v>#N/A</v>
      </c>
      <c r="F2367" s="1" t="e">
        <f>VLOOKUP(C2367,'Master truck list'!E:G,3,0)</f>
        <v>#N/A</v>
      </c>
      <c r="G2367" s="1" t="e">
        <f>VLOOKUP(C2367,'Master truck list'!E:R,14,0)</f>
        <v>#N/A</v>
      </c>
    </row>
    <row r="2368" spans="1:7" x14ac:dyDescent="0.25">
      <c r="A2368" s="1" t="str">
        <f t="shared" si="665"/>
        <v/>
      </c>
      <c r="B2368" s="1" t="str">
        <f t="shared" si="666"/>
        <v/>
      </c>
      <c r="C2368" s="1" t="e">
        <f>VLOOKUP(B2368,'Master truck list'!D:E,2,0)</f>
        <v>#N/A</v>
      </c>
      <c r="D2368" s="1" t="e">
        <f>VLOOKUP(C2368,'Master truck list'!E:F,2,0)</f>
        <v>#N/A</v>
      </c>
      <c r="E2368" s="1" t="e">
        <f>VLOOKUP(C2368,'Master truck list'!E:M,9,0)</f>
        <v>#N/A</v>
      </c>
      <c r="F2368" s="1" t="e">
        <f>VLOOKUP(C2368,'Master truck list'!E:G,3,0)</f>
        <v>#N/A</v>
      </c>
      <c r="G2368" s="1" t="e">
        <f>VLOOKUP(C2368,'Master truck list'!E:R,14,0)</f>
        <v>#N/A</v>
      </c>
    </row>
    <row r="2369" spans="1:7" x14ac:dyDescent="0.25">
      <c r="A2369" s="1" t="str">
        <f t="shared" si="665"/>
        <v/>
      </c>
      <c r="B2369" s="1" t="str">
        <f t="shared" si="666"/>
        <v/>
      </c>
      <c r="C2369" s="1" t="e">
        <f>VLOOKUP(B2369,'Master truck list'!D:E,2,0)</f>
        <v>#N/A</v>
      </c>
      <c r="D2369" s="1" t="e">
        <f>VLOOKUP(C2369,'Master truck list'!E:F,2,0)</f>
        <v>#N/A</v>
      </c>
      <c r="E2369" s="1" t="e">
        <f>VLOOKUP(C2369,'Master truck list'!E:M,9,0)</f>
        <v>#N/A</v>
      </c>
      <c r="F2369" s="1" t="e">
        <f>VLOOKUP(C2369,'Master truck list'!E:G,3,0)</f>
        <v>#N/A</v>
      </c>
      <c r="G2369" s="1" t="e">
        <f>VLOOKUP(C2369,'Master truck list'!E:R,14,0)</f>
        <v>#N/A</v>
      </c>
    </row>
    <row r="2370" spans="1:7" x14ac:dyDescent="0.25">
      <c r="A2370" s="1" t="str">
        <f t="shared" si="665"/>
        <v/>
      </c>
      <c r="B2370" s="1" t="str">
        <f t="shared" si="666"/>
        <v/>
      </c>
      <c r="C2370" s="1" t="e">
        <f>VLOOKUP(B2370,'Master truck list'!D:E,2,0)</f>
        <v>#N/A</v>
      </c>
      <c r="D2370" s="1" t="e">
        <f>VLOOKUP(C2370,'Master truck list'!E:F,2,0)</f>
        <v>#N/A</v>
      </c>
      <c r="E2370" s="1" t="e">
        <f>VLOOKUP(C2370,'Master truck list'!E:M,9,0)</f>
        <v>#N/A</v>
      </c>
      <c r="F2370" s="1" t="e">
        <f>VLOOKUP(C2370,'Master truck list'!E:G,3,0)</f>
        <v>#N/A</v>
      </c>
      <c r="G2370" s="1" t="e">
        <f>VLOOKUP(C2370,'Master truck list'!E:R,14,0)</f>
        <v>#N/A</v>
      </c>
    </row>
    <row r="2371" spans="1:7" x14ac:dyDescent="0.25">
      <c r="A2371" s="1" t="str">
        <f t="shared" si="665"/>
        <v/>
      </c>
      <c r="B2371" s="1" t="str">
        <f t="shared" si="666"/>
        <v/>
      </c>
      <c r="C2371" s="1" t="e">
        <f>VLOOKUP(B2371,'Master truck list'!D:E,2,0)</f>
        <v>#N/A</v>
      </c>
      <c r="D2371" s="1" t="e">
        <f>VLOOKUP(C2371,'Master truck list'!E:F,2,0)</f>
        <v>#N/A</v>
      </c>
      <c r="E2371" s="1" t="e">
        <f>VLOOKUP(C2371,'Master truck list'!E:M,9,0)</f>
        <v>#N/A</v>
      </c>
      <c r="F2371" s="1" t="e">
        <f>VLOOKUP(C2371,'Master truck list'!E:G,3,0)</f>
        <v>#N/A</v>
      </c>
      <c r="G2371" s="1" t="e">
        <f>VLOOKUP(C2371,'Master truck list'!E:R,14,0)</f>
        <v>#N/A</v>
      </c>
    </row>
    <row r="2372" spans="1:7" x14ac:dyDescent="0.25">
      <c r="A2372" s="1" t="str">
        <f t="shared" si="665"/>
        <v/>
      </c>
      <c r="B2372" s="1" t="str">
        <f t="shared" si="666"/>
        <v/>
      </c>
      <c r="C2372" s="1" t="e">
        <f>VLOOKUP(B2372,'Master truck list'!D:E,2,0)</f>
        <v>#N/A</v>
      </c>
      <c r="D2372" s="1" t="e">
        <f>VLOOKUP(C2372,'Master truck list'!E:F,2,0)</f>
        <v>#N/A</v>
      </c>
      <c r="E2372" s="1" t="e">
        <f>VLOOKUP(C2372,'Master truck list'!E:M,9,0)</f>
        <v>#N/A</v>
      </c>
      <c r="F2372" s="1" t="e">
        <f>VLOOKUP(C2372,'Master truck list'!E:G,3,0)</f>
        <v>#N/A</v>
      </c>
      <c r="G2372" s="1" t="e">
        <f>VLOOKUP(C2372,'Master truck list'!E:R,14,0)</f>
        <v>#N/A</v>
      </c>
    </row>
    <row r="2373" spans="1:7" x14ac:dyDescent="0.25">
      <c r="A2373" s="1" t="str">
        <f t="shared" si="665"/>
        <v/>
      </c>
      <c r="B2373" s="1" t="str">
        <f t="shared" si="666"/>
        <v/>
      </c>
      <c r="C2373" s="1" t="e">
        <f>VLOOKUP(B2373,'Master truck list'!D:E,2,0)</f>
        <v>#N/A</v>
      </c>
      <c r="D2373" s="1" t="e">
        <f>VLOOKUP(C2373,'Master truck list'!E:F,2,0)</f>
        <v>#N/A</v>
      </c>
      <c r="E2373" s="1" t="e">
        <f>VLOOKUP(C2373,'Master truck list'!E:M,9,0)</f>
        <v>#N/A</v>
      </c>
      <c r="F2373" s="1" t="e">
        <f>VLOOKUP(C2373,'Master truck list'!E:G,3,0)</f>
        <v>#N/A</v>
      </c>
      <c r="G2373" s="1" t="e">
        <f>VLOOKUP(C2373,'Master truck list'!E:R,14,0)</f>
        <v>#N/A</v>
      </c>
    </row>
    <row r="2374" spans="1:7" x14ac:dyDescent="0.25">
      <c r="A2374" s="1" t="str">
        <f t="shared" si="665"/>
        <v/>
      </c>
      <c r="B2374" s="1" t="str">
        <f t="shared" si="666"/>
        <v/>
      </c>
      <c r="C2374" s="1" t="e">
        <f>VLOOKUP(B2374,'Master truck list'!D:E,2,0)</f>
        <v>#N/A</v>
      </c>
      <c r="D2374" s="1" t="e">
        <f>VLOOKUP(C2374,'Master truck list'!E:F,2,0)</f>
        <v>#N/A</v>
      </c>
      <c r="E2374" s="1" t="e">
        <f>VLOOKUP(C2374,'Master truck list'!E:M,9,0)</f>
        <v>#N/A</v>
      </c>
      <c r="F2374" s="1" t="e">
        <f>VLOOKUP(C2374,'Master truck list'!E:G,3,0)</f>
        <v>#N/A</v>
      </c>
      <c r="G2374" s="1" t="e">
        <f>VLOOKUP(C2374,'Master truck list'!E:R,14,0)</f>
        <v>#N/A</v>
      </c>
    </row>
    <row r="2375" spans="1:7" x14ac:dyDescent="0.25">
      <c r="A2375" s="1" t="str">
        <f t="shared" si="665"/>
        <v/>
      </c>
      <c r="B2375" s="1" t="str">
        <f t="shared" si="666"/>
        <v/>
      </c>
      <c r="C2375" s="1" t="e">
        <f>VLOOKUP(B2375,'Master truck list'!D:E,2,0)</f>
        <v>#N/A</v>
      </c>
      <c r="D2375" s="1" t="e">
        <f>VLOOKUP(C2375,'Master truck list'!E:F,2,0)</f>
        <v>#N/A</v>
      </c>
      <c r="E2375" s="1" t="e">
        <f>VLOOKUP(C2375,'Master truck list'!E:M,9,0)</f>
        <v>#N/A</v>
      </c>
      <c r="F2375" s="1" t="e">
        <f>VLOOKUP(C2375,'Master truck list'!E:G,3,0)</f>
        <v>#N/A</v>
      </c>
      <c r="G2375" s="1" t="e">
        <f>VLOOKUP(C2375,'Master truck list'!E:R,14,0)</f>
        <v>#N/A</v>
      </c>
    </row>
    <row r="2376" spans="1:7" x14ac:dyDescent="0.25">
      <c r="A2376" s="1" t="str">
        <f t="shared" si="665"/>
        <v/>
      </c>
      <c r="B2376" s="1" t="str">
        <f t="shared" si="666"/>
        <v/>
      </c>
      <c r="C2376" s="1" t="e">
        <f>VLOOKUP(B2376,'Master truck list'!D:E,2,0)</f>
        <v>#N/A</v>
      </c>
      <c r="D2376" s="1" t="e">
        <f>VLOOKUP(C2376,'Master truck list'!E:F,2,0)</f>
        <v>#N/A</v>
      </c>
      <c r="E2376" s="1" t="e">
        <f>VLOOKUP(C2376,'Master truck list'!E:M,9,0)</f>
        <v>#N/A</v>
      </c>
      <c r="F2376" s="1" t="e">
        <f>VLOOKUP(C2376,'Master truck list'!E:G,3,0)</f>
        <v>#N/A</v>
      </c>
      <c r="G2376" s="1" t="e">
        <f>VLOOKUP(C2376,'Master truck list'!E:R,14,0)</f>
        <v>#N/A</v>
      </c>
    </row>
    <row r="2377" spans="1:7" x14ac:dyDescent="0.25">
      <c r="A2377" s="1" t="str">
        <f t="shared" si="665"/>
        <v/>
      </c>
      <c r="B2377" s="1" t="str">
        <f t="shared" si="666"/>
        <v/>
      </c>
      <c r="C2377" s="1" t="e">
        <f>VLOOKUP(B2377,'Master truck list'!D:E,2,0)</f>
        <v>#N/A</v>
      </c>
      <c r="D2377" s="1" t="e">
        <f>VLOOKUP(C2377,'Master truck list'!E:F,2,0)</f>
        <v>#N/A</v>
      </c>
      <c r="E2377" s="1" t="e">
        <f>VLOOKUP(C2377,'Master truck list'!E:M,9,0)</f>
        <v>#N/A</v>
      </c>
      <c r="F2377" s="1" t="e">
        <f>VLOOKUP(C2377,'Master truck list'!E:G,3,0)</f>
        <v>#N/A</v>
      </c>
      <c r="G2377" s="1" t="e">
        <f>VLOOKUP(C2377,'Master truck list'!E:R,14,0)</f>
        <v>#N/A</v>
      </c>
    </row>
    <row r="2378" spans="1:7" x14ac:dyDescent="0.25">
      <c r="A2378" s="1" t="str">
        <f t="shared" si="665"/>
        <v/>
      </c>
      <c r="B2378" s="1" t="str">
        <f t="shared" si="666"/>
        <v/>
      </c>
      <c r="C2378" s="1" t="e">
        <f>VLOOKUP(B2378,'Master truck list'!D:E,2,0)</f>
        <v>#N/A</v>
      </c>
      <c r="D2378" s="1" t="e">
        <f>VLOOKUP(C2378,'Master truck list'!E:F,2,0)</f>
        <v>#N/A</v>
      </c>
      <c r="E2378" s="1" t="e">
        <f>VLOOKUP(C2378,'Master truck list'!E:M,9,0)</f>
        <v>#N/A</v>
      </c>
      <c r="F2378" s="1" t="e">
        <f>VLOOKUP(C2378,'Master truck list'!E:G,3,0)</f>
        <v>#N/A</v>
      </c>
      <c r="G2378" s="1" t="e">
        <f>VLOOKUP(C2378,'Master truck list'!E:R,14,0)</f>
        <v>#N/A</v>
      </c>
    </row>
    <row r="2379" spans="1:7" x14ac:dyDescent="0.25">
      <c r="A2379" s="1" t="str">
        <f t="shared" si="665"/>
        <v/>
      </c>
      <c r="B2379" s="1" t="str">
        <f t="shared" si="666"/>
        <v/>
      </c>
      <c r="C2379" s="1" t="e">
        <f>VLOOKUP(B2379,'Master truck list'!D:E,2,0)</f>
        <v>#N/A</v>
      </c>
      <c r="D2379" s="1" t="e">
        <f>VLOOKUP(C2379,'Master truck list'!E:F,2,0)</f>
        <v>#N/A</v>
      </c>
      <c r="E2379" s="1" t="e">
        <f>VLOOKUP(C2379,'Master truck list'!E:M,9,0)</f>
        <v>#N/A</v>
      </c>
      <c r="F2379" s="1" t="e">
        <f>VLOOKUP(C2379,'Master truck list'!E:G,3,0)</f>
        <v>#N/A</v>
      </c>
      <c r="G2379" s="1" t="e">
        <f>VLOOKUP(C2379,'Master truck list'!E:R,14,0)</f>
        <v>#N/A</v>
      </c>
    </row>
    <row r="2380" spans="1:7" x14ac:dyDescent="0.25">
      <c r="A2380" s="1" t="str">
        <f t="shared" si="665"/>
        <v/>
      </c>
      <c r="B2380" s="1" t="str">
        <f t="shared" si="666"/>
        <v/>
      </c>
      <c r="C2380" s="1" t="e">
        <f>VLOOKUP(B2380,'Master truck list'!D:E,2,0)</f>
        <v>#N/A</v>
      </c>
      <c r="D2380" s="1" t="e">
        <f>VLOOKUP(C2380,'Master truck list'!E:F,2,0)</f>
        <v>#N/A</v>
      </c>
      <c r="E2380" s="1" t="e">
        <f>VLOOKUP(C2380,'Master truck list'!E:M,9,0)</f>
        <v>#N/A</v>
      </c>
      <c r="F2380" s="1" t="e">
        <f>VLOOKUP(C2380,'Master truck list'!E:G,3,0)</f>
        <v>#N/A</v>
      </c>
      <c r="G2380" s="1" t="e">
        <f>VLOOKUP(C2380,'Master truck list'!E:R,14,0)</f>
        <v>#N/A</v>
      </c>
    </row>
    <row r="2381" spans="1:7" x14ac:dyDescent="0.25">
      <c r="A2381" s="1" t="str">
        <f t="shared" si="665"/>
        <v/>
      </c>
      <c r="B2381" s="1" t="str">
        <f t="shared" si="666"/>
        <v/>
      </c>
      <c r="C2381" s="1" t="e">
        <f>VLOOKUP(B2381,'Master truck list'!D:E,2,0)</f>
        <v>#N/A</v>
      </c>
      <c r="D2381" s="1" t="e">
        <f>VLOOKUP(C2381,'Master truck list'!E:F,2,0)</f>
        <v>#N/A</v>
      </c>
      <c r="E2381" s="1" t="e">
        <f>VLOOKUP(C2381,'Master truck list'!E:M,9,0)</f>
        <v>#N/A</v>
      </c>
      <c r="F2381" s="1" t="e">
        <f>VLOOKUP(C2381,'Master truck list'!E:G,3,0)</f>
        <v>#N/A</v>
      </c>
      <c r="G2381" s="1" t="e">
        <f>VLOOKUP(C2381,'Master truck list'!E:R,14,0)</f>
        <v>#N/A</v>
      </c>
    </row>
    <row r="2382" spans="1:7" x14ac:dyDescent="0.25">
      <c r="A2382" s="1" t="str">
        <f t="shared" si="665"/>
        <v/>
      </c>
      <c r="B2382" s="1" t="str">
        <f t="shared" si="666"/>
        <v/>
      </c>
      <c r="C2382" s="1" t="e">
        <f>VLOOKUP(B2382,'Master truck list'!D:E,2,0)</f>
        <v>#N/A</v>
      </c>
      <c r="D2382" s="1" t="e">
        <f>VLOOKUP(C2382,'Master truck list'!E:F,2,0)</f>
        <v>#N/A</v>
      </c>
      <c r="E2382" s="1" t="e">
        <f>VLOOKUP(C2382,'Master truck list'!E:M,9,0)</f>
        <v>#N/A</v>
      </c>
      <c r="F2382" s="1" t="e">
        <f>VLOOKUP(C2382,'Master truck list'!E:G,3,0)</f>
        <v>#N/A</v>
      </c>
      <c r="G2382" s="1" t="e">
        <f>VLOOKUP(C2382,'Master truck list'!E:R,14,0)</f>
        <v>#N/A</v>
      </c>
    </row>
    <row r="2383" spans="1:7" x14ac:dyDescent="0.25">
      <c r="A2383" s="1" t="str">
        <f t="shared" si="665"/>
        <v/>
      </c>
      <c r="B2383" s="1" t="str">
        <f t="shared" si="666"/>
        <v/>
      </c>
      <c r="C2383" s="1" t="e">
        <f>VLOOKUP(B2383,'Master truck list'!D:E,2,0)</f>
        <v>#N/A</v>
      </c>
      <c r="D2383" s="1" t="e">
        <f>VLOOKUP(C2383,'Master truck list'!E:F,2,0)</f>
        <v>#N/A</v>
      </c>
      <c r="E2383" s="1" t="e">
        <f>VLOOKUP(C2383,'Master truck list'!E:M,9,0)</f>
        <v>#N/A</v>
      </c>
      <c r="F2383" s="1" t="e">
        <f>VLOOKUP(C2383,'Master truck list'!E:G,3,0)</f>
        <v>#N/A</v>
      </c>
      <c r="G2383" s="1" t="e">
        <f>VLOOKUP(C2383,'Master truck list'!E:R,14,0)</f>
        <v>#N/A</v>
      </c>
    </row>
    <row r="2384" spans="1:7" x14ac:dyDescent="0.25">
      <c r="A2384" s="1" t="str">
        <f t="shared" si="665"/>
        <v/>
      </c>
      <c r="B2384" s="1" t="str">
        <f t="shared" si="666"/>
        <v/>
      </c>
      <c r="C2384" s="1" t="e">
        <f>VLOOKUP(B2384,'Master truck list'!D:E,2,0)</f>
        <v>#N/A</v>
      </c>
      <c r="D2384" s="1" t="e">
        <f>VLOOKUP(C2384,'Master truck list'!E:F,2,0)</f>
        <v>#N/A</v>
      </c>
      <c r="E2384" s="1" t="e">
        <f>VLOOKUP(C2384,'Master truck list'!E:M,9,0)</f>
        <v>#N/A</v>
      </c>
      <c r="F2384" s="1" t="e">
        <f>VLOOKUP(C2384,'Master truck list'!E:G,3,0)</f>
        <v>#N/A</v>
      </c>
      <c r="G2384" s="1" t="e">
        <f>VLOOKUP(C2384,'Master truck list'!E:R,14,0)</f>
        <v>#N/A</v>
      </c>
    </row>
    <row r="2385" spans="1:7" x14ac:dyDescent="0.25">
      <c r="A2385" s="1" t="str">
        <f t="shared" si="665"/>
        <v/>
      </c>
      <c r="B2385" s="1" t="str">
        <f t="shared" si="666"/>
        <v/>
      </c>
      <c r="C2385" s="1" t="e">
        <f>VLOOKUP(B2385,'Master truck list'!D:E,2,0)</f>
        <v>#N/A</v>
      </c>
      <c r="D2385" s="1" t="e">
        <f>VLOOKUP(C2385,'Master truck list'!E:F,2,0)</f>
        <v>#N/A</v>
      </c>
      <c r="E2385" s="1" t="e">
        <f>VLOOKUP(C2385,'Master truck list'!E:M,9,0)</f>
        <v>#N/A</v>
      </c>
      <c r="F2385" s="1" t="e">
        <f>VLOOKUP(C2385,'Master truck list'!E:G,3,0)</f>
        <v>#N/A</v>
      </c>
      <c r="G2385" s="1" t="e">
        <f>VLOOKUP(C2385,'Master truck list'!E:R,14,0)</f>
        <v>#N/A</v>
      </c>
    </row>
    <row r="2386" spans="1:7" x14ac:dyDescent="0.25">
      <c r="A2386" s="1" t="str">
        <f t="shared" si="665"/>
        <v/>
      </c>
      <c r="B2386" s="1" t="str">
        <f t="shared" si="666"/>
        <v/>
      </c>
      <c r="C2386" s="1" t="e">
        <f>VLOOKUP(B2386,'Master truck list'!D:E,2,0)</f>
        <v>#N/A</v>
      </c>
      <c r="D2386" s="1" t="e">
        <f>VLOOKUP(C2386,'Master truck list'!E:F,2,0)</f>
        <v>#N/A</v>
      </c>
      <c r="E2386" s="1" t="e">
        <f>VLOOKUP(C2386,'Master truck list'!E:M,9,0)</f>
        <v>#N/A</v>
      </c>
      <c r="F2386" s="1" t="e">
        <f>VLOOKUP(C2386,'Master truck list'!E:G,3,0)</f>
        <v>#N/A</v>
      </c>
      <c r="G2386" s="1" t="e">
        <f>VLOOKUP(C2386,'Master truck list'!E:R,14,0)</f>
        <v>#N/A</v>
      </c>
    </row>
    <row r="2387" spans="1:7" x14ac:dyDescent="0.25">
      <c r="A2387" s="1" t="str">
        <f t="shared" si="665"/>
        <v/>
      </c>
      <c r="B2387" s="1" t="str">
        <f t="shared" si="666"/>
        <v/>
      </c>
      <c r="C2387" s="1" t="e">
        <f>VLOOKUP(B2387,'Master truck list'!D:E,2,0)</f>
        <v>#N/A</v>
      </c>
      <c r="D2387" s="1" t="e">
        <f>VLOOKUP(C2387,'Master truck list'!E:F,2,0)</f>
        <v>#N/A</v>
      </c>
      <c r="E2387" s="1" t="e">
        <f>VLOOKUP(C2387,'Master truck list'!E:M,9,0)</f>
        <v>#N/A</v>
      </c>
      <c r="F2387" s="1" t="e">
        <f>VLOOKUP(C2387,'Master truck list'!E:G,3,0)</f>
        <v>#N/A</v>
      </c>
      <c r="G2387" s="1" t="e">
        <f>VLOOKUP(C2387,'Master truck list'!E:R,14,0)</f>
        <v>#N/A</v>
      </c>
    </row>
    <row r="2388" spans="1:7" x14ac:dyDescent="0.25">
      <c r="A2388" s="1" t="str">
        <f t="shared" si="665"/>
        <v/>
      </c>
      <c r="B2388" s="1" t="str">
        <f t="shared" si="666"/>
        <v/>
      </c>
      <c r="C2388" s="1" t="e">
        <f>VLOOKUP(B2388,'Master truck list'!D:E,2,0)</f>
        <v>#N/A</v>
      </c>
      <c r="D2388" s="1" t="e">
        <f>VLOOKUP(C2388,'Master truck list'!E:F,2,0)</f>
        <v>#N/A</v>
      </c>
      <c r="E2388" s="1" t="e">
        <f>VLOOKUP(C2388,'Master truck list'!E:M,9,0)</f>
        <v>#N/A</v>
      </c>
      <c r="F2388" s="1" t="e">
        <f>VLOOKUP(C2388,'Master truck list'!E:G,3,0)</f>
        <v>#N/A</v>
      </c>
      <c r="G2388" s="1" t="e">
        <f>VLOOKUP(C2388,'Master truck list'!E:R,14,0)</f>
        <v>#N/A</v>
      </c>
    </row>
    <row r="2389" spans="1:7" x14ac:dyDescent="0.25">
      <c r="A2389" s="1" t="str">
        <f t="shared" si="665"/>
        <v/>
      </c>
      <c r="B2389" s="1" t="str">
        <f t="shared" si="666"/>
        <v/>
      </c>
      <c r="C2389" s="1" t="e">
        <f>VLOOKUP(B2389,'Master truck list'!D:E,2,0)</f>
        <v>#N/A</v>
      </c>
      <c r="D2389" s="1" t="e">
        <f>VLOOKUP(C2389,'Master truck list'!E:F,2,0)</f>
        <v>#N/A</v>
      </c>
      <c r="E2389" s="1" t="e">
        <f>VLOOKUP(C2389,'Master truck list'!E:M,9,0)</f>
        <v>#N/A</v>
      </c>
      <c r="F2389" s="1" t="e">
        <f>VLOOKUP(C2389,'Master truck list'!E:G,3,0)</f>
        <v>#N/A</v>
      </c>
      <c r="G2389" s="1" t="e">
        <f>VLOOKUP(C2389,'Master truck list'!E:R,14,0)</f>
        <v>#N/A</v>
      </c>
    </row>
    <row r="2390" spans="1:7" x14ac:dyDescent="0.25">
      <c r="A2390" s="1" t="str">
        <f t="shared" si="665"/>
        <v/>
      </c>
      <c r="B2390" s="1" t="str">
        <f t="shared" si="666"/>
        <v/>
      </c>
      <c r="C2390" s="1" t="e">
        <f>VLOOKUP(B2390,'Master truck list'!D:E,2,0)</f>
        <v>#N/A</v>
      </c>
      <c r="D2390" s="1" t="e">
        <f>VLOOKUP(C2390,'Master truck list'!E:F,2,0)</f>
        <v>#N/A</v>
      </c>
      <c r="E2390" s="1" t="e">
        <f>VLOOKUP(C2390,'Master truck list'!E:M,9,0)</f>
        <v>#N/A</v>
      </c>
      <c r="F2390" s="1" t="e">
        <f>VLOOKUP(C2390,'Master truck list'!E:G,3,0)</f>
        <v>#N/A</v>
      </c>
      <c r="G2390" s="1" t="e">
        <f>VLOOKUP(C2390,'Master truck list'!E:R,14,0)</f>
        <v>#N/A</v>
      </c>
    </row>
    <row r="2391" spans="1:7" x14ac:dyDescent="0.25">
      <c r="A2391" s="1" t="str">
        <f t="shared" si="665"/>
        <v/>
      </c>
      <c r="B2391" s="1" t="str">
        <f t="shared" si="666"/>
        <v/>
      </c>
      <c r="C2391" s="1" t="e">
        <f>VLOOKUP(B2391,'Master truck list'!D:E,2,0)</f>
        <v>#N/A</v>
      </c>
      <c r="D2391" s="1" t="e">
        <f>VLOOKUP(C2391,'Master truck list'!E:F,2,0)</f>
        <v>#N/A</v>
      </c>
      <c r="E2391" s="1" t="e">
        <f>VLOOKUP(C2391,'Master truck list'!E:M,9,0)</f>
        <v>#N/A</v>
      </c>
      <c r="F2391" s="1" t="e">
        <f>VLOOKUP(C2391,'Master truck list'!E:G,3,0)</f>
        <v>#N/A</v>
      </c>
      <c r="G2391" s="1" t="e">
        <f>VLOOKUP(C2391,'Master truck list'!E:R,14,0)</f>
        <v>#N/A</v>
      </c>
    </row>
    <row r="2392" spans="1:7" x14ac:dyDescent="0.25">
      <c r="A2392" s="1" t="str">
        <f t="shared" si="665"/>
        <v/>
      </c>
      <c r="B2392" s="1" t="str">
        <f t="shared" si="666"/>
        <v/>
      </c>
      <c r="C2392" s="1" t="e">
        <f>VLOOKUP(B2392,'Master truck list'!D:E,2,0)</f>
        <v>#N/A</v>
      </c>
      <c r="D2392" s="1" t="e">
        <f>VLOOKUP(C2392,'Master truck list'!E:F,2,0)</f>
        <v>#N/A</v>
      </c>
      <c r="E2392" s="1" t="e">
        <f>VLOOKUP(C2392,'Master truck list'!E:M,9,0)</f>
        <v>#N/A</v>
      </c>
      <c r="F2392" s="1" t="e">
        <f>VLOOKUP(C2392,'Master truck list'!E:G,3,0)</f>
        <v>#N/A</v>
      </c>
      <c r="G2392" s="1" t="e">
        <f>VLOOKUP(C2392,'Master truck list'!E:R,14,0)</f>
        <v>#N/A</v>
      </c>
    </row>
    <row r="2393" spans="1:7" x14ac:dyDescent="0.25">
      <c r="A2393" s="1" t="str">
        <f t="shared" si="665"/>
        <v/>
      </c>
      <c r="B2393" s="1" t="str">
        <f t="shared" si="666"/>
        <v/>
      </c>
      <c r="C2393" s="1" t="e">
        <f>VLOOKUP(B2393,'Master truck list'!D:E,2,0)</f>
        <v>#N/A</v>
      </c>
      <c r="D2393" s="1" t="e">
        <f>VLOOKUP(C2393,'Master truck list'!E:F,2,0)</f>
        <v>#N/A</v>
      </c>
      <c r="E2393" s="1" t="e">
        <f>VLOOKUP(C2393,'Master truck list'!E:M,9,0)</f>
        <v>#N/A</v>
      </c>
      <c r="F2393" s="1" t="e">
        <f>VLOOKUP(C2393,'Master truck list'!E:G,3,0)</f>
        <v>#N/A</v>
      </c>
      <c r="G2393" s="1" t="e">
        <f>VLOOKUP(C2393,'Master truck list'!E:R,14,0)</f>
        <v>#N/A</v>
      </c>
    </row>
    <row r="2394" spans="1:7" x14ac:dyDescent="0.25">
      <c r="A2394" s="1" t="str">
        <f t="shared" si="665"/>
        <v/>
      </c>
      <c r="B2394" s="1" t="str">
        <f t="shared" si="666"/>
        <v/>
      </c>
      <c r="C2394" s="1" t="e">
        <f>VLOOKUP(B2394,'Master truck list'!D:E,2,0)</f>
        <v>#N/A</v>
      </c>
      <c r="D2394" s="1" t="e">
        <f>VLOOKUP(C2394,'Master truck list'!E:F,2,0)</f>
        <v>#N/A</v>
      </c>
      <c r="E2394" s="1" t="e">
        <f>VLOOKUP(C2394,'Master truck list'!E:M,9,0)</f>
        <v>#N/A</v>
      </c>
      <c r="F2394" s="1" t="e">
        <f>VLOOKUP(C2394,'Master truck list'!E:G,3,0)</f>
        <v>#N/A</v>
      </c>
      <c r="G2394" s="1" t="e">
        <f>VLOOKUP(C2394,'Master truck list'!E:R,14,0)</f>
        <v>#N/A</v>
      </c>
    </row>
    <row r="2395" spans="1:7" x14ac:dyDescent="0.25">
      <c r="A2395" s="1" t="str">
        <f t="shared" si="665"/>
        <v/>
      </c>
      <c r="B2395" s="1" t="str">
        <f t="shared" si="666"/>
        <v/>
      </c>
      <c r="C2395" s="1" t="e">
        <f>VLOOKUP(B2395,'Master truck list'!D:E,2,0)</f>
        <v>#N/A</v>
      </c>
      <c r="D2395" s="1" t="e">
        <f>VLOOKUP(C2395,'Master truck list'!E:F,2,0)</f>
        <v>#N/A</v>
      </c>
      <c r="E2395" s="1" t="e">
        <f>VLOOKUP(C2395,'Master truck list'!E:M,9,0)</f>
        <v>#N/A</v>
      </c>
      <c r="F2395" s="1" t="e">
        <f>VLOOKUP(C2395,'Master truck list'!E:G,3,0)</f>
        <v>#N/A</v>
      </c>
      <c r="G2395" s="1" t="e">
        <f>VLOOKUP(C2395,'Master truck list'!E:R,14,0)</f>
        <v>#N/A</v>
      </c>
    </row>
    <row r="2396" spans="1:7" x14ac:dyDescent="0.25">
      <c r="A2396" s="1" t="str">
        <f t="shared" si="665"/>
        <v/>
      </c>
      <c r="B2396" s="1" t="str">
        <f t="shared" si="666"/>
        <v/>
      </c>
      <c r="C2396" s="1" t="e">
        <f>VLOOKUP(B2396,'Master truck list'!D:E,2,0)</f>
        <v>#N/A</v>
      </c>
      <c r="D2396" s="1" t="e">
        <f>VLOOKUP(C2396,'Master truck list'!E:F,2,0)</f>
        <v>#N/A</v>
      </c>
      <c r="E2396" s="1" t="e">
        <f>VLOOKUP(C2396,'Master truck list'!E:M,9,0)</f>
        <v>#N/A</v>
      </c>
      <c r="F2396" s="1" t="e">
        <f>VLOOKUP(C2396,'Master truck list'!E:G,3,0)</f>
        <v>#N/A</v>
      </c>
      <c r="G2396" s="1" t="e">
        <f>VLOOKUP(C2396,'Master truck list'!E:R,14,0)</f>
        <v>#N/A</v>
      </c>
    </row>
    <row r="2397" spans="1:7" x14ac:dyDescent="0.25">
      <c r="A2397" s="1" t="str">
        <f t="shared" si="665"/>
        <v/>
      </c>
      <c r="B2397" s="1" t="str">
        <f t="shared" si="666"/>
        <v/>
      </c>
      <c r="C2397" s="1" t="e">
        <f>VLOOKUP(B2397,'Master truck list'!D:E,2,0)</f>
        <v>#N/A</v>
      </c>
      <c r="D2397" s="1" t="e">
        <f>VLOOKUP(C2397,'Master truck list'!E:F,2,0)</f>
        <v>#N/A</v>
      </c>
      <c r="E2397" s="1" t="e">
        <f>VLOOKUP(C2397,'Master truck list'!E:M,9,0)</f>
        <v>#N/A</v>
      </c>
      <c r="F2397" s="1" t="e">
        <f>VLOOKUP(C2397,'Master truck list'!E:G,3,0)</f>
        <v>#N/A</v>
      </c>
      <c r="G2397" s="1" t="e">
        <f>VLOOKUP(C2397,'Master truck list'!E:R,14,0)</f>
        <v>#N/A</v>
      </c>
    </row>
    <row r="2398" spans="1:7" x14ac:dyDescent="0.25">
      <c r="A2398" s="1" t="str">
        <f t="shared" si="665"/>
        <v/>
      </c>
      <c r="B2398" s="1" t="str">
        <f t="shared" si="666"/>
        <v/>
      </c>
      <c r="C2398" s="1" t="e">
        <f>VLOOKUP(B2398,'Master truck list'!D:E,2,0)</f>
        <v>#N/A</v>
      </c>
      <c r="D2398" s="1" t="e">
        <f>VLOOKUP(C2398,'Master truck list'!E:F,2,0)</f>
        <v>#N/A</v>
      </c>
      <c r="E2398" s="1" t="e">
        <f>VLOOKUP(C2398,'Master truck list'!E:M,9,0)</f>
        <v>#N/A</v>
      </c>
      <c r="F2398" s="1" t="e">
        <f>VLOOKUP(C2398,'Master truck list'!E:G,3,0)</f>
        <v>#N/A</v>
      </c>
      <c r="G2398" s="1" t="e">
        <f>VLOOKUP(C2398,'Master truck list'!E:R,14,0)</f>
        <v>#N/A</v>
      </c>
    </row>
    <row r="2399" spans="1:7" x14ac:dyDescent="0.25">
      <c r="A2399" s="1" t="str">
        <f t="shared" si="665"/>
        <v/>
      </c>
      <c r="B2399" s="1" t="str">
        <f t="shared" si="666"/>
        <v/>
      </c>
      <c r="C2399" s="1" t="e">
        <f>VLOOKUP(B2399,'Master truck list'!D:E,2,0)</f>
        <v>#N/A</v>
      </c>
      <c r="D2399" s="1" t="e">
        <f>VLOOKUP(C2399,'Master truck list'!E:F,2,0)</f>
        <v>#N/A</v>
      </c>
      <c r="E2399" s="1" t="e">
        <f>VLOOKUP(C2399,'Master truck list'!E:M,9,0)</f>
        <v>#N/A</v>
      </c>
      <c r="F2399" s="1" t="e">
        <f>VLOOKUP(C2399,'Master truck list'!E:G,3,0)</f>
        <v>#N/A</v>
      </c>
      <c r="G2399" s="1" t="e">
        <f>VLOOKUP(C2399,'Master truck list'!E:R,14,0)</f>
        <v>#N/A</v>
      </c>
    </row>
    <row r="2400" spans="1:7" x14ac:dyDescent="0.25">
      <c r="A2400" s="1" t="str">
        <f t="shared" si="665"/>
        <v/>
      </c>
      <c r="B2400" s="1" t="str">
        <f t="shared" si="666"/>
        <v/>
      </c>
      <c r="C2400" s="1" t="e">
        <f>VLOOKUP(B2400,'Master truck list'!D:E,2,0)</f>
        <v>#N/A</v>
      </c>
      <c r="D2400" s="1" t="e">
        <f>VLOOKUP(C2400,'Master truck list'!E:F,2,0)</f>
        <v>#N/A</v>
      </c>
      <c r="E2400" s="1" t="e">
        <f>VLOOKUP(C2400,'Master truck list'!E:M,9,0)</f>
        <v>#N/A</v>
      </c>
      <c r="F2400" s="1" t="e">
        <f>VLOOKUP(C2400,'Master truck list'!E:G,3,0)</f>
        <v>#N/A</v>
      </c>
      <c r="G2400" s="1" t="e">
        <f>VLOOKUP(C2400,'Master truck list'!E:R,14,0)</f>
        <v>#N/A</v>
      </c>
    </row>
    <row r="2401" spans="1:7" x14ac:dyDescent="0.25">
      <c r="A2401" s="1" t="str">
        <f t="shared" si="665"/>
        <v/>
      </c>
      <c r="B2401" s="1" t="str">
        <f t="shared" si="666"/>
        <v/>
      </c>
      <c r="C2401" s="1" t="e">
        <f>VLOOKUP(B2401,'Master truck list'!D:E,2,0)</f>
        <v>#N/A</v>
      </c>
      <c r="D2401" s="1" t="e">
        <f>VLOOKUP(C2401,'Master truck list'!E:F,2,0)</f>
        <v>#N/A</v>
      </c>
      <c r="E2401" s="1" t="e">
        <f>VLOOKUP(C2401,'Master truck list'!E:M,9,0)</f>
        <v>#N/A</v>
      </c>
      <c r="F2401" s="1" t="e">
        <f>VLOOKUP(C2401,'Master truck list'!E:G,3,0)</f>
        <v>#N/A</v>
      </c>
      <c r="G2401" s="1" t="e">
        <f>VLOOKUP(C2401,'Master truck list'!E:R,14,0)</f>
        <v>#N/A</v>
      </c>
    </row>
    <row r="2402" spans="1:7" x14ac:dyDescent="0.25">
      <c r="A2402" s="1" t="str">
        <f t="shared" si="665"/>
        <v/>
      </c>
      <c r="B2402" s="1" t="str">
        <f t="shared" si="666"/>
        <v/>
      </c>
      <c r="C2402" s="1" t="e">
        <f>VLOOKUP(B2402,'Master truck list'!D:E,2,0)</f>
        <v>#N/A</v>
      </c>
      <c r="D2402" s="1" t="e">
        <f>VLOOKUP(C2402,'Master truck list'!E:F,2,0)</f>
        <v>#N/A</v>
      </c>
      <c r="E2402" s="1" t="e">
        <f>VLOOKUP(C2402,'Master truck list'!E:M,9,0)</f>
        <v>#N/A</v>
      </c>
      <c r="F2402" s="1" t="e">
        <f>VLOOKUP(C2402,'Master truck list'!E:G,3,0)</f>
        <v>#N/A</v>
      </c>
      <c r="G2402" s="1" t="e">
        <f>VLOOKUP(C2402,'Master truck list'!E:R,14,0)</f>
        <v>#N/A</v>
      </c>
    </row>
    <row r="2403" spans="1:7" x14ac:dyDescent="0.25">
      <c r="A2403" s="1" t="str">
        <f t="shared" si="665"/>
        <v/>
      </c>
      <c r="B2403" s="1" t="str">
        <f t="shared" si="666"/>
        <v/>
      </c>
      <c r="C2403" s="1" t="e">
        <f>VLOOKUP(B2403,'Master truck list'!D:E,2,0)</f>
        <v>#N/A</v>
      </c>
      <c r="D2403" s="1" t="e">
        <f>VLOOKUP(C2403,'Master truck list'!E:F,2,0)</f>
        <v>#N/A</v>
      </c>
      <c r="E2403" s="1" t="e">
        <f>VLOOKUP(C2403,'Master truck list'!E:M,9,0)</f>
        <v>#N/A</v>
      </c>
      <c r="F2403" s="1" t="e">
        <f>VLOOKUP(C2403,'Master truck list'!E:G,3,0)</f>
        <v>#N/A</v>
      </c>
      <c r="G2403" s="1" t="e">
        <f>VLOOKUP(C2403,'Master truck list'!E:R,14,0)</f>
        <v>#N/A</v>
      </c>
    </row>
    <row r="2404" spans="1:7" x14ac:dyDescent="0.25">
      <c r="A2404" s="1" t="str">
        <f t="shared" ref="A2404:A2421" si="667">LEFT(N2606,5)</f>
        <v/>
      </c>
      <c r="B2404" s="1" t="str">
        <f t="shared" si="666"/>
        <v/>
      </c>
      <c r="C2404" s="1" t="e">
        <f>VLOOKUP(B2404,'Master truck list'!D:E,2,0)</f>
        <v>#N/A</v>
      </c>
      <c r="D2404" s="1" t="e">
        <f>VLOOKUP(C2404,'Master truck list'!E:F,2,0)</f>
        <v>#N/A</v>
      </c>
      <c r="E2404" s="1" t="e">
        <f>VLOOKUP(C2404,'Master truck list'!E:M,9,0)</f>
        <v>#N/A</v>
      </c>
      <c r="F2404" s="1" t="e">
        <f>VLOOKUP(C2404,'Master truck list'!E:G,3,0)</f>
        <v>#N/A</v>
      </c>
      <c r="G2404" s="1" t="e">
        <f>VLOOKUP(C2404,'Master truck list'!E:R,14,0)</f>
        <v>#N/A</v>
      </c>
    </row>
    <row r="2405" spans="1:7" x14ac:dyDescent="0.25">
      <c r="A2405" s="1" t="str">
        <f t="shared" si="667"/>
        <v/>
      </c>
      <c r="B2405" s="1" t="str">
        <f t="shared" si="666"/>
        <v/>
      </c>
      <c r="C2405" s="1" t="e">
        <f>VLOOKUP(B2405,'Master truck list'!D:E,2,0)</f>
        <v>#N/A</v>
      </c>
      <c r="D2405" s="1" t="e">
        <f>VLOOKUP(C2405,'Master truck list'!E:F,2,0)</f>
        <v>#N/A</v>
      </c>
      <c r="E2405" s="1" t="e">
        <f>VLOOKUP(C2405,'Master truck list'!E:M,9,0)</f>
        <v>#N/A</v>
      </c>
      <c r="F2405" s="1" t="e">
        <f>VLOOKUP(C2405,'Master truck list'!E:G,3,0)</f>
        <v>#N/A</v>
      </c>
      <c r="G2405" s="1" t="e">
        <f>VLOOKUP(C2405,'Master truck list'!E:R,14,0)</f>
        <v>#N/A</v>
      </c>
    </row>
    <row r="2406" spans="1:7" x14ac:dyDescent="0.25">
      <c r="A2406" s="1" t="str">
        <f t="shared" si="667"/>
        <v/>
      </c>
      <c r="B2406" s="1" t="str">
        <f t="shared" si="666"/>
        <v/>
      </c>
      <c r="C2406" s="1" t="e">
        <f>VLOOKUP(B2406,'Master truck list'!D:E,2,0)</f>
        <v>#N/A</v>
      </c>
      <c r="D2406" s="1" t="e">
        <f>VLOOKUP(C2406,'Master truck list'!E:F,2,0)</f>
        <v>#N/A</v>
      </c>
      <c r="E2406" s="1" t="e">
        <f>VLOOKUP(C2406,'Master truck list'!E:M,9,0)</f>
        <v>#N/A</v>
      </c>
      <c r="F2406" s="1" t="e">
        <f>VLOOKUP(C2406,'Master truck list'!E:G,3,0)</f>
        <v>#N/A</v>
      </c>
      <c r="G2406" s="1" t="e">
        <f>VLOOKUP(C2406,'Master truck list'!E:R,14,0)</f>
        <v>#N/A</v>
      </c>
    </row>
    <row r="2407" spans="1:7" x14ac:dyDescent="0.25">
      <c r="A2407" s="1" t="str">
        <f t="shared" si="667"/>
        <v/>
      </c>
      <c r="B2407" s="1" t="str">
        <f t="shared" si="666"/>
        <v/>
      </c>
      <c r="C2407" s="1" t="e">
        <f>VLOOKUP(B2407,'Master truck list'!D:E,2,0)</f>
        <v>#N/A</v>
      </c>
      <c r="D2407" s="1" t="e">
        <f>VLOOKUP(C2407,'Master truck list'!E:F,2,0)</f>
        <v>#N/A</v>
      </c>
      <c r="E2407" s="1" t="e">
        <f>VLOOKUP(C2407,'Master truck list'!E:M,9,0)</f>
        <v>#N/A</v>
      </c>
      <c r="F2407" s="1" t="e">
        <f>VLOOKUP(C2407,'Master truck list'!E:G,3,0)</f>
        <v>#N/A</v>
      </c>
      <c r="G2407" s="1" t="e">
        <f>VLOOKUP(C2407,'Master truck list'!E:R,14,0)</f>
        <v>#N/A</v>
      </c>
    </row>
    <row r="2408" spans="1:7" x14ac:dyDescent="0.25">
      <c r="A2408" s="1" t="str">
        <f t="shared" si="667"/>
        <v/>
      </c>
      <c r="B2408" s="1" t="str">
        <f t="shared" si="666"/>
        <v/>
      </c>
      <c r="C2408" s="1" t="e">
        <f>VLOOKUP(B2408,'Master truck list'!D:E,2,0)</f>
        <v>#N/A</v>
      </c>
      <c r="D2408" s="1" t="e">
        <f>VLOOKUP(C2408,'Master truck list'!E:F,2,0)</f>
        <v>#N/A</v>
      </c>
      <c r="E2408" s="1" t="e">
        <f>VLOOKUP(C2408,'Master truck list'!E:M,9,0)</f>
        <v>#N/A</v>
      </c>
      <c r="F2408" s="1" t="e">
        <f>VLOOKUP(C2408,'Master truck list'!E:G,3,0)</f>
        <v>#N/A</v>
      </c>
      <c r="G2408" s="1" t="e">
        <f>VLOOKUP(C2408,'Master truck list'!E:R,14,0)</f>
        <v>#N/A</v>
      </c>
    </row>
    <row r="2409" spans="1:7" x14ac:dyDescent="0.25">
      <c r="A2409" s="1" t="str">
        <f t="shared" si="667"/>
        <v/>
      </c>
      <c r="B2409" s="1" t="str">
        <f t="shared" si="666"/>
        <v/>
      </c>
      <c r="C2409" s="1" t="e">
        <f>VLOOKUP(B2409,'Master truck list'!D:E,2,0)</f>
        <v>#N/A</v>
      </c>
      <c r="D2409" s="1" t="e">
        <f>VLOOKUP(C2409,'Master truck list'!E:F,2,0)</f>
        <v>#N/A</v>
      </c>
      <c r="E2409" s="1" t="e">
        <f>VLOOKUP(C2409,'Master truck list'!E:M,9,0)</f>
        <v>#N/A</v>
      </c>
      <c r="F2409" s="1" t="e">
        <f>VLOOKUP(C2409,'Master truck list'!E:G,3,0)</f>
        <v>#N/A</v>
      </c>
      <c r="G2409" s="1" t="e">
        <f>VLOOKUP(C2409,'Master truck list'!E:R,14,0)</f>
        <v>#N/A</v>
      </c>
    </row>
    <row r="2410" spans="1:7" x14ac:dyDescent="0.25">
      <c r="A2410" s="1" t="str">
        <f t="shared" si="667"/>
        <v/>
      </c>
      <c r="B2410" s="1" t="str">
        <f t="shared" si="666"/>
        <v/>
      </c>
      <c r="C2410" s="1" t="e">
        <f>VLOOKUP(B2410,'Master truck list'!D:E,2,0)</f>
        <v>#N/A</v>
      </c>
      <c r="D2410" s="1" t="e">
        <f>VLOOKUP(C2410,'Master truck list'!E:F,2,0)</f>
        <v>#N/A</v>
      </c>
      <c r="E2410" s="1" t="e">
        <f>VLOOKUP(C2410,'Master truck list'!E:M,9,0)</f>
        <v>#N/A</v>
      </c>
      <c r="F2410" s="1" t="e">
        <f>VLOOKUP(C2410,'Master truck list'!E:G,3,0)</f>
        <v>#N/A</v>
      </c>
      <c r="G2410" s="1" t="e">
        <f>VLOOKUP(C2410,'Master truck list'!E:R,14,0)</f>
        <v>#N/A</v>
      </c>
    </row>
    <row r="2411" spans="1:7" x14ac:dyDescent="0.25">
      <c r="A2411" s="1" t="str">
        <f t="shared" si="667"/>
        <v/>
      </c>
      <c r="B2411" s="1" t="str">
        <f t="shared" si="666"/>
        <v/>
      </c>
      <c r="C2411" s="1" t="e">
        <f>VLOOKUP(B2411,'Master truck list'!D:E,2,0)</f>
        <v>#N/A</v>
      </c>
      <c r="D2411" s="1" t="e">
        <f>VLOOKUP(C2411,'Master truck list'!E:F,2,0)</f>
        <v>#N/A</v>
      </c>
      <c r="E2411" s="1" t="e">
        <f>VLOOKUP(C2411,'Master truck list'!E:M,9,0)</f>
        <v>#N/A</v>
      </c>
      <c r="F2411" s="1" t="e">
        <f>VLOOKUP(C2411,'Master truck list'!E:G,3,0)</f>
        <v>#N/A</v>
      </c>
      <c r="G2411" s="1" t="e">
        <f>VLOOKUP(C2411,'Master truck list'!E:R,14,0)</f>
        <v>#N/A</v>
      </c>
    </row>
    <row r="2412" spans="1:7" x14ac:dyDescent="0.25">
      <c r="A2412" s="1" t="str">
        <f t="shared" si="667"/>
        <v/>
      </c>
      <c r="B2412" s="1" t="str">
        <f t="shared" si="666"/>
        <v/>
      </c>
      <c r="C2412" s="1" t="e">
        <f>VLOOKUP(B2412,'Master truck list'!D:E,2,0)</f>
        <v>#N/A</v>
      </c>
      <c r="D2412" s="1" t="e">
        <f>VLOOKUP(C2412,'Master truck list'!E:F,2,0)</f>
        <v>#N/A</v>
      </c>
      <c r="E2412" s="1" t="e">
        <f>VLOOKUP(C2412,'Master truck list'!E:M,9,0)</f>
        <v>#N/A</v>
      </c>
      <c r="F2412" s="1" t="e">
        <f>VLOOKUP(C2412,'Master truck list'!E:G,3,0)</f>
        <v>#N/A</v>
      </c>
      <c r="G2412" s="1" t="e">
        <f>VLOOKUP(C2412,'Master truck list'!E:R,14,0)</f>
        <v>#N/A</v>
      </c>
    </row>
    <row r="2413" spans="1:7" x14ac:dyDescent="0.25">
      <c r="A2413" s="1" t="str">
        <f t="shared" si="667"/>
        <v/>
      </c>
      <c r="B2413" s="1" t="str">
        <f t="shared" si="666"/>
        <v/>
      </c>
      <c r="C2413" s="1" t="e">
        <f>VLOOKUP(B2413,'Master truck list'!D:E,2,0)</f>
        <v>#N/A</v>
      </c>
      <c r="D2413" s="1" t="e">
        <f>VLOOKUP(C2413,'Master truck list'!E:F,2,0)</f>
        <v>#N/A</v>
      </c>
      <c r="E2413" s="1" t="e">
        <f>VLOOKUP(C2413,'Master truck list'!E:M,9,0)</f>
        <v>#N/A</v>
      </c>
      <c r="F2413" s="1" t="e">
        <f>VLOOKUP(C2413,'Master truck list'!E:G,3,0)</f>
        <v>#N/A</v>
      </c>
      <c r="G2413" s="1" t="e">
        <f>VLOOKUP(C2413,'Master truck list'!E:R,14,0)</f>
        <v>#N/A</v>
      </c>
    </row>
    <row r="2414" spans="1:7" x14ac:dyDescent="0.25">
      <c r="A2414" s="1" t="str">
        <f t="shared" si="667"/>
        <v/>
      </c>
      <c r="B2414" s="1" t="str">
        <f t="shared" si="666"/>
        <v/>
      </c>
      <c r="C2414" s="1" t="e">
        <f>VLOOKUP(B2414,'Master truck list'!D:E,2,0)</f>
        <v>#N/A</v>
      </c>
      <c r="D2414" s="1" t="e">
        <f>VLOOKUP(C2414,'Master truck list'!E:F,2,0)</f>
        <v>#N/A</v>
      </c>
      <c r="E2414" s="1" t="e">
        <f>VLOOKUP(C2414,'Master truck list'!E:M,9,0)</f>
        <v>#N/A</v>
      </c>
      <c r="F2414" s="1" t="e">
        <f>VLOOKUP(C2414,'Master truck list'!E:G,3,0)</f>
        <v>#N/A</v>
      </c>
      <c r="G2414" s="1" t="e">
        <f>VLOOKUP(C2414,'Master truck list'!E:R,14,0)</f>
        <v>#N/A</v>
      </c>
    </row>
    <row r="2415" spans="1:7" x14ac:dyDescent="0.25">
      <c r="A2415" s="1" t="str">
        <f t="shared" si="667"/>
        <v/>
      </c>
      <c r="B2415" s="1" t="str">
        <f t="shared" si="666"/>
        <v/>
      </c>
      <c r="C2415" s="1" t="e">
        <f>VLOOKUP(B2415,'Master truck list'!D:E,2,0)</f>
        <v>#N/A</v>
      </c>
      <c r="D2415" s="1" t="e">
        <f>VLOOKUP(C2415,'Master truck list'!E:F,2,0)</f>
        <v>#N/A</v>
      </c>
      <c r="E2415" s="1" t="e">
        <f>VLOOKUP(C2415,'Master truck list'!E:M,9,0)</f>
        <v>#N/A</v>
      </c>
      <c r="F2415" s="1" t="e">
        <f>VLOOKUP(C2415,'Master truck list'!E:G,3,0)</f>
        <v>#N/A</v>
      </c>
      <c r="G2415" s="1" t="e">
        <f>VLOOKUP(C2415,'Master truck list'!E:R,14,0)</f>
        <v>#N/A</v>
      </c>
    </row>
    <row r="2416" spans="1:7" x14ac:dyDescent="0.25">
      <c r="A2416" s="1" t="str">
        <f t="shared" si="667"/>
        <v/>
      </c>
      <c r="B2416" s="1" t="str">
        <f t="shared" si="666"/>
        <v/>
      </c>
      <c r="C2416" s="1" t="e">
        <f>VLOOKUP(B2416,'Master truck list'!D:E,2,0)</f>
        <v>#N/A</v>
      </c>
      <c r="D2416" s="1" t="e">
        <f>VLOOKUP(C2416,'Master truck list'!E:F,2,0)</f>
        <v>#N/A</v>
      </c>
      <c r="E2416" s="1" t="e">
        <f>VLOOKUP(C2416,'Master truck list'!E:M,9,0)</f>
        <v>#N/A</v>
      </c>
      <c r="F2416" s="1" t="e">
        <f>VLOOKUP(C2416,'Master truck list'!E:G,3,0)</f>
        <v>#N/A</v>
      </c>
      <c r="G2416" s="1" t="e">
        <f>VLOOKUP(C2416,'Master truck list'!E:R,14,0)</f>
        <v>#N/A</v>
      </c>
    </row>
    <row r="2417" spans="1:7" x14ac:dyDescent="0.25">
      <c r="A2417" s="1" t="str">
        <f t="shared" si="667"/>
        <v/>
      </c>
      <c r="B2417" s="1" t="str">
        <f t="shared" si="666"/>
        <v/>
      </c>
      <c r="C2417" s="1" t="e">
        <f>VLOOKUP(B2417,'Master truck list'!D:E,2,0)</f>
        <v>#N/A</v>
      </c>
      <c r="D2417" s="1" t="e">
        <f>VLOOKUP(C2417,'Master truck list'!E:F,2,0)</f>
        <v>#N/A</v>
      </c>
      <c r="E2417" s="1" t="e">
        <f>VLOOKUP(C2417,'Master truck list'!E:M,9,0)</f>
        <v>#N/A</v>
      </c>
      <c r="F2417" s="1" t="e">
        <f>VLOOKUP(C2417,'Master truck list'!E:G,3,0)</f>
        <v>#N/A</v>
      </c>
      <c r="G2417" s="1" t="e">
        <f>VLOOKUP(C2417,'Master truck list'!E:R,14,0)</f>
        <v>#N/A</v>
      </c>
    </row>
    <row r="2418" spans="1:7" x14ac:dyDescent="0.25">
      <c r="A2418" s="1" t="str">
        <f t="shared" si="667"/>
        <v/>
      </c>
      <c r="B2418" s="1" t="str">
        <f t="shared" si="666"/>
        <v/>
      </c>
      <c r="C2418" s="1" t="e">
        <f>VLOOKUP(B2418,'Master truck list'!D:E,2,0)</f>
        <v>#N/A</v>
      </c>
      <c r="D2418" s="1" t="e">
        <f>VLOOKUP(C2418,'Master truck list'!E:F,2,0)</f>
        <v>#N/A</v>
      </c>
      <c r="E2418" s="1" t="e">
        <f>VLOOKUP(C2418,'Master truck list'!E:M,9,0)</f>
        <v>#N/A</v>
      </c>
      <c r="F2418" s="1" t="e">
        <f>VLOOKUP(C2418,'Master truck list'!E:G,3,0)</f>
        <v>#N/A</v>
      </c>
      <c r="G2418" s="1" t="e">
        <f>VLOOKUP(C2418,'Master truck list'!E:R,14,0)</f>
        <v>#N/A</v>
      </c>
    </row>
    <row r="2419" spans="1:7" x14ac:dyDescent="0.25">
      <c r="A2419" s="1" t="str">
        <f t="shared" si="667"/>
        <v/>
      </c>
      <c r="B2419" s="1" t="str">
        <f t="shared" si="666"/>
        <v/>
      </c>
      <c r="C2419" s="1" t="e">
        <f>VLOOKUP(B2419,'Master truck list'!D:E,2,0)</f>
        <v>#N/A</v>
      </c>
      <c r="D2419" s="1" t="e">
        <f>VLOOKUP(C2419,'Master truck list'!E:F,2,0)</f>
        <v>#N/A</v>
      </c>
      <c r="E2419" s="1" t="e">
        <f>VLOOKUP(C2419,'Master truck list'!E:M,9,0)</f>
        <v>#N/A</v>
      </c>
      <c r="F2419" s="1" t="e">
        <f>VLOOKUP(C2419,'Master truck list'!E:G,3,0)</f>
        <v>#N/A</v>
      </c>
      <c r="G2419" s="1" t="e">
        <f>VLOOKUP(C2419,'Master truck list'!E:R,14,0)</f>
        <v>#N/A</v>
      </c>
    </row>
    <row r="2420" spans="1:7" x14ac:dyDescent="0.25">
      <c r="A2420" s="1" t="str">
        <f t="shared" si="667"/>
        <v/>
      </c>
      <c r="B2420" s="1" t="str">
        <f t="shared" si="666"/>
        <v/>
      </c>
      <c r="C2420" s="1" t="e">
        <f>VLOOKUP(B2420,'Master truck list'!D:E,2,0)</f>
        <v>#N/A</v>
      </c>
      <c r="D2420" s="1" t="e">
        <f>VLOOKUP(C2420,'Master truck list'!E:F,2,0)</f>
        <v>#N/A</v>
      </c>
      <c r="E2420" s="1" t="e">
        <f>VLOOKUP(C2420,'Master truck list'!E:M,9,0)</f>
        <v>#N/A</v>
      </c>
      <c r="F2420" s="1" t="e">
        <f>VLOOKUP(C2420,'Master truck list'!E:G,3,0)</f>
        <v>#N/A</v>
      </c>
      <c r="G2420" s="1" t="e">
        <f>VLOOKUP(C2420,'Master truck list'!E:R,14,0)</f>
        <v>#N/A</v>
      </c>
    </row>
    <row r="2421" spans="1:7" x14ac:dyDescent="0.25">
      <c r="A2421" s="1" t="str">
        <f t="shared" si="667"/>
        <v/>
      </c>
      <c r="B2421" s="1" t="str">
        <f t="shared" si="666"/>
        <v/>
      </c>
      <c r="C2421" s="1" t="e">
        <f>VLOOKUP(B2421,'Master truck list'!D:E,2,0)</f>
        <v>#N/A</v>
      </c>
      <c r="D2421" s="1" t="e">
        <f>VLOOKUP(C2421,'Master truck list'!E:F,2,0)</f>
        <v>#N/A</v>
      </c>
      <c r="E2421" s="1" t="e">
        <f>VLOOKUP(C2421,'Master truck list'!E:M,9,0)</f>
        <v>#N/A</v>
      </c>
      <c r="F2421" s="1" t="e">
        <f>VLOOKUP(C2421,'Master truck list'!E:G,3,0)</f>
        <v>#N/A</v>
      </c>
      <c r="G2421" s="1" t="e">
        <f>VLOOKUP(C2421,'Master truck list'!E:R,14,0)</f>
        <v>#N/A</v>
      </c>
    </row>
    <row r="2422" spans="1:7" x14ac:dyDescent="0.25">
      <c r="D2422" s="1"/>
    </row>
  </sheetData>
  <autoFilter ref="A1:V2623" xr:uid="{AE2EABD3-DBFE-40E1-8D3B-1FD66CE22B19}"/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566"/>
  <sheetViews>
    <sheetView workbookViewId="0"/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20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>
        <v>2005</v>
      </c>
      <c r="K2">
        <v>43698.521897777777</v>
      </c>
      <c r="L2" t="s">
        <v>25</v>
      </c>
      <c r="M2" t="s">
        <v>26</v>
      </c>
      <c r="N2" t="s">
        <v>27</v>
      </c>
      <c r="O2">
        <v>120679</v>
      </c>
      <c r="P2">
        <v>42927.229166666664</v>
      </c>
      <c r="Q2">
        <v>40025.831099884257</v>
      </c>
      <c r="R2">
        <v>1</v>
      </c>
    </row>
    <row r="3" spans="1:18" x14ac:dyDescent="0.25">
      <c r="A3" t="s">
        <v>28</v>
      </c>
      <c r="B3" t="s">
        <v>29</v>
      </c>
      <c r="C3" t="s">
        <v>30</v>
      </c>
      <c r="D3" t="s">
        <v>30</v>
      </c>
      <c r="E3" t="s">
        <v>30</v>
      </c>
      <c r="F3" t="s">
        <v>21</v>
      </c>
      <c r="G3" t="s">
        <v>22</v>
      </c>
      <c r="H3" t="s">
        <v>23</v>
      </c>
      <c r="I3" t="s">
        <v>24</v>
      </c>
      <c r="J3">
        <v>2005</v>
      </c>
      <c r="K3">
        <v>43698.521897777777</v>
      </c>
      <c r="L3" t="s">
        <v>25</v>
      </c>
      <c r="M3" t="s">
        <v>26</v>
      </c>
      <c r="N3" t="s">
        <v>27</v>
      </c>
      <c r="O3">
        <v>137116</v>
      </c>
      <c r="P3">
        <v>43024.790266203701</v>
      </c>
      <c r="Q3">
        <v>40025.832411261574</v>
      </c>
      <c r="R3">
        <v>2</v>
      </c>
    </row>
    <row r="4" spans="1:18" x14ac:dyDescent="0.25">
      <c r="A4" t="s">
        <v>31</v>
      </c>
      <c r="B4" t="s">
        <v>32</v>
      </c>
      <c r="C4" t="s">
        <v>33</v>
      </c>
      <c r="D4" t="s">
        <v>33</v>
      </c>
      <c r="E4" t="s">
        <v>33</v>
      </c>
      <c r="F4" t="s">
        <v>21</v>
      </c>
      <c r="G4" t="s">
        <v>22</v>
      </c>
      <c r="H4" t="s">
        <v>34</v>
      </c>
      <c r="I4" t="s">
        <v>35</v>
      </c>
      <c r="J4">
        <v>2000</v>
      </c>
      <c r="K4">
        <v>43698.521897777777</v>
      </c>
      <c r="L4" t="s">
        <v>36</v>
      </c>
      <c r="M4" t="s">
        <v>37</v>
      </c>
      <c r="N4" t="s">
        <v>27</v>
      </c>
      <c r="O4">
        <v>134445</v>
      </c>
      <c r="P4">
        <v>43008.838194444441</v>
      </c>
      <c r="Q4">
        <v>40025.834029895836</v>
      </c>
      <c r="R4">
        <v>3</v>
      </c>
    </row>
    <row r="5" spans="1:18" x14ac:dyDescent="0.25">
      <c r="A5" t="s">
        <v>38</v>
      </c>
      <c r="B5" t="s">
        <v>39</v>
      </c>
      <c r="C5" t="s">
        <v>40</v>
      </c>
      <c r="D5" t="s">
        <v>40</v>
      </c>
      <c r="E5" t="s">
        <v>40</v>
      </c>
      <c r="F5" t="s">
        <v>21</v>
      </c>
      <c r="G5" t="s">
        <v>22</v>
      </c>
      <c r="H5" t="s">
        <v>23</v>
      </c>
      <c r="I5" t="s">
        <v>41</v>
      </c>
      <c r="J5">
        <v>2006</v>
      </c>
      <c r="K5">
        <v>43698.521897777777</v>
      </c>
      <c r="L5" t="s">
        <v>36</v>
      </c>
      <c r="M5" t="s">
        <v>42</v>
      </c>
      <c r="N5" t="s">
        <v>27</v>
      </c>
      <c r="O5">
        <v>21664</v>
      </c>
      <c r="P5">
        <v>41306.380555555559</v>
      </c>
      <c r="Q5">
        <v>40025.836772685187</v>
      </c>
      <c r="R5">
        <v>4</v>
      </c>
    </row>
    <row r="6" spans="1:18" x14ac:dyDescent="0.25">
      <c r="A6" t="s">
        <v>43</v>
      </c>
      <c r="B6" t="s">
        <v>44</v>
      </c>
      <c r="C6" t="s">
        <v>45</v>
      </c>
      <c r="D6" t="s">
        <v>45</v>
      </c>
      <c r="E6" t="s">
        <v>45</v>
      </c>
      <c r="F6" t="s">
        <v>21</v>
      </c>
      <c r="G6" t="s">
        <v>22</v>
      </c>
      <c r="H6" t="s">
        <v>34</v>
      </c>
      <c r="I6" t="s">
        <v>35</v>
      </c>
      <c r="J6">
        <v>2006</v>
      </c>
      <c r="K6">
        <v>43698.521897777777</v>
      </c>
      <c r="L6" t="s">
        <v>36</v>
      </c>
      <c r="M6" t="s">
        <v>42</v>
      </c>
      <c r="N6" t="s">
        <v>27</v>
      </c>
      <c r="O6">
        <v>34216</v>
      </c>
      <c r="P6">
        <v>41711.837847222225</v>
      </c>
      <c r="Q6">
        <v>40025.837893784723</v>
      </c>
      <c r="R6">
        <v>5</v>
      </c>
    </row>
    <row r="7" spans="1:18" x14ac:dyDescent="0.25">
      <c r="A7" t="s">
        <v>46</v>
      </c>
      <c r="B7" t="s">
        <v>47</v>
      </c>
      <c r="C7" t="s">
        <v>48</v>
      </c>
      <c r="D7" t="s">
        <v>48</v>
      </c>
      <c r="E7" t="s">
        <v>48</v>
      </c>
      <c r="F7" t="s">
        <v>21</v>
      </c>
      <c r="G7" t="s">
        <v>22</v>
      </c>
      <c r="H7" t="s">
        <v>34</v>
      </c>
      <c r="I7" t="s">
        <v>35</v>
      </c>
      <c r="J7">
        <v>1999</v>
      </c>
      <c r="K7">
        <v>43698.521897777777</v>
      </c>
      <c r="L7" t="s">
        <v>49</v>
      </c>
      <c r="M7" t="s">
        <v>42</v>
      </c>
      <c r="N7" t="s">
        <v>27</v>
      </c>
      <c r="O7">
        <v>35168</v>
      </c>
      <c r="P7">
        <v>41733.833333333336</v>
      </c>
      <c r="Q7">
        <v>40025.838877627313</v>
      </c>
      <c r="R7">
        <v>6</v>
      </c>
    </row>
    <row r="8" spans="1:18" x14ac:dyDescent="0.25">
      <c r="A8" t="s">
        <v>50</v>
      </c>
      <c r="B8" t="s">
        <v>51</v>
      </c>
      <c r="C8" t="s">
        <v>52</v>
      </c>
      <c r="D8" t="s">
        <v>52</v>
      </c>
      <c r="E8" t="s">
        <v>52</v>
      </c>
      <c r="F8" t="s">
        <v>21</v>
      </c>
      <c r="G8" t="s">
        <v>22</v>
      </c>
      <c r="H8" t="s">
        <v>53</v>
      </c>
      <c r="I8" t="s">
        <v>54</v>
      </c>
      <c r="J8">
        <v>2007</v>
      </c>
      <c r="K8">
        <v>43698.521897777777</v>
      </c>
      <c r="L8" t="s">
        <v>55</v>
      </c>
      <c r="M8" t="s">
        <v>42</v>
      </c>
      <c r="N8" t="s">
        <v>27</v>
      </c>
      <c r="O8">
        <v>122031</v>
      </c>
      <c r="P8">
        <v>42934.872754629629</v>
      </c>
      <c r="Q8">
        <v>40025.840149305557</v>
      </c>
      <c r="R8">
        <v>7</v>
      </c>
    </row>
    <row r="9" spans="1:18" x14ac:dyDescent="0.25">
      <c r="A9" t="s">
        <v>56</v>
      </c>
      <c r="B9" t="s">
        <v>57</v>
      </c>
      <c r="C9" t="s">
        <v>58</v>
      </c>
      <c r="D9" t="s">
        <v>58</v>
      </c>
      <c r="E9" t="s">
        <v>58</v>
      </c>
      <c r="F9" t="s">
        <v>21</v>
      </c>
      <c r="G9" t="s">
        <v>22</v>
      </c>
      <c r="H9" t="s">
        <v>23</v>
      </c>
      <c r="I9" t="s">
        <v>59</v>
      </c>
      <c r="J9">
        <v>2007</v>
      </c>
      <c r="K9">
        <v>43698.521897777777</v>
      </c>
      <c r="L9" t="s">
        <v>25</v>
      </c>
      <c r="M9" t="s">
        <v>42</v>
      </c>
      <c r="N9" t="s">
        <v>27</v>
      </c>
      <c r="O9">
        <v>55832</v>
      </c>
      <c r="P9">
        <v>42192.965289351851</v>
      </c>
      <c r="Q9">
        <v>40025.841630983799</v>
      </c>
      <c r="R9">
        <v>8</v>
      </c>
    </row>
    <row r="10" spans="1:18" x14ac:dyDescent="0.25">
      <c r="A10" t="s">
        <v>60</v>
      </c>
      <c r="B10" t="s">
        <v>61</v>
      </c>
      <c r="C10" t="s">
        <v>62</v>
      </c>
      <c r="D10" t="s">
        <v>62</v>
      </c>
      <c r="E10" t="s">
        <v>62</v>
      </c>
      <c r="F10" t="s">
        <v>21</v>
      </c>
      <c r="G10" t="s">
        <v>63</v>
      </c>
      <c r="H10" t="s">
        <v>23</v>
      </c>
      <c r="I10" t="s">
        <v>41</v>
      </c>
      <c r="J10">
        <v>2007</v>
      </c>
      <c r="K10">
        <v>43698.521897777777</v>
      </c>
      <c r="L10" t="s">
        <v>25</v>
      </c>
      <c r="M10" t="s">
        <v>42</v>
      </c>
      <c r="N10" t="s">
        <v>27</v>
      </c>
      <c r="O10">
        <v>138864</v>
      </c>
      <c r="P10">
        <v>43036.585752314815</v>
      </c>
      <c r="Q10">
        <v>40025.84301971065</v>
      </c>
      <c r="R10">
        <v>9</v>
      </c>
    </row>
    <row r="11" spans="1:18" x14ac:dyDescent="0.25">
      <c r="A11" t="s">
        <v>64</v>
      </c>
      <c r="B11" t="s">
        <v>65</v>
      </c>
      <c r="C11" t="s">
        <v>66</v>
      </c>
      <c r="D11" t="s">
        <v>66</v>
      </c>
      <c r="E11" t="s">
        <v>66</v>
      </c>
      <c r="F11" t="s">
        <v>21</v>
      </c>
      <c r="G11" t="s">
        <v>22</v>
      </c>
      <c r="H11" t="s">
        <v>53</v>
      </c>
      <c r="I11" t="s">
        <v>25</v>
      </c>
      <c r="J11">
        <v>2008</v>
      </c>
      <c r="K11">
        <v>43698.521897777777</v>
      </c>
      <c r="L11" t="s">
        <v>67</v>
      </c>
      <c r="M11" t="s">
        <v>42</v>
      </c>
      <c r="N11" t="s">
        <v>27</v>
      </c>
      <c r="O11">
        <v>16603</v>
      </c>
      <c r="P11">
        <v>41102.921527777777</v>
      </c>
      <c r="Q11">
        <v>40025.844357754628</v>
      </c>
      <c r="R11">
        <v>10</v>
      </c>
    </row>
    <row r="12" spans="1:18" x14ac:dyDescent="0.25">
      <c r="A12" t="s">
        <v>68</v>
      </c>
      <c r="B12" t="s">
        <v>69</v>
      </c>
      <c r="C12" t="s">
        <v>70</v>
      </c>
      <c r="D12" t="s">
        <v>70</v>
      </c>
      <c r="E12" t="s">
        <v>70</v>
      </c>
      <c r="F12" t="s">
        <v>21</v>
      </c>
      <c r="G12" t="s">
        <v>22</v>
      </c>
      <c r="H12" t="s">
        <v>53</v>
      </c>
      <c r="I12" t="s">
        <v>25</v>
      </c>
      <c r="J12">
        <v>2008</v>
      </c>
      <c r="K12">
        <v>43698.521897777777</v>
      </c>
      <c r="L12" t="s">
        <v>67</v>
      </c>
      <c r="M12" t="s">
        <v>42</v>
      </c>
      <c r="N12" t="s">
        <v>27</v>
      </c>
      <c r="O12">
        <v>16470</v>
      </c>
      <c r="P12">
        <v>41096.864583333336</v>
      </c>
      <c r="Q12">
        <v>40025.845445636573</v>
      </c>
      <c r="R12">
        <v>11</v>
      </c>
    </row>
    <row r="13" spans="1:18" x14ac:dyDescent="0.25">
      <c r="A13" t="s">
        <v>71</v>
      </c>
      <c r="B13" t="s">
        <v>72</v>
      </c>
      <c r="C13" t="s">
        <v>73</v>
      </c>
      <c r="D13" t="s">
        <v>73</v>
      </c>
      <c r="E13" t="s">
        <v>73</v>
      </c>
      <c r="F13" t="s">
        <v>21</v>
      </c>
      <c r="G13" t="s">
        <v>22</v>
      </c>
      <c r="H13" t="s">
        <v>34</v>
      </c>
      <c r="I13" t="s">
        <v>35</v>
      </c>
      <c r="J13">
        <v>1998</v>
      </c>
      <c r="K13">
        <v>43698.521897777777</v>
      </c>
      <c r="L13" t="s">
        <v>25</v>
      </c>
      <c r="M13" t="s">
        <v>42</v>
      </c>
      <c r="N13" t="s">
        <v>27</v>
      </c>
      <c r="O13">
        <v>35941</v>
      </c>
      <c r="P13">
        <v>41752.854166666664</v>
      </c>
      <c r="Q13">
        <v>40025.846898877317</v>
      </c>
      <c r="R13">
        <v>12</v>
      </c>
    </row>
    <row r="14" spans="1:18" x14ac:dyDescent="0.25">
      <c r="A14" t="s">
        <v>74</v>
      </c>
      <c r="B14" t="s">
        <v>75</v>
      </c>
      <c r="C14" t="s">
        <v>76</v>
      </c>
      <c r="D14" t="s">
        <v>76</v>
      </c>
      <c r="E14" t="s">
        <v>76</v>
      </c>
      <c r="F14" t="s">
        <v>21</v>
      </c>
      <c r="G14" t="s">
        <v>22</v>
      </c>
      <c r="H14" t="s">
        <v>34</v>
      </c>
      <c r="I14" t="s">
        <v>35</v>
      </c>
      <c r="J14">
        <v>2004</v>
      </c>
      <c r="K14">
        <v>43698.521897777777</v>
      </c>
      <c r="L14" t="s">
        <v>36</v>
      </c>
      <c r="M14" t="s">
        <v>37</v>
      </c>
      <c r="N14" t="s">
        <v>27</v>
      </c>
      <c r="O14">
        <v>61283</v>
      </c>
      <c r="P14">
        <v>42292.599907407406</v>
      </c>
      <c r="Q14">
        <v>40025.850515011574</v>
      </c>
      <c r="R14">
        <v>13</v>
      </c>
    </row>
    <row r="15" spans="1:18" x14ac:dyDescent="0.25">
      <c r="A15" t="s">
        <v>77</v>
      </c>
      <c r="B15" t="s">
        <v>78</v>
      </c>
      <c r="C15" t="s">
        <v>79</v>
      </c>
      <c r="D15" t="s">
        <v>79</v>
      </c>
      <c r="E15" t="s">
        <v>79</v>
      </c>
      <c r="F15" t="s">
        <v>21</v>
      </c>
      <c r="G15" t="s">
        <v>22</v>
      </c>
      <c r="H15" t="s">
        <v>80</v>
      </c>
      <c r="I15" t="s">
        <v>25</v>
      </c>
      <c r="J15">
        <v>1999</v>
      </c>
      <c r="K15">
        <v>43698.521897777777</v>
      </c>
      <c r="L15" t="s">
        <v>49</v>
      </c>
      <c r="M15" t="s">
        <v>42</v>
      </c>
      <c r="N15" t="s">
        <v>27</v>
      </c>
      <c r="O15">
        <v>13932</v>
      </c>
      <c r="P15">
        <v>40982.864583333336</v>
      </c>
      <c r="Q15">
        <v>40025.851535995367</v>
      </c>
      <c r="R15">
        <v>14</v>
      </c>
    </row>
    <row r="16" spans="1:18" x14ac:dyDescent="0.25">
      <c r="A16" t="s">
        <v>81</v>
      </c>
      <c r="B16" t="s">
        <v>82</v>
      </c>
      <c r="C16" t="s">
        <v>83</v>
      </c>
      <c r="D16" t="s">
        <v>83</v>
      </c>
      <c r="E16" t="s">
        <v>83</v>
      </c>
      <c r="F16" t="s">
        <v>21</v>
      </c>
      <c r="G16" t="s">
        <v>63</v>
      </c>
      <c r="H16" t="s">
        <v>23</v>
      </c>
      <c r="I16" t="s">
        <v>41</v>
      </c>
      <c r="J16">
        <v>2005</v>
      </c>
      <c r="K16">
        <v>43698.521897777777</v>
      </c>
      <c r="L16" t="s">
        <v>36</v>
      </c>
      <c r="M16" t="s">
        <v>42</v>
      </c>
      <c r="N16" t="s">
        <v>27</v>
      </c>
      <c r="O16">
        <v>63969</v>
      </c>
      <c r="P16">
        <v>42334.970300925925</v>
      </c>
      <c r="Q16">
        <v>40025.853461921295</v>
      </c>
      <c r="R16">
        <v>15</v>
      </c>
    </row>
    <row r="17" spans="1:18" x14ac:dyDescent="0.25">
      <c r="A17" t="s">
        <v>84</v>
      </c>
      <c r="B17" t="s">
        <v>85</v>
      </c>
      <c r="C17" t="s">
        <v>86</v>
      </c>
      <c r="D17" t="s">
        <v>86</v>
      </c>
      <c r="E17" t="s">
        <v>86</v>
      </c>
      <c r="F17" t="s">
        <v>21</v>
      </c>
      <c r="G17" t="s">
        <v>22</v>
      </c>
      <c r="H17" t="s">
        <v>53</v>
      </c>
      <c r="I17" t="s">
        <v>87</v>
      </c>
      <c r="J17">
        <v>2001</v>
      </c>
      <c r="K17">
        <v>43698.521897777777</v>
      </c>
      <c r="L17" t="s">
        <v>49</v>
      </c>
      <c r="M17" t="s">
        <v>37</v>
      </c>
      <c r="N17" t="s">
        <v>27</v>
      </c>
      <c r="O17">
        <v>60695</v>
      </c>
      <c r="P17">
        <v>42282.572916666664</v>
      </c>
      <c r="Q17">
        <v>40025.854637118056</v>
      </c>
      <c r="R17">
        <v>16</v>
      </c>
    </row>
    <row r="18" spans="1:18" x14ac:dyDescent="0.25">
      <c r="A18" t="s">
        <v>88</v>
      </c>
      <c r="B18" t="s">
        <v>89</v>
      </c>
      <c r="C18" t="s">
        <v>90</v>
      </c>
      <c r="D18" t="s">
        <v>90</v>
      </c>
      <c r="E18" t="s">
        <v>90</v>
      </c>
      <c r="F18" t="s">
        <v>91</v>
      </c>
      <c r="G18" t="s">
        <v>63</v>
      </c>
      <c r="H18" t="s">
        <v>53</v>
      </c>
      <c r="I18" t="s">
        <v>41</v>
      </c>
      <c r="J18">
        <v>2007</v>
      </c>
      <c r="K18">
        <v>43698.521897777777</v>
      </c>
      <c r="L18" t="s">
        <v>92</v>
      </c>
      <c r="M18" t="s">
        <v>42</v>
      </c>
      <c r="N18" t="s">
        <v>93</v>
      </c>
      <c r="O18">
        <v>346910</v>
      </c>
      <c r="P18">
        <v>43698.521897777777</v>
      </c>
      <c r="Q18">
        <v>40025.85571570602</v>
      </c>
      <c r="R18">
        <v>17</v>
      </c>
    </row>
    <row r="19" spans="1:18" x14ac:dyDescent="0.25">
      <c r="A19" t="s">
        <v>94</v>
      </c>
      <c r="B19" t="s">
        <v>95</v>
      </c>
      <c r="C19" t="s">
        <v>96</v>
      </c>
      <c r="D19" t="s">
        <v>96</v>
      </c>
      <c r="E19" t="s">
        <v>96</v>
      </c>
      <c r="F19" t="s">
        <v>21</v>
      </c>
      <c r="G19" t="s">
        <v>63</v>
      </c>
      <c r="H19" t="s">
        <v>23</v>
      </c>
      <c r="I19" t="s">
        <v>25</v>
      </c>
      <c r="J19">
        <v>2006</v>
      </c>
      <c r="K19">
        <v>43698.521897777777</v>
      </c>
      <c r="L19" t="s">
        <v>25</v>
      </c>
      <c r="M19" t="s">
        <v>42</v>
      </c>
      <c r="N19" t="s">
        <v>27</v>
      </c>
      <c r="O19">
        <v>14819</v>
      </c>
      <c r="P19">
        <v>41026.078472222223</v>
      </c>
      <c r="Q19">
        <v>40025.857227974535</v>
      </c>
      <c r="R19">
        <v>18</v>
      </c>
    </row>
    <row r="20" spans="1:18" x14ac:dyDescent="0.25">
      <c r="A20" t="s">
        <v>25</v>
      </c>
      <c r="B20" t="s">
        <v>25</v>
      </c>
      <c r="C20" t="s">
        <v>97</v>
      </c>
      <c r="D20" t="s">
        <v>97</v>
      </c>
      <c r="E20" t="s">
        <v>97</v>
      </c>
      <c r="F20" t="s">
        <v>21</v>
      </c>
      <c r="G20" t="s">
        <v>22</v>
      </c>
      <c r="H20" t="s">
        <v>25</v>
      </c>
      <c r="I20" t="s">
        <v>25</v>
      </c>
      <c r="K20">
        <v>43698.521897777777</v>
      </c>
      <c r="L20" t="s">
        <v>25</v>
      </c>
      <c r="M20" t="s">
        <v>26</v>
      </c>
      <c r="N20" t="s">
        <v>27</v>
      </c>
      <c r="O20">
        <v>1240</v>
      </c>
      <c r="P20">
        <v>40189.84375</v>
      </c>
      <c r="Q20">
        <v>40032.754031365737</v>
      </c>
      <c r="R20">
        <v>19</v>
      </c>
    </row>
    <row r="21" spans="1:18" x14ac:dyDescent="0.25">
      <c r="A21" t="s">
        <v>98</v>
      </c>
      <c r="B21" t="s">
        <v>99</v>
      </c>
      <c r="C21" t="s">
        <v>100</v>
      </c>
      <c r="D21" t="s">
        <v>100</v>
      </c>
      <c r="E21" t="s">
        <v>100</v>
      </c>
      <c r="F21" t="s">
        <v>91</v>
      </c>
      <c r="G21" t="s">
        <v>22</v>
      </c>
      <c r="H21" t="s">
        <v>101</v>
      </c>
      <c r="I21" t="s">
        <v>102</v>
      </c>
      <c r="J21">
        <v>2005</v>
      </c>
      <c r="K21">
        <v>43698.521897777777</v>
      </c>
      <c r="L21" t="s">
        <v>36</v>
      </c>
      <c r="M21" t="s">
        <v>26</v>
      </c>
      <c r="N21" t="s">
        <v>27</v>
      </c>
      <c r="O21">
        <v>339020</v>
      </c>
      <c r="P21">
        <v>43678.90625</v>
      </c>
      <c r="Q21">
        <v>40032.754346215275</v>
      </c>
      <c r="R21">
        <v>20</v>
      </c>
    </row>
    <row r="22" spans="1:18" x14ac:dyDescent="0.25">
      <c r="A22" t="s">
        <v>103</v>
      </c>
      <c r="B22" t="s">
        <v>104</v>
      </c>
      <c r="C22" t="s">
        <v>105</v>
      </c>
      <c r="D22" t="s">
        <v>105</v>
      </c>
      <c r="E22" t="s">
        <v>105</v>
      </c>
      <c r="F22" t="s">
        <v>21</v>
      </c>
      <c r="G22" t="s">
        <v>106</v>
      </c>
      <c r="H22" t="s">
        <v>23</v>
      </c>
      <c r="I22" t="s">
        <v>25</v>
      </c>
      <c r="K22">
        <v>43698.521897777777</v>
      </c>
      <c r="L22" t="s">
        <v>25</v>
      </c>
      <c r="M22" t="s">
        <v>42</v>
      </c>
      <c r="N22" t="s">
        <v>27</v>
      </c>
      <c r="O22">
        <v>459</v>
      </c>
      <c r="P22">
        <v>40086.25</v>
      </c>
      <c r="Q22">
        <v>40081.920475578707</v>
      </c>
      <c r="R22">
        <v>22</v>
      </c>
    </row>
    <row r="23" spans="1:18" x14ac:dyDescent="0.25">
      <c r="A23" t="s">
        <v>107</v>
      </c>
      <c r="B23" t="s">
        <v>108</v>
      </c>
      <c r="C23" t="s">
        <v>109</v>
      </c>
      <c r="D23" t="s">
        <v>109</v>
      </c>
      <c r="E23" t="s">
        <v>109</v>
      </c>
      <c r="F23" t="s">
        <v>21</v>
      </c>
      <c r="G23" t="s">
        <v>22</v>
      </c>
      <c r="H23" t="s">
        <v>110</v>
      </c>
      <c r="I23" t="s">
        <v>111</v>
      </c>
      <c r="J23">
        <v>2003</v>
      </c>
      <c r="K23">
        <v>43698.521897777777</v>
      </c>
      <c r="L23" t="s">
        <v>36</v>
      </c>
      <c r="M23" t="s">
        <v>42</v>
      </c>
      <c r="N23" t="s">
        <v>27</v>
      </c>
      <c r="O23">
        <v>44300</v>
      </c>
      <c r="P23">
        <v>41953.78125</v>
      </c>
      <c r="Q23">
        <v>40103.697560844907</v>
      </c>
      <c r="R23">
        <v>23</v>
      </c>
    </row>
    <row r="24" spans="1:18" x14ac:dyDescent="0.25">
      <c r="A24" t="s">
        <v>112</v>
      </c>
      <c r="B24" t="s">
        <v>113</v>
      </c>
      <c r="C24" t="s">
        <v>114</v>
      </c>
      <c r="D24" t="s">
        <v>114</v>
      </c>
      <c r="E24" t="s">
        <v>114</v>
      </c>
      <c r="F24" t="s">
        <v>21</v>
      </c>
      <c r="G24" t="s">
        <v>22</v>
      </c>
      <c r="H24" t="s">
        <v>23</v>
      </c>
      <c r="I24" t="s">
        <v>41</v>
      </c>
      <c r="J24">
        <v>2007</v>
      </c>
      <c r="K24">
        <v>43698.521897777777</v>
      </c>
      <c r="L24" t="s">
        <v>36</v>
      </c>
      <c r="M24" t="s">
        <v>42</v>
      </c>
      <c r="N24" t="s">
        <v>27</v>
      </c>
      <c r="O24">
        <v>42606</v>
      </c>
      <c r="P24">
        <v>41916.401898148149</v>
      </c>
      <c r="Q24">
        <v>40103.709542395831</v>
      </c>
      <c r="R24">
        <v>24</v>
      </c>
    </row>
    <row r="25" spans="1:18" x14ac:dyDescent="0.25">
      <c r="A25" t="s">
        <v>115</v>
      </c>
      <c r="B25" t="s">
        <v>116</v>
      </c>
      <c r="C25" t="s">
        <v>117</v>
      </c>
      <c r="D25" t="s">
        <v>117</v>
      </c>
      <c r="E25" t="s">
        <v>117</v>
      </c>
      <c r="F25" t="s">
        <v>21</v>
      </c>
      <c r="G25" t="s">
        <v>22</v>
      </c>
      <c r="H25" t="s">
        <v>23</v>
      </c>
      <c r="I25" t="s">
        <v>41</v>
      </c>
      <c r="J25">
        <v>2007</v>
      </c>
      <c r="K25">
        <v>43698.521897777777</v>
      </c>
      <c r="L25" t="s">
        <v>36</v>
      </c>
      <c r="M25" t="s">
        <v>42</v>
      </c>
      <c r="N25" t="s">
        <v>27</v>
      </c>
      <c r="O25">
        <v>90040</v>
      </c>
      <c r="P25">
        <v>42671.979166666664</v>
      </c>
      <c r="Q25">
        <v>40103.710527581017</v>
      </c>
      <c r="R25">
        <v>25</v>
      </c>
    </row>
    <row r="26" spans="1:18" x14ac:dyDescent="0.25">
      <c r="A26" t="s">
        <v>118</v>
      </c>
      <c r="B26" t="s">
        <v>119</v>
      </c>
      <c r="C26" t="s">
        <v>120</v>
      </c>
      <c r="D26" t="s">
        <v>120</v>
      </c>
      <c r="E26" t="s">
        <v>120</v>
      </c>
      <c r="F26" t="s">
        <v>21</v>
      </c>
      <c r="G26" t="s">
        <v>63</v>
      </c>
      <c r="H26" t="s">
        <v>121</v>
      </c>
      <c r="I26" t="s">
        <v>122</v>
      </c>
      <c r="J26">
        <v>2007</v>
      </c>
      <c r="K26">
        <v>43698.521897777777</v>
      </c>
      <c r="L26" t="s">
        <v>25</v>
      </c>
      <c r="M26" t="s">
        <v>42</v>
      </c>
      <c r="N26" t="s">
        <v>27</v>
      </c>
      <c r="O26">
        <v>10989</v>
      </c>
      <c r="P26">
        <v>40829.400694444441</v>
      </c>
      <c r="Q26">
        <v>40108.796766550928</v>
      </c>
      <c r="R26">
        <v>26</v>
      </c>
    </row>
    <row r="27" spans="1:18" x14ac:dyDescent="0.25">
      <c r="A27" t="s">
        <v>123</v>
      </c>
      <c r="B27" t="s">
        <v>124</v>
      </c>
      <c r="C27" t="s">
        <v>125</v>
      </c>
      <c r="D27" t="s">
        <v>125</v>
      </c>
      <c r="E27" t="s">
        <v>125</v>
      </c>
      <c r="F27" t="s">
        <v>21</v>
      </c>
      <c r="G27" t="s">
        <v>22</v>
      </c>
      <c r="H27" t="s">
        <v>80</v>
      </c>
      <c r="I27" t="s">
        <v>126</v>
      </c>
      <c r="J27">
        <v>2000</v>
      </c>
      <c r="K27">
        <v>43698.521897777777</v>
      </c>
      <c r="L27" t="s">
        <v>36</v>
      </c>
      <c r="M27" t="s">
        <v>26</v>
      </c>
      <c r="N27" t="s">
        <v>27</v>
      </c>
      <c r="O27">
        <v>15633</v>
      </c>
      <c r="P27">
        <v>41060.625</v>
      </c>
      <c r="Q27">
        <v>40112.679511689814</v>
      </c>
      <c r="R27">
        <v>27</v>
      </c>
    </row>
    <row r="28" spans="1:18" x14ac:dyDescent="0.25">
      <c r="A28" t="s">
        <v>127</v>
      </c>
      <c r="B28" t="s">
        <v>128</v>
      </c>
      <c r="C28" t="s">
        <v>129</v>
      </c>
      <c r="D28" t="s">
        <v>129</v>
      </c>
      <c r="E28" t="s">
        <v>129</v>
      </c>
      <c r="F28" t="s">
        <v>21</v>
      </c>
      <c r="G28" t="s">
        <v>22</v>
      </c>
      <c r="H28" t="s">
        <v>23</v>
      </c>
      <c r="I28" t="s">
        <v>59</v>
      </c>
      <c r="J28">
        <v>2007</v>
      </c>
      <c r="K28">
        <v>43698.521897777777</v>
      </c>
      <c r="L28" t="s">
        <v>36</v>
      </c>
      <c r="M28" t="s">
        <v>42</v>
      </c>
      <c r="N28" t="s">
        <v>27</v>
      </c>
      <c r="O28">
        <v>113463</v>
      </c>
      <c r="P28">
        <v>42873.8125</v>
      </c>
      <c r="Q28">
        <v>40121.778441979164</v>
      </c>
      <c r="R28">
        <v>28</v>
      </c>
    </row>
    <row r="29" spans="1:18" x14ac:dyDescent="0.25">
      <c r="A29" t="s">
        <v>130</v>
      </c>
      <c r="B29" t="s">
        <v>131</v>
      </c>
      <c r="C29" t="s">
        <v>132</v>
      </c>
      <c r="D29" t="s">
        <v>132</v>
      </c>
      <c r="E29" t="s">
        <v>132</v>
      </c>
      <c r="F29" t="s">
        <v>91</v>
      </c>
      <c r="G29" t="s">
        <v>63</v>
      </c>
      <c r="H29" t="s">
        <v>53</v>
      </c>
      <c r="I29" t="s">
        <v>41</v>
      </c>
      <c r="J29">
        <v>2001</v>
      </c>
      <c r="K29">
        <v>43698.521897777777</v>
      </c>
      <c r="L29" t="s">
        <v>92</v>
      </c>
      <c r="M29" t="s">
        <v>37</v>
      </c>
      <c r="N29" t="s">
        <v>93</v>
      </c>
      <c r="O29">
        <v>346703</v>
      </c>
      <c r="P29">
        <v>43698.521897777777</v>
      </c>
      <c r="Q29">
        <v>40149.889994247686</v>
      </c>
      <c r="R29">
        <v>29</v>
      </c>
    </row>
    <row r="30" spans="1:18" x14ac:dyDescent="0.25">
      <c r="A30" t="s">
        <v>133</v>
      </c>
      <c r="B30" t="s">
        <v>134</v>
      </c>
      <c r="C30" t="s">
        <v>135</v>
      </c>
      <c r="D30" t="s">
        <v>135</v>
      </c>
      <c r="E30" t="s">
        <v>135</v>
      </c>
      <c r="F30" t="s">
        <v>21</v>
      </c>
      <c r="G30" t="s">
        <v>63</v>
      </c>
      <c r="H30" t="s">
        <v>53</v>
      </c>
      <c r="I30" t="s">
        <v>41</v>
      </c>
      <c r="J30">
        <v>8</v>
      </c>
      <c r="K30">
        <v>43698.521897777777</v>
      </c>
      <c r="L30" t="s">
        <v>25</v>
      </c>
      <c r="M30" t="s">
        <v>42</v>
      </c>
      <c r="N30" t="s">
        <v>27</v>
      </c>
      <c r="Q30">
        <v>40150.58253915509</v>
      </c>
      <c r="R30">
        <v>30</v>
      </c>
    </row>
    <row r="31" spans="1:18" x14ac:dyDescent="0.25">
      <c r="A31" t="s">
        <v>136</v>
      </c>
      <c r="B31" t="s">
        <v>137</v>
      </c>
      <c r="C31" t="s">
        <v>138</v>
      </c>
      <c r="D31" t="s">
        <v>138</v>
      </c>
      <c r="E31" t="s">
        <v>138</v>
      </c>
      <c r="F31" t="s">
        <v>21</v>
      </c>
      <c r="G31" t="s">
        <v>22</v>
      </c>
      <c r="H31" t="s">
        <v>110</v>
      </c>
      <c r="I31" t="s">
        <v>111</v>
      </c>
      <c r="J31">
        <v>2003</v>
      </c>
      <c r="K31">
        <v>43698.521897777777</v>
      </c>
      <c r="L31" t="s">
        <v>36</v>
      </c>
      <c r="M31" t="s">
        <v>42</v>
      </c>
      <c r="N31" t="s">
        <v>27</v>
      </c>
      <c r="O31">
        <v>44304</v>
      </c>
      <c r="P31">
        <v>41953.604166666664</v>
      </c>
      <c r="Q31">
        <v>40164.543501122687</v>
      </c>
      <c r="R31">
        <v>31</v>
      </c>
    </row>
    <row r="32" spans="1:18" x14ac:dyDescent="0.25">
      <c r="A32" t="s">
        <v>139</v>
      </c>
      <c r="B32" t="s">
        <v>140</v>
      </c>
      <c r="C32" t="s">
        <v>141</v>
      </c>
      <c r="D32" t="s">
        <v>141</v>
      </c>
      <c r="E32" t="s">
        <v>141</v>
      </c>
      <c r="F32" t="s">
        <v>21</v>
      </c>
      <c r="G32" t="s">
        <v>63</v>
      </c>
      <c r="H32" t="s">
        <v>25</v>
      </c>
      <c r="I32" t="s">
        <v>142</v>
      </c>
      <c r="K32">
        <v>43698.521897777777</v>
      </c>
      <c r="L32" t="s">
        <v>25</v>
      </c>
      <c r="M32" t="s">
        <v>42</v>
      </c>
      <c r="N32" t="s">
        <v>27</v>
      </c>
      <c r="O32">
        <v>1259</v>
      </c>
      <c r="P32">
        <v>40191.522222222222</v>
      </c>
      <c r="Q32">
        <v>40191.625508020836</v>
      </c>
      <c r="R32">
        <v>32</v>
      </c>
    </row>
    <row r="33" spans="1:18" x14ac:dyDescent="0.25">
      <c r="A33" t="s">
        <v>143</v>
      </c>
      <c r="B33" t="s">
        <v>144</v>
      </c>
      <c r="C33" t="s">
        <v>145</v>
      </c>
      <c r="D33" t="s">
        <v>145</v>
      </c>
      <c r="E33" t="s">
        <v>145</v>
      </c>
      <c r="F33" t="s">
        <v>21</v>
      </c>
      <c r="G33" t="s">
        <v>63</v>
      </c>
      <c r="H33" t="s">
        <v>53</v>
      </c>
      <c r="I33" t="s">
        <v>41</v>
      </c>
      <c r="J33">
        <v>1996</v>
      </c>
      <c r="K33">
        <v>43698.521897777777</v>
      </c>
      <c r="L33" t="s">
        <v>25</v>
      </c>
      <c r="M33" t="s">
        <v>42</v>
      </c>
      <c r="N33" t="s">
        <v>27</v>
      </c>
      <c r="O33">
        <v>3469</v>
      </c>
      <c r="P33">
        <v>40387.729166666664</v>
      </c>
      <c r="Q33">
        <v>40206.633674687502</v>
      </c>
      <c r="R33">
        <v>33</v>
      </c>
    </row>
    <row r="34" spans="1:18" x14ac:dyDescent="0.25">
      <c r="A34" t="s">
        <v>146</v>
      </c>
      <c r="B34" t="s">
        <v>147</v>
      </c>
      <c r="C34" t="s">
        <v>148</v>
      </c>
      <c r="D34" t="s">
        <v>148</v>
      </c>
      <c r="E34" t="s">
        <v>148</v>
      </c>
      <c r="F34" t="s">
        <v>21</v>
      </c>
      <c r="G34" t="s">
        <v>63</v>
      </c>
      <c r="H34" t="s">
        <v>34</v>
      </c>
      <c r="I34" t="s">
        <v>149</v>
      </c>
      <c r="J34">
        <v>2003</v>
      </c>
      <c r="K34">
        <v>43698.521897777777</v>
      </c>
      <c r="L34" t="s">
        <v>25</v>
      </c>
      <c r="M34" t="s">
        <v>42</v>
      </c>
      <c r="N34" t="s">
        <v>27</v>
      </c>
      <c r="O34">
        <v>7503</v>
      </c>
      <c r="P34">
        <v>40654.927083333336</v>
      </c>
      <c r="Q34">
        <v>40219.512742905092</v>
      </c>
      <c r="R34">
        <v>34</v>
      </c>
    </row>
    <row r="35" spans="1:18" x14ac:dyDescent="0.25">
      <c r="A35" t="s">
        <v>150</v>
      </c>
      <c r="B35" t="s">
        <v>151</v>
      </c>
      <c r="C35" t="s">
        <v>152</v>
      </c>
      <c r="D35" t="s">
        <v>152</v>
      </c>
      <c r="E35" t="s">
        <v>152</v>
      </c>
      <c r="F35" t="s">
        <v>21</v>
      </c>
      <c r="G35" t="s">
        <v>22</v>
      </c>
      <c r="H35" t="s">
        <v>80</v>
      </c>
      <c r="I35" t="s">
        <v>153</v>
      </c>
      <c r="J35">
        <v>2007</v>
      </c>
      <c r="K35">
        <v>43698.521897777777</v>
      </c>
      <c r="L35" t="s">
        <v>36</v>
      </c>
      <c r="M35" t="s">
        <v>154</v>
      </c>
      <c r="N35" t="s">
        <v>27</v>
      </c>
      <c r="O35">
        <v>35663</v>
      </c>
      <c r="P35">
        <v>41720.583333333336</v>
      </c>
      <c r="Q35">
        <v>40269.699509722224</v>
      </c>
      <c r="R35">
        <v>35</v>
      </c>
    </row>
    <row r="36" spans="1:18" x14ac:dyDescent="0.25">
      <c r="A36" t="s">
        <v>155</v>
      </c>
      <c r="B36" t="s">
        <v>156</v>
      </c>
      <c r="C36" t="s">
        <v>157</v>
      </c>
      <c r="D36" t="s">
        <v>157</v>
      </c>
      <c r="E36" t="s">
        <v>157</v>
      </c>
      <c r="F36" t="s">
        <v>21</v>
      </c>
      <c r="G36" t="s">
        <v>22</v>
      </c>
      <c r="H36" t="s">
        <v>121</v>
      </c>
      <c r="I36" t="s">
        <v>122</v>
      </c>
      <c r="J36">
        <v>2007</v>
      </c>
      <c r="K36">
        <v>43698.521897777777</v>
      </c>
      <c r="L36" t="s">
        <v>36</v>
      </c>
      <c r="M36" t="s">
        <v>37</v>
      </c>
      <c r="N36" t="s">
        <v>27</v>
      </c>
      <c r="O36">
        <v>118691</v>
      </c>
      <c r="P36">
        <v>42915.714756944442</v>
      </c>
      <c r="Q36">
        <v>40269.700831909722</v>
      </c>
      <c r="R36">
        <v>36</v>
      </c>
    </row>
    <row r="37" spans="1:18" x14ac:dyDescent="0.25">
      <c r="A37" t="s">
        <v>158</v>
      </c>
      <c r="B37" t="s">
        <v>159</v>
      </c>
      <c r="C37" t="s">
        <v>160</v>
      </c>
      <c r="D37" t="s">
        <v>160</v>
      </c>
      <c r="E37" t="s">
        <v>160</v>
      </c>
      <c r="F37" t="s">
        <v>21</v>
      </c>
      <c r="G37" t="s">
        <v>22</v>
      </c>
      <c r="H37" t="s">
        <v>121</v>
      </c>
      <c r="I37" t="s">
        <v>161</v>
      </c>
      <c r="J37">
        <v>2004</v>
      </c>
      <c r="K37">
        <v>43698.521897777777</v>
      </c>
      <c r="L37" t="s">
        <v>36</v>
      </c>
      <c r="M37" t="s">
        <v>42</v>
      </c>
      <c r="N37" t="s">
        <v>27</v>
      </c>
      <c r="O37">
        <v>111960</v>
      </c>
      <c r="P37">
        <v>42864.527557870373</v>
      </c>
      <c r="Q37">
        <v>40269.705212534725</v>
      </c>
      <c r="R37">
        <v>37</v>
      </c>
    </row>
    <row r="38" spans="1:18" x14ac:dyDescent="0.25">
      <c r="A38" t="s">
        <v>162</v>
      </c>
      <c r="B38" t="s">
        <v>163</v>
      </c>
      <c r="C38" t="s">
        <v>164</v>
      </c>
      <c r="D38" t="s">
        <v>164</v>
      </c>
      <c r="E38" t="s">
        <v>164</v>
      </c>
      <c r="F38" t="s">
        <v>21</v>
      </c>
      <c r="G38" t="s">
        <v>63</v>
      </c>
      <c r="H38" t="s">
        <v>53</v>
      </c>
      <c r="I38" t="s">
        <v>41</v>
      </c>
      <c r="J38">
        <v>2006</v>
      </c>
      <c r="K38">
        <v>43698.521897777777</v>
      </c>
      <c r="L38" t="s">
        <v>25</v>
      </c>
      <c r="M38" t="s">
        <v>42</v>
      </c>
      <c r="N38" t="s">
        <v>27</v>
      </c>
      <c r="O38">
        <v>17819</v>
      </c>
      <c r="P38">
        <v>41151.154768518521</v>
      </c>
      <c r="Q38">
        <v>40285.456640277778</v>
      </c>
      <c r="R38">
        <v>38</v>
      </c>
    </row>
    <row r="39" spans="1:18" x14ac:dyDescent="0.25">
      <c r="A39" t="s">
        <v>165</v>
      </c>
      <c r="B39" t="s">
        <v>166</v>
      </c>
      <c r="C39" t="s">
        <v>167</v>
      </c>
      <c r="D39" t="s">
        <v>167</v>
      </c>
      <c r="E39" t="s">
        <v>167</v>
      </c>
      <c r="F39" t="s">
        <v>21</v>
      </c>
      <c r="G39" t="s">
        <v>63</v>
      </c>
      <c r="H39" t="s">
        <v>23</v>
      </c>
      <c r="I39" t="s">
        <v>41</v>
      </c>
      <c r="J39">
        <v>2006</v>
      </c>
      <c r="K39">
        <v>43698.521897777777</v>
      </c>
      <c r="L39" t="s">
        <v>25</v>
      </c>
      <c r="M39" t="s">
        <v>42</v>
      </c>
      <c r="N39" t="s">
        <v>27</v>
      </c>
      <c r="O39">
        <v>7535</v>
      </c>
      <c r="P39">
        <v>40659.126388888886</v>
      </c>
      <c r="Q39">
        <v>40303.575814317126</v>
      </c>
      <c r="R39">
        <v>39</v>
      </c>
    </row>
    <row r="40" spans="1:18" x14ac:dyDescent="0.25">
      <c r="A40" t="s">
        <v>168</v>
      </c>
      <c r="B40" t="s">
        <v>169</v>
      </c>
      <c r="C40" t="s">
        <v>170</v>
      </c>
      <c r="D40" t="s">
        <v>170</v>
      </c>
      <c r="E40" t="s">
        <v>170</v>
      </c>
      <c r="F40" t="s">
        <v>21</v>
      </c>
      <c r="G40" t="s">
        <v>22</v>
      </c>
      <c r="H40" t="s">
        <v>23</v>
      </c>
      <c r="I40" t="s">
        <v>59</v>
      </c>
      <c r="J40">
        <v>2007</v>
      </c>
      <c r="K40">
        <v>43698.521897777777</v>
      </c>
      <c r="L40" t="s">
        <v>67</v>
      </c>
      <c r="M40" t="s">
        <v>154</v>
      </c>
      <c r="N40" t="s">
        <v>27</v>
      </c>
      <c r="O40">
        <v>59965</v>
      </c>
      <c r="P40">
        <v>42269.988842592589</v>
      </c>
      <c r="Q40">
        <v>40308.49531878472</v>
      </c>
      <c r="R40">
        <v>40</v>
      </c>
    </row>
    <row r="41" spans="1:18" x14ac:dyDescent="0.25">
      <c r="A41" t="s">
        <v>171</v>
      </c>
      <c r="B41" t="s">
        <v>172</v>
      </c>
      <c r="C41" t="s">
        <v>173</v>
      </c>
      <c r="D41" t="s">
        <v>173</v>
      </c>
      <c r="E41" t="s">
        <v>173</v>
      </c>
      <c r="F41" t="s">
        <v>21</v>
      </c>
      <c r="G41" t="s">
        <v>22</v>
      </c>
      <c r="H41" t="s">
        <v>23</v>
      </c>
      <c r="I41" t="s">
        <v>59</v>
      </c>
      <c r="J41">
        <v>2007</v>
      </c>
      <c r="K41">
        <v>43698.521897777777</v>
      </c>
      <c r="L41" t="s">
        <v>67</v>
      </c>
      <c r="M41" t="s">
        <v>154</v>
      </c>
      <c r="N41" t="s">
        <v>27</v>
      </c>
      <c r="O41">
        <v>32763</v>
      </c>
      <c r="P41">
        <v>41677.346099537041</v>
      </c>
      <c r="Q41">
        <v>40308.505780208332</v>
      </c>
      <c r="R41">
        <v>41</v>
      </c>
    </row>
    <row r="42" spans="1:18" x14ac:dyDescent="0.25">
      <c r="A42" t="s">
        <v>174</v>
      </c>
      <c r="B42" t="s">
        <v>175</v>
      </c>
      <c r="C42" t="s">
        <v>176</v>
      </c>
      <c r="D42" t="s">
        <v>176</v>
      </c>
      <c r="E42" t="s">
        <v>176</v>
      </c>
      <c r="F42" t="s">
        <v>21</v>
      </c>
      <c r="G42" t="s">
        <v>22</v>
      </c>
      <c r="H42" t="s">
        <v>23</v>
      </c>
      <c r="I42" t="s">
        <v>59</v>
      </c>
      <c r="J42">
        <v>2007</v>
      </c>
      <c r="K42">
        <v>43698.521897777777</v>
      </c>
      <c r="L42" t="s">
        <v>67</v>
      </c>
      <c r="M42" t="s">
        <v>154</v>
      </c>
      <c r="N42" t="s">
        <v>27</v>
      </c>
      <c r="O42">
        <v>64935</v>
      </c>
      <c r="P42">
        <v>42347.84652777778</v>
      </c>
      <c r="Q42">
        <v>40308.508692361109</v>
      </c>
      <c r="R42">
        <v>42</v>
      </c>
    </row>
    <row r="43" spans="1:18" x14ac:dyDescent="0.25">
      <c r="A43" t="s">
        <v>177</v>
      </c>
      <c r="B43" t="s">
        <v>178</v>
      </c>
      <c r="C43" t="s">
        <v>179</v>
      </c>
      <c r="D43" t="s">
        <v>179</v>
      </c>
      <c r="E43" t="s">
        <v>179</v>
      </c>
      <c r="F43" t="s">
        <v>21</v>
      </c>
      <c r="G43" t="s">
        <v>22</v>
      </c>
      <c r="H43" t="s">
        <v>23</v>
      </c>
      <c r="I43" t="s">
        <v>59</v>
      </c>
      <c r="J43">
        <v>2007</v>
      </c>
      <c r="K43">
        <v>43698.521897777777</v>
      </c>
      <c r="L43" t="s">
        <v>67</v>
      </c>
      <c r="M43" t="s">
        <v>154</v>
      </c>
      <c r="N43" t="s">
        <v>27</v>
      </c>
      <c r="O43">
        <v>60172</v>
      </c>
      <c r="P43">
        <v>42280.764999999999</v>
      </c>
      <c r="Q43">
        <v>40308.512189039349</v>
      </c>
      <c r="R43">
        <v>43</v>
      </c>
    </row>
    <row r="44" spans="1:18" x14ac:dyDescent="0.25">
      <c r="A44" t="s">
        <v>180</v>
      </c>
      <c r="B44" t="s">
        <v>181</v>
      </c>
      <c r="C44" t="s">
        <v>182</v>
      </c>
      <c r="D44" t="s">
        <v>182</v>
      </c>
      <c r="E44" t="s">
        <v>182</v>
      </c>
      <c r="F44" t="s">
        <v>21</v>
      </c>
      <c r="G44" t="s">
        <v>63</v>
      </c>
      <c r="H44" t="s">
        <v>53</v>
      </c>
      <c r="I44" t="s">
        <v>25</v>
      </c>
      <c r="J44">
        <v>2000</v>
      </c>
      <c r="K44">
        <v>43698.521897777777</v>
      </c>
      <c r="L44" t="s">
        <v>25</v>
      </c>
      <c r="M44" t="s">
        <v>26</v>
      </c>
      <c r="N44" t="s">
        <v>27</v>
      </c>
      <c r="Q44">
        <v>40344.734733912039</v>
      </c>
      <c r="R44">
        <v>44</v>
      </c>
    </row>
    <row r="45" spans="1:18" x14ac:dyDescent="0.25">
      <c r="A45" t="s">
        <v>183</v>
      </c>
      <c r="B45" t="s">
        <v>184</v>
      </c>
      <c r="C45" t="s">
        <v>185</v>
      </c>
      <c r="D45" t="s">
        <v>185</v>
      </c>
      <c r="E45" t="s">
        <v>185</v>
      </c>
      <c r="F45" t="s">
        <v>21</v>
      </c>
      <c r="G45" t="s">
        <v>22</v>
      </c>
      <c r="H45" t="s">
        <v>25</v>
      </c>
      <c r="I45" t="s">
        <v>25</v>
      </c>
      <c r="K45">
        <v>43698.521897777777</v>
      </c>
      <c r="L45" t="s">
        <v>25</v>
      </c>
      <c r="M45" t="s">
        <v>42</v>
      </c>
      <c r="N45" t="s">
        <v>27</v>
      </c>
      <c r="O45">
        <v>8604</v>
      </c>
      <c r="P45">
        <v>40691.854166666664</v>
      </c>
      <c r="Q45">
        <v>40346.69196851852</v>
      </c>
      <c r="R45">
        <v>45</v>
      </c>
    </row>
    <row r="46" spans="1:18" x14ac:dyDescent="0.25">
      <c r="A46" t="s">
        <v>186</v>
      </c>
      <c r="B46" t="s">
        <v>187</v>
      </c>
      <c r="C46" t="s">
        <v>188</v>
      </c>
      <c r="D46" t="s">
        <v>188</v>
      </c>
      <c r="E46" t="s">
        <v>189</v>
      </c>
      <c r="F46" t="s">
        <v>21</v>
      </c>
      <c r="G46" t="s">
        <v>63</v>
      </c>
      <c r="H46" t="s">
        <v>23</v>
      </c>
      <c r="I46" t="s">
        <v>41</v>
      </c>
      <c r="J46">
        <v>2004</v>
      </c>
      <c r="K46">
        <v>43698.521897777777</v>
      </c>
      <c r="L46" t="s">
        <v>25</v>
      </c>
      <c r="M46" t="s">
        <v>42</v>
      </c>
      <c r="N46" t="s">
        <v>27</v>
      </c>
      <c r="O46">
        <v>3226</v>
      </c>
      <c r="P46">
        <v>40371.525694444441</v>
      </c>
      <c r="Q46">
        <v>40362.488188113428</v>
      </c>
      <c r="R46">
        <v>46</v>
      </c>
    </row>
    <row r="47" spans="1:18" x14ac:dyDescent="0.25">
      <c r="A47" t="s">
        <v>190</v>
      </c>
      <c r="B47" t="s">
        <v>191</v>
      </c>
      <c r="C47" t="s">
        <v>192</v>
      </c>
      <c r="D47" t="s">
        <v>192</v>
      </c>
      <c r="E47" t="s">
        <v>192</v>
      </c>
      <c r="F47" t="s">
        <v>21</v>
      </c>
      <c r="G47" t="s">
        <v>63</v>
      </c>
      <c r="H47" t="s">
        <v>53</v>
      </c>
      <c r="I47" t="s">
        <v>41</v>
      </c>
      <c r="J47">
        <v>2007</v>
      </c>
      <c r="K47">
        <v>43698.521897777777</v>
      </c>
      <c r="L47" t="s">
        <v>193</v>
      </c>
      <c r="M47" t="s">
        <v>42</v>
      </c>
      <c r="N47" t="s">
        <v>27</v>
      </c>
      <c r="O47">
        <v>187110</v>
      </c>
      <c r="P47">
        <v>43250.64702546296</v>
      </c>
      <c r="Q47">
        <v>40367.75691084491</v>
      </c>
      <c r="R47">
        <v>47</v>
      </c>
    </row>
    <row r="48" spans="1:18" x14ac:dyDescent="0.25">
      <c r="A48" t="s">
        <v>194</v>
      </c>
      <c r="B48" t="s">
        <v>195</v>
      </c>
      <c r="C48" t="s">
        <v>196</v>
      </c>
      <c r="D48" t="s">
        <v>196</v>
      </c>
      <c r="E48" t="s">
        <v>196</v>
      </c>
      <c r="F48" t="s">
        <v>21</v>
      </c>
      <c r="G48" t="s">
        <v>22</v>
      </c>
      <c r="H48" t="s">
        <v>23</v>
      </c>
      <c r="I48" t="s">
        <v>59</v>
      </c>
      <c r="J48">
        <v>2006</v>
      </c>
      <c r="K48">
        <v>43698.521897777777</v>
      </c>
      <c r="L48" t="s">
        <v>67</v>
      </c>
      <c r="M48" t="s">
        <v>154</v>
      </c>
      <c r="N48" t="s">
        <v>27</v>
      </c>
      <c r="O48">
        <v>69815</v>
      </c>
      <c r="P48">
        <v>42426.43582175926</v>
      </c>
      <c r="Q48">
        <v>40380.836335844906</v>
      </c>
      <c r="R48">
        <v>48</v>
      </c>
    </row>
    <row r="49" spans="1:18" x14ac:dyDescent="0.25">
      <c r="A49" t="s">
        <v>197</v>
      </c>
      <c r="B49" t="s">
        <v>198</v>
      </c>
      <c r="C49" t="s">
        <v>199</v>
      </c>
      <c r="D49" t="s">
        <v>199</v>
      </c>
      <c r="E49" t="s">
        <v>199</v>
      </c>
      <c r="F49" t="s">
        <v>21</v>
      </c>
      <c r="G49" t="s">
        <v>22</v>
      </c>
      <c r="H49" t="s">
        <v>23</v>
      </c>
      <c r="I49" t="s">
        <v>59</v>
      </c>
      <c r="J49">
        <v>2006</v>
      </c>
      <c r="K49">
        <v>43698.521897777777</v>
      </c>
      <c r="L49" t="s">
        <v>67</v>
      </c>
      <c r="M49" t="s">
        <v>154</v>
      </c>
      <c r="N49" t="s">
        <v>27</v>
      </c>
      <c r="O49">
        <v>84701</v>
      </c>
      <c r="P49">
        <v>42621.406446759262</v>
      </c>
      <c r="Q49">
        <v>40393.783584525459</v>
      </c>
      <c r="R49">
        <v>49</v>
      </c>
    </row>
    <row r="50" spans="1:18" x14ac:dyDescent="0.25">
      <c r="A50" t="s">
        <v>200</v>
      </c>
      <c r="B50" t="s">
        <v>201</v>
      </c>
      <c r="C50" t="s">
        <v>202</v>
      </c>
      <c r="D50" t="s">
        <v>202</v>
      </c>
      <c r="E50" t="s">
        <v>202</v>
      </c>
      <c r="F50" t="s">
        <v>21</v>
      </c>
      <c r="G50" t="s">
        <v>22</v>
      </c>
      <c r="H50" t="s">
        <v>23</v>
      </c>
      <c r="I50" t="s">
        <v>59</v>
      </c>
      <c r="J50">
        <v>2006</v>
      </c>
      <c r="K50">
        <v>43698.521897777777</v>
      </c>
      <c r="L50" t="s">
        <v>67</v>
      </c>
      <c r="M50" t="s">
        <v>154</v>
      </c>
      <c r="N50" t="s">
        <v>27</v>
      </c>
      <c r="O50">
        <v>89438</v>
      </c>
      <c r="P50">
        <v>42669.568055555559</v>
      </c>
      <c r="Q50">
        <v>40397.51692800926</v>
      </c>
      <c r="R50">
        <v>50</v>
      </c>
    </row>
    <row r="51" spans="1:18" x14ac:dyDescent="0.25">
      <c r="A51" t="s">
        <v>203</v>
      </c>
      <c r="B51" t="s">
        <v>204</v>
      </c>
      <c r="C51" t="s">
        <v>205</v>
      </c>
      <c r="D51" t="s">
        <v>205</v>
      </c>
      <c r="E51" t="s">
        <v>205</v>
      </c>
      <c r="F51" t="s">
        <v>21</v>
      </c>
      <c r="G51" t="s">
        <v>22</v>
      </c>
      <c r="H51" t="s">
        <v>23</v>
      </c>
      <c r="I51" t="s">
        <v>59</v>
      </c>
      <c r="J51">
        <v>2006</v>
      </c>
      <c r="K51">
        <v>43698.521897777777</v>
      </c>
      <c r="L51" t="s">
        <v>67</v>
      </c>
      <c r="M51" t="s">
        <v>154</v>
      </c>
      <c r="N51" t="s">
        <v>27</v>
      </c>
      <c r="O51">
        <v>89339</v>
      </c>
      <c r="P51">
        <v>42670.686805555553</v>
      </c>
      <c r="Q51">
        <v>40400.676464236109</v>
      </c>
      <c r="R51">
        <v>51</v>
      </c>
    </row>
    <row r="52" spans="1:18" x14ac:dyDescent="0.25">
      <c r="A52" t="s">
        <v>206</v>
      </c>
      <c r="B52" t="s">
        <v>207</v>
      </c>
      <c r="C52" t="s">
        <v>208</v>
      </c>
      <c r="D52" t="s">
        <v>208</v>
      </c>
      <c r="E52" t="s">
        <v>208</v>
      </c>
      <c r="F52" t="s">
        <v>21</v>
      </c>
      <c r="G52" t="s">
        <v>63</v>
      </c>
      <c r="H52" t="s">
        <v>53</v>
      </c>
      <c r="I52" t="s">
        <v>41</v>
      </c>
      <c r="J52">
        <v>2004</v>
      </c>
      <c r="K52">
        <v>43698.521897777777</v>
      </c>
      <c r="L52" t="s">
        <v>193</v>
      </c>
      <c r="M52" t="s">
        <v>42</v>
      </c>
      <c r="N52" t="s">
        <v>27</v>
      </c>
      <c r="O52">
        <v>186628</v>
      </c>
      <c r="P52">
        <v>43250.199305555558</v>
      </c>
      <c r="Q52">
        <v>40400.87642403935</v>
      </c>
      <c r="R52">
        <v>52</v>
      </c>
    </row>
    <row r="53" spans="1:18" x14ac:dyDescent="0.25">
      <c r="A53" t="s">
        <v>209</v>
      </c>
      <c r="B53" t="s">
        <v>210</v>
      </c>
      <c r="C53" t="s">
        <v>211</v>
      </c>
      <c r="D53" t="s">
        <v>211</v>
      </c>
      <c r="E53" t="s">
        <v>211</v>
      </c>
      <c r="F53" t="s">
        <v>21</v>
      </c>
      <c r="G53" t="s">
        <v>22</v>
      </c>
      <c r="H53" t="s">
        <v>23</v>
      </c>
      <c r="I53" t="s">
        <v>59</v>
      </c>
      <c r="J53">
        <v>2006</v>
      </c>
      <c r="K53">
        <v>43698.521897777777</v>
      </c>
      <c r="L53" t="s">
        <v>67</v>
      </c>
      <c r="M53" t="s">
        <v>154</v>
      </c>
      <c r="N53" t="s">
        <v>27</v>
      </c>
      <c r="O53">
        <v>56218</v>
      </c>
      <c r="P53">
        <v>42205.036631944444</v>
      </c>
      <c r="Q53">
        <v>40403.513195405096</v>
      </c>
      <c r="R53">
        <v>53</v>
      </c>
    </row>
    <row r="54" spans="1:18" x14ac:dyDescent="0.25">
      <c r="A54" t="s">
        <v>212</v>
      </c>
      <c r="B54" t="s">
        <v>213</v>
      </c>
      <c r="C54" t="s">
        <v>214</v>
      </c>
      <c r="D54" t="s">
        <v>214</v>
      </c>
      <c r="E54" t="s">
        <v>214</v>
      </c>
      <c r="F54" t="s">
        <v>21</v>
      </c>
      <c r="G54" t="s">
        <v>22</v>
      </c>
      <c r="H54" t="s">
        <v>23</v>
      </c>
      <c r="I54" t="s">
        <v>59</v>
      </c>
      <c r="J54">
        <v>2006</v>
      </c>
      <c r="K54">
        <v>43698.521897777777</v>
      </c>
      <c r="L54" t="s">
        <v>67</v>
      </c>
      <c r="M54" t="s">
        <v>42</v>
      </c>
      <c r="N54" t="s">
        <v>27</v>
      </c>
      <c r="O54">
        <v>32845</v>
      </c>
      <c r="P54">
        <v>41676.362500000003</v>
      </c>
      <c r="Q54">
        <v>40404.732759641207</v>
      </c>
      <c r="R54">
        <v>54</v>
      </c>
    </row>
    <row r="55" spans="1:18" x14ac:dyDescent="0.25">
      <c r="A55" t="s">
        <v>215</v>
      </c>
      <c r="B55" t="s">
        <v>216</v>
      </c>
      <c r="C55" t="s">
        <v>217</v>
      </c>
      <c r="D55" t="s">
        <v>217</v>
      </c>
      <c r="E55" t="s">
        <v>217</v>
      </c>
      <c r="F55" t="s">
        <v>21</v>
      </c>
      <c r="G55" t="s">
        <v>63</v>
      </c>
      <c r="H55" t="s">
        <v>23</v>
      </c>
      <c r="I55" t="s">
        <v>59</v>
      </c>
      <c r="J55">
        <v>2006</v>
      </c>
      <c r="K55">
        <v>43698.521897777777</v>
      </c>
      <c r="L55" t="s">
        <v>67</v>
      </c>
      <c r="M55" t="s">
        <v>154</v>
      </c>
      <c r="N55" t="s">
        <v>27</v>
      </c>
      <c r="O55">
        <v>42021</v>
      </c>
      <c r="P55">
        <v>41902.40457175926</v>
      </c>
      <c r="Q55">
        <v>40404.734634837965</v>
      </c>
      <c r="R55">
        <v>55</v>
      </c>
    </row>
    <row r="56" spans="1:18" x14ac:dyDescent="0.25">
      <c r="A56" t="s">
        <v>218</v>
      </c>
      <c r="B56" t="s">
        <v>219</v>
      </c>
      <c r="C56" t="s">
        <v>220</v>
      </c>
      <c r="D56" t="s">
        <v>220</v>
      </c>
      <c r="E56" t="s">
        <v>220</v>
      </c>
      <c r="F56" t="s">
        <v>21</v>
      </c>
      <c r="G56" t="s">
        <v>63</v>
      </c>
      <c r="H56" t="s">
        <v>23</v>
      </c>
      <c r="I56" t="s">
        <v>221</v>
      </c>
      <c r="J56">
        <v>1999</v>
      </c>
      <c r="K56">
        <v>43698.521897777777</v>
      </c>
      <c r="L56" t="s">
        <v>25</v>
      </c>
      <c r="M56" t="s">
        <v>42</v>
      </c>
      <c r="N56" t="s">
        <v>27</v>
      </c>
      <c r="O56">
        <v>27601</v>
      </c>
      <c r="P56">
        <v>41514.90625</v>
      </c>
      <c r="Q56">
        <v>40407.564745254633</v>
      </c>
      <c r="R56">
        <v>56</v>
      </c>
    </row>
    <row r="57" spans="1:18" x14ac:dyDescent="0.25">
      <c r="A57" t="s">
        <v>222</v>
      </c>
      <c r="B57" t="s">
        <v>223</v>
      </c>
      <c r="C57" t="s">
        <v>224</v>
      </c>
      <c r="D57" t="s">
        <v>224</v>
      </c>
      <c r="E57" t="s">
        <v>224</v>
      </c>
      <c r="F57" t="s">
        <v>21</v>
      </c>
      <c r="G57" t="s">
        <v>63</v>
      </c>
      <c r="H57" t="s">
        <v>34</v>
      </c>
      <c r="I57" t="s">
        <v>225</v>
      </c>
      <c r="J57">
        <v>2009</v>
      </c>
      <c r="K57">
        <v>43698.521897777777</v>
      </c>
      <c r="L57" t="s">
        <v>25</v>
      </c>
      <c r="M57" t="s">
        <v>42</v>
      </c>
      <c r="N57" t="s">
        <v>27</v>
      </c>
      <c r="O57">
        <v>13730</v>
      </c>
      <c r="P57">
        <v>40976.658333333333</v>
      </c>
      <c r="Q57">
        <v>40408.360472800923</v>
      </c>
      <c r="R57">
        <v>57</v>
      </c>
    </row>
    <row r="58" spans="1:18" x14ac:dyDescent="0.25">
      <c r="A58" t="s">
        <v>226</v>
      </c>
      <c r="B58" t="s">
        <v>227</v>
      </c>
      <c r="C58" t="s">
        <v>228</v>
      </c>
      <c r="D58" t="s">
        <v>228</v>
      </c>
      <c r="E58" t="s">
        <v>228</v>
      </c>
      <c r="F58" t="s">
        <v>21</v>
      </c>
      <c r="G58" t="s">
        <v>63</v>
      </c>
      <c r="H58" t="s">
        <v>23</v>
      </c>
      <c r="I58" t="s">
        <v>229</v>
      </c>
      <c r="J58">
        <v>2004</v>
      </c>
      <c r="K58">
        <v>43698.521897777777</v>
      </c>
      <c r="L58" t="s">
        <v>25</v>
      </c>
      <c r="M58" t="s">
        <v>42</v>
      </c>
      <c r="N58" t="s">
        <v>27</v>
      </c>
      <c r="O58">
        <v>38609</v>
      </c>
      <c r="P58">
        <v>41817.630972222221</v>
      </c>
      <c r="Q58">
        <v>40422.557174189817</v>
      </c>
      <c r="R58">
        <v>59</v>
      </c>
    </row>
    <row r="59" spans="1:18" x14ac:dyDescent="0.25">
      <c r="A59" t="s">
        <v>230</v>
      </c>
      <c r="B59" t="s">
        <v>231</v>
      </c>
      <c r="C59" t="s">
        <v>232</v>
      </c>
      <c r="D59" t="s">
        <v>232</v>
      </c>
      <c r="E59" t="s">
        <v>232</v>
      </c>
      <c r="F59" t="s">
        <v>21</v>
      </c>
      <c r="G59" t="s">
        <v>63</v>
      </c>
      <c r="H59" t="s">
        <v>53</v>
      </c>
      <c r="I59" t="s">
        <v>41</v>
      </c>
      <c r="J59">
        <v>2007</v>
      </c>
      <c r="K59">
        <v>43698.521897777777</v>
      </c>
      <c r="L59" t="s">
        <v>25</v>
      </c>
      <c r="M59" t="s">
        <v>26</v>
      </c>
      <c r="N59" t="s">
        <v>27</v>
      </c>
      <c r="O59">
        <v>23944</v>
      </c>
      <c r="P59">
        <v>41394.288888888892</v>
      </c>
      <c r="Q59">
        <v>40458.778205358794</v>
      </c>
      <c r="R59">
        <v>60</v>
      </c>
    </row>
    <row r="60" spans="1:18" x14ac:dyDescent="0.25">
      <c r="A60" t="s">
        <v>233</v>
      </c>
      <c r="B60" t="s">
        <v>234</v>
      </c>
      <c r="C60" t="s">
        <v>235</v>
      </c>
      <c r="D60" t="s">
        <v>235</v>
      </c>
      <c r="E60" t="s">
        <v>235</v>
      </c>
      <c r="F60" t="s">
        <v>21</v>
      </c>
      <c r="G60" t="s">
        <v>63</v>
      </c>
      <c r="H60" t="s">
        <v>236</v>
      </c>
      <c r="I60" t="s">
        <v>237</v>
      </c>
      <c r="J60">
        <v>2004</v>
      </c>
      <c r="K60">
        <v>43698.521897777777</v>
      </c>
      <c r="L60" t="s">
        <v>25</v>
      </c>
      <c r="M60" t="s">
        <v>42</v>
      </c>
      <c r="N60" t="s">
        <v>27</v>
      </c>
      <c r="Q60">
        <v>40460.692810416665</v>
      </c>
      <c r="R60">
        <v>61</v>
      </c>
    </row>
    <row r="61" spans="1:18" x14ac:dyDescent="0.25">
      <c r="A61" t="s">
        <v>238</v>
      </c>
      <c r="B61" t="s">
        <v>239</v>
      </c>
      <c r="C61" t="s">
        <v>240</v>
      </c>
      <c r="D61" t="s">
        <v>240</v>
      </c>
      <c r="E61" t="s">
        <v>240</v>
      </c>
      <c r="F61" t="s">
        <v>21</v>
      </c>
      <c r="G61" t="s">
        <v>63</v>
      </c>
      <c r="H61" t="s">
        <v>34</v>
      </c>
      <c r="I61" t="s">
        <v>35</v>
      </c>
      <c r="J61">
        <v>2007</v>
      </c>
      <c r="K61">
        <v>43698.521897777777</v>
      </c>
      <c r="L61" t="s">
        <v>25</v>
      </c>
      <c r="M61" t="s">
        <v>26</v>
      </c>
      <c r="N61" t="s">
        <v>27</v>
      </c>
      <c r="O61">
        <v>15133</v>
      </c>
      <c r="P61">
        <v>41039.635416666664</v>
      </c>
      <c r="Q61">
        <v>40464.858279976848</v>
      </c>
      <c r="R61">
        <v>62</v>
      </c>
    </row>
    <row r="62" spans="1:18" x14ac:dyDescent="0.25">
      <c r="A62" t="s">
        <v>241</v>
      </c>
      <c r="B62" t="s">
        <v>242</v>
      </c>
      <c r="C62" t="s">
        <v>243</v>
      </c>
      <c r="D62" t="s">
        <v>243</v>
      </c>
      <c r="E62" t="s">
        <v>243</v>
      </c>
      <c r="F62" t="s">
        <v>21</v>
      </c>
      <c r="G62" t="s">
        <v>63</v>
      </c>
      <c r="H62" t="s">
        <v>34</v>
      </c>
      <c r="I62" t="s">
        <v>35</v>
      </c>
      <c r="J62">
        <v>2005</v>
      </c>
      <c r="K62">
        <v>43698.521897777777</v>
      </c>
      <c r="L62" t="s">
        <v>25</v>
      </c>
      <c r="M62" t="s">
        <v>26</v>
      </c>
      <c r="N62" t="s">
        <v>27</v>
      </c>
      <c r="O62">
        <v>6483</v>
      </c>
      <c r="P62">
        <v>40599.015277777777</v>
      </c>
      <c r="Q62">
        <v>40473.770460729167</v>
      </c>
      <c r="R62">
        <v>63</v>
      </c>
    </row>
    <row r="63" spans="1:18" x14ac:dyDescent="0.25">
      <c r="A63" t="s">
        <v>244</v>
      </c>
      <c r="B63" t="s">
        <v>245</v>
      </c>
      <c r="C63" t="s">
        <v>246</v>
      </c>
      <c r="D63" t="s">
        <v>246</v>
      </c>
      <c r="E63" t="s">
        <v>246</v>
      </c>
      <c r="F63" t="s">
        <v>21</v>
      </c>
      <c r="G63" t="s">
        <v>22</v>
      </c>
      <c r="H63" t="s">
        <v>110</v>
      </c>
      <c r="I63" t="s">
        <v>111</v>
      </c>
      <c r="J63">
        <v>2005</v>
      </c>
      <c r="K63">
        <v>43698.521897777777</v>
      </c>
      <c r="L63" t="s">
        <v>36</v>
      </c>
      <c r="M63" t="s">
        <v>26</v>
      </c>
      <c r="N63" t="s">
        <v>27</v>
      </c>
      <c r="O63">
        <v>44314</v>
      </c>
      <c r="P63">
        <v>41953.697916666664</v>
      </c>
      <c r="Q63">
        <v>40484.494440277776</v>
      </c>
      <c r="R63">
        <v>64</v>
      </c>
    </row>
    <row r="64" spans="1:18" x14ac:dyDescent="0.25">
      <c r="A64" t="s">
        <v>247</v>
      </c>
      <c r="B64" t="s">
        <v>248</v>
      </c>
      <c r="C64" t="s">
        <v>249</v>
      </c>
      <c r="D64" t="s">
        <v>249</v>
      </c>
      <c r="E64" t="s">
        <v>249</v>
      </c>
      <c r="F64" t="s">
        <v>21</v>
      </c>
      <c r="G64" t="s">
        <v>63</v>
      </c>
      <c r="H64" t="s">
        <v>23</v>
      </c>
      <c r="I64" t="s">
        <v>41</v>
      </c>
      <c r="J64">
        <v>2005</v>
      </c>
      <c r="K64">
        <v>43698.521897777777</v>
      </c>
      <c r="L64" t="s">
        <v>25</v>
      </c>
      <c r="M64" t="s">
        <v>26</v>
      </c>
      <c r="N64" t="s">
        <v>27</v>
      </c>
      <c r="O64">
        <v>26493</v>
      </c>
      <c r="P64">
        <v>41479.882638888892</v>
      </c>
      <c r="Q64">
        <v>40489.517028784721</v>
      </c>
      <c r="R64">
        <v>65</v>
      </c>
    </row>
    <row r="65" spans="1:18" x14ac:dyDescent="0.25">
      <c r="A65" t="s">
        <v>250</v>
      </c>
      <c r="B65" t="s">
        <v>251</v>
      </c>
      <c r="C65" t="s">
        <v>252</v>
      </c>
      <c r="D65" t="s">
        <v>252</v>
      </c>
      <c r="E65" t="s">
        <v>252</v>
      </c>
      <c r="F65" t="s">
        <v>253</v>
      </c>
      <c r="G65" t="s">
        <v>63</v>
      </c>
      <c r="H65" t="s">
        <v>53</v>
      </c>
      <c r="I65" t="s">
        <v>41</v>
      </c>
      <c r="J65">
        <v>2007</v>
      </c>
      <c r="K65">
        <v>43698.521897777777</v>
      </c>
      <c r="L65" t="s">
        <v>193</v>
      </c>
      <c r="M65" t="s">
        <v>26</v>
      </c>
      <c r="N65" t="s">
        <v>254</v>
      </c>
      <c r="O65">
        <v>345415</v>
      </c>
      <c r="P65">
        <v>43698.521897777777</v>
      </c>
      <c r="Q65">
        <v>40497.627821643517</v>
      </c>
      <c r="R65">
        <v>66</v>
      </c>
    </row>
    <row r="66" spans="1:18" x14ac:dyDescent="0.25">
      <c r="A66" t="s">
        <v>255</v>
      </c>
      <c r="B66" t="s">
        <v>256</v>
      </c>
      <c r="C66" t="s">
        <v>257</v>
      </c>
      <c r="D66" t="s">
        <v>257</v>
      </c>
      <c r="E66" t="s">
        <v>257</v>
      </c>
      <c r="F66" t="s">
        <v>21</v>
      </c>
      <c r="G66" t="s">
        <v>63</v>
      </c>
      <c r="H66" t="s">
        <v>23</v>
      </c>
      <c r="I66" t="s">
        <v>41</v>
      </c>
      <c r="J66">
        <v>2006</v>
      </c>
      <c r="K66">
        <v>43698.521897777777</v>
      </c>
      <c r="L66" t="s">
        <v>25</v>
      </c>
      <c r="M66" t="s">
        <v>26</v>
      </c>
      <c r="N66" t="s">
        <v>27</v>
      </c>
      <c r="O66">
        <v>7477</v>
      </c>
      <c r="P66">
        <v>40654.429861111108</v>
      </c>
      <c r="Q66">
        <v>40509.619963969904</v>
      </c>
      <c r="R66">
        <v>67</v>
      </c>
    </row>
    <row r="67" spans="1:18" x14ac:dyDescent="0.25">
      <c r="A67" t="s">
        <v>258</v>
      </c>
      <c r="B67" t="s">
        <v>259</v>
      </c>
      <c r="C67" t="s">
        <v>260</v>
      </c>
      <c r="D67" t="s">
        <v>260</v>
      </c>
      <c r="E67" t="s">
        <v>260</v>
      </c>
      <c r="F67" t="s">
        <v>21</v>
      </c>
      <c r="G67" t="s">
        <v>63</v>
      </c>
      <c r="H67" t="s">
        <v>53</v>
      </c>
      <c r="I67" t="s">
        <v>41</v>
      </c>
      <c r="J67">
        <v>2007</v>
      </c>
      <c r="K67">
        <v>43698.521897777777</v>
      </c>
      <c r="L67" t="s">
        <v>25</v>
      </c>
      <c r="M67" t="s">
        <v>26</v>
      </c>
      <c r="N67" t="s">
        <v>27</v>
      </c>
      <c r="O67">
        <v>12484</v>
      </c>
      <c r="P67">
        <v>40905.904861111114</v>
      </c>
      <c r="Q67">
        <v>40602.73392392361</v>
      </c>
      <c r="R67">
        <v>68</v>
      </c>
    </row>
    <row r="68" spans="1:18" x14ac:dyDescent="0.25">
      <c r="A68" t="s">
        <v>261</v>
      </c>
      <c r="B68" t="s">
        <v>262</v>
      </c>
      <c r="C68" t="s">
        <v>263</v>
      </c>
      <c r="D68" t="s">
        <v>263</v>
      </c>
      <c r="E68" t="s">
        <v>263</v>
      </c>
      <c r="F68" t="s">
        <v>21</v>
      </c>
      <c r="G68" t="s">
        <v>63</v>
      </c>
      <c r="H68" t="s">
        <v>53</v>
      </c>
      <c r="I68" t="s">
        <v>41</v>
      </c>
      <c r="J68">
        <v>2004</v>
      </c>
      <c r="K68">
        <v>43698.521897777777</v>
      </c>
      <c r="L68" t="s">
        <v>25</v>
      </c>
      <c r="M68" t="s">
        <v>26</v>
      </c>
      <c r="N68" t="s">
        <v>27</v>
      </c>
      <c r="O68">
        <v>6985</v>
      </c>
      <c r="P68">
        <v>40627.279166666667</v>
      </c>
      <c r="Q68">
        <v>40605.663284803239</v>
      </c>
      <c r="R68">
        <v>69</v>
      </c>
    </row>
    <row r="69" spans="1:18" x14ac:dyDescent="0.25">
      <c r="A69" t="s">
        <v>264</v>
      </c>
      <c r="B69" t="s">
        <v>265</v>
      </c>
      <c r="C69" t="s">
        <v>266</v>
      </c>
      <c r="D69" t="s">
        <v>266</v>
      </c>
      <c r="E69" t="s">
        <v>266</v>
      </c>
      <c r="F69" t="s">
        <v>21</v>
      </c>
      <c r="G69" t="s">
        <v>63</v>
      </c>
      <c r="H69" t="s">
        <v>34</v>
      </c>
      <c r="I69" t="s">
        <v>35</v>
      </c>
      <c r="J69">
        <v>2007</v>
      </c>
      <c r="K69">
        <v>43698.521897777777</v>
      </c>
      <c r="L69" t="s">
        <v>25</v>
      </c>
      <c r="M69" t="s">
        <v>42</v>
      </c>
      <c r="N69" t="s">
        <v>27</v>
      </c>
      <c r="O69">
        <v>9101</v>
      </c>
      <c r="P69">
        <v>40737.709155092591</v>
      </c>
      <c r="Q69">
        <v>40654.763701192132</v>
      </c>
      <c r="R69">
        <v>70</v>
      </c>
    </row>
    <row r="70" spans="1:18" x14ac:dyDescent="0.25">
      <c r="A70" t="s">
        <v>267</v>
      </c>
      <c r="B70" t="s">
        <v>268</v>
      </c>
      <c r="C70" t="s">
        <v>269</v>
      </c>
      <c r="D70" t="s">
        <v>269</v>
      </c>
      <c r="E70" t="s">
        <v>269</v>
      </c>
      <c r="F70" t="s">
        <v>21</v>
      </c>
      <c r="G70" t="s">
        <v>63</v>
      </c>
      <c r="H70" t="s">
        <v>236</v>
      </c>
      <c r="I70" t="s">
        <v>41</v>
      </c>
      <c r="J70">
        <v>2005</v>
      </c>
      <c r="K70">
        <v>43698.521897777777</v>
      </c>
      <c r="L70" t="s">
        <v>25</v>
      </c>
      <c r="M70" t="s">
        <v>42</v>
      </c>
      <c r="N70" t="s">
        <v>27</v>
      </c>
      <c r="O70">
        <v>25877</v>
      </c>
      <c r="P70">
        <v>41459.434027777781</v>
      </c>
      <c r="Q70">
        <v>40676.750669293979</v>
      </c>
      <c r="R70">
        <v>71</v>
      </c>
    </row>
    <row r="71" spans="1:18" x14ac:dyDescent="0.25">
      <c r="A71" t="s">
        <v>270</v>
      </c>
      <c r="B71" t="s">
        <v>271</v>
      </c>
      <c r="C71" t="s">
        <v>272</v>
      </c>
      <c r="D71" t="s">
        <v>272</v>
      </c>
      <c r="E71" t="s">
        <v>272</v>
      </c>
      <c r="F71" t="s">
        <v>21</v>
      </c>
      <c r="G71" t="s">
        <v>63</v>
      </c>
      <c r="H71" t="s">
        <v>34</v>
      </c>
      <c r="I71" t="s">
        <v>35</v>
      </c>
      <c r="J71">
        <v>2007</v>
      </c>
      <c r="K71">
        <v>43698.521897777777</v>
      </c>
      <c r="L71" t="s">
        <v>25</v>
      </c>
      <c r="M71" t="s">
        <v>42</v>
      </c>
      <c r="N71" t="s">
        <v>27</v>
      </c>
      <c r="O71">
        <v>9119</v>
      </c>
      <c r="P71">
        <v>40737.883020833331</v>
      </c>
      <c r="Q71">
        <v>40723.825159143518</v>
      </c>
      <c r="R71">
        <v>72</v>
      </c>
    </row>
    <row r="72" spans="1:18" x14ac:dyDescent="0.25">
      <c r="A72" t="s">
        <v>273</v>
      </c>
      <c r="B72" t="s">
        <v>274</v>
      </c>
      <c r="C72" t="s">
        <v>275</v>
      </c>
      <c r="D72" t="s">
        <v>275</v>
      </c>
      <c r="E72" t="s">
        <v>275</v>
      </c>
      <c r="F72" t="s">
        <v>21</v>
      </c>
      <c r="G72" t="s">
        <v>63</v>
      </c>
      <c r="H72" t="s">
        <v>53</v>
      </c>
      <c r="I72" t="s">
        <v>41</v>
      </c>
      <c r="J72">
        <v>2005</v>
      </c>
      <c r="K72">
        <v>43698.521897777777</v>
      </c>
      <c r="L72" t="s">
        <v>25</v>
      </c>
      <c r="M72" t="s">
        <v>42</v>
      </c>
      <c r="N72" t="s">
        <v>27</v>
      </c>
      <c r="O72">
        <v>11716</v>
      </c>
      <c r="P72">
        <v>40867.545138888891</v>
      </c>
      <c r="Q72">
        <v>40728.669068287039</v>
      </c>
      <c r="R72">
        <v>73</v>
      </c>
    </row>
    <row r="73" spans="1:18" x14ac:dyDescent="0.25">
      <c r="A73" t="s">
        <v>276</v>
      </c>
      <c r="B73" t="s">
        <v>277</v>
      </c>
      <c r="C73" t="s">
        <v>278</v>
      </c>
      <c r="D73" t="s">
        <v>278</v>
      </c>
      <c r="E73" t="s">
        <v>278</v>
      </c>
      <c r="F73" t="s">
        <v>21</v>
      </c>
      <c r="G73" t="s">
        <v>63</v>
      </c>
      <c r="H73" t="s">
        <v>53</v>
      </c>
      <c r="I73" t="s">
        <v>41</v>
      </c>
      <c r="J73">
        <v>2006</v>
      </c>
      <c r="K73">
        <v>43698.521897777777</v>
      </c>
      <c r="L73" t="s">
        <v>25</v>
      </c>
      <c r="M73" t="s">
        <v>42</v>
      </c>
      <c r="N73" t="s">
        <v>27</v>
      </c>
      <c r="O73">
        <v>23080</v>
      </c>
      <c r="P73">
        <v>41361.137499999997</v>
      </c>
      <c r="Q73">
        <v>40728.671737037039</v>
      </c>
      <c r="R73">
        <v>74</v>
      </c>
    </row>
    <row r="74" spans="1:18" x14ac:dyDescent="0.25">
      <c r="A74" t="s">
        <v>279</v>
      </c>
      <c r="B74" t="s">
        <v>280</v>
      </c>
      <c r="C74" t="s">
        <v>281</v>
      </c>
      <c r="D74" t="s">
        <v>281</v>
      </c>
      <c r="E74" t="s">
        <v>281</v>
      </c>
      <c r="F74" t="s">
        <v>21</v>
      </c>
      <c r="G74" t="s">
        <v>22</v>
      </c>
      <c r="H74" t="s">
        <v>53</v>
      </c>
      <c r="I74" t="s">
        <v>282</v>
      </c>
      <c r="J74">
        <v>2007</v>
      </c>
      <c r="K74">
        <v>43698.521897777777</v>
      </c>
      <c r="L74" t="s">
        <v>283</v>
      </c>
      <c r="M74" t="s">
        <v>154</v>
      </c>
      <c r="N74" t="s">
        <v>27</v>
      </c>
      <c r="O74">
        <v>27292</v>
      </c>
      <c r="P74">
        <v>41509.913194444445</v>
      </c>
      <c r="Q74">
        <v>40742.610787534722</v>
      </c>
      <c r="R74">
        <v>75</v>
      </c>
    </row>
    <row r="75" spans="1:18" x14ac:dyDescent="0.25">
      <c r="A75" t="s">
        <v>284</v>
      </c>
      <c r="B75" t="s">
        <v>285</v>
      </c>
      <c r="C75" t="s">
        <v>286</v>
      </c>
      <c r="D75" t="s">
        <v>286</v>
      </c>
      <c r="E75" t="s">
        <v>286</v>
      </c>
      <c r="F75" t="s">
        <v>21</v>
      </c>
      <c r="G75" t="s">
        <v>22</v>
      </c>
      <c r="H75" t="s">
        <v>53</v>
      </c>
      <c r="I75" t="s">
        <v>282</v>
      </c>
      <c r="J75">
        <v>2007</v>
      </c>
      <c r="K75">
        <v>43698.521897777777</v>
      </c>
      <c r="L75" t="s">
        <v>283</v>
      </c>
      <c r="M75" t="s">
        <v>154</v>
      </c>
      <c r="N75" t="s">
        <v>27</v>
      </c>
      <c r="O75">
        <v>74239</v>
      </c>
      <c r="P75">
        <v>42489.497060185182</v>
      </c>
      <c r="Q75">
        <v>40742.618721030092</v>
      </c>
      <c r="R75">
        <v>76</v>
      </c>
    </row>
    <row r="76" spans="1:18" x14ac:dyDescent="0.25">
      <c r="A76" t="s">
        <v>287</v>
      </c>
      <c r="B76" t="s">
        <v>288</v>
      </c>
      <c r="C76" t="s">
        <v>289</v>
      </c>
      <c r="D76" t="s">
        <v>289</v>
      </c>
      <c r="E76" t="s">
        <v>289</v>
      </c>
      <c r="F76" t="s">
        <v>21</v>
      </c>
      <c r="G76" t="s">
        <v>22</v>
      </c>
      <c r="H76" t="s">
        <v>53</v>
      </c>
      <c r="I76" t="s">
        <v>41</v>
      </c>
      <c r="J76">
        <v>2007</v>
      </c>
      <c r="K76">
        <v>43698.521897777777</v>
      </c>
      <c r="L76" t="s">
        <v>283</v>
      </c>
      <c r="M76" t="s">
        <v>154</v>
      </c>
      <c r="N76" t="s">
        <v>27</v>
      </c>
      <c r="O76">
        <v>27905</v>
      </c>
      <c r="P76">
        <v>41524.476388888892</v>
      </c>
      <c r="Q76">
        <v>40742.61970520833</v>
      </c>
      <c r="R76">
        <v>77</v>
      </c>
    </row>
    <row r="77" spans="1:18" x14ac:dyDescent="0.25">
      <c r="A77" t="s">
        <v>290</v>
      </c>
      <c r="B77" t="s">
        <v>291</v>
      </c>
      <c r="C77" t="s">
        <v>292</v>
      </c>
      <c r="D77" t="s">
        <v>292</v>
      </c>
      <c r="E77" t="s">
        <v>292</v>
      </c>
      <c r="F77" t="s">
        <v>21</v>
      </c>
      <c r="G77" t="s">
        <v>22</v>
      </c>
      <c r="H77" t="s">
        <v>53</v>
      </c>
      <c r="I77" t="s">
        <v>282</v>
      </c>
      <c r="J77">
        <v>2007</v>
      </c>
      <c r="K77">
        <v>43698.521897777777</v>
      </c>
      <c r="L77" t="s">
        <v>283</v>
      </c>
      <c r="M77" t="s">
        <v>154</v>
      </c>
      <c r="N77" t="s">
        <v>27</v>
      </c>
      <c r="O77">
        <v>63120</v>
      </c>
      <c r="P77">
        <v>42320.737685185188</v>
      </c>
      <c r="Q77">
        <v>40742.620560613424</v>
      </c>
      <c r="R77">
        <v>78</v>
      </c>
    </row>
    <row r="78" spans="1:18" x14ac:dyDescent="0.25">
      <c r="A78" t="s">
        <v>293</v>
      </c>
      <c r="B78" t="s">
        <v>294</v>
      </c>
      <c r="C78" t="s">
        <v>295</v>
      </c>
      <c r="D78" t="s">
        <v>295</v>
      </c>
      <c r="E78" t="s">
        <v>295</v>
      </c>
      <c r="F78" t="s">
        <v>21</v>
      </c>
      <c r="G78" t="s">
        <v>63</v>
      </c>
      <c r="H78" t="s">
        <v>80</v>
      </c>
      <c r="I78" t="s">
        <v>126</v>
      </c>
      <c r="J78">
        <v>2003</v>
      </c>
      <c r="K78">
        <v>43698.521897777777</v>
      </c>
      <c r="L78" t="s">
        <v>25</v>
      </c>
      <c r="M78" t="s">
        <v>42</v>
      </c>
      <c r="N78" t="s">
        <v>27</v>
      </c>
      <c r="O78">
        <v>12258</v>
      </c>
      <c r="P78">
        <v>40891.236111111109</v>
      </c>
      <c r="Q78">
        <v>40746.546200497687</v>
      </c>
      <c r="R78">
        <v>79</v>
      </c>
    </row>
    <row r="79" spans="1:18" x14ac:dyDescent="0.25">
      <c r="A79" t="s">
        <v>296</v>
      </c>
      <c r="B79" t="s">
        <v>297</v>
      </c>
      <c r="C79" t="s">
        <v>298</v>
      </c>
      <c r="D79" t="s">
        <v>298</v>
      </c>
      <c r="E79" t="s">
        <v>298</v>
      </c>
      <c r="F79" t="s">
        <v>21</v>
      </c>
      <c r="G79" t="s">
        <v>22</v>
      </c>
      <c r="H79" t="s">
        <v>53</v>
      </c>
      <c r="I79" t="s">
        <v>54</v>
      </c>
      <c r="J79">
        <v>2006</v>
      </c>
      <c r="K79">
        <v>43698.521897777777</v>
      </c>
      <c r="L79" t="s">
        <v>25</v>
      </c>
      <c r="M79" t="s">
        <v>154</v>
      </c>
      <c r="N79" t="s">
        <v>27</v>
      </c>
      <c r="O79">
        <v>27919</v>
      </c>
      <c r="P79">
        <v>41524.829861111109</v>
      </c>
      <c r="Q79">
        <v>40754.642678819444</v>
      </c>
      <c r="R79">
        <v>80</v>
      </c>
    </row>
    <row r="80" spans="1:18" x14ac:dyDescent="0.25">
      <c r="A80" t="s">
        <v>299</v>
      </c>
      <c r="B80" t="s">
        <v>300</v>
      </c>
      <c r="C80" t="s">
        <v>301</v>
      </c>
      <c r="D80" t="s">
        <v>301</v>
      </c>
      <c r="E80" t="s">
        <v>301</v>
      </c>
      <c r="F80" t="s">
        <v>21</v>
      </c>
      <c r="G80" t="s">
        <v>63</v>
      </c>
      <c r="H80" t="s">
        <v>34</v>
      </c>
      <c r="I80" t="s">
        <v>35</v>
      </c>
      <c r="J80">
        <v>2007</v>
      </c>
      <c r="K80">
        <v>43698.521897777777</v>
      </c>
      <c r="L80" t="s">
        <v>25</v>
      </c>
      <c r="M80" t="s">
        <v>26</v>
      </c>
      <c r="N80" t="s">
        <v>27</v>
      </c>
      <c r="O80">
        <v>12751</v>
      </c>
      <c r="P80">
        <v>40922.922222222223</v>
      </c>
      <c r="Q80">
        <v>40768.652399074075</v>
      </c>
      <c r="R80">
        <v>81</v>
      </c>
    </row>
    <row r="81" spans="1:18" x14ac:dyDescent="0.25">
      <c r="A81" t="s">
        <v>302</v>
      </c>
      <c r="B81" t="s">
        <v>303</v>
      </c>
      <c r="C81" t="s">
        <v>304</v>
      </c>
      <c r="D81" t="s">
        <v>304</v>
      </c>
      <c r="E81" t="s">
        <v>304</v>
      </c>
      <c r="F81" t="s">
        <v>21</v>
      </c>
      <c r="G81" t="s">
        <v>22</v>
      </c>
      <c r="H81" t="s">
        <v>53</v>
      </c>
      <c r="I81" t="s">
        <v>282</v>
      </c>
      <c r="J81">
        <v>2007</v>
      </c>
      <c r="K81">
        <v>43698.521897777777</v>
      </c>
      <c r="L81" t="s">
        <v>25</v>
      </c>
      <c r="M81" t="s">
        <v>154</v>
      </c>
      <c r="N81" t="s">
        <v>27</v>
      </c>
      <c r="O81">
        <v>63083</v>
      </c>
      <c r="P81">
        <v>42320.524687500001</v>
      </c>
      <c r="Q81">
        <v>40771.501513275463</v>
      </c>
      <c r="R81">
        <v>82</v>
      </c>
    </row>
    <row r="82" spans="1:18" x14ac:dyDescent="0.25">
      <c r="A82" t="s">
        <v>305</v>
      </c>
      <c r="B82" t="s">
        <v>306</v>
      </c>
      <c r="C82" t="s">
        <v>307</v>
      </c>
      <c r="D82" t="s">
        <v>307</v>
      </c>
      <c r="E82" t="s">
        <v>307</v>
      </c>
      <c r="F82" t="s">
        <v>21</v>
      </c>
      <c r="G82" t="s">
        <v>22</v>
      </c>
      <c r="H82" t="s">
        <v>53</v>
      </c>
      <c r="I82" t="s">
        <v>54</v>
      </c>
      <c r="J82">
        <v>2006</v>
      </c>
      <c r="K82">
        <v>43698.521897777777</v>
      </c>
      <c r="L82" t="s">
        <v>25</v>
      </c>
      <c r="M82" t="s">
        <v>154</v>
      </c>
      <c r="N82" t="s">
        <v>27</v>
      </c>
      <c r="O82">
        <v>27822</v>
      </c>
      <c r="P82">
        <v>41522.34652777778</v>
      </c>
      <c r="Q82">
        <v>40771.504962534724</v>
      </c>
      <c r="R82">
        <v>83</v>
      </c>
    </row>
    <row r="83" spans="1:18" x14ac:dyDescent="0.25">
      <c r="A83" t="s">
        <v>308</v>
      </c>
      <c r="B83" t="s">
        <v>309</v>
      </c>
      <c r="C83" t="s">
        <v>310</v>
      </c>
      <c r="D83" t="s">
        <v>310</v>
      </c>
      <c r="E83" t="s">
        <v>310</v>
      </c>
      <c r="F83" t="s">
        <v>21</v>
      </c>
      <c r="G83" t="s">
        <v>22</v>
      </c>
      <c r="H83" t="s">
        <v>53</v>
      </c>
      <c r="I83" t="s">
        <v>54</v>
      </c>
      <c r="J83">
        <v>2006</v>
      </c>
      <c r="K83">
        <v>43698.521897777777</v>
      </c>
      <c r="L83" t="s">
        <v>25</v>
      </c>
      <c r="M83" t="s">
        <v>154</v>
      </c>
      <c r="N83" t="s">
        <v>27</v>
      </c>
      <c r="O83">
        <v>27867</v>
      </c>
      <c r="P83">
        <v>41523.162499999999</v>
      </c>
      <c r="Q83">
        <v>40771.507849189817</v>
      </c>
      <c r="R83">
        <v>84</v>
      </c>
    </row>
    <row r="84" spans="1:18" x14ac:dyDescent="0.25">
      <c r="A84" t="s">
        <v>311</v>
      </c>
      <c r="B84" t="s">
        <v>312</v>
      </c>
      <c r="C84" t="s">
        <v>313</v>
      </c>
      <c r="D84" t="s">
        <v>313</v>
      </c>
      <c r="E84" t="s">
        <v>313</v>
      </c>
      <c r="F84" t="s">
        <v>21</v>
      </c>
      <c r="G84" t="s">
        <v>63</v>
      </c>
      <c r="H84" t="s">
        <v>23</v>
      </c>
      <c r="I84" t="s">
        <v>41</v>
      </c>
      <c r="J84">
        <v>2007</v>
      </c>
      <c r="K84">
        <v>43698.521897777777</v>
      </c>
      <c r="L84" t="s">
        <v>25</v>
      </c>
      <c r="M84" t="s">
        <v>42</v>
      </c>
      <c r="N84" t="s">
        <v>27</v>
      </c>
      <c r="O84">
        <v>32122</v>
      </c>
      <c r="P84">
        <v>41656.567164351851</v>
      </c>
      <c r="Q84">
        <v>40788.532795752311</v>
      </c>
      <c r="R84">
        <v>85</v>
      </c>
    </row>
    <row r="85" spans="1:18" x14ac:dyDescent="0.25">
      <c r="A85" t="s">
        <v>314</v>
      </c>
      <c r="B85" t="s">
        <v>315</v>
      </c>
      <c r="C85" t="s">
        <v>316</v>
      </c>
      <c r="D85" t="s">
        <v>316</v>
      </c>
      <c r="E85" t="s">
        <v>316</v>
      </c>
      <c r="F85" t="s">
        <v>21</v>
      </c>
      <c r="G85" t="s">
        <v>63</v>
      </c>
      <c r="H85" t="s">
        <v>23</v>
      </c>
      <c r="I85" t="s">
        <v>41</v>
      </c>
      <c r="J85">
        <v>2007</v>
      </c>
      <c r="K85">
        <v>43698.521897777777</v>
      </c>
      <c r="L85" t="s">
        <v>25</v>
      </c>
      <c r="M85" t="s">
        <v>42</v>
      </c>
      <c r="N85" t="s">
        <v>27</v>
      </c>
      <c r="O85">
        <v>33822</v>
      </c>
      <c r="P85">
        <v>41702.252604166664</v>
      </c>
      <c r="Q85">
        <v>40833.392450462961</v>
      </c>
      <c r="R85">
        <v>86</v>
      </c>
    </row>
    <row r="86" spans="1:18" x14ac:dyDescent="0.25">
      <c r="A86" t="s">
        <v>317</v>
      </c>
      <c r="B86" t="s">
        <v>318</v>
      </c>
      <c r="C86" t="s">
        <v>319</v>
      </c>
      <c r="D86" t="s">
        <v>319</v>
      </c>
      <c r="E86" t="s">
        <v>319</v>
      </c>
      <c r="F86" t="s">
        <v>21</v>
      </c>
      <c r="G86" t="s">
        <v>63</v>
      </c>
      <c r="H86" t="s">
        <v>53</v>
      </c>
      <c r="I86" t="s">
        <v>282</v>
      </c>
      <c r="J86">
        <v>2006</v>
      </c>
      <c r="K86">
        <v>43698.521897777777</v>
      </c>
      <c r="L86" t="s">
        <v>25</v>
      </c>
      <c r="M86" t="s">
        <v>42</v>
      </c>
      <c r="N86" t="s">
        <v>27</v>
      </c>
      <c r="O86">
        <v>13527</v>
      </c>
      <c r="P86">
        <v>40962.943749999999</v>
      </c>
      <c r="Q86">
        <v>40843.61144695602</v>
      </c>
      <c r="R86">
        <v>87</v>
      </c>
    </row>
    <row r="87" spans="1:18" x14ac:dyDescent="0.25">
      <c r="A87" t="s">
        <v>320</v>
      </c>
      <c r="B87" t="s">
        <v>321</v>
      </c>
      <c r="C87" t="s">
        <v>322</v>
      </c>
      <c r="D87" t="s">
        <v>322</v>
      </c>
      <c r="E87" t="s">
        <v>322</v>
      </c>
      <c r="F87" t="s">
        <v>21</v>
      </c>
      <c r="G87" t="s">
        <v>63</v>
      </c>
      <c r="H87" t="s">
        <v>236</v>
      </c>
      <c r="I87" t="s">
        <v>323</v>
      </c>
      <c r="J87">
        <v>2007</v>
      </c>
      <c r="K87">
        <v>43698.521897777777</v>
      </c>
      <c r="L87" t="s">
        <v>25</v>
      </c>
      <c r="M87" t="s">
        <v>42</v>
      </c>
      <c r="N87" t="s">
        <v>27</v>
      </c>
      <c r="O87">
        <v>12360</v>
      </c>
      <c r="P87">
        <v>40898.378472222219</v>
      </c>
      <c r="Q87">
        <v>40858.714426423612</v>
      </c>
      <c r="R87">
        <v>88</v>
      </c>
    </row>
    <row r="88" spans="1:18" x14ac:dyDescent="0.25">
      <c r="A88" t="s">
        <v>324</v>
      </c>
      <c r="B88" t="s">
        <v>325</v>
      </c>
      <c r="C88" t="s">
        <v>326</v>
      </c>
      <c r="D88" t="s">
        <v>326</v>
      </c>
      <c r="E88" t="s">
        <v>326</v>
      </c>
      <c r="F88" t="s">
        <v>21</v>
      </c>
      <c r="G88" t="s">
        <v>63</v>
      </c>
      <c r="H88" t="s">
        <v>34</v>
      </c>
      <c r="I88" t="s">
        <v>35</v>
      </c>
      <c r="J88">
        <v>2007</v>
      </c>
      <c r="K88">
        <v>43698.521897777777</v>
      </c>
      <c r="L88" t="s">
        <v>25</v>
      </c>
      <c r="M88" t="s">
        <v>42</v>
      </c>
      <c r="N88" t="s">
        <v>27</v>
      </c>
      <c r="O88">
        <v>32880</v>
      </c>
      <c r="P88">
        <v>41680.888888888891</v>
      </c>
      <c r="Q88">
        <v>40858.744375428243</v>
      </c>
      <c r="R88">
        <v>89</v>
      </c>
    </row>
    <row r="89" spans="1:18" x14ac:dyDescent="0.25">
      <c r="A89" t="s">
        <v>327</v>
      </c>
      <c r="B89" t="s">
        <v>328</v>
      </c>
      <c r="C89" t="s">
        <v>329</v>
      </c>
      <c r="D89" t="s">
        <v>329</v>
      </c>
      <c r="E89" t="s">
        <v>329</v>
      </c>
      <c r="F89" t="s">
        <v>21</v>
      </c>
      <c r="G89" t="s">
        <v>63</v>
      </c>
      <c r="H89" t="s">
        <v>34</v>
      </c>
      <c r="I89" t="s">
        <v>35</v>
      </c>
      <c r="J89">
        <v>2007</v>
      </c>
      <c r="K89">
        <v>43698.521897777777</v>
      </c>
      <c r="L89" t="s">
        <v>25</v>
      </c>
      <c r="M89" t="s">
        <v>26</v>
      </c>
      <c r="N89" t="s">
        <v>27</v>
      </c>
      <c r="O89">
        <v>26401</v>
      </c>
      <c r="P89">
        <v>41476.808831018519</v>
      </c>
      <c r="Q89">
        <v>40931.456487696756</v>
      </c>
      <c r="R89">
        <v>90</v>
      </c>
    </row>
    <row r="90" spans="1:18" x14ac:dyDescent="0.25">
      <c r="A90" t="s">
        <v>330</v>
      </c>
      <c r="B90" t="s">
        <v>331</v>
      </c>
      <c r="C90" t="s">
        <v>332</v>
      </c>
      <c r="D90" t="s">
        <v>332</v>
      </c>
      <c r="E90" t="s">
        <v>332</v>
      </c>
      <c r="F90" t="s">
        <v>21</v>
      </c>
      <c r="G90" t="s">
        <v>63</v>
      </c>
      <c r="H90" t="s">
        <v>34</v>
      </c>
      <c r="I90" t="s">
        <v>35</v>
      </c>
      <c r="J90">
        <v>2007</v>
      </c>
      <c r="K90">
        <v>43698.521897777777</v>
      </c>
      <c r="L90" t="s">
        <v>25</v>
      </c>
      <c r="M90" t="s">
        <v>26</v>
      </c>
      <c r="N90" t="s">
        <v>27</v>
      </c>
      <c r="O90">
        <v>37386</v>
      </c>
      <c r="P90">
        <v>41786.204351851855</v>
      </c>
      <c r="Q90">
        <v>40931.458236192128</v>
      </c>
      <c r="R90">
        <v>91</v>
      </c>
    </row>
    <row r="91" spans="1:18" x14ac:dyDescent="0.25">
      <c r="A91" t="s">
        <v>333</v>
      </c>
      <c r="B91" t="s">
        <v>334</v>
      </c>
      <c r="C91" t="s">
        <v>335</v>
      </c>
      <c r="D91" t="s">
        <v>335</v>
      </c>
      <c r="E91" t="s">
        <v>335</v>
      </c>
      <c r="F91" t="s">
        <v>21</v>
      </c>
      <c r="G91" t="s">
        <v>63</v>
      </c>
      <c r="H91" t="s">
        <v>53</v>
      </c>
      <c r="I91" t="s">
        <v>41</v>
      </c>
      <c r="J91">
        <v>2007</v>
      </c>
      <c r="K91">
        <v>43698.521897777777</v>
      </c>
      <c r="L91" t="s">
        <v>25</v>
      </c>
      <c r="M91" t="s">
        <v>42</v>
      </c>
      <c r="N91" t="s">
        <v>27</v>
      </c>
      <c r="O91">
        <v>42272</v>
      </c>
      <c r="P91">
        <v>41908.618055555555</v>
      </c>
      <c r="Q91">
        <v>40939.686491666667</v>
      </c>
      <c r="R91">
        <v>92</v>
      </c>
    </row>
    <row r="92" spans="1:18" x14ac:dyDescent="0.25">
      <c r="A92" t="s">
        <v>336</v>
      </c>
      <c r="B92" t="s">
        <v>337</v>
      </c>
      <c r="C92" t="s">
        <v>338</v>
      </c>
      <c r="D92" t="s">
        <v>338</v>
      </c>
      <c r="E92" t="s">
        <v>338</v>
      </c>
      <c r="F92" t="s">
        <v>21</v>
      </c>
      <c r="G92" t="s">
        <v>63</v>
      </c>
      <c r="H92" t="s">
        <v>34</v>
      </c>
      <c r="I92" t="s">
        <v>35</v>
      </c>
      <c r="J92">
        <v>2007</v>
      </c>
      <c r="K92">
        <v>43698.521897777777</v>
      </c>
      <c r="L92" t="s">
        <v>25</v>
      </c>
      <c r="M92" t="s">
        <v>42</v>
      </c>
      <c r="N92" t="s">
        <v>27</v>
      </c>
      <c r="O92">
        <v>16366</v>
      </c>
      <c r="P92">
        <v>41093.130624999998</v>
      </c>
      <c r="Q92">
        <v>40943.644964155093</v>
      </c>
      <c r="R92">
        <v>93</v>
      </c>
    </row>
    <row r="93" spans="1:18" x14ac:dyDescent="0.25">
      <c r="A93" t="s">
        <v>339</v>
      </c>
      <c r="B93" t="s">
        <v>274</v>
      </c>
      <c r="C93" t="s">
        <v>340</v>
      </c>
      <c r="D93" t="s">
        <v>340</v>
      </c>
      <c r="E93" t="s">
        <v>340</v>
      </c>
      <c r="F93" t="s">
        <v>21</v>
      </c>
      <c r="G93" t="s">
        <v>22</v>
      </c>
      <c r="H93" t="s">
        <v>53</v>
      </c>
      <c r="I93" t="s">
        <v>282</v>
      </c>
      <c r="J93">
        <v>2005</v>
      </c>
      <c r="K93">
        <v>43698.521897777777</v>
      </c>
      <c r="L93" t="s">
        <v>36</v>
      </c>
      <c r="M93" t="s">
        <v>37</v>
      </c>
      <c r="N93" t="s">
        <v>27</v>
      </c>
      <c r="O93">
        <v>60857</v>
      </c>
      <c r="P93">
        <v>42285.848333333335</v>
      </c>
      <c r="Q93">
        <v>40971.529821064818</v>
      </c>
      <c r="R93">
        <v>94</v>
      </c>
    </row>
    <row r="94" spans="1:18" x14ac:dyDescent="0.25">
      <c r="A94" t="s">
        <v>341</v>
      </c>
      <c r="B94" t="s">
        <v>342</v>
      </c>
      <c r="C94" t="s">
        <v>343</v>
      </c>
      <c r="D94" t="s">
        <v>343</v>
      </c>
      <c r="E94" t="s">
        <v>343</v>
      </c>
      <c r="F94" t="s">
        <v>21</v>
      </c>
      <c r="G94" t="s">
        <v>63</v>
      </c>
      <c r="H94" t="s">
        <v>80</v>
      </c>
      <c r="I94" t="s">
        <v>153</v>
      </c>
      <c r="J94">
        <v>2005</v>
      </c>
      <c r="K94">
        <v>43698.521897777777</v>
      </c>
      <c r="L94" t="s">
        <v>25</v>
      </c>
      <c r="M94" t="s">
        <v>42</v>
      </c>
      <c r="N94" t="s">
        <v>27</v>
      </c>
      <c r="O94">
        <v>14182</v>
      </c>
      <c r="P94">
        <v>40996.081944444442</v>
      </c>
      <c r="Q94">
        <v>40980.937757442131</v>
      </c>
      <c r="R94">
        <v>95</v>
      </c>
    </row>
    <row r="95" spans="1:18" x14ac:dyDescent="0.25">
      <c r="A95" t="s">
        <v>344</v>
      </c>
      <c r="B95" t="s">
        <v>345</v>
      </c>
      <c r="C95" t="s">
        <v>346</v>
      </c>
      <c r="D95" t="s">
        <v>346</v>
      </c>
      <c r="E95" t="s">
        <v>346</v>
      </c>
      <c r="F95" t="s">
        <v>21</v>
      </c>
      <c r="G95" t="s">
        <v>63</v>
      </c>
      <c r="H95" t="s">
        <v>34</v>
      </c>
      <c r="I95" t="s">
        <v>35</v>
      </c>
      <c r="J95">
        <v>2001</v>
      </c>
      <c r="K95">
        <v>43698.521897777777</v>
      </c>
      <c r="L95" t="s">
        <v>25</v>
      </c>
      <c r="M95" t="s">
        <v>42</v>
      </c>
      <c r="N95" t="s">
        <v>27</v>
      </c>
      <c r="O95">
        <v>17860</v>
      </c>
      <c r="P95">
        <v>41152.037974537037</v>
      </c>
      <c r="Q95">
        <v>40987.51707361111</v>
      </c>
      <c r="R95">
        <v>96</v>
      </c>
    </row>
    <row r="96" spans="1:18" x14ac:dyDescent="0.25">
      <c r="A96" t="s">
        <v>347</v>
      </c>
      <c r="B96" t="s">
        <v>348</v>
      </c>
      <c r="C96" t="s">
        <v>349</v>
      </c>
      <c r="D96" t="s">
        <v>349</v>
      </c>
      <c r="E96" t="s">
        <v>349</v>
      </c>
      <c r="F96" t="s">
        <v>21</v>
      </c>
      <c r="G96" t="s">
        <v>63</v>
      </c>
      <c r="H96" t="s">
        <v>53</v>
      </c>
      <c r="I96" t="s">
        <v>41</v>
      </c>
      <c r="J96">
        <v>2007</v>
      </c>
      <c r="K96">
        <v>43698.521897777777</v>
      </c>
      <c r="L96" t="s">
        <v>25</v>
      </c>
      <c r="M96" t="s">
        <v>26</v>
      </c>
      <c r="N96" t="s">
        <v>27</v>
      </c>
      <c r="O96">
        <v>17551</v>
      </c>
      <c r="P96">
        <v>41142.534722222219</v>
      </c>
      <c r="Q96">
        <v>40989.595688460649</v>
      </c>
      <c r="R96">
        <v>97</v>
      </c>
    </row>
    <row r="97" spans="1:18" x14ac:dyDescent="0.25">
      <c r="A97" t="s">
        <v>350</v>
      </c>
      <c r="B97" t="s">
        <v>351</v>
      </c>
      <c r="C97" t="s">
        <v>352</v>
      </c>
      <c r="D97" t="s">
        <v>352</v>
      </c>
      <c r="E97" t="s">
        <v>352</v>
      </c>
      <c r="F97" t="s">
        <v>21</v>
      </c>
      <c r="G97" t="s">
        <v>63</v>
      </c>
      <c r="H97" t="s">
        <v>53</v>
      </c>
      <c r="I97" t="s">
        <v>41</v>
      </c>
      <c r="J97">
        <v>2004</v>
      </c>
      <c r="K97">
        <v>43698.521897777777</v>
      </c>
      <c r="L97" t="s">
        <v>25</v>
      </c>
      <c r="M97" t="s">
        <v>42</v>
      </c>
      <c r="N97" t="s">
        <v>27</v>
      </c>
      <c r="O97">
        <v>23192</v>
      </c>
      <c r="P97">
        <v>41366.17083333333</v>
      </c>
      <c r="Q97">
        <v>40996.740204861111</v>
      </c>
      <c r="R97">
        <v>98</v>
      </c>
    </row>
    <row r="98" spans="1:18" x14ac:dyDescent="0.25">
      <c r="A98" t="s">
        <v>353</v>
      </c>
      <c r="B98" t="s">
        <v>354</v>
      </c>
      <c r="C98" t="s">
        <v>355</v>
      </c>
      <c r="D98" t="s">
        <v>355</v>
      </c>
      <c r="E98" t="s">
        <v>355</v>
      </c>
      <c r="F98" t="s">
        <v>21</v>
      </c>
      <c r="G98" t="s">
        <v>63</v>
      </c>
      <c r="H98" t="s">
        <v>34</v>
      </c>
      <c r="I98" t="s">
        <v>35</v>
      </c>
      <c r="J98">
        <v>2007</v>
      </c>
      <c r="K98">
        <v>43698.521897777777</v>
      </c>
      <c r="L98" t="s">
        <v>25</v>
      </c>
      <c r="M98" t="s">
        <v>42</v>
      </c>
      <c r="N98" t="s">
        <v>27</v>
      </c>
      <c r="O98">
        <v>66854</v>
      </c>
      <c r="P98">
        <v>42385.373854166668</v>
      </c>
      <c r="Q98">
        <v>40998.532704050929</v>
      </c>
      <c r="R98">
        <v>99</v>
      </c>
    </row>
    <row r="99" spans="1:18" x14ac:dyDescent="0.25">
      <c r="A99" t="s">
        <v>356</v>
      </c>
      <c r="B99" t="s">
        <v>357</v>
      </c>
      <c r="C99" t="s">
        <v>358</v>
      </c>
      <c r="D99" t="s">
        <v>358</v>
      </c>
      <c r="E99" t="s">
        <v>358</v>
      </c>
      <c r="F99" t="s">
        <v>21</v>
      </c>
      <c r="G99" t="s">
        <v>22</v>
      </c>
      <c r="H99" t="s">
        <v>34</v>
      </c>
      <c r="I99" t="s">
        <v>35</v>
      </c>
      <c r="J99">
        <v>2007</v>
      </c>
      <c r="K99">
        <v>43698.521897777777</v>
      </c>
      <c r="L99" t="s">
        <v>36</v>
      </c>
      <c r="M99" t="s">
        <v>42</v>
      </c>
      <c r="N99" t="s">
        <v>27</v>
      </c>
      <c r="O99">
        <v>32732</v>
      </c>
      <c r="P99">
        <v>41673.516099537039</v>
      </c>
      <c r="Q99">
        <v>40998.534346099535</v>
      </c>
      <c r="R99">
        <v>100</v>
      </c>
    </row>
    <row r="100" spans="1:18" x14ac:dyDescent="0.25">
      <c r="A100" t="s">
        <v>359</v>
      </c>
      <c r="B100" t="s">
        <v>360</v>
      </c>
      <c r="C100" t="s">
        <v>361</v>
      </c>
      <c r="D100" t="s">
        <v>361</v>
      </c>
      <c r="E100" t="s">
        <v>361</v>
      </c>
      <c r="F100" t="s">
        <v>21</v>
      </c>
      <c r="G100" t="s">
        <v>63</v>
      </c>
      <c r="H100" t="s">
        <v>80</v>
      </c>
      <c r="I100" t="s">
        <v>126</v>
      </c>
      <c r="J100">
        <v>2003</v>
      </c>
      <c r="K100">
        <v>43698.521897777777</v>
      </c>
      <c r="L100" t="s">
        <v>25</v>
      </c>
      <c r="M100" t="s">
        <v>42</v>
      </c>
      <c r="N100" t="s">
        <v>27</v>
      </c>
      <c r="O100">
        <v>41911</v>
      </c>
      <c r="P100">
        <v>41900.477986111109</v>
      </c>
      <c r="Q100">
        <v>41013.531988773146</v>
      </c>
      <c r="R100">
        <v>101</v>
      </c>
    </row>
    <row r="101" spans="1:18" x14ac:dyDescent="0.25">
      <c r="A101" t="s">
        <v>362</v>
      </c>
      <c r="B101" t="s">
        <v>363</v>
      </c>
      <c r="C101" t="s">
        <v>364</v>
      </c>
      <c r="D101" t="s">
        <v>364</v>
      </c>
      <c r="E101" t="s">
        <v>364</v>
      </c>
      <c r="F101" t="s">
        <v>21</v>
      </c>
      <c r="G101" t="s">
        <v>22</v>
      </c>
      <c r="H101" t="s">
        <v>34</v>
      </c>
      <c r="I101" t="s">
        <v>35</v>
      </c>
      <c r="J101">
        <v>2007</v>
      </c>
      <c r="K101">
        <v>43698.521897777777</v>
      </c>
      <c r="L101" t="s">
        <v>36</v>
      </c>
      <c r="M101" t="s">
        <v>42</v>
      </c>
      <c r="N101" t="s">
        <v>27</v>
      </c>
      <c r="O101">
        <v>68389</v>
      </c>
      <c r="P101">
        <v>42408.274016203701</v>
      </c>
      <c r="Q101">
        <v>41013.581343321763</v>
      </c>
      <c r="R101">
        <v>102</v>
      </c>
    </row>
    <row r="102" spans="1:18" x14ac:dyDescent="0.25">
      <c r="A102" t="s">
        <v>365</v>
      </c>
      <c r="B102" t="s">
        <v>366</v>
      </c>
      <c r="C102" t="s">
        <v>367</v>
      </c>
      <c r="D102" t="s">
        <v>367</v>
      </c>
      <c r="E102" t="s">
        <v>367</v>
      </c>
      <c r="F102" t="s">
        <v>21</v>
      </c>
      <c r="G102" t="s">
        <v>22</v>
      </c>
      <c r="H102" t="s">
        <v>34</v>
      </c>
      <c r="I102" t="s">
        <v>35</v>
      </c>
      <c r="J102">
        <v>2003</v>
      </c>
      <c r="K102">
        <v>43698.521897777777</v>
      </c>
      <c r="L102" t="s">
        <v>25</v>
      </c>
      <c r="M102" t="s">
        <v>42</v>
      </c>
      <c r="N102" t="s">
        <v>27</v>
      </c>
      <c r="O102">
        <v>47699</v>
      </c>
      <c r="P102">
        <v>42039.641643518517</v>
      </c>
      <c r="Q102">
        <v>41013.58280355324</v>
      </c>
      <c r="R102">
        <v>103</v>
      </c>
    </row>
    <row r="103" spans="1:18" x14ac:dyDescent="0.25">
      <c r="A103" t="s">
        <v>368</v>
      </c>
      <c r="B103" t="s">
        <v>369</v>
      </c>
      <c r="C103" t="s">
        <v>370</v>
      </c>
      <c r="D103" t="s">
        <v>370</v>
      </c>
      <c r="E103" t="s">
        <v>370</v>
      </c>
      <c r="F103" t="s">
        <v>21</v>
      </c>
      <c r="G103" t="s">
        <v>22</v>
      </c>
      <c r="H103" t="s">
        <v>34</v>
      </c>
      <c r="I103" t="s">
        <v>35</v>
      </c>
      <c r="J103">
        <v>2004</v>
      </c>
      <c r="K103">
        <v>43698.521897777777</v>
      </c>
      <c r="L103" t="s">
        <v>25</v>
      </c>
      <c r="M103" t="s">
        <v>42</v>
      </c>
      <c r="N103" t="s">
        <v>27</v>
      </c>
      <c r="O103">
        <v>31542</v>
      </c>
      <c r="P103">
        <v>41630.202997685185</v>
      </c>
      <c r="Q103">
        <v>41013.583978206021</v>
      </c>
      <c r="R103">
        <v>104</v>
      </c>
    </row>
    <row r="104" spans="1:18" x14ac:dyDescent="0.25">
      <c r="A104" t="s">
        <v>371</v>
      </c>
      <c r="B104" t="s">
        <v>372</v>
      </c>
      <c r="C104" t="s">
        <v>373</v>
      </c>
      <c r="D104" t="s">
        <v>373</v>
      </c>
      <c r="E104" t="s">
        <v>373</v>
      </c>
      <c r="F104" t="s">
        <v>21</v>
      </c>
      <c r="G104" t="s">
        <v>22</v>
      </c>
      <c r="H104" t="s">
        <v>23</v>
      </c>
      <c r="I104" t="s">
        <v>59</v>
      </c>
      <c r="J104">
        <v>2007</v>
      </c>
      <c r="K104">
        <v>43698.521897777777</v>
      </c>
      <c r="L104" t="s">
        <v>374</v>
      </c>
      <c r="M104" t="s">
        <v>154</v>
      </c>
      <c r="N104" t="s">
        <v>27</v>
      </c>
      <c r="O104">
        <v>58624</v>
      </c>
      <c r="P104">
        <v>42247.520856481482</v>
      </c>
      <c r="Q104">
        <v>41013.588039780094</v>
      </c>
      <c r="R104">
        <v>105</v>
      </c>
    </row>
    <row r="105" spans="1:18" x14ac:dyDescent="0.25">
      <c r="A105" t="s">
        <v>375</v>
      </c>
      <c r="B105" t="s">
        <v>376</v>
      </c>
      <c r="C105" t="s">
        <v>377</v>
      </c>
      <c r="D105" t="s">
        <v>377</v>
      </c>
      <c r="E105" t="s">
        <v>377</v>
      </c>
      <c r="F105" t="s">
        <v>21</v>
      </c>
      <c r="G105" t="s">
        <v>22</v>
      </c>
      <c r="H105" t="s">
        <v>23</v>
      </c>
      <c r="I105" t="s">
        <v>59</v>
      </c>
      <c r="J105">
        <v>2007</v>
      </c>
      <c r="K105">
        <v>43698.521897777777</v>
      </c>
      <c r="L105" t="s">
        <v>374</v>
      </c>
      <c r="M105" t="s">
        <v>154</v>
      </c>
      <c r="N105" t="s">
        <v>27</v>
      </c>
      <c r="O105">
        <v>58787</v>
      </c>
      <c r="P105">
        <v>42249.509236111109</v>
      </c>
      <c r="Q105">
        <v>41013.589314155091</v>
      </c>
      <c r="R105">
        <v>106</v>
      </c>
    </row>
    <row r="106" spans="1:18" x14ac:dyDescent="0.25">
      <c r="A106" t="s">
        <v>378</v>
      </c>
      <c r="B106" t="s">
        <v>379</v>
      </c>
      <c r="C106" t="s">
        <v>380</v>
      </c>
      <c r="D106" t="s">
        <v>380</v>
      </c>
      <c r="E106" t="s">
        <v>380</v>
      </c>
      <c r="F106" t="s">
        <v>21</v>
      </c>
      <c r="G106" t="s">
        <v>22</v>
      </c>
      <c r="H106" t="s">
        <v>23</v>
      </c>
      <c r="I106" t="s">
        <v>59</v>
      </c>
      <c r="J106">
        <v>2007</v>
      </c>
      <c r="K106">
        <v>43698.521897777777</v>
      </c>
      <c r="L106" t="s">
        <v>374</v>
      </c>
      <c r="M106" t="s">
        <v>154</v>
      </c>
      <c r="N106" t="s">
        <v>27</v>
      </c>
      <c r="O106">
        <v>35771</v>
      </c>
      <c r="P106">
        <v>41749.916331018518</v>
      </c>
      <c r="Q106">
        <v>41013.590183877313</v>
      </c>
      <c r="R106">
        <v>107</v>
      </c>
    </row>
    <row r="107" spans="1:18" x14ac:dyDescent="0.25">
      <c r="A107" t="s">
        <v>381</v>
      </c>
      <c r="B107" t="s">
        <v>382</v>
      </c>
      <c r="C107" t="s">
        <v>383</v>
      </c>
      <c r="D107" t="s">
        <v>383</v>
      </c>
      <c r="E107" t="s">
        <v>383</v>
      </c>
      <c r="F107" t="s">
        <v>21</v>
      </c>
      <c r="G107" t="s">
        <v>22</v>
      </c>
      <c r="H107" t="s">
        <v>23</v>
      </c>
      <c r="I107" t="s">
        <v>59</v>
      </c>
      <c r="J107">
        <v>2007</v>
      </c>
      <c r="K107">
        <v>43698.521897777777</v>
      </c>
      <c r="L107" t="s">
        <v>374</v>
      </c>
      <c r="M107" t="s">
        <v>154</v>
      </c>
      <c r="N107" t="s">
        <v>27</v>
      </c>
      <c r="O107">
        <v>59583</v>
      </c>
      <c r="P107">
        <v>42263.797222222223</v>
      </c>
      <c r="Q107">
        <v>41013.591157141207</v>
      </c>
      <c r="R107">
        <v>108</v>
      </c>
    </row>
    <row r="108" spans="1:18" x14ac:dyDescent="0.25">
      <c r="A108" t="s">
        <v>384</v>
      </c>
      <c r="B108" t="s">
        <v>385</v>
      </c>
      <c r="C108" t="s">
        <v>386</v>
      </c>
      <c r="D108" t="s">
        <v>386</v>
      </c>
      <c r="E108" t="s">
        <v>386</v>
      </c>
      <c r="F108" t="s">
        <v>21</v>
      </c>
      <c r="G108" t="s">
        <v>63</v>
      </c>
      <c r="H108" t="s">
        <v>34</v>
      </c>
      <c r="I108" t="s">
        <v>35</v>
      </c>
      <c r="J108">
        <v>2007</v>
      </c>
      <c r="K108">
        <v>43698.521897777777</v>
      </c>
      <c r="L108" t="s">
        <v>25</v>
      </c>
      <c r="M108" t="s">
        <v>42</v>
      </c>
      <c r="N108" t="s">
        <v>27</v>
      </c>
      <c r="O108">
        <v>21469</v>
      </c>
      <c r="P108">
        <v>41298.934027777781</v>
      </c>
      <c r="Q108">
        <v>41013.685104247685</v>
      </c>
      <c r="R108">
        <v>109</v>
      </c>
    </row>
    <row r="109" spans="1:18" x14ac:dyDescent="0.25">
      <c r="A109" t="s">
        <v>387</v>
      </c>
      <c r="B109" t="s">
        <v>388</v>
      </c>
      <c r="C109" t="s">
        <v>389</v>
      </c>
      <c r="D109" t="s">
        <v>389</v>
      </c>
      <c r="E109" t="s">
        <v>389</v>
      </c>
      <c r="F109" t="s">
        <v>21</v>
      </c>
      <c r="G109" t="s">
        <v>63</v>
      </c>
      <c r="H109" t="s">
        <v>34</v>
      </c>
      <c r="I109" t="s">
        <v>35</v>
      </c>
      <c r="J109">
        <v>2000</v>
      </c>
      <c r="K109">
        <v>43698.521897777777</v>
      </c>
      <c r="L109" t="s">
        <v>25</v>
      </c>
      <c r="M109" t="s">
        <v>42</v>
      </c>
      <c r="N109" t="s">
        <v>27</v>
      </c>
      <c r="O109">
        <v>18822</v>
      </c>
      <c r="P109">
        <v>41188.880555555559</v>
      </c>
      <c r="Q109">
        <v>41023.671005706019</v>
      </c>
      <c r="R109">
        <v>110</v>
      </c>
    </row>
    <row r="110" spans="1:18" x14ac:dyDescent="0.25">
      <c r="A110" t="s">
        <v>390</v>
      </c>
      <c r="B110" t="s">
        <v>391</v>
      </c>
      <c r="C110" t="s">
        <v>392</v>
      </c>
      <c r="D110" t="s">
        <v>392</v>
      </c>
      <c r="E110" t="s">
        <v>392</v>
      </c>
      <c r="F110" t="s">
        <v>91</v>
      </c>
      <c r="G110" t="s">
        <v>63</v>
      </c>
      <c r="H110" t="s">
        <v>34</v>
      </c>
      <c r="I110" t="s">
        <v>35</v>
      </c>
      <c r="J110">
        <v>2005</v>
      </c>
      <c r="K110">
        <v>43698.521897777777</v>
      </c>
      <c r="L110" t="s">
        <v>193</v>
      </c>
      <c r="M110" t="s">
        <v>42</v>
      </c>
      <c r="N110" t="s">
        <v>93</v>
      </c>
      <c r="O110">
        <v>346665</v>
      </c>
      <c r="P110">
        <v>43698.521897777777</v>
      </c>
      <c r="Q110">
        <v>41025.515155358793</v>
      </c>
      <c r="R110">
        <v>111</v>
      </c>
    </row>
    <row r="111" spans="1:18" x14ac:dyDescent="0.25">
      <c r="A111" t="s">
        <v>393</v>
      </c>
      <c r="B111" t="s">
        <v>394</v>
      </c>
      <c r="C111" t="s">
        <v>395</v>
      </c>
      <c r="D111" t="s">
        <v>395</v>
      </c>
      <c r="E111" t="s">
        <v>395</v>
      </c>
      <c r="F111" t="s">
        <v>21</v>
      </c>
      <c r="G111" t="s">
        <v>22</v>
      </c>
      <c r="H111" t="s">
        <v>53</v>
      </c>
      <c r="I111" t="s">
        <v>54</v>
      </c>
      <c r="J111">
        <v>2007</v>
      </c>
      <c r="K111">
        <v>43698.521897777777</v>
      </c>
      <c r="L111" t="s">
        <v>374</v>
      </c>
      <c r="M111" t="s">
        <v>154</v>
      </c>
      <c r="N111" t="s">
        <v>27</v>
      </c>
      <c r="O111">
        <v>60567</v>
      </c>
      <c r="P111">
        <v>42283.01458333333</v>
      </c>
      <c r="Q111">
        <v>41033.469364085649</v>
      </c>
      <c r="R111">
        <v>112</v>
      </c>
    </row>
    <row r="112" spans="1:18" x14ac:dyDescent="0.25">
      <c r="A112" t="s">
        <v>396</v>
      </c>
      <c r="B112" t="s">
        <v>397</v>
      </c>
      <c r="C112" t="s">
        <v>398</v>
      </c>
      <c r="D112" t="s">
        <v>398</v>
      </c>
      <c r="E112" t="s">
        <v>398</v>
      </c>
      <c r="F112" t="s">
        <v>21</v>
      </c>
      <c r="G112" t="s">
        <v>22</v>
      </c>
      <c r="H112" t="s">
        <v>53</v>
      </c>
      <c r="I112" t="s">
        <v>54</v>
      </c>
      <c r="J112">
        <v>2007</v>
      </c>
      <c r="K112">
        <v>43698.521897777777</v>
      </c>
      <c r="L112" t="s">
        <v>374</v>
      </c>
      <c r="M112" t="s">
        <v>154</v>
      </c>
      <c r="N112" t="s">
        <v>27</v>
      </c>
      <c r="O112">
        <v>36092</v>
      </c>
      <c r="P112">
        <v>41757.880555555559</v>
      </c>
      <c r="Q112">
        <v>41033.470469675929</v>
      </c>
      <c r="R112">
        <v>113</v>
      </c>
    </row>
    <row r="113" spans="1:18" x14ac:dyDescent="0.25">
      <c r="A113" t="s">
        <v>399</v>
      </c>
      <c r="B113" t="s">
        <v>400</v>
      </c>
      <c r="C113" t="s">
        <v>401</v>
      </c>
      <c r="D113" t="s">
        <v>401</v>
      </c>
      <c r="E113" t="s">
        <v>401</v>
      </c>
      <c r="F113" t="s">
        <v>21</v>
      </c>
      <c r="G113" t="s">
        <v>22</v>
      </c>
      <c r="H113" t="s">
        <v>53</v>
      </c>
      <c r="I113" t="s">
        <v>54</v>
      </c>
      <c r="J113">
        <v>2007</v>
      </c>
      <c r="K113">
        <v>43698.521897777777</v>
      </c>
      <c r="L113" t="s">
        <v>374</v>
      </c>
      <c r="M113" t="s">
        <v>154</v>
      </c>
      <c r="N113" t="s">
        <v>27</v>
      </c>
      <c r="O113">
        <v>35812</v>
      </c>
      <c r="P113">
        <v>41755.441018518519</v>
      </c>
      <c r="Q113">
        <v>41033.471031168985</v>
      </c>
      <c r="R113">
        <v>114</v>
      </c>
    </row>
    <row r="114" spans="1:18" x14ac:dyDescent="0.25">
      <c r="A114" t="s">
        <v>402</v>
      </c>
      <c r="B114" t="s">
        <v>403</v>
      </c>
      <c r="C114" t="s">
        <v>404</v>
      </c>
      <c r="D114" t="s">
        <v>404</v>
      </c>
      <c r="E114" t="s">
        <v>404</v>
      </c>
      <c r="F114" t="s">
        <v>21</v>
      </c>
      <c r="G114" t="s">
        <v>22</v>
      </c>
      <c r="H114" t="s">
        <v>53</v>
      </c>
      <c r="I114" t="s">
        <v>54</v>
      </c>
      <c r="J114">
        <v>2007</v>
      </c>
      <c r="K114">
        <v>43698.521897777777</v>
      </c>
      <c r="L114" t="s">
        <v>374</v>
      </c>
      <c r="M114" t="s">
        <v>154</v>
      </c>
      <c r="N114" t="s">
        <v>27</v>
      </c>
      <c r="O114">
        <v>60486</v>
      </c>
      <c r="P114">
        <v>42283.205682870372</v>
      </c>
      <c r="Q114">
        <v>41033.471522881948</v>
      </c>
      <c r="R114">
        <v>115</v>
      </c>
    </row>
    <row r="115" spans="1:18" x14ac:dyDescent="0.25">
      <c r="A115" t="s">
        <v>405</v>
      </c>
      <c r="B115" t="s">
        <v>406</v>
      </c>
      <c r="C115" t="s">
        <v>407</v>
      </c>
      <c r="D115" t="s">
        <v>407</v>
      </c>
      <c r="E115" t="s">
        <v>407</v>
      </c>
      <c r="F115" t="s">
        <v>21</v>
      </c>
      <c r="G115" t="s">
        <v>22</v>
      </c>
      <c r="H115" t="s">
        <v>53</v>
      </c>
      <c r="I115" t="s">
        <v>54</v>
      </c>
      <c r="J115">
        <v>2007</v>
      </c>
      <c r="K115">
        <v>43698.521897777777</v>
      </c>
      <c r="L115" t="s">
        <v>374</v>
      </c>
      <c r="M115" t="s">
        <v>154</v>
      </c>
      <c r="N115" t="s">
        <v>27</v>
      </c>
      <c r="O115">
        <v>71979</v>
      </c>
      <c r="P115">
        <v>42458.662418981483</v>
      </c>
      <c r="Q115">
        <v>41033.472110185183</v>
      </c>
      <c r="R115">
        <v>116</v>
      </c>
    </row>
    <row r="116" spans="1:18" x14ac:dyDescent="0.25">
      <c r="A116" t="s">
        <v>408</v>
      </c>
      <c r="B116" t="s">
        <v>409</v>
      </c>
      <c r="C116" t="s">
        <v>410</v>
      </c>
      <c r="D116" t="s">
        <v>411</v>
      </c>
      <c r="E116" t="s">
        <v>412</v>
      </c>
      <c r="F116" t="s">
        <v>21</v>
      </c>
      <c r="G116" t="s">
        <v>22</v>
      </c>
      <c r="H116" t="s">
        <v>413</v>
      </c>
      <c r="I116" t="s">
        <v>414</v>
      </c>
      <c r="J116">
        <v>2003</v>
      </c>
      <c r="K116">
        <v>43698.521897777777</v>
      </c>
      <c r="L116" t="s">
        <v>25</v>
      </c>
      <c r="M116" t="s">
        <v>26</v>
      </c>
      <c r="N116" t="s">
        <v>415</v>
      </c>
      <c r="Q116">
        <v>41079.42972615741</v>
      </c>
      <c r="R116">
        <v>117</v>
      </c>
    </row>
    <row r="117" spans="1:18" x14ac:dyDescent="0.25">
      <c r="A117" t="s">
        <v>416</v>
      </c>
      <c r="B117" t="s">
        <v>417</v>
      </c>
      <c r="C117" t="s">
        <v>418</v>
      </c>
      <c r="D117" t="s">
        <v>418</v>
      </c>
      <c r="E117" t="s">
        <v>418</v>
      </c>
      <c r="F117" t="s">
        <v>21</v>
      </c>
      <c r="G117" t="s">
        <v>22</v>
      </c>
      <c r="H117" t="s">
        <v>53</v>
      </c>
      <c r="I117" t="s">
        <v>54</v>
      </c>
      <c r="J117">
        <v>2007</v>
      </c>
      <c r="K117">
        <v>43698.521897777777</v>
      </c>
      <c r="L117" t="s">
        <v>25</v>
      </c>
      <c r="M117" t="s">
        <v>42</v>
      </c>
      <c r="N117" t="s">
        <v>27</v>
      </c>
      <c r="Q117">
        <v>41079.539083252312</v>
      </c>
      <c r="R117">
        <v>118</v>
      </c>
    </row>
    <row r="118" spans="1:18" x14ac:dyDescent="0.25">
      <c r="A118" t="s">
        <v>419</v>
      </c>
      <c r="B118" t="s">
        <v>420</v>
      </c>
      <c r="C118" t="s">
        <v>421</v>
      </c>
      <c r="D118" t="s">
        <v>421</v>
      </c>
      <c r="E118" t="s">
        <v>421</v>
      </c>
      <c r="F118" t="s">
        <v>21</v>
      </c>
      <c r="G118" t="s">
        <v>22</v>
      </c>
      <c r="H118" t="s">
        <v>53</v>
      </c>
      <c r="I118" t="s">
        <v>54</v>
      </c>
      <c r="J118">
        <v>2007</v>
      </c>
      <c r="K118">
        <v>43698.521897777777</v>
      </c>
      <c r="L118" t="s">
        <v>422</v>
      </c>
      <c r="M118" t="s">
        <v>42</v>
      </c>
      <c r="N118" t="s">
        <v>27</v>
      </c>
      <c r="O118">
        <v>183375</v>
      </c>
      <c r="P118">
        <v>43234.945393518516</v>
      </c>
      <c r="Q118">
        <v>41079.539842673614</v>
      </c>
      <c r="R118">
        <v>119</v>
      </c>
    </row>
    <row r="119" spans="1:18" x14ac:dyDescent="0.25">
      <c r="A119" t="s">
        <v>423</v>
      </c>
      <c r="B119" t="s">
        <v>424</v>
      </c>
      <c r="C119" t="s">
        <v>425</v>
      </c>
      <c r="D119" t="s">
        <v>425</v>
      </c>
      <c r="E119" t="s">
        <v>425</v>
      </c>
      <c r="F119" t="s">
        <v>21</v>
      </c>
      <c r="G119" t="s">
        <v>22</v>
      </c>
      <c r="H119" t="s">
        <v>53</v>
      </c>
      <c r="I119" t="s">
        <v>54</v>
      </c>
      <c r="J119">
        <v>2007</v>
      </c>
      <c r="K119">
        <v>43698.521897777777</v>
      </c>
      <c r="L119" t="s">
        <v>25</v>
      </c>
      <c r="M119" t="s">
        <v>42</v>
      </c>
      <c r="N119" t="s">
        <v>27</v>
      </c>
      <c r="O119">
        <v>181985</v>
      </c>
      <c r="P119">
        <v>43229.652083333334</v>
      </c>
      <c r="Q119">
        <v>41079.540371215277</v>
      </c>
      <c r="R119">
        <v>120</v>
      </c>
    </row>
    <row r="120" spans="1:18" x14ac:dyDescent="0.25">
      <c r="A120" t="s">
        <v>426</v>
      </c>
      <c r="B120" t="s">
        <v>427</v>
      </c>
      <c r="C120" t="s">
        <v>428</v>
      </c>
      <c r="D120" t="s">
        <v>428</v>
      </c>
      <c r="E120" t="s">
        <v>428</v>
      </c>
      <c r="F120" t="s">
        <v>21</v>
      </c>
      <c r="G120" t="s">
        <v>22</v>
      </c>
      <c r="H120" t="s">
        <v>53</v>
      </c>
      <c r="I120" t="s">
        <v>54</v>
      </c>
      <c r="J120">
        <v>2007</v>
      </c>
      <c r="K120">
        <v>43698.521897777777</v>
      </c>
      <c r="L120" t="s">
        <v>25</v>
      </c>
      <c r="M120" t="s">
        <v>42</v>
      </c>
      <c r="N120" t="s">
        <v>27</v>
      </c>
      <c r="O120">
        <v>183847</v>
      </c>
      <c r="P120">
        <v>43236.842615740738</v>
      </c>
      <c r="Q120">
        <v>41079.540894178244</v>
      </c>
      <c r="R120">
        <v>121</v>
      </c>
    </row>
    <row r="121" spans="1:18" x14ac:dyDescent="0.25">
      <c r="A121" t="s">
        <v>429</v>
      </c>
      <c r="B121" t="s">
        <v>430</v>
      </c>
      <c r="C121" t="s">
        <v>431</v>
      </c>
      <c r="D121" t="s">
        <v>431</v>
      </c>
      <c r="E121" t="s">
        <v>431</v>
      </c>
      <c r="F121" t="s">
        <v>21</v>
      </c>
      <c r="G121" t="s">
        <v>22</v>
      </c>
      <c r="H121" t="s">
        <v>53</v>
      </c>
      <c r="I121" t="s">
        <v>54</v>
      </c>
      <c r="J121">
        <v>2007</v>
      </c>
      <c r="K121">
        <v>43698.521897777777</v>
      </c>
      <c r="L121" t="s">
        <v>25</v>
      </c>
      <c r="M121" t="s">
        <v>42</v>
      </c>
      <c r="N121" t="s">
        <v>27</v>
      </c>
      <c r="O121">
        <v>32797</v>
      </c>
      <c r="P121">
        <v>41673.5625</v>
      </c>
      <c r="Q121">
        <v>41079.541451504629</v>
      </c>
      <c r="R121">
        <v>122</v>
      </c>
    </row>
    <row r="122" spans="1:18" x14ac:dyDescent="0.25">
      <c r="A122" t="s">
        <v>432</v>
      </c>
      <c r="B122" t="s">
        <v>432</v>
      </c>
      <c r="C122" t="s">
        <v>433</v>
      </c>
      <c r="D122" t="s">
        <v>434</v>
      </c>
      <c r="E122" t="s">
        <v>435</v>
      </c>
      <c r="F122" t="s">
        <v>21</v>
      </c>
      <c r="G122" t="s">
        <v>22</v>
      </c>
      <c r="H122" t="s">
        <v>436</v>
      </c>
      <c r="I122" t="s">
        <v>437</v>
      </c>
      <c r="K122">
        <v>43698.521897777777</v>
      </c>
      <c r="L122" t="s">
        <v>25</v>
      </c>
      <c r="M122" t="s">
        <v>42</v>
      </c>
      <c r="N122" t="s">
        <v>27</v>
      </c>
      <c r="Q122">
        <v>41080.424161770832</v>
      </c>
      <c r="R122">
        <v>123</v>
      </c>
    </row>
    <row r="123" spans="1:18" x14ac:dyDescent="0.25">
      <c r="A123" t="s">
        <v>438</v>
      </c>
      <c r="B123" t="s">
        <v>439</v>
      </c>
      <c r="C123" t="s">
        <v>440</v>
      </c>
      <c r="D123" t="s">
        <v>440</v>
      </c>
      <c r="E123" t="s">
        <v>440</v>
      </c>
      <c r="F123" t="s">
        <v>21</v>
      </c>
      <c r="G123" t="s">
        <v>63</v>
      </c>
      <c r="H123" t="s">
        <v>80</v>
      </c>
      <c r="I123" t="s">
        <v>153</v>
      </c>
      <c r="J123">
        <v>2006</v>
      </c>
      <c r="K123">
        <v>43698.521897777777</v>
      </c>
      <c r="L123" t="s">
        <v>25</v>
      </c>
      <c r="M123" t="s">
        <v>26</v>
      </c>
      <c r="N123" t="s">
        <v>27</v>
      </c>
      <c r="O123">
        <v>16544</v>
      </c>
      <c r="P123">
        <v>41100.580555555556</v>
      </c>
      <c r="Q123">
        <v>41099.580642094908</v>
      </c>
      <c r="R123">
        <v>124</v>
      </c>
    </row>
    <row r="124" spans="1:18" x14ac:dyDescent="0.25">
      <c r="A124" t="s">
        <v>441</v>
      </c>
      <c r="B124" t="s">
        <v>442</v>
      </c>
      <c r="C124" t="s">
        <v>443</v>
      </c>
      <c r="D124" t="s">
        <v>443</v>
      </c>
      <c r="E124" t="s">
        <v>443</v>
      </c>
      <c r="F124" t="s">
        <v>21</v>
      </c>
      <c r="G124" t="s">
        <v>63</v>
      </c>
      <c r="H124" t="s">
        <v>34</v>
      </c>
      <c r="I124" t="s">
        <v>35</v>
      </c>
      <c r="J124">
        <v>1999</v>
      </c>
      <c r="K124">
        <v>43698.521897777777</v>
      </c>
      <c r="L124" t="s">
        <v>25</v>
      </c>
      <c r="M124" t="s">
        <v>42</v>
      </c>
      <c r="N124" t="s">
        <v>27</v>
      </c>
      <c r="O124">
        <v>20766</v>
      </c>
      <c r="P124">
        <v>41263.302430555559</v>
      </c>
      <c r="Q124">
        <v>41102.724959375002</v>
      </c>
      <c r="R124">
        <v>125</v>
      </c>
    </row>
    <row r="125" spans="1:18" x14ac:dyDescent="0.25">
      <c r="A125" t="s">
        <v>444</v>
      </c>
      <c r="B125" t="s">
        <v>445</v>
      </c>
      <c r="C125" t="s">
        <v>446</v>
      </c>
      <c r="D125" t="s">
        <v>446</v>
      </c>
      <c r="E125" t="s">
        <v>446</v>
      </c>
      <c r="F125" t="s">
        <v>21</v>
      </c>
      <c r="G125" t="s">
        <v>22</v>
      </c>
      <c r="H125" t="s">
        <v>80</v>
      </c>
      <c r="I125" t="s">
        <v>126</v>
      </c>
      <c r="J125">
        <v>2007</v>
      </c>
      <c r="K125">
        <v>43698.521897777777</v>
      </c>
      <c r="L125" t="s">
        <v>25</v>
      </c>
      <c r="M125" t="s">
        <v>37</v>
      </c>
      <c r="N125" t="s">
        <v>27</v>
      </c>
      <c r="O125">
        <v>147654</v>
      </c>
      <c r="P125">
        <v>43074.653773148151</v>
      </c>
      <c r="Q125">
        <v>41114.640621145831</v>
      </c>
      <c r="R125">
        <v>126</v>
      </c>
    </row>
    <row r="126" spans="1:18" x14ac:dyDescent="0.25">
      <c r="A126" t="s">
        <v>447</v>
      </c>
      <c r="B126" t="s">
        <v>448</v>
      </c>
      <c r="C126" t="s">
        <v>449</v>
      </c>
      <c r="D126" t="s">
        <v>449</v>
      </c>
      <c r="E126" t="s">
        <v>449</v>
      </c>
      <c r="F126" t="s">
        <v>21</v>
      </c>
      <c r="G126" t="s">
        <v>22</v>
      </c>
      <c r="H126" t="s">
        <v>80</v>
      </c>
      <c r="I126" t="s">
        <v>126</v>
      </c>
      <c r="J126">
        <v>2007</v>
      </c>
      <c r="K126">
        <v>43698.521897777777</v>
      </c>
      <c r="L126" t="s">
        <v>25</v>
      </c>
      <c r="M126" t="s">
        <v>37</v>
      </c>
      <c r="N126" t="s">
        <v>27</v>
      </c>
      <c r="O126">
        <v>143692</v>
      </c>
      <c r="P126">
        <v>43075.543749999997</v>
      </c>
      <c r="Q126">
        <v>41114.641463159722</v>
      </c>
      <c r="R126">
        <v>127</v>
      </c>
    </row>
    <row r="127" spans="1:18" x14ac:dyDescent="0.25">
      <c r="A127" t="s">
        <v>450</v>
      </c>
      <c r="B127" t="s">
        <v>451</v>
      </c>
      <c r="C127" t="s">
        <v>452</v>
      </c>
      <c r="D127" t="s">
        <v>452</v>
      </c>
      <c r="E127" t="s">
        <v>452</v>
      </c>
      <c r="F127" t="s">
        <v>21</v>
      </c>
      <c r="G127" t="s">
        <v>22</v>
      </c>
      <c r="H127" t="s">
        <v>80</v>
      </c>
      <c r="I127" t="s">
        <v>126</v>
      </c>
      <c r="J127">
        <v>2007</v>
      </c>
      <c r="K127">
        <v>43698.521897777777</v>
      </c>
      <c r="L127" t="s">
        <v>25</v>
      </c>
      <c r="M127" t="s">
        <v>37</v>
      </c>
      <c r="N127" t="s">
        <v>27</v>
      </c>
      <c r="O127">
        <v>143130</v>
      </c>
      <c r="P127">
        <v>43052.597916666666</v>
      </c>
      <c r="Q127">
        <v>41114.642373877316</v>
      </c>
      <c r="R127">
        <v>128</v>
      </c>
    </row>
    <row r="128" spans="1:18" x14ac:dyDescent="0.25">
      <c r="A128" t="s">
        <v>453</v>
      </c>
      <c r="B128" t="s">
        <v>454</v>
      </c>
      <c r="C128" t="s">
        <v>455</v>
      </c>
      <c r="D128" t="s">
        <v>455</v>
      </c>
      <c r="E128" t="s">
        <v>455</v>
      </c>
      <c r="F128" t="s">
        <v>21</v>
      </c>
      <c r="G128" t="s">
        <v>63</v>
      </c>
      <c r="H128" t="s">
        <v>236</v>
      </c>
      <c r="I128" t="s">
        <v>41</v>
      </c>
      <c r="J128">
        <v>2007</v>
      </c>
      <c r="K128">
        <v>43698.521897777777</v>
      </c>
      <c r="L128" t="s">
        <v>25</v>
      </c>
      <c r="M128" t="s">
        <v>26</v>
      </c>
      <c r="N128" t="s">
        <v>27</v>
      </c>
      <c r="O128">
        <v>30813</v>
      </c>
      <c r="P128">
        <v>41611.4925</v>
      </c>
      <c r="Q128">
        <v>41121.672585335647</v>
      </c>
      <c r="R128">
        <v>129</v>
      </c>
    </row>
    <row r="129" spans="1:18" x14ac:dyDescent="0.25">
      <c r="A129" t="s">
        <v>456</v>
      </c>
      <c r="B129" t="s">
        <v>457</v>
      </c>
      <c r="C129" t="s">
        <v>458</v>
      </c>
      <c r="D129" t="s">
        <v>458</v>
      </c>
      <c r="E129" t="s">
        <v>458</v>
      </c>
      <c r="F129" t="s">
        <v>21</v>
      </c>
      <c r="G129" t="s">
        <v>63</v>
      </c>
      <c r="H129" t="s">
        <v>53</v>
      </c>
      <c r="I129" t="s">
        <v>54</v>
      </c>
      <c r="J129">
        <v>2007</v>
      </c>
      <c r="K129">
        <v>43698.521897777777</v>
      </c>
      <c r="L129" t="s">
        <v>25</v>
      </c>
      <c r="M129" t="s">
        <v>154</v>
      </c>
      <c r="N129" t="s">
        <v>27</v>
      </c>
      <c r="O129">
        <v>47409</v>
      </c>
      <c r="P129">
        <v>42036.436111111114</v>
      </c>
      <c r="Q129">
        <v>41123.737110497685</v>
      </c>
      <c r="R129">
        <v>130</v>
      </c>
    </row>
    <row r="130" spans="1:18" x14ac:dyDescent="0.25">
      <c r="A130" t="s">
        <v>459</v>
      </c>
      <c r="B130" t="s">
        <v>460</v>
      </c>
      <c r="C130" t="s">
        <v>461</v>
      </c>
      <c r="D130" t="s">
        <v>461</v>
      </c>
      <c r="E130" t="s">
        <v>461</v>
      </c>
      <c r="F130" t="s">
        <v>21</v>
      </c>
      <c r="G130" t="s">
        <v>63</v>
      </c>
      <c r="H130" t="s">
        <v>53</v>
      </c>
      <c r="I130" t="s">
        <v>41</v>
      </c>
      <c r="J130">
        <v>2007</v>
      </c>
      <c r="K130">
        <v>43698.521897777777</v>
      </c>
      <c r="L130" t="s">
        <v>25</v>
      </c>
      <c r="M130" t="s">
        <v>42</v>
      </c>
      <c r="N130" t="s">
        <v>27</v>
      </c>
      <c r="O130">
        <v>35387</v>
      </c>
      <c r="P130">
        <v>41739.752835648149</v>
      </c>
      <c r="Q130">
        <v>41130.548880590279</v>
      </c>
      <c r="R130">
        <v>131</v>
      </c>
    </row>
    <row r="131" spans="1:18" x14ac:dyDescent="0.25">
      <c r="A131" t="s">
        <v>462</v>
      </c>
      <c r="B131" t="s">
        <v>463</v>
      </c>
      <c r="C131" t="s">
        <v>464</v>
      </c>
      <c r="D131" t="s">
        <v>464</v>
      </c>
      <c r="E131" t="s">
        <v>464</v>
      </c>
      <c r="F131" t="s">
        <v>91</v>
      </c>
      <c r="G131" t="s">
        <v>22</v>
      </c>
      <c r="H131" t="s">
        <v>53</v>
      </c>
      <c r="I131" t="s">
        <v>465</v>
      </c>
      <c r="J131">
        <v>2013</v>
      </c>
      <c r="K131">
        <v>43698.521897777777</v>
      </c>
      <c r="L131" t="s">
        <v>466</v>
      </c>
      <c r="M131" t="s">
        <v>154</v>
      </c>
      <c r="N131" t="s">
        <v>467</v>
      </c>
      <c r="O131">
        <v>345654</v>
      </c>
      <c r="P131">
        <v>43698.521897777777</v>
      </c>
      <c r="Q131">
        <v>41130.578246643519</v>
      </c>
      <c r="R131">
        <v>132</v>
      </c>
    </row>
    <row r="132" spans="1:18" x14ac:dyDescent="0.25">
      <c r="A132" t="s">
        <v>468</v>
      </c>
      <c r="B132" t="s">
        <v>469</v>
      </c>
      <c r="C132" t="s">
        <v>470</v>
      </c>
      <c r="D132" t="s">
        <v>470</v>
      </c>
      <c r="E132" t="s">
        <v>470</v>
      </c>
      <c r="F132" t="s">
        <v>21</v>
      </c>
      <c r="G132" t="s">
        <v>63</v>
      </c>
      <c r="H132" t="s">
        <v>53</v>
      </c>
      <c r="I132" t="s">
        <v>471</v>
      </c>
      <c r="J132">
        <v>2008</v>
      </c>
      <c r="K132">
        <v>43698.521897777777</v>
      </c>
      <c r="L132" t="s">
        <v>25</v>
      </c>
      <c r="M132" t="s">
        <v>42</v>
      </c>
      <c r="N132" t="s">
        <v>27</v>
      </c>
      <c r="O132">
        <v>19031</v>
      </c>
      <c r="P132">
        <v>41204.443055555559</v>
      </c>
      <c r="Q132">
        <v>41146.623575810183</v>
      </c>
      <c r="R132">
        <v>133</v>
      </c>
    </row>
    <row r="133" spans="1:18" x14ac:dyDescent="0.25">
      <c r="A133" t="s">
        <v>472</v>
      </c>
      <c r="B133" t="s">
        <v>473</v>
      </c>
      <c r="C133" t="s">
        <v>474</v>
      </c>
      <c r="D133" t="s">
        <v>474</v>
      </c>
      <c r="E133" t="s">
        <v>474</v>
      </c>
      <c r="F133" t="s">
        <v>21</v>
      </c>
      <c r="G133" t="s">
        <v>63</v>
      </c>
      <c r="H133" t="s">
        <v>53</v>
      </c>
      <c r="I133" t="s">
        <v>471</v>
      </c>
      <c r="J133">
        <v>2013</v>
      </c>
      <c r="K133">
        <v>43698.521897777777</v>
      </c>
      <c r="L133" t="s">
        <v>67</v>
      </c>
      <c r="M133" t="s">
        <v>154</v>
      </c>
      <c r="N133" t="s">
        <v>27</v>
      </c>
      <c r="O133">
        <v>102117</v>
      </c>
      <c r="P133">
        <v>42792.497627314813</v>
      </c>
      <c r="Q133">
        <v>41149.693253240737</v>
      </c>
      <c r="R133">
        <v>134</v>
      </c>
    </row>
    <row r="134" spans="1:18" x14ac:dyDescent="0.25">
      <c r="A134" t="s">
        <v>475</v>
      </c>
      <c r="B134" t="s">
        <v>476</v>
      </c>
      <c r="C134" t="s">
        <v>477</v>
      </c>
      <c r="D134" t="s">
        <v>477</v>
      </c>
      <c r="E134" t="s">
        <v>477</v>
      </c>
      <c r="F134" t="s">
        <v>21</v>
      </c>
      <c r="G134" t="s">
        <v>63</v>
      </c>
      <c r="H134" t="s">
        <v>53</v>
      </c>
      <c r="I134" t="s">
        <v>471</v>
      </c>
      <c r="J134">
        <v>2008</v>
      </c>
      <c r="K134">
        <v>43698.521897777777</v>
      </c>
      <c r="L134" t="s">
        <v>25</v>
      </c>
      <c r="M134" t="s">
        <v>42</v>
      </c>
      <c r="N134" t="s">
        <v>27</v>
      </c>
      <c r="O134">
        <v>18452</v>
      </c>
      <c r="P134">
        <v>41180.177083333336</v>
      </c>
      <c r="Q134">
        <v>41151.718381944447</v>
      </c>
      <c r="R134">
        <v>135</v>
      </c>
    </row>
    <row r="135" spans="1:18" x14ac:dyDescent="0.25">
      <c r="A135" t="s">
        <v>478</v>
      </c>
      <c r="B135" t="s">
        <v>479</v>
      </c>
      <c r="C135" t="s">
        <v>480</v>
      </c>
      <c r="D135" t="s">
        <v>480</v>
      </c>
      <c r="E135" t="s">
        <v>480</v>
      </c>
      <c r="F135" t="s">
        <v>21</v>
      </c>
      <c r="G135" t="s">
        <v>63</v>
      </c>
      <c r="H135" t="s">
        <v>53</v>
      </c>
      <c r="I135" t="s">
        <v>41</v>
      </c>
      <c r="J135">
        <v>2001</v>
      </c>
      <c r="K135">
        <v>43698.521897777777</v>
      </c>
      <c r="L135" t="s">
        <v>25</v>
      </c>
      <c r="M135" t="s">
        <v>26</v>
      </c>
      <c r="N135" t="s">
        <v>27</v>
      </c>
      <c r="O135">
        <v>23469</v>
      </c>
      <c r="P135">
        <v>41376.184027777781</v>
      </c>
      <c r="Q135">
        <v>41151.726175347219</v>
      </c>
      <c r="R135">
        <v>136</v>
      </c>
    </row>
    <row r="136" spans="1:18" x14ac:dyDescent="0.25">
      <c r="A136" t="s">
        <v>481</v>
      </c>
      <c r="B136" t="s">
        <v>482</v>
      </c>
      <c r="C136" t="s">
        <v>483</v>
      </c>
      <c r="D136" t="s">
        <v>483</v>
      </c>
      <c r="E136" t="s">
        <v>483</v>
      </c>
      <c r="F136" t="s">
        <v>21</v>
      </c>
      <c r="G136" t="s">
        <v>63</v>
      </c>
      <c r="H136" t="s">
        <v>53</v>
      </c>
      <c r="I136" t="s">
        <v>41</v>
      </c>
      <c r="J136">
        <v>2001</v>
      </c>
      <c r="K136">
        <v>43698.521897777777</v>
      </c>
      <c r="L136" t="s">
        <v>25</v>
      </c>
      <c r="M136" t="s">
        <v>26</v>
      </c>
      <c r="N136" t="s">
        <v>27</v>
      </c>
      <c r="O136">
        <v>23502</v>
      </c>
      <c r="P136">
        <v>41377.163194444445</v>
      </c>
      <c r="Q136">
        <v>41151.72818460648</v>
      </c>
      <c r="R136">
        <v>137</v>
      </c>
    </row>
    <row r="137" spans="1:18" x14ac:dyDescent="0.25">
      <c r="A137" t="s">
        <v>484</v>
      </c>
      <c r="B137" t="s">
        <v>485</v>
      </c>
      <c r="C137" t="s">
        <v>486</v>
      </c>
      <c r="D137" t="s">
        <v>486</v>
      </c>
      <c r="E137" t="s">
        <v>486</v>
      </c>
      <c r="F137" t="s">
        <v>21</v>
      </c>
      <c r="G137" t="s">
        <v>63</v>
      </c>
      <c r="H137" t="s">
        <v>53</v>
      </c>
      <c r="I137" t="s">
        <v>41</v>
      </c>
      <c r="J137">
        <v>2007</v>
      </c>
      <c r="K137">
        <v>43698.521897777777</v>
      </c>
      <c r="L137" t="s">
        <v>25</v>
      </c>
      <c r="M137" t="s">
        <v>42</v>
      </c>
      <c r="N137" t="s">
        <v>27</v>
      </c>
      <c r="O137">
        <v>33603</v>
      </c>
      <c r="P137">
        <v>41698.033067129632</v>
      </c>
      <c r="Q137">
        <v>41176.516034722219</v>
      </c>
      <c r="R137">
        <v>138</v>
      </c>
    </row>
    <row r="138" spans="1:18" x14ac:dyDescent="0.25">
      <c r="A138" t="s">
        <v>487</v>
      </c>
      <c r="B138" t="s">
        <v>488</v>
      </c>
      <c r="C138" t="s">
        <v>489</v>
      </c>
      <c r="D138" t="s">
        <v>489</v>
      </c>
      <c r="E138" t="s">
        <v>489</v>
      </c>
      <c r="F138" t="s">
        <v>21</v>
      </c>
      <c r="G138" t="s">
        <v>63</v>
      </c>
      <c r="H138" t="s">
        <v>34</v>
      </c>
      <c r="I138" t="s">
        <v>490</v>
      </c>
      <c r="J138">
        <v>2004</v>
      </c>
      <c r="K138">
        <v>43698.521897777777</v>
      </c>
      <c r="L138" t="s">
        <v>25</v>
      </c>
      <c r="M138" t="s">
        <v>154</v>
      </c>
      <c r="N138" t="s">
        <v>27</v>
      </c>
      <c r="O138">
        <v>22778</v>
      </c>
      <c r="P138">
        <v>41355.567361111112</v>
      </c>
      <c r="Q138">
        <v>41180.750617905091</v>
      </c>
      <c r="R138">
        <v>139</v>
      </c>
    </row>
    <row r="139" spans="1:18" x14ac:dyDescent="0.25">
      <c r="A139" t="s">
        <v>491</v>
      </c>
      <c r="B139" t="s">
        <v>492</v>
      </c>
      <c r="C139" t="s">
        <v>493</v>
      </c>
      <c r="D139" t="s">
        <v>493</v>
      </c>
      <c r="E139" t="s">
        <v>493</v>
      </c>
      <c r="F139" t="s">
        <v>21</v>
      </c>
      <c r="G139" t="s">
        <v>63</v>
      </c>
      <c r="H139" t="s">
        <v>53</v>
      </c>
      <c r="I139" t="s">
        <v>471</v>
      </c>
      <c r="J139">
        <v>2008</v>
      </c>
      <c r="K139">
        <v>43698.521897777777</v>
      </c>
      <c r="L139" t="s">
        <v>25</v>
      </c>
      <c r="M139" t="s">
        <v>42</v>
      </c>
      <c r="N139" t="s">
        <v>27</v>
      </c>
      <c r="O139">
        <v>56453</v>
      </c>
      <c r="P139">
        <v>42208.919386574074</v>
      </c>
      <c r="Q139">
        <v>41194.608042824075</v>
      </c>
      <c r="R139">
        <v>140</v>
      </c>
    </row>
    <row r="140" spans="1:18" x14ac:dyDescent="0.25">
      <c r="A140" t="s">
        <v>494</v>
      </c>
      <c r="B140" t="s">
        <v>495</v>
      </c>
      <c r="C140" t="s">
        <v>496</v>
      </c>
      <c r="D140" t="s">
        <v>496</v>
      </c>
      <c r="E140" t="s">
        <v>497</v>
      </c>
      <c r="F140" t="s">
        <v>21</v>
      </c>
      <c r="G140" t="s">
        <v>63</v>
      </c>
      <c r="H140" t="s">
        <v>34</v>
      </c>
      <c r="I140" t="s">
        <v>35</v>
      </c>
      <c r="J140">
        <v>2013</v>
      </c>
      <c r="K140">
        <v>43698.521897777777</v>
      </c>
      <c r="L140" t="s">
        <v>498</v>
      </c>
      <c r="M140" t="s">
        <v>42</v>
      </c>
      <c r="N140" t="s">
        <v>27</v>
      </c>
      <c r="O140">
        <v>154715</v>
      </c>
      <c r="P140">
        <v>43122.376400462963</v>
      </c>
      <c r="Q140">
        <v>41199.625707789353</v>
      </c>
      <c r="R140">
        <v>141</v>
      </c>
    </row>
    <row r="141" spans="1:18" x14ac:dyDescent="0.25">
      <c r="A141" t="s">
        <v>499</v>
      </c>
      <c r="B141" t="s">
        <v>500</v>
      </c>
      <c r="C141" t="s">
        <v>501</v>
      </c>
      <c r="D141" t="s">
        <v>501</v>
      </c>
      <c r="E141" t="s">
        <v>501</v>
      </c>
      <c r="F141" t="s">
        <v>21</v>
      </c>
      <c r="G141" t="s">
        <v>63</v>
      </c>
      <c r="H141" t="s">
        <v>34</v>
      </c>
      <c r="I141" t="s">
        <v>149</v>
      </c>
      <c r="J141">
        <v>2006</v>
      </c>
      <c r="K141">
        <v>43698.521897777777</v>
      </c>
      <c r="L141" t="s">
        <v>25</v>
      </c>
      <c r="M141" t="s">
        <v>42</v>
      </c>
      <c r="N141" t="s">
        <v>27</v>
      </c>
      <c r="O141">
        <v>19643</v>
      </c>
      <c r="P141">
        <v>41221.260416666664</v>
      </c>
      <c r="Q141">
        <v>41201.362202893521</v>
      </c>
      <c r="R141">
        <v>142</v>
      </c>
    </row>
    <row r="142" spans="1:18" x14ac:dyDescent="0.25">
      <c r="A142" t="s">
        <v>502</v>
      </c>
      <c r="B142" t="s">
        <v>503</v>
      </c>
      <c r="C142" t="s">
        <v>504</v>
      </c>
      <c r="D142" t="s">
        <v>504</v>
      </c>
      <c r="E142" t="s">
        <v>504</v>
      </c>
      <c r="F142" t="s">
        <v>21</v>
      </c>
      <c r="G142" t="s">
        <v>63</v>
      </c>
      <c r="H142" t="s">
        <v>53</v>
      </c>
      <c r="I142" t="s">
        <v>41</v>
      </c>
      <c r="J142">
        <v>2004</v>
      </c>
      <c r="K142">
        <v>43698.521897777777</v>
      </c>
      <c r="L142" t="s">
        <v>25</v>
      </c>
      <c r="M142" t="s">
        <v>42</v>
      </c>
      <c r="N142" t="s">
        <v>27</v>
      </c>
      <c r="O142">
        <v>51159</v>
      </c>
      <c r="P142">
        <v>42111.25199074074</v>
      </c>
      <c r="Q142">
        <v>41207.610934641205</v>
      </c>
      <c r="R142">
        <v>143</v>
      </c>
    </row>
    <row r="143" spans="1:18" x14ac:dyDescent="0.25">
      <c r="A143" t="s">
        <v>505</v>
      </c>
      <c r="B143" t="s">
        <v>506</v>
      </c>
      <c r="C143" t="s">
        <v>507</v>
      </c>
      <c r="D143" t="s">
        <v>507</v>
      </c>
      <c r="E143" t="s">
        <v>507</v>
      </c>
      <c r="F143" t="s">
        <v>21</v>
      </c>
      <c r="G143" t="s">
        <v>63</v>
      </c>
      <c r="H143" t="s">
        <v>23</v>
      </c>
      <c r="I143" t="s">
        <v>41</v>
      </c>
      <c r="J143">
        <v>2013</v>
      </c>
      <c r="K143">
        <v>43698.521897777777</v>
      </c>
      <c r="L143" t="s">
        <v>25</v>
      </c>
      <c r="M143" t="s">
        <v>42</v>
      </c>
      <c r="N143" t="s">
        <v>27</v>
      </c>
      <c r="O143">
        <v>20517</v>
      </c>
      <c r="P143">
        <v>41256.956944444442</v>
      </c>
      <c r="Q143">
        <v>41214.514559687501</v>
      </c>
      <c r="R143">
        <v>144</v>
      </c>
    </row>
    <row r="144" spans="1:18" x14ac:dyDescent="0.25">
      <c r="A144" t="s">
        <v>508</v>
      </c>
      <c r="B144" t="s">
        <v>509</v>
      </c>
      <c r="C144" t="s">
        <v>510</v>
      </c>
      <c r="D144" t="s">
        <v>510</v>
      </c>
      <c r="E144" t="s">
        <v>510</v>
      </c>
      <c r="F144" t="s">
        <v>21</v>
      </c>
      <c r="G144" t="s">
        <v>22</v>
      </c>
      <c r="H144" t="s">
        <v>53</v>
      </c>
      <c r="I144" t="s">
        <v>465</v>
      </c>
      <c r="J144">
        <v>2013</v>
      </c>
      <c r="K144">
        <v>43698.521897777777</v>
      </c>
      <c r="L144" t="s">
        <v>67</v>
      </c>
      <c r="M144" t="s">
        <v>154</v>
      </c>
      <c r="N144" t="s">
        <v>27</v>
      </c>
      <c r="O144">
        <v>23124</v>
      </c>
      <c r="P144">
        <v>41363.364317129628</v>
      </c>
      <c r="Q144">
        <v>41218.647459490741</v>
      </c>
      <c r="R144">
        <v>145</v>
      </c>
    </row>
    <row r="145" spans="1:18" x14ac:dyDescent="0.25">
      <c r="A145" t="s">
        <v>511</v>
      </c>
      <c r="B145" t="s">
        <v>512</v>
      </c>
      <c r="C145" t="s">
        <v>513</v>
      </c>
      <c r="D145" t="s">
        <v>513</v>
      </c>
      <c r="E145" t="s">
        <v>513</v>
      </c>
      <c r="F145" t="s">
        <v>91</v>
      </c>
      <c r="G145" t="s">
        <v>22</v>
      </c>
      <c r="H145" t="s">
        <v>53</v>
      </c>
      <c r="I145" t="s">
        <v>465</v>
      </c>
      <c r="J145">
        <v>2013</v>
      </c>
      <c r="K145">
        <v>43698.521897777777</v>
      </c>
      <c r="L145" t="s">
        <v>466</v>
      </c>
      <c r="M145" t="s">
        <v>154</v>
      </c>
      <c r="N145" t="s">
        <v>467</v>
      </c>
      <c r="O145">
        <v>346195</v>
      </c>
      <c r="P145">
        <v>43698.521897777777</v>
      </c>
      <c r="Q145">
        <v>41218.648216354166</v>
      </c>
      <c r="R145">
        <v>146</v>
      </c>
    </row>
    <row r="146" spans="1:18" x14ac:dyDescent="0.25">
      <c r="A146" t="s">
        <v>514</v>
      </c>
      <c r="B146" t="s">
        <v>515</v>
      </c>
      <c r="C146" t="s">
        <v>516</v>
      </c>
      <c r="D146" t="s">
        <v>516</v>
      </c>
      <c r="E146" t="s">
        <v>516</v>
      </c>
      <c r="F146" t="s">
        <v>21</v>
      </c>
      <c r="G146" t="s">
        <v>63</v>
      </c>
      <c r="H146" t="s">
        <v>34</v>
      </c>
      <c r="I146" t="s">
        <v>35</v>
      </c>
      <c r="J146">
        <v>2000</v>
      </c>
      <c r="K146">
        <v>43698.521897777777</v>
      </c>
      <c r="L146" t="s">
        <v>25</v>
      </c>
      <c r="M146" t="s">
        <v>42</v>
      </c>
      <c r="N146" t="s">
        <v>27</v>
      </c>
      <c r="O146">
        <v>23144</v>
      </c>
      <c r="P146">
        <v>41362.919444444444</v>
      </c>
      <c r="Q146">
        <v>41223.633173113427</v>
      </c>
      <c r="R146">
        <v>147</v>
      </c>
    </row>
    <row r="147" spans="1:18" x14ac:dyDescent="0.25">
      <c r="A147" t="s">
        <v>517</v>
      </c>
      <c r="B147" t="s">
        <v>518</v>
      </c>
      <c r="C147" t="s">
        <v>519</v>
      </c>
      <c r="D147" t="s">
        <v>519</v>
      </c>
      <c r="E147" t="s">
        <v>519</v>
      </c>
      <c r="F147" t="s">
        <v>21</v>
      </c>
      <c r="G147" t="s">
        <v>22</v>
      </c>
      <c r="H147" t="s">
        <v>520</v>
      </c>
      <c r="I147" t="s">
        <v>521</v>
      </c>
      <c r="J147">
        <v>2007</v>
      </c>
      <c r="K147">
        <v>43698.521897777777</v>
      </c>
      <c r="L147" t="s">
        <v>522</v>
      </c>
      <c r="M147" t="s">
        <v>154</v>
      </c>
      <c r="N147" t="s">
        <v>523</v>
      </c>
      <c r="O147">
        <v>209910</v>
      </c>
      <c r="P147">
        <v>43326.708333333336</v>
      </c>
      <c r="Q147">
        <v>41225.380730324076</v>
      </c>
      <c r="R147">
        <v>148</v>
      </c>
    </row>
    <row r="148" spans="1:18" x14ac:dyDescent="0.25">
      <c r="A148" t="s">
        <v>524</v>
      </c>
      <c r="B148" t="s">
        <v>525</v>
      </c>
      <c r="C148" t="s">
        <v>526</v>
      </c>
      <c r="D148" t="s">
        <v>526</v>
      </c>
      <c r="E148" t="s">
        <v>526</v>
      </c>
      <c r="F148" t="s">
        <v>21</v>
      </c>
      <c r="G148" t="s">
        <v>63</v>
      </c>
      <c r="H148" t="s">
        <v>23</v>
      </c>
      <c r="I148" t="s">
        <v>527</v>
      </c>
      <c r="J148">
        <v>2007</v>
      </c>
      <c r="K148">
        <v>43698.521897777777</v>
      </c>
      <c r="L148" t="s">
        <v>25</v>
      </c>
      <c r="M148" t="s">
        <v>42</v>
      </c>
      <c r="N148" t="s">
        <v>27</v>
      </c>
      <c r="O148">
        <v>96951</v>
      </c>
      <c r="P148">
        <v>42740.870439814818</v>
      </c>
      <c r="Q148">
        <v>41272.651241203705</v>
      </c>
      <c r="R148">
        <v>149</v>
      </c>
    </row>
    <row r="149" spans="1:18" x14ac:dyDescent="0.25">
      <c r="A149" t="s">
        <v>528</v>
      </c>
      <c r="B149" t="s">
        <v>529</v>
      </c>
      <c r="C149" t="s">
        <v>530</v>
      </c>
      <c r="D149" t="s">
        <v>530</v>
      </c>
      <c r="E149" t="s">
        <v>530</v>
      </c>
      <c r="F149" t="s">
        <v>21</v>
      </c>
      <c r="G149" t="s">
        <v>22</v>
      </c>
      <c r="H149" t="s">
        <v>34</v>
      </c>
      <c r="I149" t="s">
        <v>35</v>
      </c>
      <c r="J149">
        <v>2013</v>
      </c>
      <c r="K149">
        <v>43698.521897777777</v>
      </c>
      <c r="L149" t="s">
        <v>531</v>
      </c>
      <c r="M149" t="s">
        <v>42</v>
      </c>
      <c r="N149" t="s">
        <v>27</v>
      </c>
      <c r="O149">
        <v>69363</v>
      </c>
      <c r="P149">
        <v>42424.93472222222</v>
      </c>
      <c r="Q149">
        <v>41317.566881979168</v>
      </c>
      <c r="R149">
        <v>150</v>
      </c>
    </row>
    <row r="150" spans="1:18" x14ac:dyDescent="0.25">
      <c r="A150" t="s">
        <v>532</v>
      </c>
      <c r="B150" t="s">
        <v>533</v>
      </c>
      <c r="C150" t="s">
        <v>534</v>
      </c>
      <c r="D150" t="s">
        <v>534</v>
      </c>
      <c r="E150" t="s">
        <v>534</v>
      </c>
      <c r="F150" t="s">
        <v>21</v>
      </c>
      <c r="G150" t="s">
        <v>22</v>
      </c>
      <c r="H150" t="s">
        <v>34</v>
      </c>
      <c r="I150" t="s">
        <v>35</v>
      </c>
      <c r="J150">
        <v>2013</v>
      </c>
      <c r="K150">
        <v>43698.521897777777</v>
      </c>
      <c r="L150" t="s">
        <v>531</v>
      </c>
      <c r="M150" t="s">
        <v>42</v>
      </c>
      <c r="N150" t="s">
        <v>27</v>
      </c>
      <c r="O150">
        <v>53938</v>
      </c>
      <c r="P150">
        <v>42167.259722222225</v>
      </c>
      <c r="Q150">
        <v>41317.570314618053</v>
      </c>
      <c r="R150">
        <v>151</v>
      </c>
    </row>
    <row r="151" spans="1:18" x14ac:dyDescent="0.25">
      <c r="A151" t="s">
        <v>535</v>
      </c>
      <c r="B151" t="s">
        <v>536</v>
      </c>
      <c r="C151" t="s">
        <v>537</v>
      </c>
      <c r="D151" t="s">
        <v>537</v>
      </c>
      <c r="E151" t="s">
        <v>537</v>
      </c>
      <c r="F151" t="s">
        <v>21</v>
      </c>
      <c r="G151" t="s">
        <v>63</v>
      </c>
      <c r="H151" t="s">
        <v>34</v>
      </c>
      <c r="I151" t="s">
        <v>35</v>
      </c>
      <c r="J151">
        <v>2010</v>
      </c>
      <c r="K151">
        <v>43698.521897777777</v>
      </c>
      <c r="L151" t="s">
        <v>25</v>
      </c>
      <c r="M151" t="s">
        <v>42</v>
      </c>
      <c r="N151" t="s">
        <v>27</v>
      </c>
      <c r="O151">
        <v>24120</v>
      </c>
      <c r="P151">
        <v>41403.094444444447</v>
      </c>
      <c r="Q151">
        <v>41335.556774421297</v>
      </c>
      <c r="R151">
        <v>152</v>
      </c>
    </row>
    <row r="152" spans="1:18" x14ac:dyDescent="0.25">
      <c r="A152" t="s">
        <v>538</v>
      </c>
      <c r="B152" t="s">
        <v>539</v>
      </c>
      <c r="C152" t="s">
        <v>540</v>
      </c>
      <c r="D152" t="s">
        <v>540</v>
      </c>
      <c r="E152" t="s">
        <v>540</v>
      </c>
      <c r="F152" t="s">
        <v>21</v>
      </c>
      <c r="G152" t="s">
        <v>63</v>
      </c>
      <c r="H152" t="s">
        <v>34</v>
      </c>
      <c r="I152" t="s">
        <v>35</v>
      </c>
      <c r="J152">
        <v>2009</v>
      </c>
      <c r="K152">
        <v>43698.521897777777</v>
      </c>
      <c r="L152" t="s">
        <v>25</v>
      </c>
      <c r="M152" t="s">
        <v>42</v>
      </c>
      <c r="N152" t="s">
        <v>27</v>
      </c>
      <c r="O152">
        <v>30410</v>
      </c>
      <c r="P152">
        <v>41596.777083333334</v>
      </c>
      <c r="Q152">
        <v>41347.594992129627</v>
      </c>
      <c r="R152">
        <v>153</v>
      </c>
    </row>
    <row r="153" spans="1:18" x14ac:dyDescent="0.25">
      <c r="A153" t="s">
        <v>541</v>
      </c>
      <c r="B153" t="s">
        <v>542</v>
      </c>
      <c r="C153" t="s">
        <v>543</v>
      </c>
      <c r="D153" t="s">
        <v>543</v>
      </c>
      <c r="E153" t="s">
        <v>543</v>
      </c>
      <c r="F153" t="s">
        <v>21</v>
      </c>
      <c r="G153" t="s">
        <v>63</v>
      </c>
      <c r="H153" t="s">
        <v>53</v>
      </c>
      <c r="I153" t="s">
        <v>471</v>
      </c>
      <c r="J153">
        <v>2014</v>
      </c>
      <c r="K153">
        <v>43698.521897777777</v>
      </c>
      <c r="L153" t="s">
        <v>67</v>
      </c>
      <c r="M153" t="s">
        <v>154</v>
      </c>
      <c r="N153" t="s">
        <v>27</v>
      </c>
      <c r="O153">
        <v>186846</v>
      </c>
      <c r="P153">
        <v>43250.026388888888</v>
      </c>
      <c r="Q153">
        <v>41356.621102893521</v>
      </c>
      <c r="R153">
        <v>154</v>
      </c>
    </row>
    <row r="154" spans="1:18" x14ac:dyDescent="0.25">
      <c r="A154" t="s">
        <v>544</v>
      </c>
      <c r="B154" t="s">
        <v>545</v>
      </c>
      <c r="C154" t="s">
        <v>546</v>
      </c>
      <c r="D154" t="s">
        <v>546</v>
      </c>
      <c r="E154" t="s">
        <v>546</v>
      </c>
      <c r="F154" t="s">
        <v>91</v>
      </c>
      <c r="G154" t="s">
        <v>63</v>
      </c>
      <c r="H154" t="s">
        <v>53</v>
      </c>
      <c r="I154" t="s">
        <v>471</v>
      </c>
      <c r="J154">
        <v>2014</v>
      </c>
      <c r="K154">
        <v>43698.521897777777</v>
      </c>
      <c r="L154" t="s">
        <v>466</v>
      </c>
      <c r="M154" t="s">
        <v>154</v>
      </c>
      <c r="N154" t="s">
        <v>467</v>
      </c>
      <c r="O154">
        <v>343727</v>
      </c>
      <c r="P154">
        <v>43698.521897777777</v>
      </c>
      <c r="Q154">
        <v>41356.622075196756</v>
      </c>
      <c r="R154">
        <v>155</v>
      </c>
    </row>
    <row r="155" spans="1:18" x14ac:dyDescent="0.25">
      <c r="A155" t="s">
        <v>547</v>
      </c>
      <c r="B155" t="s">
        <v>548</v>
      </c>
      <c r="C155" t="s">
        <v>549</v>
      </c>
      <c r="D155" t="s">
        <v>549</v>
      </c>
      <c r="E155" t="s">
        <v>549</v>
      </c>
      <c r="F155" t="s">
        <v>91</v>
      </c>
      <c r="G155" t="s">
        <v>63</v>
      </c>
      <c r="H155" t="s">
        <v>53</v>
      </c>
      <c r="I155" t="s">
        <v>471</v>
      </c>
      <c r="J155">
        <v>2014</v>
      </c>
      <c r="K155">
        <v>43698.521897777777</v>
      </c>
      <c r="L155" t="s">
        <v>466</v>
      </c>
      <c r="M155" t="s">
        <v>154</v>
      </c>
      <c r="N155" t="s">
        <v>467</v>
      </c>
      <c r="O155">
        <v>345760</v>
      </c>
      <c r="P155">
        <v>43696.683125000003</v>
      </c>
      <c r="Q155">
        <v>41356.622697604165</v>
      </c>
      <c r="R155">
        <v>156</v>
      </c>
    </row>
    <row r="156" spans="1:18" x14ac:dyDescent="0.25">
      <c r="A156" t="s">
        <v>550</v>
      </c>
      <c r="B156" t="s">
        <v>551</v>
      </c>
      <c r="C156" t="s">
        <v>552</v>
      </c>
      <c r="D156" t="s">
        <v>552</v>
      </c>
      <c r="E156" t="s">
        <v>552</v>
      </c>
      <c r="F156" t="s">
        <v>21</v>
      </c>
      <c r="G156" t="s">
        <v>63</v>
      </c>
      <c r="H156" t="s">
        <v>53</v>
      </c>
      <c r="I156" t="s">
        <v>54</v>
      </c>
      <c r="J156">
        <v>2006</v>
      </c>
      <c r="K156">
        <v>43698.521897777777</v>
      </c>
      <c r="L156" t="s">
        <v>25</v>
      </c>
      <c r="M156" t="s">
        <v>42</v>
      </c>
      <c r="N156" t="s">
        <v>27</v>
      </c>
      <c r="O156">
        <v>29772</v>
      </c>
      <c r="P156">
        <v>41579.303472222222</v>
      </c>
      <c r="Q156">
        <v>41363.684683101848</v>
      </c>
      <c r="R156">
        <v>157</v>
      </c>
    </row>
    <row r="157" spans="1:18" x14ac:dyDescent="0.25">
      <c r="A157" t="s">
        <v>553</v>
      </c>
      <c r="B157" t="s">
        <v>554</v>
      </c>
      <c r="C157" t="s">
        <v>555</v>
      </c>
      <c r="D157" t="s">
        <v>555</v>
      </c>
      <c r="E157" t="s">
        <v>555</v>
      </c>
      <c r="F157" t="s">
        <v>21</v>
      </c>
      <c r="G157" t="s">
        <v>22</v>
      </c>
      <c r="H157" t="s">
        <v>236</v>
      </c>
      <c r="I157" t="s">
        <v>556</v>
      </c>
      <c r="J157">
        <v>2014</v>
      </c>
      <c r="K157">
        <v>43698.521897777777</v>
      </c>
      <c r="L157" t="s">
        <v>67</v>
      </c>
      <c r="M157" t="s">
        <v>42</v>
      </c>
      <c r="N157" t="s">
        <v>27</v>
      </c>
      <c r="O157">
        <v>32587</v>
      </c>
      <c r="P157">
        <v>41672.624305555553</v>
      </c>
      <c r="Q157">
        <v>41369.693469872684</v>
      </c>
      <c r="R157">
        <v>158</v>
      </c>
    </row>
    <row r="158" spans="1:18" x14ac:dyDescent="0.25">
      <c r="A158" t="s">
        <v>557</v>
      </c>
      <c r="B158" t="s">
        <v>558</v>
      </c>
      <c r="C158" t="s">
        <v>559</v>
      </c>
      <c r="D158" t="s">
        <v>559</v>
      </c>
      <c r="E158" t="s">
        <v>559</v>
      </c>
      <c r="F158" t="s">
        <v>21</v>
      </c>
      <c r="G158" t="s">
        <v>63</v>
      </c>
      <c r="H158" t="s">
        <v>236</v>
      </c>
      <c r="I158" t="s">
        <v>41</v>
      </c>
      <c r="J158">
        <v>2011</v>
      </c>
      <c r="K158">
        <v>43698.521897777777</v>
      </c>
      <c r="L158" t="s">
        <v>374</v>
      </c>
      <c r="M158" t="s">
        <v>42</v>
      </c>
      <c r="N158" t="s">
        <v>27</v>
      </c>
      <c r="O158">
        <v>59638</v>
      </c>
      <c r="P158">
        <v>42265.990624999999</v>
      </c>
      <c r="Q158">
        <v>41374.43453298611</v>
      </c>
      <c r="R158">
        <v>159</v>
      </c>
    </row>
    <row r="159" spans="1:18" x14ac:dyDescent="0.25">
      <c r="A159" t="s">
        <v>560</v>
      </c>
      <c r="B159" t="s">
        <v>561</v>
      </c>
      <c r="C159" t="s">
        <v>562</v>
      </c>
      <c r="D159" t="s">
        <v>562</v>
      </c>
      <c r="E159" t="s">
        <v>562</v>
      </c>
      <c r="F159" t="s">
        <v>21</v>
      </c>
      <c r="G159" t="s">
        <v>63</v>
      </c>
      <c r="H159" t="s">
        <v>34</v>
      </c>
      <c r="I159" t="s">
        <v>35</v>
      </c>
      <c r="J159">
        <v>2009</v>
      </c>
      <c r="K159">
        <v>43698.521897777777</v>
      </c>
      <c r="L159" t="s">
        <v>25</v>
      </c>
      <c r="M159" t="s">
        <v>42</v>
      </c>
      <c r="N159" t="s">
        <v>27</v>
      </c>
      <c r="O159">
        <v>25748</v>
      </c>
      <c r="P159">
        <v>41454.678472222222</v>
      </c>
      <c r="Q159">
        <v>41394.779300960647</v>
      </c>
      <c r="R159">
        <v>161</v>
      </c>
    </row>
    <row r="160" spans="1:18" x14ac:dyDescent="0.25">
      <c r="A160" t="s">
        <v>563</v>
      </c>
      <c r="B160" t="s">
        <v>564</v>
      </c>
      <c r="C160" t="s">
        <v>565</v>
      </c>
      <c r="D160" t="s">
        <v>565</v>
      </c>
      <c r="E160" t="s">
        <v>565</v>
      </c>
      <c r="F160" t="s">
        <v>21</v>
      </c>
      <c r="G160" t="s">
        <v>63</v>
      </c>
      <c r="H160" t="s">
        <v>53</v>
      </c>
      <c r="I160" t="s">
        <v>41</v>
      </c>
      <c r="J160">
        <v>2007</v>
      </c>
      <c r="K160">
        <v>43698.521897777777</v>
      </c>
      <c r="L160" t="s">
        <v>25</v>
      </c>
      <c r="M160" t="s">
        <v>42</v>
      </c>
      <c r="N160" t="s">
        <v>27</v>
      </c>
      <c r="O160">
        <v>32156</v>
      </c>
      <c r="P160">
        <v>41657.405555555553</v>
      </c>
      <c r="Q160">
        <v>41400.509293981479</v>
      </c>
      <c r="R160">
        <v>162</v>
      </c>
    </row>
    <row r="161" spans="1:18" x14ac:dyDescent="0.25">
      <c r="A161" t="s">
        <v>566</v>
      </c>
      <c r="B161" t="s">
        <v>567</v>
      </c>
      <c r="C161" t="s">
        <v>568</v>
      </c>
      <c r="D161" t="s">
        <v>568</v>
      </c>
      <c r="E161" t="s">
        <v>568</v>
      </c>
      <c r="F161" t="s">
        <v>91</v>
      </c>
      <c r="G161" t="s">
        <v>63</v>
      </c>
      <c r="H161" t="s">
        <v>53</v>
      </c>
      <c r="I161" t="s">
        <v>471</v>
      </c>
      <c r="J161">
        <v>2014</v>
      </c>
      <c r="K161">
        <v>43698.521897777777</v>
      </c>
      <c r="L161" t="s">
        <v>466</v>
      </c>
      <c r="M161" t="s">
        <v>154</v>
      </c>
      <c r="N161" t="s">
        <v>467</v>
      </c>
      <c r="O161">
        <v>346278</v>
      </c>
      <c r="P161">
        <v>43698.521897777777</v>
      </c>
      <c r="Q161">
        <v>41401.513146527781</v>
      </c>
      <c r="R161">
        <v>163</v>
      </c>
    </row>
    <row r="162" spans="1:18" x14ac:dyDescent="0.25">
      <c r="A162" t="s">
        <v>569</v>
      </c>
      <c r="B162" t="s">
        <v>570</v>
      </c>
      <c r="C162" t="s">
        <v>571</v>
      </c>
      <c r="D162" t="s">
        <v>571</v>
      </c>
      <c r="E162" t="s">
        <v>571</v>
      </c>
      <c r="F162" t="s">
        <v>91</v>
      </c>
      <c r="G162" t="s">
        <v>63</v>
      </c>
      <c r="H162" t="s">
        <v>53</v>
      </c>
      <c r="I162" t="s">
        <v>471</v>
      </c>
      <c r="J162">
        <v>2014</v>
      </c>
      <c r="K162">
        <v>43698.521897777777</v>
      </c>
      <c r="L162" t="s">
        <v>466</v>
      </c>
      <c r="M162" t="s">
        <v>154</v>
      </c>
      <c r="N162" t="s">
        <v>467</v>
      </c>
      <c r="O162">
        <v>346596</v>
      </c>
      <c r="P162">
        <v>43698.521897777777</v>
      </c>
      <c r="Q162">
        <v>41403.616639351851</v>
      </c>
      <c r="R162">
        <v>164</v>
      </c>
    </row>
    <row r="163" spans="1:18" x14ac:dyDescent="0.25">
      <c r="A163" t="s">
        <v>572</v>
      </c>
      <c r="B163" t="s">
        <v>573</v>
      </c>
      <c r="C163" t="s">
        <v>574</v>
      </c>
      <c r="D163" t="s">
        <v>574</v>
      </c>
      <c r="E163" t="s">
        <v>574</v>
      </c>
      <c r="F163" t="s">
        <v>91</v>
      </c>
      <c r="G163" t="s">
        <v>63</v>
      </c>
      <c r="H163" t="s">
        <v>34</v>
      </c>
      <c r="I163" t="s">
        <v>35</v>
      </c>
      <c r="J163">
        <v>2005</v>
      </c>
      <c r="K163">
        <v>43698.521897777777</v>
      </c>
      <c r="L163" t="s">
        <v>193</v>
      </c>
      <c r="M163" t="s">
        <v>42</v>
      </c>
      <c r="N163" t="s">
        <v>93</v>
      </c>
      <c r="O163">
        <v>346400</v>
      </c>
      <c r="P163">
        <v>43698.521897777777</v>
      </c>
      <c r="Q163">
        <v>41409.6517116088</v>
      </c>
      <c r="R163">
        <v>165</v>
      </c>
    </row>
    <row r="164" spans="1:18" x14ac:dyDescent="0.25">
      <c r="A164" t="s">
        <v>575</v>
      </c>
      <c r="B164" t="s">
        <v>576</v>
      </c>
      <c r="C164" t="s">
        <v>577</v>
      </c>
      <c r="D164" t="s">
        <v>577</v>
      </c>
      <c r="E164" t="s">
        <v>577</v>
      </c>
      <c r="F164" t="s">
        <v>253</v>
      </c>
      <c r="G164" t="s">
        <v>63</v>
      </c>
      <c r="H164" t="s">
        <v>53</v>
      </c>
      <c r="I164" t="s">
        <v>471</v>
      </c>
      <c r="J164">
        <v>2010</v>
      </c>
      <c r="K164">
        <v>43698.521897777777</v>
      </c>
      <c r="L164" t="s">
        <v>578</v>
      </c>
      <c r="M164" t="s">
        <v>42</v>
      </c>
      <c r="N164" t="s">
        <v>415</v>
      </c>
      <c r="O164">
        <v>318816</v>
      </c>
      <c r="P164">
        <v>43628.623611111114</v>
      </c>
      <c r="Q164">
        <v>41411.631743020836</v>
      </c>
      <c r="R164">
        <v>166</v>
      </c>
    </row>
    <row r="165" spans="1:18" x14ac:dyDescent="0.25">
      <c r="A165" t="s">
        <v>579</v>
      </c>
      <c r="B165" t="s">
        <v>580</v>
      </c>
      <c r="C165" t="s">
        <v>581</v>
      </c>
      <c r="D165" t="s">
        <v>581</v>
      </c>
      <c r="E165" t="s">
        <v>581</v>
      </c>
      <c r="F165" t="s">
        <v>21</v>
      </c>
      <c r="G165" t="s">
        <v>63</v>
      </c>
      <c r="H165" t="s">
        <v>53</v>
      </c>
      <c r="I165" t="s">
        <v>41</v>
      </c>
      <c r="J165">
        <v>2007</v>
      </c>
      <c r="K165">
        <v>43698.521897777777</v>
      </c>
      <c r="L165" t="s">
        <v>25</v>
      </c>
      <c r="M165" t="s">
        <v>42</v>
      </c>
      <c r="N165" t="s">
        <v>27</v>
      </c>
      <c r="O165">
        <v>26503</v>
      </c>
      <c r="P165">
        <v>41479.81527777778</v>
      </c>
      <c r="Q165">
        <v>41415.678320219908</v>
      </c>
      <c r="R165">
        <v>167</v>
      </c>
    </row>
    <row r="166" spans="1:18" x14ac:dyDescent="0.25">
      <c r="A166" t="s">
        <v>582</v>
      </c>
      <c r="B166" t="s">
        <v>583</v>
      </c>
      <c r="C166" t="s">
        <v>584</v>
      </c>
      <c r="D166" t="s">
        <v>584</v>
      </c>
      <c r="E166" t="s">
        <v>584</v>
      </c>
      <c r="F166" t="s">
        <v>21</v>
      </c>
      <c r="G166" t="s">
        <v>63</v>
      </c>
      <c r="H166" t="s">
        <v>585</v>
      </c>
      <c r="I166" t="s">
        <v>41</v>
      </c>
      <c r="J166">
        <v>2007</v>
      </c>
      <c r="K166">
        <v>43698.521897777777</v>
      </c>
      <c r="L166" t="s">
        <v>25</v>
      </c>
      <c r="M166" t="s">
        <v>42</v>
      </c>
      <c r="N166" t="s">
        <v>27</v>
      </c>
      <c r="O166">
        <v>55639</v>
      </c>
      <c r="P166">
        <v>42194.231041666666</v>
      </c>
      <c r="Q166">
        <v>41417.732497337965</v>
      </c>
      <c r="R166">
        <v>168</v>
      </c>
    </row>
    <row r="167" spans="1:18" x14ac:dyDescent="0.25">
      <c r="A167" t="s">
        <v>25</v>
      </c>
      <c r="B167" t="s">
        <v>25</v>
      </c>
      <c r="C167" t="s">
        <v>586</v>
      </c>
      <c r="D167" t="s">
        <v>586</v>
      </c>
      <c r="E167" t="s">
        <v>587</v>
      </c>
      <c r="F167" t="s">
        <v>21</v>
      </c>
      <c r="G167" t="s">
        <v>106</v>
      </c>
      <c r="H167" t="s">
        <v>25</v>
      </c>
      <c r="I167" t="s">
        <v>25</v>
      </c>
      <c r="K167">
        <v>43698.521897777777</v>
      </c>
      <c r="L167" t="s">
        <v>25</v>
      </c>
      <c r="M167" t="s">
        <v>42</v>
      </c>
      <c r="N167" t="s">
        <v>27</v>
      </c>
      <c r="Q167">
        <v>41423.720561805552</v>
      </c>
      <c r="R167">
        <v>169</v>
      </c>
    </row>
    <row r="168" spans="1:18" x14ac:dyDescent="0.25">
      <c r="A168" t="s">
        <v>588</v>
      </c>
      <c r="B168" t="s">
        <v>589</v>
      </c>
      <c r="C168" t="s">
        <v>590</v>
      </c>
      <c r="D168" t="s">
        <v>590</v>
      </c>
      <c r="E168" t="s">
        <v>590</v>
      </c>
      <c r="F168" t="s">
        <v>21</v>
      </c>
      <c r="G168" t="s">
        <v>63</v>
      </c>
      <c r="H168" t="s">
        <v>591</v>
      </c>
      <c r="I168" t="s">
        <v>153</v>
      </c>
      <c r="J168">
        <v>2005</v>
      </c>
      <c r="K168">
        <v>43698.521897777777</v>
      </c>
      <c r="L168" t="s">
        <v>25</v>
      </c>
      <c r="M168" t="s">
        <v>42</v>
      </c>
      <c r="N168" t="s">
        <v>27</v>
      </c>
      <c r="O168">
        <v>31454</v>
      </c>
      <c r="P168">
        <v>41628.008611111109</v>
      </c>
      <c r="Q168">
        <v>41435.56473302083</v>
      </c>
      <c r="R168">
        <v>170</v>
      </c>
    </row>
    <row r="169" spans="1:18" x14ac:dyDescent="0.25">
      <c r="A169" t="s">
        <v>592</v>
      </c>
      <c r="B169" t="s">
        <v>593</v>
      </c>
      <c r="C169" t="s">
        <v>594</v>
      </c>
      <c r="D169" t="s">
        <v>594</v>
      </c>
      <c r="E169" t="s">
        <v>594</v>
      </c>
      <c r="F169" t="s">
        <v>21</v>
      </c>
      <c r="G169" t="s">
        <v>22</v>
      </c>
      <c r="H169" t="s">
        <v>236</v>
      </c>
      <c r="I169" t="s">
        <v>556</v>
      </c>
      <c r="J169">
        <v>2014</v>
      </c>
      <c r="K169">
        <v>43698.521897777777</v>
      </c>
      <c r="L169" t="s">
        <v>67</v>
      </c>
      <c r="M169" t="s">
        <v>37</v>
      </c>
      <c r="N169" t="s">
        <v>27</v>
      </c>
      <c r="O169">
        <v>39953</v>
      </c>
      <c r="P169">
        <v>41856.337604166663</v>
      </c>
      <c r="Q169">
        <v>41439.777752893518</v>
      </c>
      <c r="R169">
        <v>171</v>
      </c>
    </row>
    <row r="170" spans="1:18" x14ac:dyDescent="0.25">
      <c r="A170" t="s">
        <v>595</v>
      </c>
      <c r="B170" t="s">
        <v>596</v>
      </c>
      <c r="C170" t="s">
        <v>597</v>
      </c>
      <c r="D170" t="s">
        <v>597</v>
      </c>
      <c r="E170" t="s">
        <v>597</v>
      </c>
      <c r="F170" t="s">
        <v>21</v>
      </c>
      <c r="G170" t="s">
        <v>22</v>
      </c>
      <c r="H170" t="s">
        <v>236</v>
      </c>
      <c r="I170" t="s">
        <v>556</v>
      </c>
      <c r="J170">
        <v>2014</v>
      </c>
      <c r="K170">
        <v>43698.521897777777</v>
      </c>
      <c r="L170" t="s">
        <v>67</v>
      </c>
      <c r="M170" t="s">
        <v>37</v>
      </c>
      <c r="N170" t="s">
        <v>27</v>
      </c>
      <c r="O170">
        <v>145413</v>
      </c>
      <c r="P170">
        <v>43071.384722222225</v>
      </c>
      <c r="Q170">
        <v>41439.778440972223</v>
      </c>
      <c r="R170">
        <v>172</v>
      </c>
    </row>
    <row r="171" spans="1:18" x14ac:dyDescent="0.25">
      <c r="A171" t="s">
        <v>598</v>
      </c>
      <c r="B171" t="s">
        <v>599</v>
      </c>
      <c r="C171" t="s">
        <v>600</v>
      </c>
      <c r="D171" t="s">
        <v>600</v>
      </c>
      <c r="E171" t="s">
        <v>600</v>
      </c>
      <c r="F171" t="s">
        <v>21</v>
      </c>
      <c r="G171" t="s">
        <v>22</v>
      </c>
      <c r="H171" t="s">
        <v>236</v>
      </c>
      <c r="I171" t="s">
        <v>556</v>
      </c>
      <c r="J171">
        <v>2014</v>
      </c>
      <c r="K171">
        <v>43698.521897777777</v>
      </c>
      <c r="L171" t="s">
        <v>67</v>
      </c>
      <c r="M171" t="s">
        <v>154</v>
      </c>
      <c r="N171" t="s">
        <v>27</v>
      </c>
      <c r="O171">
        <v>72432</v>
      </c>
      <c r="P171">
        <v>42470.744444444441</v>
      </c>
      <c r="Q171">
        <v>41439.778918368058</v>
      </c>
      <c r="R171">
        <v>173</v>
      </c>
    </row>
    <row r="172" spans="1:18" x14ac:dyDescent="0.25">
      <c r="A172" t="s">
        <v>601</v>
      </c>
      <c r="B172" t="s">
        <v>602</v>
      </c>
      <c r="C172" t="s">
        <v>603</v>
      </c>
      <c r="D172" t="s">
        <v>603</v>
      </c>
      <c r="E172" t="s">
        <v>603</v>
      </c>
      <c r="F172" t="s">
        <v>21</v>
      </c>
      <c r="G172" t="s">
        <v>22</v>
      </c>
      <c r="H172" t="s">
        <v>236</v>
      </c>
      <c r="I172" t="s">
        <v>556</v>
      </c>
      <c r="J172">
        <v>2014</v>
      </c>
      <c r="K172">
        <v>43698.521897777777</v>
      </c>
      <c r="L172" t="s">
        <v>67</v>
      </c>
      <c r="M172" t="s">
        <v>154</v>
      </c>
      <c r="N172" t="s">
        <v>27</v>
      </c>
      <c r="O172">
        <v>71432</v>
      </c>
      <c r="P172">
        <v>42451.606828703705</v>
      </c>
      <c r="Q172">
        <v>41439.779607060183</v>
      </c>
      <c r="R172">
        <v>174</v>
      </c>
    </row>
    <row r="173" spans="1:18" x14ac:dyDescent="0.25">
      <c r="A173" t="s">
        <v>604</v>
      </c>
      <c r="B173" t="s">
        <v>605</v>
      </c>
      <c r="C173" t="s">
        <v>606</v>
      </c>
      <c r="D173" t="s">
        <v>606</v>
      </c>
      <c r="E173" t="s">
        <v>606</v>
      </c>
      <c r="F173" t="s">
        <v>21</v>
      </c>
      <c r="G173" t="s">
        <v>22</v>
      </c>
      <c r="H173" t="s">
        <v>236</v>
      </c>
      <c r="I173" t="s">
        <v>556</v>
      </c>
      <c r="J173">
        <v>2014</v>
      </c>
      <c r="K173">
        <v>43698.521897777777</v>
      </c>
      <c r="L173" t="s">
        <v>67</v>
      </c>
      <c r="M173" t="s">
        <v>154</v>
      </c>
      <c r="N173" t="s">
        <v>27</v>
      </c>
      <c r="O173">
        <v>71118</v>
      </c>
      <c r="P173">
        <v>42450.134594907409</v>
      </c>
      <c r="Q173">
        <v>41439.782205289353</v>
      </c>
      <c r="R173">
        <v>175</v>
      </c>
    </row>
    <row r="174" spans="1:18" x14ac:dyDescent="0.25">
      <c r="A174" t="s">
        <v>607</v>
      </c>
      <c r="B174" t="s">
        <v>608</v>
      </c>
      <c r="C174" t="s">
        <v>609</v>
      </c>
      <c r="D174" t="s">
        <v>609</v>
      </c>
      <c r="E174" t="s">
        <v>609</v>
      </c>
      <c r="F174" t="s">
        <v>21</v>
      </c>
      <c r="G174" t="s">
        <v>22</v>
      </c>
      <c r="H174" t="s">
        <v>34</v>
      </c>
      <c r="I174" t="s">
        <v>610</v>
      </c>
      <c r="J174">
        <v>2014</v>
      </c>
      <c r="K174">
        <v>43698.521897777777</v>
      </c>
      <c r="L174" t="s">
        <v>531</v>
      </c>
      <c r="M174" t="s">
        <v>154</v>
      </c>
      <c r="N174" t="s">
        <v>27</v>
      </c>
      <c r="O174">
        <v>37274</v>
      </c>
      <c r="P174">
        <v>41788.144861111112</v>
      </c>
      <c r="Q174">
        <v>41444.643437615741</v>
      </c>
      <c r="R174">
        <v>176</v>
      </c>
    </row>
    <row r="175" spans="1:18" x14ac:dyDescent="0.25">
      <c r="A175" t="s">
        <v>611</v>
      </c>
      <c r="B175" t="s">
        <v>612</v>
      </c>
      <c r="C175" t="s">
        <v>613</v>
      </c>
      <c r="D175" t="s">
        <v>613</v>
      </c>
      <c r="E175" t="s">
        <v>613</v>
      </c>
      <c r="F175" t="s">
        <v>21</v>
      </c>
      <c r="G175" t="s">
        <v>22</v>
      </c>
      <c r="H175" t="s">
        <v>34</v>
      </c>
      <c r="I175" t="s">
        <v>614</v>
      </c>
      <c r="J175">
        <v>2014</v>
      </c>
      <c r="K175">
        <v>43698.521897777777</v>
      </c>
      <c r="L175" t="s">
        <v>25</v>
      </c>
      <c r="M175" t="s">
        <v>42</v>
      </c>
      <c r="N175" t="s">
        <v>27</v>
      </c>
      <c r="O175">
        <v>37184</v>
      </c>
      <c r="P175">
        <v>41782.201608796298</v>
      </c>
      <c r="Q175">
        <v>41450.745219594908</v>
      </c>
      <c r="R175">
        <v>177</v>
      </c>
    </row>
    <row r="176" spans="1:18" x14ac:dyDescent="0.25">
      <c r="A176" t="s">
        <v>615</v>
      </c>
      <c r="B176" t="s">
        <v>616</v>
      </c>
      <c r="C176" t="s">
        <v>617</v>
      </c>
      <c r="D176" t="s">
        <v>617</v>
      </c>
      <c r="E176" t="s">
        <v>617</v>
      </c>
      <c r="F176" t="s">
        <v>21</v>
      </c>
      <c r="G176" t="s">
        <v>63</v>
      </c>
      <c r="H176" t="s">
        <v>34</v>
      </c>
      <c r="I176" t="s">
        <v>614</v>
      </c>
      <c r="J176">
        <v>2014</v>
      </c>
      <c r="K176">
        <v>43698.521897777777</v>
      </c>
      <c r="L176" t="s">
        <v>25</v>
      </c>
      <c r="M176" t="s">
        <v>42</v>
      </c>
      <c r="N176" t="s">
        <v>27</v>
      </c>
      <c r="O176">
        <v>128252</v>
      </c>
      <c r="P176">
        <v>42975.911354166667</v>
      </c>
      <c r="Q176">
        <v>41450.747005671299</v>
      </c>
      <c r="R176">
        <v>178</v>
      </c>
    </row>
    <row r="177" spans="1:18" x14ac:dyDescent="0.25">
      <c r="A177" t="s">
        <v>618</v>
      </c>
      <c r="B177" t="s">
        <v>619</v>
      </c>
      <c r="C177" t="s">
        <v>620</v>
      </c>
      <c r="D177" t="s">
        <v>620</v>
      </c>
      <c r="E177" t="s">
        <v>620</v>
      </c>
      <c r="F177" t="s">
        <v>21</v>
      </c>
      <c r="G177" t="s">
        <v>22</v>
      </c>
      <c r="H177" t="s">
        <v>34</v>
      </c>
      <c r="I177" t="s">
        <v>614</v>
      </c>
      <c r="J177">
        <v>2014</v>
      </c>
      <c r="K177">
        <v>43698.521897777777</v>
      </c>
      <c r="L177" t="s">
        <v>531</v>
      </c>
      <c r="M177" t="s">
        <v>42</v>
      </c>
      <c r="N177" t="s">
        <v>27</v>
      </c>
      <c r="O177">
        <v>61801</v>
      </c>
      <c r="P177">
        <v>42301.428287037037</v>
      </c>
      <c r="Q177">
        <v>41459.656964270835</v>
      </c>
      <c r="R177">
        <v>179</v>
      </c>
    </row>
    <row r="178" spans="1:18" x14ac:dyDescent="0.25">
      <c r="A178" t="s">
        <v>621</v>
      </c>
      <c r="B178" t="s">
        <v>622</v>
      </c>
      <c r="C178" t="s">
        <v>623</v>
      </c>
      <c r="D178" t="s">
        <v>623</v>
      </c>
      <c r="E178" t="s">
        <v>623</v>
      </c>
      <c r="F178" t="s">
        <v>21</v>
      </c>
      <c r="G178" t="s">
        <v>63</v>
      </c>
      <c r="H178" t="s">
        <v>23</v>
      </c>
      <c r="I178" t="s">
        <v>41</v>
      </c>
      <c r="J178">
        <v>2007</v>
      </c>
      <c r="K178">
        <v>43698.521897777777</v>
      </c>
      <c r="L178" t="s">
        <v>25</v>
      </c>
      <c r="M178" t="s">
        <v>42</v>
      </c>
      <c r="N178" t="s">
        <v>27</v>
      </c>
      <c r="O178">
        <v>45568</v>
      </c>
      <c r="P178">
        <v>41983.864837962959</v>
      </c>
      <c r="Q178">
        <v>41471.543875497686</v>
      </c>
      <c r="R178">
        <v>180</v>
      </c>
    </row>
    <row r="179" spans="1:18" x14ac:dyDescent="0.25">
      <c r="A179" t="s">
        <v>624</v>
      </c>
      <c r="B179" t="s">
        <v>625</v>
      </c>
      <c r="C179" t="s">
        <v>626</v>
      </c>
      <c r="D179" t="s">
        <v>626</v>
      </c>
      <c r="E179" t="s">
        <v>626</v>
      </c>
      <c r="F179" t="s">
        <v>21</v>
      </c>
      <c r="G179" t="s">
        <v>63</v>
      </c>
      <c r="H179" t="s">
        <v>34</v>
      </c>
      <c r="I179" t="s">
        <v>35</v>
      </c>
      <c r="J179">
        <v>2006</v>
      </c>
      <c r="K179">
        <v>43698.521897777777</v>
      </c>
      <c r="L179" t="s">
        <v>531</v>
      </c>
      <c r="M179" t="s">
        <v>42</v>
      </c>
      <c r="N179" t="s">
        <v>27</v>
      </c>
      <c r="O179">
        <v>48705</v>
      </c>
      <c r="P179">
        <v>42063.792361111111</v>
      </c>
      <c r="Q179">
        <v>41474.748249340279</v>
      </c>
      <c r="R179">
        <v>181</v>
      </c>
    </row>
    <row r="180" spans="1:18" x14ac:dyDescent="0.25">
      <c r="A180" t="s">
        <v>627</v>
      </c>
      <c r="B180" t="s">
        <v>628</v>
      </c>
      <c r="C180" t="s">
        <v>629</v>
      </c>
      <c r="D180" t="s">
        <v>629</v>
      </c>
      <c r="E180" t="s">
        <v>629</v>
      </c>
      <c r="F180" t="s">
        <v>21</v>
      </c>
      <c r="G180" t="s">
        <v>22</v>
      </c>
      <c r="H180" t="s">
        <v>34</v>
      </c>
      <c r="I180" t="s">
        <v>35</v>
      </c>
      <c r="J180">
        <v>2014</v>
      </c>
      <c r="K180">
        <v>43698.521897777777</v>
      </c>
      <c r="L180" t="s">
        <v>531</v>
      </c>
      <c r="M180" t="s">
        <v>42</v>
      </c>
      <c r="N180" t="s">
        <v>27</v>
      </c>
      <c r="O180">
        <v>69573</v>
      </c>
      <c r="P180">
        <v>42424.734432870369</v>
      </c>
      <c r="Q180">
        <v>41493.749821527781</v>
      </c>
      <c r="R180">
        <v>182</v>
      </c>
    </row>
    <row r="181" spans="1:18" x14ac:dyDescent="0.25">
      <c r="A181" t="s">
        <v>630</v>
      </c>
      <c r="B181" t="s">
        <v>631</v>
      </c>
      <c r="C181" t="s">
        <v>632</v>
      </c>
      <c r="D181" t="s">
        <v>632</v>
      </c>
      <c r="E181" t="s">
        <v>632</v>
      </c>
      <c r="F181" t="s">
        <v>91</v>
      </c>
      <c r="G181" t="s">
        <v>63</v>
      </c>
      <c r="H181" t="s">
        <v>34</v>
      </c>
      <c r="I181" t="s">
        <v>35</v>
      </c>
      <c r="J181">
        <v>2014</v>
      </c>
      <c r="K181">
        <v>43698.521897777777</v>
      </c>
      <c r="L181" t="s">
        <v>466</v>
      </c>
      <c r="M181" t="s">
        <v>154</v>
      </c>
      <c r="N181" t="s">
        <v>467</v>
      </c>
      <c r="O181">
        <v>345729</v>
      </c>
      <c r="P181">
        <v>43698.521897777777</v>
      </c>
      <c r="Q181">
        <v>41493.751083333336</v>
      </c>
      <c r="R181">
        <v>183</v>
      </c>
    </row>
    <row r="182" spans="1:18" x14ac:dyDescent="0.25">
      <c r="A182" t="s">
        <v>633</v>
      </c>
      <c r="B182" t="s">
        <v>634</v>
      </c>
      <c r="C182" t="s">
        <v>635</v>
      </c>
      <c r="D182" t="s">
        <v>635</v>
      </c>
      <c r="E182" t="s">
        <v>635</v>
      </c>
      <c r="F182" t="s">
        <v>21</v>
      </c>
      <c r="G182" t="s">
        <v>63</v>
      </c>
      <c r="H182" t="s">
        <v>236</v>
      </c>
      <c r="I182" t="s">
        <v>41</v>
      </c>
      <c r="J182">
        <v>2014</v>
      </c>
      <c r="K182">
        <v>43698.521897777777</v>
      </c>
      <c r="L182" t="s">
        <v>25</v>
      </c>
      <c r="M182" t="s">
        <v>42</v>
      </c>
      <c r="N182" t="s">
        <v>27</v>
      </c>
      <c r="O182">
        <v>57718</v>
      </c>
      <c r="P182">
        <v>42234.800254629627</v>
      </c>
      <c r="Q182">
        <v>41499.723421064817</v>
      </c>
      <c r="R182">
        <v>184</v>
      </c>
    </row>
    <row r="183" spans="1:18" x14ac:dyDescent="0.25">
      <c r="A183" t="s">
        <v>636</v>
      </c>
      <c r="B183" t="s">
        <v>637</v>
      </c>
      <c r="C183" t="s">
        <v>638</v>
      </c>
      <c r="D183" t="s">
        <v>638</v>
      </c>
      <c r="E183" t="s">
        <v>638</v>
      </c>
      <c r="F183" t="s">
        <v>21</v>
      </c>
      <c r="G183" t="s">
        <v>63</v>
      </c>
      <c r="H183" t="s">
        <v>34</v>
      </c>
      <c r="I183" t="s">
        <v>35</v>
      </c>
      <c r="J183">
        <v>2009</v>
      </c>
      <c r="K183">
        <v>43698.521897777777</v>
      </c>
      <c r="L183" t="s">
        <v>25</v>
      </c>
      <c r="M183" t="s">
        <v>42</v>
      </c>
      <c r="N183" t="s">
        <v>27</v>
      </c>
      <c r="O183">
        <v>29922</v>
      </c>
      <c r="P183">
        <v>41583.896527777775</v>
      </c>
      <c r="Q183">
        <v>41500.483875428239</v>
      </c>
      <c r="R183">
        <v>185</v>
      </c>
    </row>
    <row r="184" spans="1:18" x14ac:dyDescent="0.25">
      <c r="A184" t="s">
        <v>639</v>
      </c>
      <c r="B184" t="s">
        <v>640</v>
      </c>
      <c r="C184" t="s">
        <v>641</v>
      </c>
      <c r="D184" t="s">
        <v>641</v>
      </c>
      <c r="E184" t="s">
        <v>641</v>
      </c>
      <c r="F184" t="s">
        <v>21</v>
      </c>
      <c r="G184" t="s">
        <v>63</v>
      </c>
      <c r="H184" t="s">
        <v>23</v>
      </c>
      <c r="I184" t="s">
        <v>41</v>
      </c>
      <c r="J184">
        <v>2007</v>
      </c>
      <c r="K184">
        <v>43698.521897777777</v>
      </c>
      <c r="L184" t="s">
        <v>25</v>
      </c>
      <c r="M184" t="s">
        <v>42</v>
      </c>
      <c r="N184" t="s">
        <v>27</v>
      </c>
      <c r="O184">
        <v>49711</v>
      </c>
      <c r="P184">
        <v>42082.765277777777</v>
      </c>
      <c r="Q184">
        <v>41510.64568869213</v>
      </c>
      <c r="R184">
        <v>186</v>
      </c>
    </row>
    <row r="185" spans="1:18" x14ac:dyDescent="0.25">
      <c r="A185" t="s">
        <v>642</v>
      </c>
      <c r="B185" t="s">
        <v>643</v>
      </c>
      <c r="C185" t="s">
        <v>644</v>
      </c>
      <c r="D185" t="s">
        <v>644</v>
      </c>
      <c r="E185" t="s">
        <v>644</v>
      </c>
      <c r="F185" t="s">
        <v>21</v>
      </c>
      <c r="G185" t="s">
        <v>22</v>
      </c>
      <c r="H185" t="s">
        <v>236</v>
      </c>
      <c r="I185" t="s">
        <v>556</v>
      </c>
      <c r="J185">
        <v>2014</v>
      </c>
      <c r="K185">
        <v>43698.521897777777</v>
      </c>
      <c r="L185" t="s">
        <v>25</v>
      </c>
      <c r="M185" t="s">
        <v>154</v>
      </c>
      <c r="N185" t="s">
        <v>27</v>
      </c>
      <c r="O185">
        <v>33017</v>
      </c>
      <c r="P185">
        <v>41681.36146990741</v>
      </c>
      <c r="Q185">
        <v>41513.454184756942</v>
      </c>
      <c r="R185">
        <v>187</v>
      </c>
    </row>
    <row r="186" spans="1:18" x14ac:dyDescent="0.25">
      <c r="A186" t="s">
        <v>645</v>
      </c>
      <c r="B186" t="s">
        <v>646</v>
      </c>
      <c r="C186" t="s">
        <v>647</v>
      </c>
      <c r="D186" t="s">
        <v>647</v>
      </c>
      <c r="E186" t="s">
        <v>647</v>
      </c>
      <c r="F186" t="s">
        <v>21</v>
      </c>
      <c r="G186" t="s">
        <v>22</v>
      </c>
      <c r="H186" t="s">
        <v>236</v>
      </c>
      <c r="I186" t="s">
        <v>556</v>
      </c>
      <c r="J186">
        <v>2014</v>
      </c>
      <c r="K186">
        <v>43698.521897777777</v>
      </c>
      <c r="L186" t="s">
        <v>67</v>
      </c>
      <c r="M186" t="s">
        <v>154</v>
      </c>
      <c r="N186" t="s">
        <v>27</v>
      </c>
      <c r="O186">
        <v>71462</v>
      </c>
      <c r="P186">
        <v>42451.790567129632</v>
      </c>
      <c r="Q186">
        <v>41513.456721180555</v>
      </c>
      <c r="R186">
        <v>188</v>
      </c>
    </row>
    <row r="187" spans="1:18" x14ac:dyDescent="0.25">
      <c r="A187" t="s">
        <v>648</v>
      </c>
      <c r="B187" t="s">
        <v>280</v>
      </c>
      <c r="C187" t="s">
        <v>649</v>
      </c>
      <c r="D187" t="s">
        <v>649</v>
      </c>
      <c r="E187" t="s">
        <v>649</v>
      </c>
      <c r="F187" t="s">
        <v>21</v>
      </c>
      <c r="G187" t="s">
        <v>22</v>
      </c>
      <c r="H187" t="s">
        <v>53</v>
      </c>
      <c r="I187" t="s">
        <v>282</v>
      </c>
      <c r="J187">
        <v>2007</v>
      </c>
      <c r="K187">
        <v>43698.521897777777</v>
      </c>
      <c r="L187" t="s">
        <v>283</v>
      </c>
      <c r="M187" t="s">
        <v>37</v>
      </c>
      <c r="N187" t="s">
        <v>27</v>
      </c>
      <c r="O187">
        <v>162770</v>
      </c>
      <c r="P187">
        <v>43152.966666666667</v>
      </c>
      <c r="Q187">
        <v>41522.499446145834</v>
      </c>
      <c r="R187">
        <v>189</v>
      </c>
    </row>
    <row r="188" spans="1:18" x14ac:dyDescent="0.25">
      <c r="A188" t="s">
        <v>650</v>
      </c>
      <c r="B188" t="s">
        <v>306</v>
      </c>
      <c r="C188" t="s">
        <v>651</v>
      </c>
      <c r="D188" t="s">
        <v>651</v>
      </c>
      <c r="E188" t="s">
        <v>651</v>
      </c>
      <c r="F188" t="s">
        <v>21</v>
      </c>
      <c r="G188" t="s">
        <v>22</v>
      </c>
      <c r="H188" t="s">
        <v>53</v>
      </c>
      <c r="I188" t="s">
        <v>54</v>
      </c>
      <c r="J188">
        <v>2006</v>
      </c>
      <c r="K188">
        <v>43698.521897777777</v>
      </c>
      <c r="L188" t="s">
        <v>36</v>
      </c>
      <c r="M188" t="s">
        <v>37</v>
      </c>
      <c r="N188" t="s">
        <v>27</v>
      </c>
      <c r="O188">
        <v>66364</v>
      </c>
      <c r="P188">
        <v>42376.479166666664</v>
      </c>
      <c r="Q188">
        <v>41522.682525115742</v>
      </c>
      <c r="R188">
        <v>190</v>
      </c>
    </row>
    <row r="189" spans="1:18" x14ac:dyDescent="0.25">
      <c r="A189" t="s">
        <v>652</v>
      </c>
      <c r="B189" t="s">
        <v>653</v>
      </c>
      <c r="C189" t="s">
        <v>654</v>
      </c>
      <c r="D189" t="s">
        <v>654</v>
      </c>
      <c r="E189" t="s">
        <v>654</v>
      </c>
      <c r="F189" t="s">
        <v>91</v>
      </c>
      <c r="G189" t="s">
        <v>63</v>
      </c>
      <c r="H189" t="s">
        <v>34</v>
      </c>
      <c r="I189" t="s">
        <v>35</v>
      </c>
      <c r="J189">
        <v>2006</v>
      </c>
      <c r="K189">
        <v>43698.521897777777</v>
      </c>
      <c r="L189" t="s">
        <v>193</v>
      </c>
      <c r="M189" t="s">
        <v>42</v>
      </c>
      <c r="N189" t="s">
        <v>93</v>
      </c>
      <c r="O189">
        <v>345380</v>
      </c>
      <c r="P189">
        <v>43698.457187499997</v>
      </c>
      <c r="Q189">
        <v>41523.442926469907</v>
      </c>
      <c r="R189">
        <v>191</v>
      </c>
    </row>
    <row r="190" spans="1:18" x14ac:dyDescent="0.25">
      <c r="A190" t="s">
        <v>655</v>
      </c>
      <c r="B190" t="s">
        <v>297</v>
      </c>
      <c r="C190" t="s">
        <v>656</v>
      </c>
      <c r="D190" t="s">
        <v>656</v>
      </c>
      <c r="E190" t="s">
        <v>656</v>
      </c>
      <c r="F190" t="s">
        <v>21</v>
      </c>
      <c r="G190" t="s">
        <v>22</v>
      </c>
      <c r="H190" t="s">
        <v>53</v>
      </c>
      <c r="I190" t="s">
        <v>657</v>
      </c>
      <c r="J190">
        <v>2007</v>
      </c>
      <c r="K190">
        <v>43698.521897777777</v>
      </c>
      <c r="L190" t="s">
        <v>25</v>
      </c>
      <c r="M190" t="s">
        <v>37</v>
      </c>
      <c r="N190" t="s">
        <v>27</v>
      </c>
      <c r="O190">
        <v>65529</v>
      </c>
      <c r="P190">
        <v>42356.798252314817</v>
      </c>
      <c r="Q190">
        <v>41523.763686689817</v>
      </c>
      <c r="R190">
        <v>192</v>
      </c>
    </row>
    <row r="191" spans="1:18" x14ac:dyDescent="0.25">
      <c r="A191" t="s">
        <v>658</v>
      </c>
      <c r="B191" t="s">
        <v>309</v>
      </c>
      <c r="C191" t="s">
        <v>659</v>
      </c>
      <c r="D191" t="s">
        <v>659</v>
      </c>
      <c r="E191" t="s">
        <v>659</v>
      </c>
      <c r="F191" t="s">
        <v>21</v>
      </c>
      <c r="G191" t="s">
        <v>22</v>
      </c>
      <c r="H191" t="s">
        <v>53</v>
      </c>
      <c r="I191" t="s">
        <v>657</v>
      </c>
      <c r="J191">
        <v>2006</v>
      </c>
      <c r="K191">
        <v>43698.521897777777</v>
      </c>
      <c r="L191" t="s">
        <v>25</v>
      </c>
      <c r="M191" t="s">
        <v>37</v>
      </c>
      <c r="N191" t="s">
        <v>27</v>
      </c>
      <c r="O191">
        <v>67152</v>
      </c>
      <c r="P191">
        <v>42388.930208333331</v>
      </c>
      <c r="Q191">
        <v>41524.557815081018</v>
      </c>
      <c r="R191">
        <v>193</v>
      </c>
    </row>
    <row r="192" spans="1:18" x14ac:dyDescent="0.25">
      <c r="A192" t="s">
        <v>660</v>
      </c>
      <c r="B192" t="s">
        <v>288</v>
      </c>
      <c r="C192" t="s">
        <v>661</v>
      </c>
      <c r="D192" t="s">
        <v>661</v>
      </c>
      <c r="E192" t="s">
        <v>661</v>
      </c>
      <c r="F192" t="s">
        <v>21</v>
      </c>
      <c r="G192" t="s">
        <v>22</v>
      </c>
      <c r="H192" t="s">
        <v>53</v>
      </c>
      <c r="I192" t="s">
        <v>54</v>
      </c>
      <c r="J192">
        <v>2007</v>
      </c>
      <c r="K192">
        <v>43698.521897777777</v>
      </c>
      <c r="L192" t="s">
        <v>25</v>
      </c>
      <c r="M192" t="s">
        <v>37</v>
      </c>
      <c r="N192" t="s">
        <v>27</v>
      </c>
      <c r="O192">
        <v>185815</v>
      </c>
      <c r="P192">
        <v>43243.635416666664</v>
      </c>
      <c r="Q192">
        <v>41524.568424421297</v>
      </c>
      <c r="R192">
        <v>194</v>
      </c>
    </row>
    <row r="193" spans="1:18" x14ac:dyDescent="0.25">
      <c r="A193" t="s">
        <v>662</v>
      </c>
      <c r="B193" t="s">
        <v>663</v>
      </c>
      <c r="C193" t="s">
        <v>664</v>
      </c>
      <c r="D193" t="s">
        <v>664</v>
      </c>
      <c r="E193" t="s">
        <v>664</v>
      </c>
      <c r="F193" t="s">
        <v>21</v>
      </c>
      <c r="G193" t="s">
        <v>63</v>
      </c>
      <c r="H193" t="s">
        <v>34</v>
      </c>
      <c r="I193" t="s">
        <v>35</v>
      </c>
      <c r="J193">
        <v>2009</v>
      </c>
      <c r="K193">
        <v>43698.521897777777</v>
      </c>
      <c r="L193" t="s">
        <v>531</v>
      </c>
      <c r="M193" t="s">
        <v>42</v>
      </c>
      <c r="N193" t="s">
        <v>27</v>
      </c>
      <c r="O193">
        <v>29961</v>
      </c>
      <c r="P193">
        <v>41584.909722222219</v>
      </c>
      <c r="Q193">
        <v>41528.688133946758</v>
      </c>
      <c r="R193">
        <v>195</v>
      </c>
    </row>
    <row r="194" spans="1:18" x14ac:dyDescent="0.25">
      <c r="A194" t="s">
        <v>665</v>
      </c>
      <c r="B194" t="s">
        <v>666</v>
      </c>
      <c r="C194" t="s">
        <v>667</v>
      </c>
      <c r="D194" t="s">
        <v>667</v>
      </c>
      <c r="E194" t="s">
        <v>667</v>
      </c>
      <c r="F194" t="s">
        <v>21</v>
      </c>
      <c r="G194" t="s">
        <v>63</v>
      </c>
      <c r="H194" t="s">
        <v>34</v>
      </c>
      <c r="I194" t="s">
        <v>35</v>
      </c>
      <c r="J194">
        <v>2008</v>
      </c>
      <c r="K194">
        <v>43698.521897777777</v>
      </c>
      <c r="L194" t="s">
        <v>25</v>
      </c>
      <c r="M194" t="s">
        <v>42</v>
      </c>
      <c r="N194" t="s">
        <v>27</v>
      </c>
      <c r="O194">
        <v>30319</v>
      </c>
      <c r="P194">
        <v>41598.531944444447</v>
      </c>
      <c r="Q194">
        <v>41544.650822951386</v>
      </c>
      <c r="R194">
        <v>196</v>
      </c>
    </row>
    <row r="195" spans="1:18" x14ac:dyDescent="0.25">
      <c r="A195" t="s">
        <v>668</v>
      </c>
      <c r="B195" t="s">
        <v>669</v>
      </c>
      <c r="C195" t="s">
        <v>670</v>
      </c>
      <c r="D195" t="s">
        <v>670</v>
      </c>
      <c r="E195" t="s">
        <v>670</v>
      </c>
      <c r="F195" t="s">
        <v>21</v>
      </c>
      <c r="G195" t="s">
        <v>63</v>
      </c>
      <c r="H195" t="s">
        <v>34</v>
      </c>
      <c r="I195" t="s">
        <v>35</v>
      </c>
      <c r="J195">
        <v>2009</v>
      </c>
      <c r="K195">
        <v>43698.521897777777</v>
      </c>
      <c r="L195" t="s">
        <v>25</v>
      </c>
      <c r="M195" t="s">
        <v>42</v>
      </c>
      <c r="N195" t="s">
        <v>27</v>
      </c>
      <c r="O195">
        <v>29128</v>
      </c>
      <c r="P195">
        <v>41562.834722222222</v>
      </c>
      <c r="Q195">
        <v>41549.613897106479</v>
      </c>
      <c r="R195">
        <v>197</v>
      </c>
    </row>
    <row r="196" spans="1:18" x14ac:dyDescent="0.25">
      <c r="A196" t="s">
        <v>671</v>
      </c>
      <c r="B196" t="s">
        <v>672</v>
      </c>
      <c r="C196" t="s">
        <v>673</v>
      </c>
      <c r="D196" t="s">
        <v>673</v>
      </c>
      <c r="E196" t="s">
        <v>673</v>
      </c>
      <c r="F196" t="s">
        <v>21</v>
      </c>
      <c r="G196" t="s">
        <v>63</v>
      </c>
      <c r="H196" t="s">
        <v>121</v>
      </c>
      <c r="I196" t="s">
        <v>122</v>
      </c>
      <c r="J196">
        <v>2007</v>
      </c>
      <c r="K196">
        <v>43698.521897777777</v>
      </c>
      <c r="L196" t="s">
        <v>25</v>
      </c>
      <c r="M196" t="s">
        <v>42</v>
      </c>
      <c r="N196" t="s">
        <v>27</v>
      </c>
      <c r="O196">
        <v>41068</v>
      </c>
      <c r="P196">
        <v>41880.338784722226</v>
      </c>
      <c r="Q196">
        <v>41551.670682060183</v>
      </c>
      <c r="R196">
        <v>198</v>
      </c>
    </row>
    <row r="197" spans="1:18" x14ac:dyDescent="0.25">
      <c r="A197" t="s">
        <v>674</v>
      </c>
      <c r="B197" t="s">
        <v>675</v>
      </c>
      <c r="C197" t="s">
        <v>676</v>
      </c>
      <c r="D197" t="s">
        <v>676</v>
      </c>
      <c r="E197" t="s">
        <v>676</v>
      </c>
      <c r="F197" t="s">
        <v>21</v>
      </c>
      <c r="G197" t="s">
        <v>22</v>
      </c>
      <c r="H197" t="s">
        <v>236</v>
      </c>
      <c r="I197" t="s">
        <v>556</v>
      </c>
      <c r="J197">
        <v>2014</v>
      </c>
      <c r="K197">
        <v>43698.521897777777</v>
      </c>
      <c r="L197" t="s">
        <v>67</v>
      </c>
      <c r="M197" t="s">
        <v>154</v>
      </c>
      <c r="N197" t="s">
        <v>27</v>
      </c>
      <c r="O197">
        <v>71860</v>
      </c>
      <c r="P197">
        <v>42459.548043981478</v>
      </c>
      <c r="Q197">
        <v>41554.593721909725</v>
      </c>
      <c r="R197">
        <v>199</v>
      </c>
    </row>
    <row r="198" spans="1:18" x14ac:dyDescent="0.25">
      <c r="A198" t="s">
        <v>677</v>
      </c>
      <c r="B198" t="s">
        <v>678</v>
      </c>
      <c r="C198" t="s">
        <v>679</v>
      </c>
      <c r="D198" t="s">
        <v>679</v>
      </c>
      <c r="E198" t="s">
        <v>679</v>
      </c>
      <c r="F198" t="s">
        <v>21</v>
      </c>
      <c r="G198" t="s">
        <v>22</v>
      </c>
      <c r="H198" t="s">
        <v>236</v>
      </c>
      <c r="I198" t="s">
        <v>556</v>
      </c>
      <c r="J198">
        <v>2014</v>
      </c>
      <c r="K198">
        <v>43698.521897777777</v>
      </c>
      <c r="L198" t="s">
        <v>67</v>
      </c>
      <c r="M198" t="s">
        <v>154</v>
      </c>
      <c r="N198" t="s">
        <v>27</v>
      </c>
      <c r="O198">
        <v>70933</v>
      </c>
      <c r="P198">
        <v>42444.105405092596</v>
      </c>
      <c r="Q198">
        <v>41554.596783298613</v>
      </c>
      <c r="R198">
        <v>200</v>
      </c>
    </row>
    <row r="199" spans="1:18" x14ac:dyDescent="0.25">
      <c r="A199" t="s">
        <v>680</v>
      </c>
      <c r="B199" t="s">
        <v>681</v>
      </c>
      <c r="C199" t="s">
        <v>682</v>
      </c>
      <c r="D199" t="s">
        <v>682</v>
      </c>
      <c r="E199" t="s">
        <v>682</v>
      </c>
      <c r="F199" t="s">
        <v>21</v>
      </c>
      <c r="G199" t="s">
        <v>22</v>
      </c>
      <c r="H199" t="s">
        <v>236</v>
      </c>
      <c r="I199" t="s">
        <v>556</v>
      </c>
      <c r="J199">
        <v>2014</v>
      </c>
      <c r="K199">
        <v>43698.521897777777</v>
      </c>
      <c r="L199" t="s">
        <v>67</v>
      </c>
      <c r="M199" t="s">
        <v>154</v>
      </c>
      <c r="N199" t="s">
        <v>27</v>
      </c>
      <c r="O199">
        <v>71620</v>
      </c>
      <c r="P199">
        <v>42452.236481481479</v>
      </c>
      <c r="Q199">
        <v>41554.598961724536</v>
      </c>
      <c r="R199">
        <v>201</v>
      </c>
    </row>
    <row r="200" spans="1:18" x14ac:dyDescent="0.25">
      <c r="A200" t="s">
        <v>683</v>
      </c>
      <c r="B200" t="s">
        <v>684</v>
      </c>
      <c r="C200" t="s">
        <v>685</v>
      </c>
      <c r="D200" t="s">
        <v>685</v>
      </c>
      <c r="E200" t="s">
        <v>685</v>
      </c>
      <c r="F200" t="s">
        <v>21</v>
      </c>
      <c r="G200" t="s">
        <v>22</v>
      </c>
      <c r="H200" t="s">
        <v>236</v>
      </c>
      <c r="I200" t="s">
        <v>556</v>
      </c>
      <c r="J200">
        <v>2014</v>
      </c>
      <c r="K200">
        <v>43698.521897777777</v>
      </c>
      <c r="L200" t="s">
        <v>67</v>
      </c>
      <c r="M200" t="s">
        <v>154</v>
      </c>
      <c r="N200" t="s">
        <v>27</v>
      </c>
      <c r="O200">
        <v>71737</v>
      </c>
      <c r="P200">
        <v>42454.280914351853</v>
      </c>
      <c r="Q200">
        <v>41554.599926006944</v>
      </c>
      <c r="R200">
        <v>202</v>
      </c>
    </row>
    <row r="201" spans="1:18" x14ac:dyDescent="0.25">
      <c r="A201" t="s">
        <v>686</v>
      </c>
      <c r="B201" t="s">
        <v>687</v>
      </c>
      <c r="C201" t="s">
        <v>688</v>
      </c>
      <c r="D201" t="s">
        <v>688</v>
      </c>
      <c r="E201" t="s">
        <v>688</v>
      </c>
      <c r="F201" t="s">
        <v>21</v>
      </c>
      <c r="G201" t="s">
        <v>63</v>
      </c>
      <c r="H201" t="s">
        <v>53</v>
      </c>
      <c r="I201" t="s">
        <v>41</v>
      </c>
      <c r="J201">
        <v>2000</v>
      </c>
      <c r="K201">
        <v>43698.521897777777</v>
      </c>
      <c r="L201" t="s">
        <v>25</v>
      </c>
      <c r="M201" t="s">
        <v>37</v>
      </c>
      <c r="N201" t="s">
        <v>27</v>
      </c>
      <c r="O201">
        <v>42881</v>
      </c>
      <c r="P201">
        <v>41922.086712962962</v>
      </c>
      <c r="Q201">
        <v>41559.530656909723</v>
      </c>
      <c r="R201">
        <v>203</v>
      </c>
    </row>
    <row r="202" spans="1:18" x14ac:dyDescent="0.25">
      <c r="A202" t="s">
        <v>689</v>
      </c>
      <c r="B202" t="s">
        <v>690</v>
      </c>
      <c r="C202" t="s">
        <v>691</v>
      </c>
      <c r="D202" t="s">
        <v>691</v>
      </c>
      <c r="E202" t="s">
        <v>691</v>
      </c>
      <c r="F202" t="s">
        <v>21</v>
      </c>
      <c r="G202" t="s">
        <v>63</v>
      </c>
      <c r="H202" t="s">
        <v>53</v>
      </c>
      <c r="I202" t="s">
        <v>41</v>
      </c>
      <c r="J202">
        <v>2007</v>
      </c>
      <c r="K202">
        <v>43698.521897777777</v>
      </c>
      <c r="L202" t="s">
        <v>25</v>
      </c>
      <c r="M202" t="s">
        <v>37</v>
      </c>
      <c r="N202" t="s">
        <v>27</v>
      </c>
      <c r="O202">
        <v>36989</v>
      </c>
      <c r="P202">
        <v>41781.131504629629</v>
      </c>
      <c r="Q202">
        <v>41569.583528553238</v>
      </c>
      <c r="R202">
        <v>204</v>
      </c>
    </row>
    <row r="203" spans="1:18" x14ac:dyDescent="0.25">
      <c r="A203" t="s">
        <v>692</v>
      </c>
      <c r="B203" t="s">
        <v>693</v>
      </c>
      <c r="C203" t="s">
        <v>694</v>
      </c>
      <c r="D203" t="s">
        <v>694</v>
      </c>
      <c r="E203" t="s">
        <v>694</v>
      </c>
      <c r="F203" t="s">
        <v>21</v>
      </c>
      <c r="G203" t="s">
        <v>63</v>
      </c>
      <c r="H203" t="s">
        <v>34</v>
      </c>
      <c r="I203" t="s">
        <v>35</v>
      </c>
      <c r="J203">
        <v>2014</v>
      </c>
      <c r="K203">
        <v>43698.521897777777</v>
      </c>
      <c r="L203" t="s">
        <v>25</v>
      </c>
      <c r="M203" t="s">
        <v>42</v>
      </c>
      <c r="N203" t="s">
        <v>27</v>
      </c>
      <c r="O203">
        <v>36081</v>
      </c>
      <c r="P203">
        <v>41759.269641203704</v>
      </c>
      <c r="Q203">
        <v>41580.508150347225</v>
      </c>
      <c r="R203">
        <v>205</v>
      </c>
    </row>
    <row r="204" spans="1:18" x14ac:dyDescent="0.25">
      <c r="A204" t="s">
        <v>695</v>
      </c>
      <c r="B204" t="s">
        <v>696</v>
      </c>
      <c r="C204" t="s">
        <v>697</v>
      </c>
      <c r="D204" t="s">
        <v>697</v>
      </c>
      <c r="E204" t="s">
        <v>697</v>
      </c>
      <c r="F204" t="s">
        <v>21</v>
      </c>
      <c r="G204" t="s">
        <v>63</v>
      </c>
      <c r="H204" t="s">
        <v>53</v>
      </c>
      <c r="I204" t="s">
        <v>41</v>
      </c>
      <c r="J204">
        <v>2007</v>
      </c>
      <c r="K204">
        <v>43698.521897777777</v>
      </c>
      <c r="L204" t="s">
        <v>25</v>
      </c>
      <c r="M204" t="s">
        <v>42</v>
      </c>
      <c r="N204" t="s">
        <v>27</v>
      </c>
      <c r="O204">
        <v>34206</v>
      </c>
      <c r="P204">
        <v>41711.487395833334</v>
      </c>
      <c r="Q204">
        <v>41586.817021643517</v>
      </c>
      <c r="R204">
        <v>206</v>
      </c>
    </row>
    <row r="205" spans="1:18" x14ac:dyDescent="0.25">
      <c r="A205" t="s">
        <v>698</v>
      </c>
      <c r="B205" t="s">
        <v>551</v>
      </c>
      <c r="C205" t="s">
        <v>699</v>
      </c>
      <c r="D205" t="s">
        <v>699</v>
      </c>
      <c r="E205" t="s">
        <v>699</v>
      </c>
      <c r="F205" t="s">
        <v>21</v>
      </c>
      <c r="G205" t="s">
        <v>63</v>
      </c>
      <c r="H205" t="s">
        <v>53</v>
      </c>
      <c r="I205" t="s">
        <v>41</v>
      </c>
      <c r="J205">
        <v>2006</v>
      </c>
      <c r="K205">
        <v>43698.521897777777</v>
      </c>
      <c r="L205" t="s">
        <v>25</v>
      </c>
      <c r="M205" t="s">
        <v>37</v>
      </c>
      <c r="N205" t="s">
        <v>27</v>
      </c>
      <c r="O205">
        <v>60163</v>
      </c>
      <c r="P205">
        <v>42276.356458333335</v>
      </c>
      <c r="Q205">
        <v>41591.606738888891</v>
      </c>
      <c r="R205">
        <v>207</v>
      </c>
    </row>
    <row r="206" spans="1:18" x14ac:dyDescent="0.25">
      <c r="A206" t="s">
        <v>700</v>
      </c>
      <c r="B206" t="s">
        <v>701</v>
      </c>
      <c r="C206" t="s">
        <v>702</v>
      </c>
      <c r="D206" t="s">
        <v>702</v>
      </c>
      <c r="E206" t="s">
        <v>702</v>
      </c>
      <c r="F206" t="s">
        <v>21</v>
      </c>
      <c r="G206" t="s">
        <v>63</v>
      </c>
      <c r="H206" t="s">
        <v>34</v>
      </c>
      <c r="I206" t="s">
        <v>703</v>
      </c>
      <c r="J206">
        <v>2007</v>
      </c>
      <c r="K206">
        <v>43698.521897777777</v>
      </c>
      <c r="L206" t="s">
        <v>25</v>
      </c>
      <c r="M206" t="s">
        <v>37</v>
      </c>
      <c r="N206" t="s">
        <v>27</v>
      </c>
      <c r="O206">
        <v>33246</v>
      </c>
      <c r="P206">
        <v>41689.402083333334</v>
      </c>
      <c r="Q206">
        <v>41596.53010802083</v>
      </c>
      <c r="R206">
        <v>208</v>
      </c>
    </row>
    <row r="207" spans="1:18" x14ac:dyDescent="0.25">
      <c r="A207" t="s">
        <v>704</v>
      </c>
      <c r="B207" t="s">
        <v>666</v>
      </c>
      <c r="C207" t="s">
        <v>705</v>
      </c>
      <c r="D207" t="s">
        <v>705</v>
      </c>
      <c r="E207" t="s">
        <v>705</v>
      </c>
      <c r="F207" t="s">
        <v>21</v>
      </c>
      <c r="G207" t="s">
        <v>63</v>
      </c>
      <c r="H207" t="s">
        <v>34</v>
      </c>
      <c r="I207" t="s">
        <v>703</v>
      </c>
      <c r="J207">
        <v>2008</v>
      </c>
      <c r="K207">
        <v>43698.521897777777</v>
      </c>
      <c r="L207" t="s">
        <v>25</v>
      </c>
      <c r="M207" t="s">
        <v>37</v>
      </c>
      <c r="N207" t="s">
        <v>27</v>
      </c>
      <c r="O207">
        <v>36354</v>
      </c>
      <c r="P207">
        <v>41767.482638888891</v>
      </c>
      <c r="Q207">
        <v>41603.667818368056</v>
      </c>
      <c r="R207">
        <v>209</v>
      </c>
    </row>
    <row r="208" spans="1:18" x14ac:dyDescent="0.25">
      <c r="A208" t="s">
        <v>706</v>
      </c>
      <c r="B208" t="s">
        <v>454</v>
      </c>
      <c r="C208" t="s">
        <v>707</v>
      </c>
      <c r="D208" t="s">
        <v>707</v>
      </c>
      <c r="E208" t="s">
        <v>707</v>
      </c>
      <c r="F208" t="s">
        <v>21</v>
      </c>
      <c r="G208" t="s">
        <v>63</v>
      </c>
      <c r="H208" t="s">
        <v>236</v>
      </c>
      <c r="I208" t="s">
        <v>41</v>
      </c>
      <c r="J208">
        <v>2007</v>
      </c>
      <c r="K208">
        <v>43698.521897777777</v>
      </c>
      <c r="L208" t="s">
        <v>25</v>
      </c>
      <c r="M208" t="s">
        <v>37</v>
      </c>
      <c r="N208" t="s">
        <v>27</v>
      </c>
      <c r="O208">
        <v>34720</v>
      </c>
      <c r="P208">
        <v>41724.57234953704</v>
      </c>
      <c r="Q208">
        <v>41619.712438854163</v>
      </c>
      <c r="R208">
        <v>210</v>
      </c>
    </row>
    <row r="209" spans="1:18" x14ac:dyDescent="0.25">
      <c r="A209" t="s">
        <v>708</v>
      </c>
      <c r="B209" t="s">
        <v>709</v>
      </c>
      <c r="C209" t="s">
        <v>710</v>
      </c>
      <c r="D209" t="s">
        <v>710</v>
      </c>
      <c r="E209" t="s">
        <v>710</v>
      </c>
      <c r="F209" t="s">
        <v>21</v>
      </c>
      <c r="G209" t="s">
        <v>63</v>
      </c>
      <c r="H209" t="s">
        <v>34</v>
      </c>
      <c r="I209" t="s">
        <v>35</v>
      </c>
      <c r="J209">
        <v>2008</v>
      </c>
      <c r="K209">
        <v>43698.521897777777</v>
      </c>
      <c r="L209" t="s">
        <v>711</v>
      </c>
      <c r="M209" t="s">
        <v>42</v>
      </c>
      <c r="N209" t="s">
        <v>27</v>
      </c>
      <c r="O209">
        <v>196631</v>
      </c>
      <c r="P209">
        <v>43284.659722222219</v>
      </c>
      <c r="Q209">
        <v>41620.569164814813</v>
      </c>
      <c r="R209">
        <v>211</v>
      </c>
    </row>
    <row r="210" spans="1:18" x14ac:dyDescent="0.25">
      <c r="A210" t="s">
        <v>712</v>
      </c>
      <c r="B210" t="s">
        <v>713</v>
      </c>
      <c r="C210" t="s">
        <v>714</v>
      </c>
      <c r="D210" t="s">
        <v>714</v>
      </c>
      <c r="E210" t="s">
        <v>714</v>
      </c>
      <c r="F210" t="s">
        <v>91</v>
      </c>
      <c r="G210" t="s">
        <v>63</v>
      </c>
      <c r="H210" t="s">
        <v>53</v>
      </c>
      <c r="I210" t="s">
        <v>471</v>
      </c>
      <c r="J210">
        <v>2014</v>
      </c>
      <c r="K210">
        <v>43698.521897777777</v>
      </c>
      <c r="L210" t="s">
        <v>92</v>
      </c>
      <c r="M210" t="s">
        <v>37</v>
      </c>
      <c r="N210" t="s">
        <v>93</v>
      </c>
      <c r="O210">
        <v>346656</v>
      </c>
      <c r="P210">
        <v>43698.521897777777</v>
      </c>
      <c r="Q210">
        <v>41621.580136840275</v>
      </c>
      <c r="R210">
        <v>212</v>
      </c>
    </row>
    <row r="211" spans="1:18" x14ac:dyDescent="0.25">
      <c r="A211" t="s">
        <v>715</v>
      </c>
      <c r="B211" t="s">
        <v>716</v>
      </c>
      <c r="C211" t="s">
        <v>717</v>
      </c>
      <c r="D211" t="s">
        <v>717</v>
      </c>
      <c r="E211" t="s">
        <v>717</v>
      </c>
      <c r="F211" t="s">
        <v>21</v>
      </c>
      <c r="G211" t="s">
        <v>63</v>
      </c>
      <c r="H211" t="s">
        <v>34</v>
      </c>
      <c r="I211" t="s">
        <v>35</v>
      </c>
      <c r="J211">
        <v>2007</v>
      </c>
      <c r="K211">
        <v>43698.521897777777</v>
      </c>
      <c r="L211" t="s">
        <v>25</v>
      </c>
      <c r="M211" t="s">
        <v>37</v>
      </c>
      <c r="N211" t="s">
        <v>27</v>
      </c>
      <c r="Q211">
        <v>41621.714789502315</v>
      </c>
      <c r="R211">
        <v>213</v>
      </c>
    </row>
    <row r="212" spans="1:18" x14ac:dyDescent="0.25">
      <c r="A212" t="s">
        <v>718</v>
      </c>
      <c r="B212" t="s">
        <v>719</v>
      </c>
      <c r="C212" t="s">
        <v>720</v>
      </c>
      <c r="D212" t="s">
        <v>720</v>
      </c>
      <c r="E212" t="s">
        <v>720</v>
      </c>
      <c r="F212" t="s">
        <v>21</v>
      </c>
      <c r="G212" t="s">
        <v>63</v>
      </c>
      <c r="H212" t="s">
        <v>53</v>
      </c>
      <c r="I212" t="s">
        <v>721</v>
      </c>
      <c r="J212">
        <v>2007</v>
      </c>
      <c r="K212">
        <v>43698.521897777777</v>
      </c>
      <c r="L212" t="s">
        <v>25</v>
      </c>
      <c r="M212" t="s">
        <v>154</v>
      </c>
      <c r="N212" t="s">
        <v>27</v>
      </c>
      <c r="O212">
        <v>34956</v>
      </c>
      <c r="P212">
        <v>41730.997916666667</v>
      </c>
      <c r="Q212">
        <v>41652.71424976852</v>
      </c>
      <c r="R212">
        <v>214</v>
      </c>
    </row>
    <row r="213" spans="1:18" x14ac:dyDescent="0.25">
      <c r="A213" t="s">
        <v>722</v>
      </c>
      <c r="B213" t="s">
        <v>723</v>
      </c>
      <c r="C213" t="s">
        <v>724</v>
      </c>
      <c r="D213" t="s">
        <v>724</v>
      </c>
      <c r="E213" t="s">
        <v>724</v>
      </c>
      <c r="F213" t="s">
        <v>21</v>
      </c>
      <c r="G213" t="s">
        <v>63</v>
      </c>
      <c r="H213" t="s">
        <v>23</v>
      </c>
      <c r="I213" t="s">
        <v>721</v>
      </c>
      <c r="J213">
        <v>2009</v>
      </c>
      <c r="K213">
        <v>43698.521897777777</v>
      </c>
      <c r="L213" t="s">
        <v>25</v>
      </c>
      <c r="M213" t="s">
        <v>154</v>
      </c>
      <c r="N213" t="s">
        <v>27</v>
      </c>
      <c r="O213">
        <v>33033</v>
      </c>
      <c r="P213">
        <v>41688.511805555558</v>
      </c>
      <c r="Q213">
        <v>41662.749882523145</v>
      </c>
      <c r="R213">
        <v>215</v>
      </c>
    </row>
    <row r="214" spans="1:18" x14ac:dyDescent="0.25">
      <c r="A214" t="s">
        <v>725</v>
      </c>
      <c r="B214" t="s">
        <v>726</v>
      </c>
      <c r="C214" t="s">
        <v>727</v>
      </c>
      <c r="D214" t="s">
        <v>727</v>
      </c>
      <c r="E214" t="s">
        <v>727</v>
      </c>
      <c r="F214" t="s">
        <v>91</v>
      </c>
      <c r="G214" t="s">
        <v>63</v>
      </c>
      <c r="H214" t="s">
        <v>236</v>
      </c>
      <c r="I214" t="s">
        <v>728</v>
      </c>
      <c r="J214">
        <v>2014</v>
      </c>
      <c r="K214">
        <v>43698.521897777777</v>
      </c>
      <c r="L214" t="s">
        <v>466</v>
      </c>
      <c r="M214" t="s">
        <v>154</v>
      </c>
      <c r="N214" t="s">
        <v>467</v>
      </c>
      <c r="O214">
        <v>345656</v>
      </c>
      <c r="P214">
        <v>43698.521897777777</v>
      </c>
      <c r="Q214">
        <v>41664.618168981484</v>
      </c>
      <c r="R214">
        <v>216</v>
      </c>
    </row>
    <row r="215" spans="1:18" x14ac:dyDescent="0.25">
      <c r="A215" t="s">
        <v>729</v>
      </c>
      <c r="B215" t="s">
        <v>430</v>
      </c>
      <c r="C215" t="s">
        <v>730</v>
      </c>
      <c r="D215" t="s">
        <v>730</v>
      </c>
      <c r="E215" t="s">
        <v>730</v>
      </c>
      <c r="F215" t="s">
        <v>21</v>
      </c>
      <c r="G215" t="s">
        <v>22</v>
      </c>
      <c r="H215" t="s">
        <v>53</v>
      </c>
      <c r="I215" t="s">
        <v>54</v>
      </c>
      <c r="J215">
        <v>2007</v>
      </c>
      <c r="K215">
        <v>43698.521897777777</v>
      </c>
      <c r="L215" t="s">
        <v>25</v>
      </c>
      <c r="M215" t="s">
        <v>37</v>
      </c>
      <c r="N215" t="s">
        <v>27</v>
      </c>
      <c r="O215">
        <v>38574</v>
      </c>
      <c r="P215">
        <v>41815.0625</v>
      </c>
      <c r="Q215">
        <v>41673.798162071762</v>
      </c>
      <c r="R215">
        <v>217</v>
      </c>
    </row>
    <row r="216" spans="1:18" x14ac:dyDescent="0.25">
      <c r="A216" t="s">
        <v>731</v>
      </c>
      <c r="B216" t="s">
        <v>213</v>
      </c>
      <c r="C216" t="s">
        <v>732</v>
      </c>
      <c r="D216" t="s">
        <v>732</v>
      </c>
      <c r="E216" t="s">
        <v>732</v>
      </c>
      <c r="F216" t="s">
        <v>21</v>
      </c>
      <c r="G216" t="s">
        <v>22</v>
      </c>
      <c r="H216" t="s">
        <v>23</v>
      </c>
      <c r="I216" t="s">
        <v>59</v>
      </c>
      <c r="J216">
        <v>2006</v>
      </c>
      <c r="K216">
        <v>43698.521897777777</v>
      </c>
      <c r="L216" t="s">
        <v>36</v>
      </c>
      <c r="M216" t="s">
        <v>37</v>
      </c>
      <c r="N216" t="s">
        <v>27</v>
      </c>
      <c r="O216">
        <v>118430</v>
      </c>
      <c r="P216">
        <v>42909.416666666664</v>
      </c>
      <c r="Q216">
        <v>41674.553770868057</v>
      </c>
      <c r="R216">
        <v>218</v>
      </c>
    </row>
    <row r="217" spans="1:18" x14ac:dyDescent="0.25">
      <c r="A217" t="s">
        <v>733</v>
      </c>
      <c r="B217" t="s">
        <v>357</v>
      </c>
      <c r="C217" t="s">
        <v>734</v>
      </c>
      <c r="D217" t="s">
        <v>734</v>
      </c>
      <c r="E217" t="s">
        <v>734</v>
      </c>
      <c r="F217" t="s">
        <v>21</v>
      </c>
      <c r="G217" t="s">
        <v>22</v>
      </c>
      <c r="H217" t="s">
        <v>34</v>
      </c>
      <c r="I217" t="s">
        <v>35</v>
      </c>
      <c r="J217">
        <v>2007</v>
      </c>
      <c r="K217">
        <v>43698.521897777777</v>
      </c>
      <c r="L217" t="s">
        <v>36</v>
      </c>
      <c r="M217" t="s">
        <v>37</v>
      </c>
      <c r="N217" t="s">
        <v>27</v>
      </c>
      <c r="O217">
        <v>47631</v>
      </c>
      <c r="P217">
        <v>42037.794606481482</v>
      </c>
      <c r="Q217">
        <v>41674.63205320602</v>
      </c>
      <c r="R217">
        <v>219</v>
      </c>
    </row>
    <row r="218" spans="1:18" x14ac:dyDescent="0.25">
      <c r="A218" t="s">
        <v>25</v>
      </c>
      <c r="B218" t="s">
        <v>25</v>
      </c>
      <c r="C218" t="s">
        <v>735</v>
      </c>
      <c r="D218" t="s">
        <v>735</v>
      </c>
      <c r="E218" t="s">
        <v>736</v>
      </c>
      <c r="F218" t="s">
        <v>21</v>
      </c>
      <c r="G218" t="s">
        <v>106</v>
      </c>
      <c r="H218" t="s">
        <v>25</v>
      </c>
      <c r="I218" t="s">
        <v>25</v>
      </c>
      <c r="K218">
        <v>43698.521897777777</v>
      </c>
      <c r="L218" t="s">
        <v>25</v>
      </c>
      <c r="M218" t="s">
        <v>42</v>
      </c>
      <c r="N218" t="s">
        <v>27</v>
      </c>
      <c r="Q218">
        <v>41677.509151122686</v>
      </c>
      <c r="R218">
        <v>220</v>
      </c>
    </row>
    <row r="219" spans="1:18" x14ac:dyDescent="0.25">
      <c r="A219" t="s">
        <v>737</v>
      </c>
      <c r="B219" t="s">
        <v>172</v>
      </c>
      <c r="C219" t="s">
        <v>738</v>
      </c>
      <c r="D219" t="s">
        <v>738</v>
      </c>
      <c r="E219" t="s">
        <v>738</v>
      </c>
      <c r="F219" t="s">
        <v>21</v>
      </c>
      <c r="G219" t="s">
        <v>22</v>
      </c>
      <c r="H219" t="s">
        <v>23</v>
      </c>
      <c r="I219" t="s">
        <v>59</v>
      </c>
      <c r="J219">
        <v>2007</v>
      </c>
      <c r="K219">
        <v>43698.521897777777</v>
      </c>
      <c r="L219" t="s">
        <v>36</v>
      </c>
      <c r="M219" t="s">
        <v>37</v>
      </c>
      <c r="N219" t="s">
        <v>27</v>
      </c>
      <c r="O219">
        <v>34913</v>
      </c>
      <c r="P219">
        <v>41733.506122685183</v>
      </c>
      <c r="Q219">
        <v>41677.683420370369</v>
      </c>
      <c r="R219">
        <v>221</v>
      </c>
    </row>
    <row r="220" spans="1:18" x14ac:dyDescent="0.25">
      <c r="A220" t="s">
        <v>739</v>
      </c>
      <c r="B220" t="s">
        <v>554</v>
      </c>
      <c r="C220" t="s">
        <v>740</v>
      </c>
      <c r="D220" t="s">
        <v>740</v>
      </c>
      <c r="E220" t="s">
        <v>740</v>
      </c>
      <c r="F220" t="s">
        <v>21</v>
      </c>
      <c r="G220" t="s">
        <v>22</v>
      </c>
      <c r="H220" t="s">
        <v>236</v>
      </c>
      <c r="I220" t="s">
        <v>556</v>
      </c>
      <c r="J220">
        <v>2014</v>
      </c>
      <c r="K220">
        <v>43698.521897777777</v>
      </c>
      <c r="L220" t="s">
        <v>67</v>
      </c>
      <c r="M220" t="s">
        <v>37</v>
      </c>
      <c r="N220" t="s">
        <v>27</v>
      </c>
      <c r="O220">
        <v>34892</v>
      </c>
      <c r="P220">
        <v>41731.475856481484</v>
      </c>
      <c r="Q220">
        <v>41678.752624305554</v>
      </c>
      <c r="R220">
        <v>222</v>
      </c>
    </row>
    <row r="221" spans="1:18" x14ac:dyDescent="0.25">
      <c r="A221" t="s">
        <v>741</v>
      </c>
      <c r="B221" t="s">
        <v>742</v>
      </c>
      <c r="C221" t="s">
        <v>743</v>
      </c>
      <c r="D221" t="s">
        <v>743</v>
      </c>
      <c r="E221" t="s">
        <v>743</v>
      </c>
      <c r="F221" t="s">
        <v>21</v>
      </c>
      <c r="G221" t="s">
        <v>63</v>
      </c>
      <c r="H221" t="s">
        <v>53</v>
      </c>
      <c r="I221" t="s">
        <v>744</v>
      </c>
      <c r="J221">
        <v>2007</v>
      </c>
      <c r="K221">
        <v>43698.521897777777</v>
      </c>
      <c r="L221" t="s">
        <v>25</v>
      </c>
      <c r="M221" t="s">
        <v>37</v>
      </c>
      <c r="N221" t="s">
        <v>27</v>
      </c>
      <c r="O221">
        <v>56174</v>
      </c>
      <c r="P221">
        <v>42207.720138888886</v>
      </c>
      <c r="Q221">
        <v>41678.763848842595</v>
      </c>
      <c r="R221">
        <v>223</v>
      </c>
    </row>
    <row r="222" spans="1:18" x14ac:dyDescent="0.25">
      <c r="A222" t="s">
        <v>745</v>
      </c>
      <c r="B222" t="s">
        <v>746</v>
      </c>
      <c r="C222" t="s">
        <v>747</v>
      </c>
      <c r="D222" t="s">
        <v>747</v>
      </c>
      <c r="E222" t="s">
        <v>747</v>
      </c>
      <c r="F222" t="s">
        <v>21</v>
      </c>
      <c r="G222" t="s">
        <v>22</v>
      </c>
      <c r="H222" t="s">
        <v>110</v>
      </c>
      <c r="I222" t="s">
        <v>111</v>
      </c>
      <c r="J222">
        <v>2007</v>
      </c>
      <c r="K222">
        <v>43698.521897777777</v>
      </c>
      <c r="L222" t="s">
        <v>36</v>
      </c>
      <c r="M222" t="s">
        <v>37</v>
      </c>
      <c r="N222" t="s">
        <v>27</v>
      </c>
      <c r="O222">
        <v>183726</v>
      </c>
      <c r="P222">
        <v>43235.736111111109</v>
      </c>
      <c r="Q222">
        <v>41680.525634062498</v>
      </c>
      <c r="R222">
        <v>224</v>
      </c>
    </row>
    <row r="223" spans="1:18" x14ac:dyDescent="0.25">
      <c r="A223" t="s">
        <v>748</v>
      </c>
      <c r="B223" t="s">
        <v>749</v>
      </c>
      <c r="C223" t="s">
        <v>750</v>
      </c>
      <c r="D223" t="s">
        <v>750</v>
      </c>
      <c r="E223" t="s">
        <v>750</v>
      </c>
      <c r="F223" t="s">
        <v>21</v>
      </c>
      <c r="G223" t="s">
        <v>22</v>
      </c>
      <c r="H223" t="s">
        <v>110</v>
      </c>
      <c r="I223" t="s">
        <v>111</v>
      </c>
      <c r="J223">
        <v>2007</v>
      </c>
      <c r="K223">
        <v>43698.521897777777</v>
      </c>
      <c r="L223" t="s">
        <v>36</v>
      </c>
      <c r="M223" t="s">
        <v>37</v>
      </c>
      <c r="N223" t="s">
        <v>27</v>
      </c>
      <c r="O223">
        <v>142071</v>
      </c>
      <c r="P223">
        <v>43047.333333333336</v>
      </c>
      <c r="Q223">
        <v>41680.602190740741</v>
      </c>
      <c r="R223">
        <v>225</v>
      </c>
    </row>
    <row r="224" spans="1:18" x14ac:dyDescent="0.25">
      <c r="A224" t="s">
        <v>751</v>
      </c>
      <c r="B224" t="s">
        <v>325</v>
      </c>
      <c r="C224" t="s">
        <v>752</v>
      </c>
      <c r="D224" t="s">
        <v>752</v>
      </c>
      <c r="E224" t="s">
        <v>752</v>
      </c>
      <c r="F224" t="s">
        <v>21</v>
      </c>
      <c r="G224" t="s">
        <v>63</v>
      </c>
      <c r="H224" t="s">
        <v>34</v>
      </c>
      <c r="I224" t="s">
        <v>35</v>
      </c>
      <c r="J224">
        <v>2007</v>
      </c>
      <c r="K224">
        <v>43698.521897777777</v>
      </c>
      <c r="L224" t="s">
        <v>25</v>
      </c>
      <c r="M224" t="s">
        <v>37</v>
      </c>
      <c r="N224" t="s">
        <v>27</v>
      </c>
      <c r="O224">
        <v>67182</v>
      </c>
      <c r="P224">
        <v>42391.193055555559</v>
      </c>
      <c r="Q224">
        <v>41681.688817361108</v>
      </c>
      <c r="R224">
        <v>226</v>
      </c>
    </row>
    <row r="225" spans="1:18" x14ac:dyDescent="0.25">
      <c r="A225" t="s">
        <v>753</v>
      </c>
      <c r="B225" t="s">
        <v>643</v>
      </c>
      <c r="C225" t="s">
        <v>754</v>
      </c>
      <c r="D225" t="s">
        <v>754</v>
      </c>
      <c r="E225" t="s">
        <v>754</v>
      </c>
      <c r="F225" t="s">
        <v>21</v>
      </c>
      <c r="G225" t="s">
        <v>22</v>
      </c>
      <c r="H225" t="s">
        <v>236</v>
      </c>
      <c r="I225" t="s">
        <v>556</v>
      </c>
      <c r="J225">
        <v>2014</v>
      </c>
      <c r="K225">
        <v>43698.521897777777</v>
      </c>
      <c r="L225" t="s">
        <v>67</v>
      </c>
      <c r="M225" t="s">
        <v>37</v>
      </c>
      <c r="N225" t="s">
        <v>27</v>
      </c>
      <c r="O225">
        <v>35049</v>
      </c>
      <c r="P225">
        <v>41733.226770833331</v>
      </c>
      <c r="Q225">
        <v>41681.802998842591</v>
      </c>
      <c r="R225">
        <v>227</v>
      </c>
    </row>
    <row r="226" spans="1:18" x14ac:dyDescent="0.25">
      <c r="A226" t="s">
        <v>755</v>
      </c>
      <c r="B226" t="s">
        <v>756</v>
      </c>
      <c r="C226" t="s">
        <v>757</v>
      </c>
      <c r="D226" t="s">
        <v>757</v>
      </c>
      <c r="E226" t="s">
        <v>758</v>
      </c>
      <c r="F226" t="s">
        <v>21</v>
      </c>
      <c r="G226" t="s">
        <v>22</v>
      </c>
      <c r="H226" t="s">
        <v>34</v>
      </c>
      <c r="I226" t="s">
        <v>35</v>
      </c>
      <c r="J226">
        <v>2015</v>
      </c>
      <c r="K226">
        <v>43698.521897777777</v>
      </c>
      <c r="L226" t="s">
        <v>578</v>
      </c>
      <c r="M226" t="s">
        <v>42</v>
      </c>
      <c r="N226" t="s">
        <v>27</v>
      </c>
      <c r="O226">
        <v>197363</v>
      </c>
      <c r="P226">
        <v>43285.44327546296</v>
      </c>
      <c r="Q226">
        <v>41682.542376851852</v>
      </c>
      <c r="R226">
        <v>228</v>
      </c>
    </row>
    <row r="227" spans="1:18" x14ac:dyDescent="0.25">
      <c r="A227" t="s">
        <v>759</v>
      </c>
      <c r="B227" t="s">
        <v>760</v>
      </c>
      <c r="C227" t="s">
        <v>761</v>
      </c>
      <c r="D227" t="s">
        <v>761</v>
      </c>
      <c r="E227" t="s">
        <v>761</v>
      </c>
      <c r="F227" t="s">
        <v>21</v>
      </c>
      <c r="G227" t="s">
        <v>22</v>
      </c>
      <c r="H227" t="s">
        <v>110</v>
      </c>
      <c r="I227" t="s">
        <v>111</v>
      </c>
      <c r="J227">
        <v>2005</v>
      </c>
      <c r="K227">
        <v>43698.521897777777</v>
      </c>
      <c r="L227" t="s">
        <v>36</v>
      </c>
      <c r="M227" t="s">
        <v>37</v>
      </c>
      <c r="N227" t="s">
        <v>27</v>
      </c>
      <c r="O227">
        <v>48426</v>
      </c>
      <c r="P227">
        <v>42055.708333333336</v>
      </c>
      <c r="Q227">
        <v>41682.840260335652</v>
      </c>
      <c r="R227">
        <v>229</v>
      </c>
    </row>
    <row r="228" spans="1:18" x14ac:dyDescent="0.25">
      <c r="A228" t="s">
        <v>762</v>
      </c>
      <c r="B228" t="s">
        <v>763</v>
      </c>
      <c r="C228" t="s">
        <v>764</v>
      </c>
      <c r="D228" t="s">
        <v>764</v>
      </c>
      <c r="E228" t="s">
        <v>764</v>
      </c>
      <c r="F228" t="s">
        <v>91</v>
      </c>
      <c r="G228" t="s">
        <v>63</v>
      </c>
      <c r="H228" t="s">
        <v>236</v>
      </c>
      <c r="I228" t="s">
        <v>728</v>
      </c>
      <c r="J228">
        <v>2014</v>
      </c>
      <c r="K228">
        <v>43698.521897777777</v>
      </c>
      <c r="L228" t="s">
        <v>466</v>
      </c>
      <c r="M228" t="s">
        <v>154</v>
      </c>
      <c r="N228" t="s">
        <v>467</v>
      </c>
      <c r="O228">
        <v>342686</v>
      </c>
      <c r="P228">
        <v>43698.521897777777</v>
      </c>
      <c r="Q228">
        <v>41685.655245057867</v>
      </c>
      <c r="R228">
        <v>231</v>
      </c>
    </row>
    <row r="229" spans="1:18" x14ac:dyDescent="0.25">
      <c r="A229" t="s">
        <v>765</v>
      </c>
      <c r="B229" t="s">
        <v>766</v>
      </c>
      <c r="C229" t="s">
        <v>767</v>
      </c>
      <c r="D229" t="s">
        <v>767</v>
      </c>
      <c r="E229" t="s">
        <v>767</v>
      </c>
      <c r="F229" t="s">
        <v>21</v>
      </c>
      <c r="G229" t="s">
        <v>63</v>
      </c>
      <c r="H229" t="s">
        <v>236</v>
      </c>
      <c r="I229" t="s">
        <v>728</v>
      </c>
      <c r="J229">
        <v>2014</v>
      </c>
      <c r="K229">
        <v>43698.521897777777</v>
      </c>
      <c r="L229" t="s">
        <v>466</v>
      </c>
      <c r="M229" t="s">
        <v>154</v>
      </c>
      <c r="N229" t="s">
        <v>27</v>
      </c>
      <c r="O229">
        <v>300337</v>
      </c>
      <c r="P229">
        <v>43590.546342592592</v>
      </c>
      <c r="Q229">
        <v>41685.658058796296</v>
      </c>
      <c r="R229">
        <v>232</v>
      </c>
    </row>
    <row r="230" spans="1:18" x14ac:dyDescent="0.25">
      <c r="A230" t="s">
        <v>768</v>
      </c>
      <c r="B230" t="s">
        <v>769</v>
      </c>
      <c r="C230" t="s">
        <v>770</v>
      </c>
      <c r="D230" t="s">
        <v>770</v>
      </c>
      <c r="E230" t="s">
        <v>770</v>
      </c>
      <c r="F230" t="s">
        <v>91</v>
      </c>
      <c r="G230" t="s">
        <v>63</v>
      </c>
      <c r="H230" t="s">
        <v>236</v>
      </c>
      <c r="I230" t="s">
        <v>728</v>
      </c>
      <c r="J230">
        <v>2014</v>
      </c>
      <c r="K230">
        <v>43698.521897777777</v>
      </c>
      <c r="L230" t="s">
        <v>466</v>
      </c>
      <c r="M230" t="s">
        <v>154</v>
      </c>
      <c r="N230" t="s">
        <v>467</v>
      </c>
      <c r="O230">
        <v>345772</v>
      </c>
      <c r="P230">
        <v>43698.521897777777</v>
      </c>
      <c r="Q230">
        <v>41685.670352430556</v>
      </c>
      <c r="R230">
        <v>233</v>
      </c>
    </row>
    <row r="231" spans="1:18" x14ac:dyDescent="0.25">
      <c r="A231" t="s">
        <v>771</v>
      </c>
      <c r="B231" t="s">
        <v>772</v>
      </c>
      <c r="C231" t="s">
        <v>773</v>
      </c>
      <c r="D231" t="s">
        <v>773</v>
      </c>
      <c r="E231" t="s">
        <v>773</v>
      </c>
      <c r="F231" t="s">
        <v>253</v>
      </c>
      <c r="G231" t="s">
        <v>22</v>
      </c>
      <c r="H231" t="s">
        <v>236</v>
      </c>
      <c r="I231" t="s">
        <v>728</v>
      </c>
      <c r="J231">
        <v>2014</v>
      </c>
      <c r="K231">
        <v>43698.521897777777</v>
      </c>
      <c r="L231" t="s">
        <v>466</v>
      </c>
      <c r="M231" t="s">
        <v>154</v>
      </c>
      <c r="N231" t="s">
        <v>467</v>
      </c>
      <c r="O231">
        <v>320167</v>
      </c>
      <c r="P231">
        <v>43639.47216435185</v>
      </c>
      <c r="Q231">
        <v>41685.67207685185</v>
      </c>
      <c r="R231">
        <v>234</v>
      </c>
    </row>
    <row r="232" spans="1:18" x14ac:dyDescent="0.25">
      <c r="A232" t="s">
        <v>774</v>
      </c>
      <c r="B232" t="s">
        <v>775</v>
      </c>
      <c r="C232" t="s">
        <v>776</v>
      </c>
      <c r="D232" t="s">
        <v>776</v>
      </c>
      <c r="E232" t="s">
        <v>776</v>
      </c>
      <c r="F232" t="s">
        <v>91</v>
      </c>
      <c r="G232" t="s">
        <v>63</v>
      </c>
      <c r="H232" t="s">
        <v>236</v>
      </c>
      <c r="I232" t="s">
        <v>728</v>
      </c>
      <c r="J232">
        <v>2014</v>
      </c>
      <c r="K232">
        <v>43698.521897777777</v>
      </c>
      <c r="L232" t="s">
        <v>466</v>
      </c>
      <c r="M232" t="s">
        <v>154</v>
      </c>
      <c r="N232" t="s">
        <v>467</v>
      </c>
      <c r="O232">
        <v>345716</v>
      </c>
      <c r="P232">
        <v>43698.521897777777</v>
      </c>
      <c r="Q232">
        <v>41685.673104710651</v>
      </c>
      <c r="R232">
        <v>235</v>
      </c>
    </row>
    <row r="233" spans="1:18" x14ac:dyDescent="0.25">
      <c r="A233" t="s">
        <v>777</v>
      </c>
      <c r="B233" t="s">
        <v>778</v>
      </c>
      <c r="C233" t="s">
        <v>779</v>
      </c>
      <c r="D233" t="s">
        <v>779</v>
      </c>
      <c r="E233" t="s">
        <v>779</v>
      </c>
      <c r="F233" t="s">
        <v>21</v>
      </c>
      <c r="G233" t="s">
        <v>63</v>
      </c>
      <c r="H233" t="s">
        <v>53</v>
      </c>
      <c r="I233" t="s">
        <v>780</v>
      </c>
      <c r="J233">
        <v>2001</v>
      </c>
      <c r="K233">
        <v>43698.521897777777</v>
      </c>
      <c r="L233" t="s">
        <v>25</v>
      </c>
      <c r="M233" t="s">
        <v>42</v>
      </c>
      <c r="N233" t="s">
        <v>27</v>
      </c>
      <c r="O233">
        <v>120476</v>
      </c>
      <c r="P233">
        <v>42927.482025462959</v>
      </c>
      <c r="Q233">
        <v>41687.669509490741</v>
      </c>
      <c r="R233">
        <v>236</v>
      </c>
    </row>
    <row r="234" spans="1:18" x14ac:dyDescent="0.25">
      <c r="A234" t="s">
        <v>781</v>
      </c>
      <c r="B234" t="s">
        <v>782</v>
      </c>
      <c r="C234" t="s">
        <v>783</v>
      </c>
      <c r="D234" t="s">
        <v>783</v>
      </c>
      <c r="E234" t="s">
        <v>783</v>
      </c>
      <c r="F234" t="s">
        <v>21</v>
      </c>
      <c r="G234" t="s">
        <v>63</v>
      </c>
      <c r="H234" t="s">
        <v>236</v>
      </c>
      <c r="I234" t="s">
        <v>784</v>
      </c>
      <c r="J234">
        <v>2007</v>
      </c>
      <c r="K234">
        <v>43698.521897777777</v>
      </c>
      <c r="L234" t="s">
        <v>25</v>
      </c>
      <c r="M234" t="s">
        <v>37</v>
      </c>
      <c r="N234" t="s">
        <v>27</v>
      </c>
      <c r="O234">
        <v>36260</v>
      </c>
      <c r="P234">
        <v>41762.857106481482</v>
      </c>
      <c r="Q234">
        <v>41694.579140162037</v>
      </c>
      <c r="R234">
        <v>237</v>
      </c>
    </row>
    <row r="235" spans="1:18" x14ac:dyDescent="0.25">
      <c r="A235" t="s">
        <v>785</v>
      </c>
      <c r="B235" t="s">
        <v>786</v>
      </c>
      <c r="C235" t="s">
        <v>787</v>
      </c>
      <c r="D235" t="s">
        <v>787</v>
      </c>
      <c r="E235" t="s">
        <v>787</v>
      </c>
      <c r="F235" t="s">
        <v>91</v>
      </c>
      <c r="G235" t="s">
        <v>22</v>
      </c>
      <c r="H235" t="s">
        <v>53</v>
      </c>
      <c r="I235" t="s">
        <v>54</v>
      </c>
      <c r="J235">
        <v>2014</v>
      </c>
      <c r="K235">
        <v>43698.521897777777</v>
      </c>
      <c r="L235" t="s">
        <v>466</v>
      </c>
      <c r="M235" t="s">
        <v>154</v>
      </c>
      <c r="N235" t="s">
        <v>467</v>
      </c>
      <c r="O235">
        <v>345130</v>
      </c>
      <c r="P235">
        <v>43698.521897777777</v>
      </c>
      <c r="Q235">
        <v>41704.690820636577</v>
      </c>
      <c r="R235">
        <v>238</v>
      </c>
    </row>
    <row r="236" spans="1:18" x14ac:dyDescent="0.25">
      <c r="A236" t="s">
        <v>788</v>
      </c>
      <c r="B236" t="s">
        <v>789</v>
      </c>
      <c r="C236" t="s">
        <v>790</v>
      </c>
      <c r="D236" t="s">
        <v>790</v>
      </c>
      <c r="E236" t="s">
        <v>790</v>
      </c>
      <c r="F236" t="s">
        <v>91</v>
      </c>
      <c r="G236" t="s">
        <v>63</v>
      </c>
      <c r="H236" t="s">
        <v>53</v>
      </c>
      <c r="I236" t="s">
        <v>54</v>
      </c>
      <c r="J236">
        <v>2014</v>
      </c>
      <c r="K236">
        <v>43698.521897777777</v>
      </c>
      <c r="L236" t="s">
        <v>466</v>
      </c>
      <c r="M236" t="s">
        <v>154</v>
      </c>
      <c r="N236" t="s">
        <v>467</v>
      </c>
      <c r="O236">
        <v>342827</v>
      </c>
      <c r="P236">
        <v>43695.726851851854</v>
      </c>
      <c r="Q236">
        <v>41704.694337233799</v>
      </c>
      <c r="R236">
        <v>239</v>
      </c>
    </row>
    <row r="237" spans="1:18" x14ac:dyDescent="0.25">
      <c r="A237" t="s">
        <v>791</v>
      </c>
      <c r="B237" t="s">
        <v>792</v>
      </c>
      <c r="C237" t="s">
        <v>793</v>
      </c>
      <c r="D237" t="s">
        <v>793</v>
      </c>
      <c r="E237" t="s">
        <v>793</v>
      </c>
      <c r="F237" t="s">
        <v>91</v>
      </c>
      <c r="G237" t="s">
        <v>63</v>
      </c>
      <c r="H237" t="s">
        <v>53</v>
      </c>
      <c r="I237" t="s">
        <v>54</v>
      </c>
      <c r="J237">
        <v>2014</v>
      </c>
      <c r="K237">
        <v>43698.521897777777</v>
      </c>
      <c r="L237" t="s">
        <v>466</v>
      </c>
      <c r="M237" t="s">
        <v>154</v>
      </c>
      <c r="N237" t="s">
        <v>467</v>
      </c>
      <c r="O237">
        <v>342702</v>
      </c>
      <c r="P237">
        <v>43694.214965277781</v>
      </c>
      <c r="Q237">
        <v>41704.696334490742</v>
      </c>
      <c r="R237">
        <v>240</v>
      </c>
    </row>
    <row r="238" spans="1:18" x14ac:dyDescent="0.25">
      <c r="A238" t="s">
        <v>794</v>
      </c>
      <c r="B238" t="s">
        <v>795</v>
      </c>
      <c r="C238" t="s">
        <v>796</v>
      </c>
      <c r="D238" t="s">
        <v>796</v>
      </c>
      <c r="E238" t="s">
        <v>796</v>
      </c>
      <c r="F238" t="s">
        <v>21</v>
      </c>
      <c r="G238" t="s">
        <v>63</v>
      </c>
      <c r="H238" t="s">
        <v>34</v>
      </c>
      <c r="I238" t="s">
        <v>797</v>
      </c>
      <c r="J238">
        <v>2010</v>
      </c>
      <c r="K238">
        <v>43698.521897777777</v>
      </c>
      <c r="L238" t="s">
        <v>25</v>
      </c>
      <c r="M238" t="s">
        <v>42</v>
      </c>
      <c r="N238" t="s">
        <v>27</v>
      </c>
      <c r="O238">
        <v>41348</v>
      </c>
      <c r="P238">
        <v>41886.875925925924</v>
      </c>
      <c r="Q238">
        <v>41705.514429976851</v>
      </c>
      <c r="R238">
        <v>241</v>
      </c>
    </row>
    <row r="239" spans="1:18" x14ac:dyDescent="0.25">
      <c r="A239" t="s">
        <v>798</v>
      </c>
      <c r="B239" t="s">
        <v>799</v>
      </c>
      <c r="C239" t="s">
        <v>800</v>
      </c>
      <c r="D239" t="s">
        <v>800</v>
      </c>
      <c r="E239" t="s">
        <v>800</v>
      </c>
      <c r="F239" t="s">
        <v>21</v>
      </c>
      <c r="G239" t="s">
        <v>63</v>
      </c>
      <c r="H239" t="s">
        <v>53</v>
      </c>
      <c r="I239" t="s">
        <v>54</v>
      </c>
      <c r="J239">
        <v>2007</v>
      </c>
      <c r="K239">
        <v>43698.521897777777</v>
      </c>
      <c r="L239" t="s">
        <v>25</v>
      </c>
      <c r="M239" t="s">
        <v>154</v>
      </c>
      <c r="N239" t="s">
        <v>27</v>
      </c>
      <c r="O239">
        <v>40677</v>
      </c>
      <c r="P239">
        <v>41875.571527777778</v>
      </c>
      <c r="Q239">
        <v>41705.678118784723</v>
      </c>
      <c r="R239">
        <v>242</v>
      </c>
    </row>
    <row r="240" spans="1:18" x14ac:dyDescent="0.25">
      <c r="A240" t="s">
        <v>801</v>
      </c>
      <c r="B240" t="s">
        <v>802</v>
      </c>
      <c r="C240" t="s">
        <v>803</v>
      </c>
      <c r="D240" t="s">
        <v>803</v>
      </c>
      <c r="E240" t="s">
        <v>803</v>
      </c>
      <c r="F240" t="s">
        <v>21</v>
      </c>
      <c r="G240" t="s">
        <v>63</v>
      </c>
      <c r="H240" t="s">
        <v>23</v>
      </c>
      <c r="I240" t="s">
        <v>59</v>
      </c>
      <c r="J240">
        <v>2007</v>
      </c>
      <c r="K240">
        <v>43698.521897777777</v>
      </c>
      <c r="L240" t="s">
        <v>25</v>
      </c>
      <c r="M240" t="s">
        <v>42</v>
      </c>
      <c r="N240" t="s">
        <v>27</v>
      </c>
      <c r="O240">
        <v>57572</v>
      </c>
      <c r="P240">
        <v>42229.55</v>
      </c>
      <c r="Q240">
        <v>41708.560116701388</v>
      </c>
      <c r="R240">
        <v>243</v>
      </c>
    </row>
    <row r="241" spans="1:18" x14ac:dyDescent="0.25">
      <c r="A241" t="s">
        <v>804</v>
      </c>
      <c r="B241" t="s">
        <v>805</v>
      </c>
      <c r="C241" t="s">
        <v>806</v>
      </c>
      <c r="D241" t="s">
        <v>806</v>
      </c>
      <c r="E241" t="s">
        <v>806</v>
      </c>
      <c r="F241" t="s">
        <v>21</v>
      </c>
      <c r="G241" t="s">
        <v>63</v>
      </c>
      <c r="H241" t="s">
        <v>53</v>
      </c>
      <c r="I241" t="s">
        <v>41</v>
      </c>
      <c r="J241">
        <v>2007</v>
      </c>
      <c r="K241">
        <v>43698.521897777777</v>
      </c>
      <c r="L241" t="s">
        <v>25</v>
      </c>
      <c r="M241" t="s">
        <v>42</v>
      </c>
      <c r="N241" t="s">
        <v>27</v>
      </c>
      <c r="O241">
        <v>40038</v>
      </c>
      <c r="P241">
        <v>41857.921284722222</v>
      </c>
      <c r="Q241">
        <v>41708.592861724537</v>
      </c>
      <c r="R241">
        <v>244</v>
      </c>
    </row>
    <row r="242" spans="1:18" x14ac:dyDescent="0.25">
      <c r="A242" t="s">
        <v>807</v>
      </c>
      <c r="B242" t="s">
        <v>808</v>
      </c>
      <c r="C242" t="s">
        <v>809</v>
      </c>
      <c r="D242" t="s">
        <v>809</v>
      </c>
      <c r="E242" t="s">
        <v>809</v>
      </c>
      <c r="F242" t="s">
        <v>21</v>
      </c>
      <c r="G242" t="s">
        <v>63</v>
      </c>
      <c r="H242" t="s">
        <v>53</v>
      </c>
      <c r="I242" t="s">
        <v>810</v>
      </c>
      <c r="J242">
        <v>2012</v>
      </c>
      <c r="K242">
        <v>43698.521897777777</v>
      </c>
      <c r="L242" t="s">
        <v>25</v>
      </c>
      <c r="M242" t="s">
        <v>42</v>
      </c>
      <c r="N242" t="s">
        <v>27</v>
      </c>
      <c r="O242">
        <v>38705</v>
      </c>
      <c r="P242">
        <v>41822.33016203704</v>
      </c>
      <c r="Q242">
        <v>41708.602671296299</v>
      </c>
      <c r="R242">
        <v>245</v>
      </c>
    </row>
    <row r="243" spans="1:18" x14ac:dyDescent="0.25">
      <c r="A243" t="s">
        <v>811</v>
      </c>
      <c r="B243" t="s">
        <v>812</v>
      </c>
      <c r="C243" t="s">
        <v>813</v>
      </c>
      <c r="D243" t="s">
        <v>813</v>
      </c>
      <c r="E243" t="s">
        <v>813</v>
      </c>
      <c r="F243" t="s">
        <v>21</v>
      </c>
      <c r="G243" t="s">
        <v>63</v>
      </c>
      <c r="H243" t="s">
        <v>34</v>
      </c>
      <c r="I243" t="s">
        <v>35</v>
      </c>
      <c r="J243">
        <v>2014</v>
      </c>
      <c r="K243">
        <v>43698.521897777777</v>
      </c>
      <c r="L243" t="s">
        <v>25</v>
      </c>
      <c r="M243" t="s">
        <v>42</v>
      </c>
      <c r="N243" t="s">
        <v>27</v>
      </c>
      <c r="O243">
        <v>40177</v>
      </c>
      <c r="P243">
        <v>41857.98133101852</v>
      </c>
      <c r="Q243">
        <v>41709.689852974538</v>
      </c>
      <c r="R243">
        <v>246</v>
      </c>
    </row>
    <row r="244" spans="1:18" x14ac:dyDescent="0.25">
      <c r="A244" t="s">
        <v>814</v>
      </c>
      <c r="B244" t="s">
        <v>815</v>
      </c>
      <c r="C244" t="s">
        <v>816</v>
      </c>
      <c r="D244" t="s">
        <v>816</v>
      </c>
      <c r="E244" t="s">
        <v>816</v>
      </c>
      <c r="F244" t="s">
        <v>21</v>
      </c>
      <c r="G244" t="s">
        <v>63</v>
      </c>
      <c r="H244" t="s">
        <v>34</v>
      </c>
      <c r="I244" t="s">
        <v>703</v>
      </c>
      <c r="J244">
        <v>2004</v>
      </c>
      <c r="K244">
        <v>43698.521897777777</v>
      </c>
      <c r="L244" t="s">
        <v>25</v>
      </c>
      <c r="M244" t="s">
        <v>37</v>
      </c>
      <c r="N244" t="s">
        <v>27</v>
      </c>
      <c r="O244">
        <v>37689</v>
      </c>
      <c r="P244">
        <v>41796.507650462961</v>
      </c>
      <c r="Q244">
        <v>41710.707147453701</v>
      </c>
      <c r="R244">
        <v>247</v>
      </c>
    </row>
    <row r="245" spans="1:18" x14ac:dyDescent="0.25">
      <c r="A245" t="s">
        <v>817</v>
      </c>
      <c r="B245" t="s">
        <v>818</v>
      </c>
      <c r="C245" t="s">
        <v>819</v>
      </c>
      <c r="D245" t="s">
        <v>819</v>
      </c>
      <c r="E245" t="s">
        <v>819</v>
      </c>
      <c r="F245" t="s">
        <v>21</v>
      </c>
      <c r="G245" t="s">
        <v>63</v>
      </c>
      <c r="H245" t="s">
        <v>34</v>
      </c>
      <c r="I245" t="s">
        <v>703</v>
      </c>
      <c r="J245">
        <v>2006</v>
      </c>
      <c r="K245">
        <v>43698.521897777777</v>
      </c>
      <c r="L245" t="s">
        <v>25</v>
      </c>
      <c r="M245" t="s">
        <v>37</v>
      </c>
      <c r="N245" t="s">
        <v>27</v>
      </c>
      <c r="O245">
        <v>38003</v>
      </c>
      <c r="P245">
        <v>41804.291261574072</v>
      </c>
      <c r="Q245">
        <v>41710.711180636572</v>
      </c>
      <c r="R245">
        <v>248</v>
      </c>
    </row>
    <row r="246" spans="1:18" x14ac:dyDescent="0.25">
      <c r="A246" t="s">
        <v>820</v>
      </c>
      <c r="B246" t="s">
        <v>821</v>
      </c>
      <c r="C246" t="s">
        <v>822</v>
      </c>
      <c r="D246" t="s">
        <v>822</v>
      </c>
      <c r="E246" t="s">
        <v>822</v>
      </c>
      <c r="F246" t="s">
        <v>21</v>
      </c>
      <c r="G246" t="s">
        <v>63</v>
      </c>
      <c r="H246" t="s">
        <v>34</v>
      </c>
      <c r="I246" t="s">
        <v>703</v>
      </c>
      <c r="J246">
        <v>2012</v>
      </c>
      <c r="K246">
        <v>43698.521897777777</v>
      </c>
      <c r="L246" t="s">
        <v>25</v>
      </c>
      <c r="M246" t="s">
        <v>37</v>
      </c>
      <c r="N246" t="s">
        <v>27</v>
      </c>
      <c r="O246">
        <v>37695</v>
      </c>
      <c r="P246">
        <v>41796.453692129631</v>
      </c>
      <c r="Q246">
        <v>41710.712812349535</v>
      </c>
      <c r="R246">
        <v>249</v>
      </c>
    </row>
    <row r="247" spans="1:18" x14ac:dyDescent="0.25">
      <c r="A247" t="s">
        <v>823</v>
      </c>
      <c r="B247" t="s">
        <v>824</v>
      </c>
      <c r="C247" t="s">
        <v>825</v>
      </c>
      <c r="D247" t="s">
        <v>825</v>
      </c>
      <c r="E247" t="s">
        <v>825</v>
      </c>
      <c r="F247" t="s">
        <v>21</v>
      </c>
      <c r="G247" t="s">
        <v>63</v>
      </c>
      <c r="H247" t="s">
        <v>110</v>
      </c>
      <c r="I247" t="s">
        <v>111</v>
      </c>
      <c r="J247">
        <v>2005</v>
      </c>
      <c r="K247">
        <v>43698.521897777777</v>
      </c>
      <c r="L247" t="s">
        <v>25</v>
      </c>
      <c r="M247" t="s">
        <v>37</v>
      </c>
      <c r="N247" t="s">
        <v>27</v>
      </c>
      <c r="O247">
        <v>55731</v>
      </c>
      <c r="P247">
        <v>42194.854166666664</v>
      </c>
      <c r="Q247">
        <v>41719.545776192128</v>
      </c>
      <c r="R247">
        <v>250</v>
      </c>
    </row>
    <row r="248" spans="1:18" x14ac:dyDescent="0.25">
      <c r="A248" t="s">
        <v>826</v>
      </c>
      <c r="B248" t="s">
        <v>827</v>
      </c>
      <c r="C248" t="s">
        <v>828</v>
      </c>
      <c r="D248" t="s">
        <v>828</v>
      </c>
      <c r="E248" t="s">
        <v>828</v>
      </c>
      <c r="F248" t="s">
        <v>21</v>
      </c>
      <c r="G248" t="s">
        <v>63</v>
      </c>
      <c r="H248" t="s">
        <v>34</v>
      </c>
      <c r="I248" t="s">
        <v>35</v>
      </c>
      <c r="J248">
        <v>2013</v>
      </c>
      <c r="K248">
        <v>43698.521897777777</v>
      </c>
      <c r="L248" t="s">
        <v>25</v>
      </c>
      <c r="M248" t="s">
        <v>42</v>
      </c>
      <c r="N248" t="s">
        <v>27</v>
      </c>
      <c r="O248">
        <v>48153</v>
      </c>
      <c r="P248">
        <v>42053.39166666667</v>
      </c>
      <c r="Q248">
        <v>41720.646710416666</v>
      </c>
      <c r="R248">
        <v>251</v>
      </c>
    </row>
    <row r="249" spans="1:18" x14ac:dyDescent="0.25">
      <c r="A249" t="s">
        <v>829</v>
      </c>
      <c r="B249" t="s">
        <v>830</v>
      </c>
      <c r="C249" t="s">
        <v>831</v>
      </c>
      <c r="D249" t="s">
        <v>831</v>
      </c>
      <c r="E249" t="s">
        <v>831</v>
      </c>
      <c r="F249" t="s">
        <v>21</v>
      </c>
      <c r="G249" t="s">
        <v>22</v>
      </c>
      <c r="H249" t="s">
        <v>236</v>
      </c>
      <c r="I249" t="s">
        <v>41</v>
      </c>
      <c r="J249">
        <v>2006</v>
      </c>
      <c r="K249">
        <v>43698.521897777777</v>
      </c>
      <c r="L249" t="s">
        <v>36</v>
      </c>
      <c r="M249" t="s">
        <v>42</v>
      </c>
      <c r="N249" t="s">
        <v>27</v>
      </c>
      <c r="O249">
        <v>43853</v>
      </c>
      <c r="P249">
        <v>41943.833333333336</v>
      </c>
      <c r="Q249">
        <v>41722.459761886574</v>
      </c>
      <c r="R249">
        <v>252</v>
      </c>
    </row>
    <row r="250" spans="1:18" x14ac:dyDescent="0.25">
      <c r="A250" t="s">
        <v>832</v>
      </c>
      <c r="B250" t="s">
        <v>833</v>
      </c>
      <c r="C250" t="s">
        <v>834</v>
      </c>
      <c r="D250" t="s">
        <v>834</v>
      </c>
      <c r="E250" t="s">
        <v>834</v>
      </c>
      <c r="F250" t="s">
        <v>21</v>
      </c>
      <c r="G250" t="s">
        <v>22</v>
      </c>
      <c r="H250" t="s">
        <v>236</v>
      </c>
      <c r="I250" t="s">
        <v>728</v>
      </c>
      <c r="J250">
        <v>2007</v>
      </c>
      <c r="K250">
        <v>43698.521897777777</v>
      </c>
      <c r="L250" t="s">
        <v>36</v>
      </c>
      <c r="M250" t="s">
        <v>42</v>
      </c>
      <c r="N250" t="s">
        <v>27</v>
      </c>
      <c r="O250">
        <v>68410</v>
      </c>
      <c r="P250">
        <v>42406.638148148151</v>
      </c>
      <c r="Q250">
        <v>41722.461315590277</v>
      </c>
      <c r="R250">
        <v>253</v>
      </c>
    </row>
    <row r="251" spans="1:18" x14ac:dyDescent="0.25">
      <c r="A251" t="s">
        <v>835</v>
      </c>
      <c r="B251" t="s">
        <v>836</v>
      </c>
      <c r="C251" t="s">
        <v>837</v>
      </c>
      <c r="D251" t="s">
        <v>837</v>
      </c>
      <c r="E251" t="s">
        <v>837</v>
      </c>
      <c r="F251" t="s">
        <v>21</v>
      </c>
      <c r="G251" t="s">
        <v>22</v>
      </c>
      <c r="H251" t="s">
        <v>236</v>
      </c>
      <c r="I251" t="s">
        <v>728</v>
      </c>
      <c r="J251">
        <v>2007</v>
      </c>
      <c r="K251">
        <v>43698.521897777777</v>
      </c>
      <c r="L251" t="s">
        <v>36</v>
      </c>
      <c r="M251" t="s">
        <v>42</v>
      </c>
      <c r="N251" t="s">
        <v>27</v>
      </c>
      <c r="O251">
        <v>44667</v>
      </c>
      <c r="P251">
        <v>41961.321168981478</v>
      </c>
      <c r="Q251">
        <v>41722.464302280096</v>
      </c>
      <c r="R251">
        <v>254</v>
      </c>
    </row>
    <row r="252" spans="1:18" x14ac:dyDescent="0.25">
      <c r="A252" t="s">
        <v>838</v>
      </c>
      <c r="B252" t="s">
        <v>839</v>
      </c>
      <c r="C252" t="s">
        <v>840</v>
      </c>
      <c r="D252" t="s">
        <v>840</v>
      </c>
      <c r="E252" t="s">
        <v>840</v>
      </c>
      <c r="F252" t="s">
        <v>21</v>
      </c>
      <c r="G252" t="s">
        <v>22</v>
      </c>
      <c r="H252" t="s">
        <v>34</v>
      </c>
      <c r="I252" t="s">
        <v>35</v>
      </c>
      <c r="J252">
        <v>2004</v>
      </c>
      <c r="K252">
        <v>43698.521897777777</v>
      </c>
      <c r="L252" t="s">
        <v>36</v>
      </c>
      <c r="M252" t="s">
        <v>42</v>
      </c>
      <c r="N252" t="s">
        <v>27</v>
      </c>
      <c r="O252">
        <v>79203</v>
      </c>
      <c r="P252">
        <v>42558.702592592592</v>
      </c>
      <c r="Q252">
        <v>41722.465654594911</v>
      </c>
      <c r="R252">
        <v>255</v>
      </c>
    </row>
    <row r="253" spans="1:18" x14ac:dyDescent="0.25">
      <c r="A253" t="s">
        <v>841</v>
      </c>
      <c r="B253" t="s">
        <v>842</v>
      </c>
      <c r="C253" t="s">
        <v>843</v>
      </c>
      <c r="D253" t="s">
        <v>843</v>
      </c>
      <c r="E253" t="s">
        <v>843</v>
      </c>
      <c r="F253" t="s">
        <v>21</v>
      </c>
      <c r="G253" t="s">
        <v>22</v>
      </c>
      <c r="H253" t="s">
        <v>53</v>
      </c>
      <c r="I253" t="s">
        <v>844</v>
      </c>
      <c r="J253">
        <v>2006</v>
      </c>
      <c r="K253">
        <v>43698.521897777777</v>
      </c>
      <c r="L253" t="s">
        <v>36</v>
      </c>
      <c r="M253" t="s">
        <v>42</v>
      </c>
      <c r="N253" t="s">
        <v>27</v>
      </c>
      <c r="O253">
        <v>122032</v>
      </c>
      <c r="P253">
        <v>42934.847511574073</v>
      </c>
      <c r="Q253">
        <v>41722.467036921298</v>
      </c>
      <c r="R253">
        <v>256</v>
      </c>
    </row>
    <row r="254" spans="1:18" x14ac:dyDescent="0.25">
      <c r="A254" t="s">
        <v>845</v>
      </c>
      <c r="B254" t="s">
        <v>846</v>
      </c>
      <c r="C254" t="s">
        <v>847</v>
      </c>
      <c r="D254" t="s">
        <v>847</v>
      </c>
      <c r="E254" t="s">
        <v>847</v>
      </c>
      <c r="F254" t="s">
        <v>21</v>
      </c>
      <c r="G254" t="s">
        <v>63</v>
      </c>
      <c r="H254" t="s">
        <v>34</v>
      </c>
      <c r="I254" t="s">
        <v>35</v>
      </c>
      <c r="J254">
        <v>2004</v>
      </c>
      <c r="K254">
        <v>43698.521897777777</v>
      </c>
      <c r="L254" t="s">
        <v>36</v>
      </c>
      <c r="M254" t="s">
        <v>42</v>
      </c>
      <c r="N254" t="s">
        <v>27</v>
      </c>
      <c r="O254">
        <v>181114</v>
      </c>
      <c r="P254">
        <v>43229.584699074076</v>
      </c>
      <c r="Q254">
        <v>41722.468539085647</v>
      </c>
      <c r="R254">
        <v>257</v>
      </c>
    </row>
    <row r="255" spans="1:18" x14ac:dyDescent="0.25">
      <c r="A255" t="s">
        <v>848</v>
      </c>
      <c r="B255" t="s">
        <v>849</v>
      </c>
      <c r="C255" t="s">
        <v>850</v>
      </c>
      <c r="D255" t="s">
        <v>850</v>
      </c>
      <c r="E255" t="s">
        <v>850</v>
      </c>
      <c r="F255" t="s">
        <v>21</v>
      </c>
      <c r="G255" t="s">
        <v>22</v>
      </c>
      <c r="H255" t="s">
        <v>236</v>
      </c>
      <c r="I255" t="s">
        <v>41</v>
      </c>
      <c r="J255">
        <v>2006</v>
      </c>
      <c r="K255">
        <v>43698.521897777777</v>
      </c>
      <c r="L255" t="s">
        <v>25</v>
      </c>
      <c r="M255" t="s">
        <v>37</v>
      </c>
      <c r="N255" t="s">
        <v>27</v>
      </c>
      <c r="O255">
        <v>120154</v>
      </c>
      <c r="P255">
        <v>42922.958333333336</v>
      </c>
      <c r="Q255">
        <v>41722.479677430558</v>
      </c>
      <c r="R255">
        <v>258</v>
      </c>
    </row>
    <row r="256" spans="1:18" x14ac:dyDescent="0.25">
      <c r="A256" t="s">
        <v>851</v>
      </c>
      <c r="B256" t="s">
        <v>852</v>
      </c>
      <c r="C256" t="s">
        <v>853</v>
      </c>
      <c r="D256" t="s">
        <v>853</v>
      </c>
      <c r="E256" t="s">
        <v>853</v>
      </c>
      <c r="F256" t="s">
        <v>21</v>
      </c>
      <c r="G256" t="s">
        <v>22</v>
      </c>
      <c r="H256" t="s">
        <v>110</v>
      </c>
      <c r="I256" t="s">
        <v>111</v>
      </c>
      <c r="J256">
        <v>2004</v>
      </c>
      <c r="K256">
        <v>43698.521897777777</v>
      </c>
      <c r="L256" t="s">
        <v>36</v>
      </c>
      <c r="M256" t="s">
        <v>37</v>
      </c>
      <c r="N256" t="s">
        <v>27</v>
      </c>
      <c r="O256">
        <v>46691</v>
      </c>
      <c r="P256">
        <v>42017.905856481484</v>
      </c>
      <c r="Q256">
        <v>41722.483199108799</v>
      </c>
      <c r="R256">
        <v>259</v>
      </c>
    </row>
    <row r="257" spans="1:18" x14ac:dyDescent="0.25">
      <c r="A257" t="s">
        <v>854</v>
      </c>
      <c r="B257" t="s">
        <v>855</v>
      </c>
      <c r="C257" t="s">
        <v>856</v>
      </c>
      <c r="D257" t="s">
        <v>856</v>
      </c>
      <c r="E257" t="s">
        <v>856</v>
      </c>
      <c r="F257" t="s">
        <v>21</v>
      </c>
      <c r="G257" t="s">
        <v>22</v>
      </c>
      <c r="H257" t="s">
        <v>110</v>
      </c>
      <c r="I257" t="s">
        <v>111</v>
      </c>
      <c r="J257">
        <v>2006</v>
      </c>
      <c r="K257">
        <v>43698.521897777777</v>
      </c>
      <c r="L257" t="s">
        <v>36</v>
      </c>
      <c r="M257" t="s">
        <v>37</v>
      </c>
      <c r="N257" t="s">
        <v>27</v>
      </c>
      <c r="O257">
        <v>119151</v>
      </c>
      <c r="P257">
        <v>42914.770833333336</v>
      </c>
      <c r="Q257">
        <v>41722.485203553239</v>
      </c>
      <c r="R257">
        <v>260</v>
      </c>
    </row>
    <row r="258" spans="1:18" x14ac:dyDescent="0.25">
      <c r="A258" t="s">
        <v>857</v>
      </c>
      <c r="B258" t="s">
        <v>858</v>
      </c>
      <c r="C258" t="s">
        <v>859</v>
      </c>
      <c r="D258" t="s">
        <v>859</v>
      </c>
      <c r="E258" t="s">
        <v>859</v>
      </c>
      <c r="F258" t="s">
        <v>21</v>
      </c>
      <c r="G258" t="s">
        <v>22</v>
      </c>
      <c r="H258" t="s">
        <v>121</v>
      </c>
      <c r="I258" t="s">
        <v>161</v>
      </c>
      <c r="J258">
        <v>2006</v>
      </c>
      <c r="K258">
        <v>43698.521897777777</v>
      </c>
      <c r="L258" t="s">
        <v>36</v>
      </c>
      <c r="M258" t="s">
        <v>37</v>
      </c>
      <c r="N258" t="s">
        <v>27</v>
      </c>
      <c r="O258">
        <v>60419</v>
      </c>
      <c r="P258">
        <v>42278.82203703704</v>
      </c>
      <c r="Q258">
        <v>41722.49082997685</v>
      </c>
      <c r="R258">
        <v>261</v>
      </c>
    </row>
    <row r="259" spans="1:18" x14ac:dyDescent="0.25">
      <c r="A259" t="s">
        <v>860</v>
      </c>
      <c r="B259" t="s">
        <v>861</v>
      </c>
      <c r="C259" t="s">
        <v>862</v>
      </c>
      <c r="D259" t="s">
        <v>862</v>
      </c>
      <c r="E259" t="s">
        <v>862</v>
      </c>
      <c r="F259" t="s">
        <v>21</v>
      </c>
      <c r="G259" t="s">
        <v>22</v>
      </c>
      <c r="H259" t="s">
        <v>110</v>
      </c>
      <c r="I259" t="s">
        <v>111</v>
      </c>
      <c r="J259">
        <v>2005</v>
      </c>
      <c r="K259">
        <v>43698.521897777777</v>
      </c>
      <c r="L259" t="s">
        <v>36</v>
      </c>
      <c r="M259" t="s">
        <v>37</v>
      </c>
      <c r="N259" t="s">
        <v>27</v>
      </c>
      <c r="O259">
        <v>119402</v>
      </c>
      <c r="P259">
        <v>42915.885416666664</v>
      </c>
      <c r="Q259">
        <v>41722.492953009256</v>
      </c>
      <c r="R259">
        <v>262</v>
      </c>
    </row>
    <row r="260" spans="1:18" x14ac:dyDescent="0.25">
      <c r="A260" t="s">
        <v>863</v>
      </c>
      <c r="B260" t="s">
        <v>864</v>
      </c>
      <c r="C260" t="s">
        <v>865</v>
      </c>
      <c r="D260" t="s">
        <v>865</v>
      </c>
      <c r="E260" t="s">
        <v>865</v>
      </c>
      <c r="F260" t="s">
        <v>91</v>
      </c>
      <c r="G260" t="s">
        <v>63</v>
      </c>
      <c r="H260" t="s">
        <v>53</v>
      </c>
      <c r="I260" t="s">
        <v>810</v>
      </c>
      <c r="J260">
        <v>2014</v>
      </c>
      <c r="K260">
        <v>43698.521897777777</v>
      </c>
      <c r="L260" t="s">
        <v>92</v>
      </c>
      <c r="M260" t="s">
        <v>42</v>
      </c>
      <c r="N260" t="s">
        <v>93</v>
      </c>
      <c r="O260">
        <v>345106</v>
      </c>
      <c r="P260">
        <v>43698.339606481481</v>
      </c>
      <c r="Q260">
        <v>41727.557601967594</v>
      </c>
      <c r="R260">
        <v>263</v>
      </c>
    </row>
    <row r="261" spans="1:18" x14ac:dyDescent="0.25">
      <c r="A261" t="s">
        <v>866</v>
      </c>
      <c r="B261" t="s">
        <v>867</v>
      </c>
      <c r="C261" t="s">
        <v>868</v>
      </c>
      <c r="D261" t="s">
        <v>868</v>
      </c>
      <c r="E261" t="s">
        <v>868</v>
      </c>
      <c r="F261" t="s">
        <v>21</v>
      </c>
      <c r="G261" t="s">
        <v>63</v>
      </c>
      <c r="H261" t="s">
        <v>34</v>
      </c>
      <c r="I261" t="s">
        <v>35</v>
      </c>
      <c r="J261">
        <v>2011</v>
      </c>
      <c r="K261">
        <v>43698.521897777777</v>
      </c>
      <c r="L261" t="s">
        <v>25</v>
      </c>
      <c r="M261" t="s">
        <v>42</v>
      </c>
      <c r="N261" t="s">
        <v>27</v>
      </c>
      <c r="O261">
        <v>81076</v>
      </c>
      <c r="P261">
        <v>42581.913946759261</v>
      </c>
      <c r="Q261">
        <v>41732.60740335648</v>
      </c>
      <c r="R261">
        <v>264</v>
      </c>
    </row>
    <row r="262" spans="1:18" x14ac:dyDescent="0.25">
      <c r="A262" t="s">
        <v>869</v>
      </c>
      <c r="B262" t="s">
        <v>870</v>
      </c>
      <c r="C262" t="s">
        <v>871</v>
      </c>
      <c r="D262" t="s">
        <v>871</v>
      </c>
      <c r="E262" t="s">
        <v>871</v>
      </c>
      <c r="F262" t="s">
        <v>21</v>
      </c>
      <c r="G262" t="s">
        <v>63</v>
      </c>
      <c r="H262" t="s">
        <v>34</v>
      </c>
      <c r="I262" t="s">
        <v>703</v>
      </c>
      <c r="J262">
        <v>2008</v>
      </c>
      <c r="K262">
        <v>43698.521897777777</v>
      </c>
      <c r="L262" t="s">
        <v>25</v>
      </c>
      <c r="M262" t="s">
        <v>37</v>
      </c>
      <c r="N262" t="s">
        <v>27</v>
      </c>
      <c r="O262">
        <v>37823</v>
      </c>
      <c r="P262">
        <v>41800.065462962964</v>
      </c>
      <c r="Q262">
        <v>41736.632439664354</v>
      </c>
      <c r="R262">
        <v>265</v>
      </c>
    </row>
    <row r="263" spans="1:18" x14ac:dyDescent="0.25">
      <c r="A263" t="s">
        <v>872</v>
      </c>
      <c r="B263" t="s">
        <v>873</v>
      </c>
      <c r="C263" t="s">
        <v>874</v>
      </c>
      <c r="D263" t="s">
        <v>874</v>
      </c>
      <c r="E263" t="s">
        <v>874</v>
      </c>
      <c r="F263" t="s">
        <v>91</v>
      </c>
      <c r="G263" t="s">
        <v>22</v>
      </c>
      <c r="H263" t="s">
        <v>53</v>
      </c>
      <c r="I263" t="s">
        <v>875</v>
      </c>
      <c r="J263">
        <v>2015</v>
      </c>
      <c r="K263">
        <v>43698.521897777777</v>
      </c>
      <c r="L263" t="s">
        <v>422</v>
      </c>
      <c r="M263" t="s">
        <v>154</v>
      </c>
      <c r="N263" t="s">
        <v>415</v>
      </c>
      <c r="O263">
        <v>341110</v>
      </c>
      <c r="P263">
        <v>43684.75</v>
      </c>
      <c r="Q263">
        <v>41737.367797916668</v>
      </c>
      <c r="R263">
        <v>266</v>
      </c>
    </row>
    <row r="264" spans="1:18" x14ac:dyDescent="0.25">
      <c r="A264" t="s">
        <v>876</v>
      </c>
      <c r="B264" t="s">
        <v>554</v>
      </c>
      <c r="C264" t="s">
        <v>877</v>
      </c>
      <c r="D264" t="s">
        <v>877</v>
      </c>
      <c r="E264" t="s">
        <v>877</v>
      </c>
      <c r="F264" t="s">
        <v>21</v>
      </c>
      <c r="G264" t="s">
        <v>22</v>
      </c>
      <c r="H264" t="s">
        <v>236</v>
      </c>
      <c r="I264" t="s">
        <v>556</v>
      </c>
      <c r="J264">
        <v>2014</v>
      </c>
      <c r="K264">
        <v>43698.521897777777</v>
      </c>
      <c r="L264" t="s">
        <v>25</v>
      </c>
      <c r="M264" t="s">
        <v>26</v>
      </c>
      <c r="N264" t="s">
        <v>27</v>
      </c>
      <c r="O264">
        <v>131928</v>
      </c>
      <c r="P264">
        <v>42996.700613425928</v>
      </c>
      <c r="Q264">
        <v>41737.687487187497</v>
      </c>
      <c r="R264">
        <v>267</v>
      </c>
    </row>
    <row r="265" spans="1:18" x14ac:dyDescent="0.25">
      <c r="A265" t="s">
        <v>878</v>
      </c>
      <c r="B265" t="s">
        <v>643</v>
      </c>
      <c r="C265" t="s">
        <v>879</v>
      </c>
      <c r="D265" t="s">
        <v>879</v>
      </c>
      <c r="E265" t="s">
        <v>879</v>
      </c>
      <c r="F265" t="s">
        <v>21</v>
      </c>
      <c r="G265" t="s">
        <v>22</v>
      </c>
      <c r="H265" t="s">
        <v>236</v>
      </c>
      <c r="I265" t="s">
        <v>556</v>
      </c>
      <c r="J265">
        <v>2014</v>
      </c>
      <c r="K265">
        <v>43698.521897777777</v>
      </c>
      <c r="L265" t="s">
        <v>25</v>
      </c>
      <c r="M265" t="s">
        <v>26</v>
      </c>
      <c r="N265" t="s">
        <v>27</v>
      </c>
      <c r="O265">
        <v>59061</v>
      </c>
      <c r="P265">
        <v>42254.886782407404</v>
      </c>
      <c r="Q265">
        <v>41737.809439502314</v>
      </c>
      <c r="R265">
        <v>268</v>
      </c>
    </row>
    <row r="266" spans="1:18" x14ac:dyDescent="0.25">
      <c r="A266" t="s">
        <v>880</v>
      </c>
      <c r="B266" t="s">
        <v>172</v>
      </c>
      <c r="C266" t="s">
        <v>881</v>
      </c>
      <c r="D266" t="s">
        <v>881</v>
      </c>
      <c r="E266" t="s">
        <v>881</v>
      </c>
      <c r="F266" t="s">
        <v>21</v>
      </c>
      <c r="G266" t="s">
        <v>22</v>
      </c>
      <c r="H266" t="s">
        <v>23</v>
      </c>
      <c r="I266" t="s">
        <v>41</v>
      </c>
      <c r="J266">
        <v>2007</v>
      </c>
      <c r="K266">
        <v>43698.521897777777</v>
      </c>
      <c r="L266" t="s">
        <v>25</v>
      </c>
      <c r="M266" t="s">
        <v>26</v>
      </c>
      <c r="N266" t="s">
        <v>27</v>
      </c>
      <c r="O266">
        <v>84862</v>
      </c>
      <c r="P266">
        <v>42622.909988425927</v>
      </c>
      <c r="Q266">
        <v>41738.39168753472</v>
      </c>
      <c r="R266">
        <v>269</v>
      </c>
    </row>
    <row r="267" spans="1:18" x14ac:dyDescent="0.25">
      <c r="A267" t="s">
        <v>882</v>
      </c>
      <c r="B267" t="s">
        <v>883</v>
      </c>
      <c r="C267" t="s">
        <v>884</v>
      </c>
      <c r="D267" t="s">
        <v>884</v>
      </c>
      <c r="E267" t="s">
        <v>885</v>
      </c>
      <c r="F267" t="s">
        <v>21</v>
      </c>
      <c r="G267" t="s">
        <v>22</v>
      </c>
      <c r="H267" t="s">
        <v>34</v>
      </c>
      <c r="I267" t="s">
        <v>886</v>
      </c>
      <c r="J267">
        <v>2015</v>
      </c>
      <c r="K267">
        <v>43698.521897777777</v>
      </c>
      <c r="L267" t="s">
        <v>466</v>
      </c>
      <c r="M267" t="s">
        <v>154</v>
      </c>
      <c r="N267" t="s">
        <v>27</v>
      </c>
      <c r="O267">
        <v>265153</v>
      </c>
      <c r="P267">
        <v>43489.489583333336</v>
      </c>
      <c r="Q267">
        <v>41755.629381134262</v>
      </c>
      <c r="R267">
        <v>270</v>
      </c>
    </row>
    <row r="268" spans="1:18" x14ac:dyDescent="0.25">
      <c r="A268" t="s">
        <v>887</v>
      </c>
      <c r="B268" t="s">
        <v>888</v>
      </c>
      <c r="C268" t="s">
        <v>889</v>
      </c>
      <c r="D268" t="s">
        <v>889</v>
      </c>
      <c r="E268" t="s">
        <v>889</v>
      </c>
      <c r="F268" t="s">
        <v>91</v>
      </c>
      <c r="G268" t="s">
        <v>63</v>
      </c>
      <c r="H268" t="s">
        <v>34</v>
      </c>
      <c r="I268" t="s">
        <v>886</v>
      </c>
      <c r="J268">
        <v>2015</v>
      </c>
      <c r="K268">
        <v>43698.521897777777</v>
      </c>
      <c r="L268" t="s">
        <v>466</v>
      </c>
      <c r="M268" t="s">
        <v>154</v>
      </c>
      <c r="N268" t="s">
        <v>467</v>
      </c>
      <c r="O268">
        <v>345871</v>
      </c>
      <c r="P268">
        <v>43698.521897777777</v>
      </c>
      <c r="Q268">
        <v>41757.615920636577</v>
      </c>
      <c r="R268">
        <v>271</v>
      </c>
    </row>
    <row r="269" spans="1:18" x14ac:dyDescent="0.25">
      <c r="A269" t="s">
        <v>890</v>
      </c>
      <c r="B269" t="s">
        <v>891</v>
      </c>
      <c r="C269" t="s">
        <v>892</v>
      </c>
      <c r="D269" t="s">
        <v>892</v>
      </c>
      <c r="E269" t="s">
        <v>892</v>
      </c>
      <c r="F269" t="s">
        <v>91</v>
      </c>
      <c r="G269" t="s">
        <v>63</v>
      </c>
      <c r="H269" t="s">
        <v>34</v>
      </c>
      <c r="I269" t="s">
        <v>886</v>
      </c>
      <c r="J269">
        <v>2015</v>
      </c>
      <c r="K269">
        <v>43698.521897777777</v>
      </c>
      <c r="L269" t="s">
        <v>466</v>
      </c>
      <c r="M269" t="s">
        <v>154</v>
      </c>
      <c r="N269" t="s">
        <v>467</v>
      </c>
      <c r="O269">
        <v>345712</v>
      </c>
      <c r="P269">
        <v>43698.521897777777</v>
      </c>
      <c r="Q269">
        <v>41757.619576851852</v>
      </c>
      <c r="R269">
        <v>272</v>
      </c>
    </row>
    <row r="270" spans="1:18" x14ac:dyDescent="0.25">
      <c r="A270" t="s">
        <v>893</v>
      </c>
      <c r="B270" t="s">
        <v>894</v>
      </c>
      <c r="C270" t="s">
        <v>895</v>
      </c>
      <c r="D270" t="s">
        <v>895</v>
      </c>
      <c r="E270" t="s">
        <v>895</v>
      </c>
      <c r="F270" t="s">
        <v>21</v>
      </c>
      <c r="G270" t="s">
        <v>22</v>
      </c>
      <c r="H270" t="s">
        <v>34</v>
      </c>
      <c r="I270" t="s">
        <v>886</v>
      </c>
      <c r="J270">
        <v>2015</v>
      </c>
      <c r="K270">
        <v>43698.521897777777</v>
      </c>
      <c r="L270" t="s">
        <v>25</v>
      </c>
      <c r="M270" t="s">
        <v>154</v>
      </c>
      <c r="N270" t="s">
        <v>27</v>
      </c>
      <c r="O270">
        <v>131823</v>
      </c>
      <c r="P270">
        <v>42995.671909722223</v>
      </c>
      <c r="Q270">
        <v>41757.621986689817</v>
      </c>
      <c r="R270">
        <v>273</v>
      </c>
    </row>
    <row r="271" spans="1:18" x14ac:dyDescent="0.25">
      <c r="A271" t="s">
        <v>896</v>
      </c>
      <c r="B271" t="s">
        <v>897</v>
      </c>
      <c r="C271" t="s">
        <v>898</v>
      </c>
      <c r="D271" t="s">
        <v>898</v>
      </c>
      <c r="E271" t="s">
        <v>898</v>
      </c>
      <c r="F271" t="s">
        <v>91</v>
      </c>
      <c r="G271" t="s">
        <v>63</v>
      </c>
      <c r="H271" t="s">
        <v>34</v>
      </c>
      <c r="I271" t="s">
        <v>886</v>
      </c>
      <c r="J271">
        <v>2015</v>
      </c>
      <c r="K271">
        <v>43698.521897777777</v>
      </c>
      <c r="L271" t="s">
        <v>899</v>
      </c>
      <c r="M271" t="s">
        <v>154</v>
      </c>
      <c r="N271" t="s">
        <v>523</v>
      </c>
      <c r="O271">
        <v>342804</v>
      </c>
      <c r="P271">
        <v>43695.451550925929</v>
      </c>
      <c r="Q271">
        <v>41757.626715972219</v>
      </c>
      <c r="R271">
        <v>274</v>
      </c>
    </row>
    <row r="272" spans="1:18" x14ac:dyDescent="0.25">
      <c r="A272" t="s">
        <v>900</v>
      </c>
      <c r="B272" t="s">
        <v>901</v>
      </c>
      <c r="C272" t="s">
        <v>902</v>
      </c>
      <c r="D272" t="s">
        <v>902</v>
      </c>
      <c r="E272" t="s">
        <v>902</v>
      </c>
      <c r="F272" t="s">
        <v>21</v>
      </c>
      <c r="G272" t="s">
        <v>22</v>
      </c>
      <c r="H272" t="s">
        <v>80</v>
      </c>
      <c r="I272" t="s">
        <v>153</v>
      </c>
      <c r="J272">
        <v>2007</v>
      </c>
      <c r="K272">
        <v>43698.521897777777</v>
      </c>
      <c r="L272" t="s">
        <v>25</v>
      </c>
      <c r="M272" t="s">
        <v>42</v>
      </c>
      <c r="N272" t="s">
        <v>27</v>
      </c>
      <c r="O272">
        <v>60498</v>
      </c>
      <c r="P272">
        <v>42279.863611111112</v>
      </c>
      <c r="Q272">
        <v>41758.416572881943</v>
      </c>
      <c r="R272">
        <v>275</v>
      </c>
    </row>
    <row r="273" spans="1:18" x14ac:dyDescent="0.25">
      <c r="A273" t="s">
        <v>903</v>
      </c>
      <c r="B273" t="s">
        <v>400</v>
      </c>
      <c r="C273" t="s">
        <v>904</v>
      </c>
      <c r="D273" t="s">
        <v>904</v>
      </c>
      <c r="E273" t="s">
        <v>904</v>
      </c>
      <c r="F273" t="s">
        <v>21</v>
      </c>
      <c r="G273" t="s">
        <v>22</v>
      </c>
      <c r="H273" t="s">
        <v>53</v>
      </c>
      <c r="I273" t="s">
        <v>54</v>
      </c>
      <c r="J273">
        <v>2007</v>
      </c>
      <c r="K273">
        <v>43698.521897777777</v>
      </c>
      <c r="L273" t="s">
        <v>422</v>
      </c>
      <c r="M273" t="s">
        <v>42</v>
      </c>
      <c r="N273" t="s">
        <v>27</v>
      </c>
      <c r="O273">
        <v>184676</v>
      </c>
      <c r="P273">
        <v>43239.75</v>
      </c>
      <c r="Q273">
        <v>41764.706710451392</v>
      </c>
      <c r="R273">
        <v>276</v>
      </c>
    </row>
    <row r="274" spans="1:18" x14ac:dyDescent="0.25">
      <c r="A274" t="s">
        <v>905</v>
      </c>
      <c r="B274" t="s">
        <v>397</v>
      </c>
      <c r="C274" t="s">
        <v>906</v>
      </c>
      <c r="D274" t="s">
        <v>906</v>
      </c>
      <c r="E274" t="s">
        <v>906</v>
      </c>
      <c r="F274" t="s">
        <v>21</v>
      </c>
      <c r="G274" t="s">
        <v>22</v>
      </c>
      <c r="H274" t="s">
        <v>53</v>
      </c>
      <c r="I274" t="s">
        <v>54</v>
      </c>
      <c r="J274">
        <v>2007</v>
      </c>
      <c r="K274">
        <v>43698.521897777777</v>
      </c>
      <c r="L274" t="s">
        <v>422</v>
      </c>
      <c r="M274" t="s">
        <v>42</v>
      </c>
      <c r="N274" t="s">
        <v>27</v>
      </c>
      <c r="O274">
        <v>181394</v>
      </c>
      <c r="P274">
        <v>43227.977083333331</v>
      </c>
      <c r="Q274">
        <v>41764.712475694447</v>
      </c>
      <c r="R274">
        <v>277</v>
      </c>
    </row>
    <row r="275" spans="1:18" x14ac:dyDescent="0.25">
      <c r="A275" t="s">
        <v>907</v>
      </c>
      <c r="B275" t="s">
        <v>908</v>
      </c>
      <c r="C275" t="s">
        <v>909</v>
      </c>
      <c r="D275" t="s">
        <v>909</v>
      </c>
      <c r="E275" t="s">
        <v>909</v>
      </c>
      <c r="F275" t="s">
        <v>21</v>
      </c>
      <c r="G275" t="s">
        <v>22</v>
      </c>
      <c r="H275" t="s">
        <v>23</v>
      </c>
      <c r="I275" t="s">
        <v>59</v>
      </c>
      <c r="J275">
        <v>2007</v>
      </c>
      <c r="K275">
        <v>43698.521897777777</v>
      </c>
      <c r="L275" t="s">
        <v>36</v>
      </c>
      <c r="M275" t="s">
        <v>42</v>
      </c>
      <c r="N275" t="s">
        <v>27</v>
      </c>
      <c r="O275">
        <v>84811</v>
      </c>
      <c r="P275">
        <v>42621.717893518522</v>
      </c>
      <c r="Q275">
        <v>41764.717119247682</v>
      </c>
      <c r="R275">
        <v>278</v>
      </c>
    </row>
    <row r="276" spans="1:18" x14ac:dyDescent="0.25">
      <c r="A276" t="s">
        <v>910</v>
      </c>
      <c r="B276" t="s">
        <v>911</v>
      </c>
      <c r="C276" t="s">
        <v>912</v>
      </c>
      <c r="D276" t="s">
        <v>912</v>
      </c>
      <c r="E276" t="s">
        <v>912</v>
      </c>
      <c r="F276" t="s">
        <v>21</v>
      </c>
      <c r="G276" t="s">
        <v>63</v>
      </c>
      <c r="H276" t="s">
        <v>34</v>
      </c>
      <c r="I276" t="s">
        <v>35</v>
      </c>
      <c r="J276">
        <v>2007</v>
      </c>
      <c r="K276">
        <v>43698.521897777777</v>
      </c>
      <c r="L276" t="s">
        <v>25</v>
      </c>
      <c r="M276" t="s">
        <v>42</v>
      </c>
      <c r="N276" t="s">
        <v>27</v>
      </c>
      <c r="O276">
        <v>87726</v>
      </c>
      <c r="P276">
        <v>42651.265821759262</v>
      </c>
      <c r="Q276">
        <v>41765.498663506944</v>
      </c>
      <c r="R276">
        <v>279</v>
      </c>
    </row>
    <row r="277" spans="1:18" x14ac:dyDescent="0.25">
      <c r="A277" t="s">
        <v>913</v>
      </c>
      <c r="B277" t="s">
        <v>914</v>
      </c>
      <c r="C277" t="s">
        <v>915</v>
      </c>
      <c r="D277" t="s">
        <v>915</v>
      </c>
      <c r="E277" t="s">
        <v>915</v>
      </c>
      <c r="F277" t="s">
        <v>21</v>
      </c>
      <c r="G277" t="s">
        <v>63</v>
      </c>
      <c r="H277" t="s">
        <v>34</v>
      </c>
      <c r="I277" t="s">
        <v>35</v>
      </c>
      <c r="J277">
        <v>2008</v>
      </c>
      <c r="K277">
        <v>43698.521897777777</v>
      </c>
      <c r="L277" t="s">
        <v>25</v>
      </c>
      <c r="M277" t="s">
        <v>42</v>
      </c>
      <c r="N277" t="s">
        <v>27</v>
      </c>
      <c r="O277">
        <v>67759</v>
      </c>
      <c r="P277">
        <v>42398.029050925928</v>
      </c>
      <c r="Q277">
        <v>41765.529443287036</v>
      </c>
      <c r="R277">
        <v>280</v>
      </c>
    </row>
    <row r="278" spans="1:18" x14ac:dyDescent="0.25">
      <c r="A278" t="s">
        <v>916</v>
      </c>
      <c r="B278" t="s">
        <v>917</v>
      </c>
      <c r="C278" t="s">
        <v>918</v>
      </c>
      <c r="D278" t="s">
        <v>918</v>
      </c>
      <c r="E278" t="s">
        <v>918</v>
      </c>
      <c r="F278" t="s">
        <v>21</v>
      </c>
      <c r="G278" t="s">
        <v>63</v>
      </c>
      <c r="H278" t="s">
        <v>34</v>
      </c>
      <c r="I278" t="s">
        <v>35</v>
      </c>
      <c r="J278">
        <v>2015</v>
      </c>
      <c r="K278">
        <v>43698.521897777777</v>
      </c>
      <c r="L278" t="s">
        <v>25</v>
      </c>
      <c r="M278" t="s">
        <v>42</v>
      </c>
      <c r="N278" t="s">
        <v>27</v>
      </c>
      <c r="O278">
        <v>50038</v>
      </c>
      <c r="P278">
        <v>42091.193807870368</v>
      </c>
      <c r="Q278">
        <v>41765.541459525462</v>
      </c>
      <c r="R278">
        <v>281</v>
      </c>
    </row>
    <row r="279" spans="1:18" x14ac:dyDescent="0.25">
      <c r="A279" t="s">
        <v>919</v>
      </c>
      <c r="B279" t="s">
        <v>920</v>
      </c>
      <c r="C279" t="s">
        <v>921</v>
      </c>
      <c r="D279" t="s">
        <v>921</v>
      </c>
      <c r="E279" t="s">
        <v>921</v>
      </c>
      <c r="F279" t="s">
        <v>21</v>
      </c>
      <c r="G279" t="s">
        <v>22</v>
      </c>
      <c r="H279" t="s">
        <v>110</v>
      </c>
      <c r="I279" t="s">
        <v>922</v>
      </c>
      <c r="J279">
        <v>2007</v>
      </c>
      <c r="K279">
        <v>43698.521897777777</v>
      </c>
      <c r="L279" t="s">
        <v>36</v>
      </c>
      <c r="M279" t="s">
        <v>42</v>
      </c>
      <c r="N279" t="s">
        <v>27</v>
      </c>
      <c r="O279">
        <v>42830</v>
      </c>
      <c r="P279">
        <v>41923.402083333334</v>
      </c>
      <c r="Q279">
        <v>41767.507883530096</v>
      </c>
      <c r="R279">
        <v>282</v>
      </c>
    </row>
    <row r="280" spans="1:18" x14ac:dyDescent="0.25">
      <c r="A280" t="s">
        <v>923</v>
      </c>
      <c r="B280" t="s">
        <v>924</v>
      </c>
      <c r="C280" t="s">
        <v>925</v>
      </c>
      <c r="D280" t="s">
        <v>925</v>
      </c>
      <c r="E280" t="s">
        <v>925</v>
      </c>
      <c r="F280" t="s">
        <v>21</v>
      </c>
      <c r="G280" t="s">
        <v>22</v>
      </c>
      <c r="H280" t="s">
        <v>110</v>
      </c>
      <c r="I280" t="s">
        <v>922</v>
      </c>
      <c r="J280">
        <v>2006</v>
      </c>
      <c r="K280">
        <v>43698.521897777777</v>
      </c>
      <c r="L280" t="s">
        <v>36</v>
      </c>
      <c r="M280" t="s">
        <v>42</v>
      </c>
      <c r="N280" t="s">
        <v>27</v>
      </c>
      <c r="O280">
        <v>42584</v>
      </c>
      <c r="P280">
        <v>41914.564583333333</v>
      </c>
      <c r="Q280">
        <v>41767.511089004627</v>
      </c>
      <c r="R280">
        <v>283</v>
      </c>
    </row>
    <row r="281" spans="1:18" x14ac:dyDescent="0.25">
      <c r="A281" t="s">
        <v>926</v>
      </c>
      <c r="B281" t="s">
        <v>927</v>
      </c>
      <c r="C281" t="s">
        <v>928</v>
      </c>
      <c r="D281" t="s">
        <v>928</v>
      </c>
      <c r="E281" t="s">
        <v>928</v>
      </c>
      <c r="F281" t="s">
        <v>21</v>
      </c>
      <c r="G281" t="s">
        <v>22</v>
      </c>
      <c r="H281" t="s">
        <v>110</v>
      </c>
      <c r="I281" t="s">
        <v>922</v>
      </c>
      <c r="J281">
        <v>2006</v>
      </c>
      <c r="K281">
        <v>43698.521897777777</v>
      </c>
      <c r="L281" t="s">
        <v>36</v>
      </c>
      <c r="M281" t="s">
        <v>42</v>
      </c>
      <c r="N281" t="s">
        <v>27</v>
      </c>
      <c r="O281">
        <v>47968</v>
      </c>
      <c r="P281">
        <v>42045.361087962963</v>
      </c>
      <c r="Q281">
        <v>41767.538357754631</v>
      </c>
      <c r="R281">
        <v>284</v>
      </c>
    </row>
    <row r="282" spans="1:18" x14ac:dyDescent="0.25">
      <c r="A282" t="s">
        <v>929</v>
      </c>
      <c r="B282" t="s">
        <v>930</v>
      </c>
      <c r="C282" t="s">
        <v>931</v>
      </c>
      <c r="D282" t="s">
        <v>931</v>
      </c>
      <c r="E282" t="s">
        <v>931</v>
      </c>
      <c r="F282" t="s">
        <v>21</v>
      </c>
      <c r="G282" t="s">
        <v>22</v>
      </c>
      <c r="H282" t="s">
        <v>110</v>
      </c>
      <c r="I282" t="s">
        <v>922</v>
      </c>
      <c r="J282">
        <v>2005</v>
      </c>
      <c r="K282">
        <v>43698.521897777777</v>
      </c>
      <c r="L282" t="s">
        <v>36</v>
      </c>
      <c r="M282" t="s">
        <v>42</v>
      </c>
      <c r="N282" t="s">
        <v>27</v>
      </c>
      <c r="O282">
        <v>42848</v>
      </c>
      <c r="P282">
        <v>41920.998217592591</v>
      </c>
      <c r="Q282">
        <v>41767.5407494213</v>
      </c>
      <c r="R282">
        <v>285</v>
      </c>
    </row>
    <row r="283" spans="1:18" x14ac:dyDescent="0.25">
      <c r="A283" t="s">
        <v>932</v>
      </c>
      <c r="B283" t="s">
        <v>933</v>
      </c>
      <c r="C283" t="s">
        <v>934</v>
      </c>
      <c r="D283" t="s">
        <v>934</v>
      </c>
      <c r="E283" t="s">
        <v>934</v>
      </c>
      <c r="F283" t="s">
        <v>21</v>
      </c>
      <c r="G283" t="s">
        <v>22</v>
      </c>
      <c r="H283" t="s">
        <v>53</v>
      </c>
      <c r="I283" t="s">
        <v>41</v>
      </c>
      <c r="J283">
        <v>2004</v>
      </c>
      <c r="K283">
        <v>43698.521897777777</v>
      </c>
      <c r="L283" t="s">
        <v>36</v>
      </c>
      <c r="M283" t="s">
        <v>37</v>
      </c>
      <c r="N283" t="s">
        <v>27</v>
      </c>
      <c r="O283">
        <v>58141</v>
      </c>
      <c r="P283">
        <v>42237.885416666664</v>
      </c>
      <c r="Q283">
        <v>41768.639088391203</v>
      </c>
      <c r="R283">
        <v>286</v>
      </c>
    </row>
    <row r="284" spans="1:18" x14ac:dyDescent="0.25">
      <c r="A284" t="s">
        <v>935</v>
      </c>
      <c r="B284" t="s">
        <v>936</v>
      </c>
      <c r="C284" t="s">
        <v>937</v>
      </c>
      <c r="D284" t="s">
        <v>937</v>
      </c>
      <c r="E284" t="s">
        <v>937</v>
      </c>
      <c r="F284" t="s">
        <v>21</v>
      </c>
      <c r="G284" t="s">
        <v>22</v>
      </c>
      <c r="H284" t="s">
        <v>53</v>
      </c>
      <c r="I284" t="s">
        <v>41</v>
      </c>
      <c r="J284">
        <v>2000</v>
      </c>
      <c r="K284">
        <v>43698.521897777777</v>
      </c>
      <c r="L284" t="s">
        <v>36</v>
      </c>
      <c r="M284" t="s">
        <v>37</v>
      </c>
      <c r="N284" t="s">
        <v>27</v>
      </c>
      <c r="O284">
        <v>92309</v>
      </c>
      <c r="P284">
        <v>42691.900092592594</v>
      </c>
      <c r="Q284">
        <v>41768.64541863426</v>
      </c>
      <c r="R284">
        <v>287</v>
      </c>
    </row>
    <row r="285" spans="1:18" x14ac:dyDescent="0.25">
      <c r="A285" t="s">
        <v>938</v>
      </c>
      <c r="B285" t="s">
        <v>939</v>
      </c>
      <c r="C285" t="s">
        <v>940</v>
      </c>
      <c r="D285" t="s">
        <v>940</v>
      </c>
      <c r="E285" t="s">
        <v>940</v>
      </c>
      <c r="F285" t="s">
        <v>91</v>
      </c>
      <c r="G285" t="s">
        <v>22</v>
      </c>
      <c r="H285" t="s">
        <v>236</v>
      </c>
      <c r="I285" t="s">
        <v>728</v>
      </c>
      <c r="J285">
        <v>2014</v>
      </c>
      <c r="K285">
        <v>43698.521897777777</v>
      </c>
      <c r="L285" t="s">
        <v>466</v>
      </c>
      <c r="M285" t="s">
        <v>154</v>
      </c>
      <c r="N285" t="s">
        <v>467</v>
      </c>
      <c r="O285">
        <v>345725</v>
      </c>
      <c r="P285">
        <v>43698.521897777777</v>
      </c>
      <c r="Q285">
        <v>41768.778171064812</v>
      </c>
      <c r="R285">
        <v>288</v>
      </c>
    </row>
    <row r="286" spans="1:18" x14ac:dyDescent="0.25">
      <c r="A286" t="s">
        <v>941</v>
      </c>
      <c r="B286" t="s">
        <v>942</v>
      </c>
      <c r="C286" t="s">
        <v>943</v>
      </c>
      <c r="D286" t="s">
        <v>943</v>
      </c>
      <c r="E286" t="s">
        <v>943</v>
      </c>
      <c r="F286" t="s">
        <v>91</v>
      </c>
      <c r="G286" t="s">
        <v>22</v>
      </c>
      <c r="H286" t="s">
        <v>236</v>
      </c>
      <c r="I286" t="s">
        <v>728</v>
      </c>
      <c r="J286">
        <v>2014</v>
      </c>
      <c r="K286">
        <v>43698.521897777777</v>
      </c>
      <c r="L286" t="s">
        <v>466</v>
      </c>
      <c r="M286" t="s">
        <v>154</v>
      </c>
      <c r="N286" t="s">
        <v>467</v>
      </c>
      <c r="O286">
        <v>346092</v>
      </c>
      <c r="P286">
        <v>43698.521897777777</v>
      </c>
      <c r="Q286">
        <v>41768.779191666668</v>
      </c>
      <c r="R286">
        <v>289</v>
      </c>
    </row>
    <row r="287" spans="1:18" x14ac:dyDescent="0.25">
      <c r="A287" t="s">
        <v>944</v>
      </c>
      <c r="B287" t="s">
        <v>945</v>
      </c>
      <c r="C287" t="s">
        <v>946</v>
      </c>
      <c r="D287" t="s">
        <v>946</v>
      </c>
      <c r="E287" t="s">
        <v>946</v>
      </c>
      <c r="F287" t="s">
        <v>21</v>
      </c>
      <c r="G287" t="s">
        <v>22</v>
      </c>
      <c r="H287" t="s">
        <v>236</v>
      </c>
      <c r="I287" t="s">
        <v>728</v>
      </c>
      <c r="J287">
        <v>2014</v>
      </c>
      <c r="K287">
        <v>43698.521897777777</v>
      </c>
      <c r="L287" t="s">
        <v>25</v>
      </c>
      <c r="M287" t="s">
        <v>154</v>
      </c>
      <c r="N287" t="s">
        <v>27</v>
      </c>
      <c r="O287">
        <v>43942</v>
      </c>
      <c r="P287">
        <v>41950.398796296293</v>
      </c>
      <c r="Q287">
        <v>41768.780313923613</v>
      </c>
      <c r="R287">
        <v>290</v>
      </c>
    </row>
    <row r="288" spans="1:18" x14ac:dyDescent="0.25">
      <c r="A288" t="s">
        <v>947</v>
      </c>
      <c r="B288" t="s">
        <v>948</v>
      </c>
      <c r="C288" t="s">
        <v>949</v>
      </c>
      <c r="D288" t="s">
        <v>949</v>
      </c>
      <c r="E288" t="s">
        <v>949</v>
      </c>
      <c r="F288" t="s">
        <v>21</v>
      </c>
      <c r="G288" t="s">
        <v>63</v>
      </c>
      <c r="H288" t="s">
        <v>34</v>
      </c>
      <c r="I288" t="s">
        <v>35</v>
      </c>
      <c r="J288">
        <v>2015</v>
      </c>
      <c r="K288">
        <v>43698.521897777777</v>
      </c>
      <c r="L288" t="s">
        <v>25</v>
      </c>
      <c r="M288" t="s">
        <v>42</v>
      </c>
      <c r="N288" t="s">
        <v>27</v>
      </c>
      <c r="O288">
        <v>40043</v>
      </c>
      <c r="P288">
        <v>41857.369201388887</v>
      </c>
      <c r="Q288">
        <v>41773.800380520835</v>
      </c>
      <c r="R288">
        <v>291</v>
      </c>
    </row>
    <row r="289" spans="1:18" x14ac:dyDescent="0.25">
      <c r="A289" t="s">
        <v>950</v>
      </c>
      <c r="B289" t="s">
        <v>951</v>
      </c>
      <c r="C289" t="s">
        <v>952</v>
      </c>
      <c r="D289" t="s">
        <v>952</v>
      </c>
      <c r="E289" t="s">
        <v>952</v>
      </c>
      <c r="F289" t="s">
        <v>91</v>
      </c>
      <c r="G289" t="s">
        <v>22</v>
      </c>
      <c r="H289" t="s">
        <v>236</v>
      </c>
      <c r="I289" t="s">
        <v>728</v>
      </c>
      <c r="J289">
        <v>2014</v>
      </c>
      <c r="K289">
        <v>43698.521897777777</v>
      </c>
      <c r="L289" t="s">
        <v>466</v>
      </c>
      <c r="M289" t="s">
        <v>154</v>
      </c>
      <c r="N289" t="s">
        <v>467</v>
      </c>
      <c r="O289">
        <v>342864</v>
      </c>
      <c r="P289">
        <v>43695.850995370369</v>
      </c>
      <c r="Q289">
        <v>41782.730324305558</v>
      </c>
      <c r="R289">
        <v>292</v>
      </c>
    </row>
    <row r="290" spans="1:18" x14ac:dyDescent="0.25">
      <c r="A290" t="s">
        <v>953</v>
      </c>
      <c r="B290" t="s">
        <v>954</v>
      </c>
      <c r="C290" t="s">
        <v>955</v>
      </c>
      <c r="D290" t="s">
        <v>955</v>
      </c>
      <c r="E290" t="s">
        <v>955</v>
      </c>
      <c r="F290" t="s">
        <v>91</v>
      </c>
      <c r="G290" t="s">
        <v>63</v>
      </c>
      <c r="H290" t="s">
        <v>236</v>
      </c>
      <c r="I290" t="s">
        <v>728</v>
      </c>
      <c r="J290">
        <v>2014</v>
      </c>
      <c r="K290">
        <v>43698.521897777777</v>
      </c>
      <c r="L290" t="s">
        <v>466</v>
      </c>
      <c r="M290" t="s">
        <v>154</v>
      </c>
      <c r="N290" t="s">
        <v>467</v>
      </c>
      <c r="O290">
        <v>342843</v>
      </c>
      <c r="P290">
        <v>43695.857430555552</v>
      </c>
      <c r="Q290">
        <v>41782.733044988425</v>
      </c>
      <c r="R290">
        <v>293</v>
      </c>
    </row>
    <row r="291" spans="1:18" x14ac:dyDescent="0.25">
      <c r="A291" t="s">
        <v>956</v>
      </c>
      <c r="B291" t="s">
        <v>957</v>
      </c>
      <c r="C291" t="s">
        <v>958</v>
      </c>
      <c r="D291" t="s">
        <v>958</v>
      </c>
      <c r="E291" t="s">
        <v>958</v>
      </c>
      <c r="F291" t="s">
        <v>253</v>
      </c>
      <c r="G291" t="s">
        <v>22</v>
      </c>
      <c r="H291" t="s">
        <v>236</v>
      </c>
      <c r="I291" t="s">
        <v>959</v>
      </c>
      <c r="J291">
        <v>2014</v>
      </c>
      <c r="K291">
        <v>43698.521897777777</v>
      </c>
      <c r="L291" t="s">
        <v>422</v>
      </c>
      <c r="M291" t="s">
        <v>154</v>
      </c>
      <c r="N291" t="s">
        <v>415</v>
      </c>
      <c r="O291">
        <v>296867</v>
      </c>
      <c r="P291">
        <v>43573.770833333336</v>
      </c>
      <c r="Q291">
        <v>41782.737071261574</v>
      </c>
      <c r="R291">
        <v>294</v>
      </c>
    </row>
    <row r="292" spans="1:18" x14ac:dyDescent="0.25">
      <c r="A292" t="s">
        <v>960</v>
      </c>
      <c r="B292" t="s">
        <v>961</v>
      </c>
      <c r="C292" t="s">
        <v>962</v>
      </c>
      <c r="D292" t="s">
        <v>962</v>
      </c>
      <c r="E292" t="s">
        <v>962</v>
      </c>
      <c r="F292" t="s">
        <v>21</v>
      </c>
      <c r="G292" t="s">
        <v>63</v>
      </c>
      <c r="H292" t="s">
        <v>34</v>
      </c>
      <c r="I292" t="s">
        <v>35</v>
      </c>
      <c r="J292">
        <v>2014</v>
      </c>
      <c r="K292">
        <v>43698.521897777777</v>
      </c>
      <c r="L292" t="s">
        <v>25</v>
      </c>
      <c r="M292" t="s">
        <v>42</v>
      </c>
      <c r="N292" t="s">
        <v>27</v>
      </c>
      <c r="O292">
        <v>93278</v>
      </c>
      <c r="P292">
        <v>42703.088842592595</v>
      </c>
      <c r="Q292">
        <v>41787.832365740738</v>
      </c>
      <c r="R292">
        <v>295</v>
      </c>
    </row>
    <row r="293" spans="1:18" x14ac:dyDescent="0.25">
      <c r="A293" t="s">
        <v>963</v>
      </c>
      <c r="B293" t="s">
        <v>964</v>
      </c>
      <c r="C293" t="s">
        <v>965</v>
      </c>
      <c r="D293" t="s">
        <v>965</v>
      </c>
      <c r="E293" t="s">
        <v>965</v>
      </c>
      <c r="F293" t="s">
        <v>21</v>
      </c>
      <c r="G293" t="s">
        <v>63</v>
      </c>
      <c r="H293" t="s">
        <v>34</v>
      </c>
      <c r="I293" t="s">
        <v>703</v>
      </c>
      <c r="J293">
        <v>2009</v>
      </c>
      <c r="K293">
        <v>43698.521897777777</v>
      </c>
      <c r="L293" t="s">
        <v>25</v>
      </c>
      <c r="M293" t="s">
        <v>37</v>
      </c>
      <c r="N293" t="s">
        <v>27</v>
      </c>
      <c r="O293">
        <v>68761</v>
      </c>
      <c r="P293">
        <v>42411.877083333333</v>
      </c>
      <c r="Q293">
        <v>41788.447213078703</v>
      </c>
      <c r="R293">
        <v>296</v>
      </c>
    </row>
    <row r="294" spans="1:18" x14ac:dyDescent="0.25">
      <c r="A294" t="s">
        <v>966</v>
      </c>
      <c r="B294" t="s">
        <v>967</v>
      </c>
      <c r="C294" t="s">
        <v>968</v>
      </c>
      <c r="D294" t="s">
        <v>968</v>
      </c>
      <c r="E294" t="s">
        <v>968</v>
      </c>
      <c r="F294" t="s">
        <v>21</v>
      </c>
      <c r="G294" t="s">
        <v>63</v>
      </c>
      <c r="H294" t="s">
        <v>34</v>
      </c>
      <c r="I294" t="s">
        <v>35</v>
      </c>
      <c r="J294">
        <v>2012</v>
      </c>
      <c r="K294">
        <v>43698.521897777777</v>
      </c>
      <c r="L294" t="s">
        <v>25</v>
      </c>
      <c r="M294" t="s">
        <v>42</v>
      </c>
      <c r="N294" t="s">
        <v>27</v>
      </c>
      <c r="O294">
        <v>76006</v>
      </c>
      <c r="P294">
        <v>42517.848900462966</v>
      </c>
      <c r="Q294">
        <v>41795.572888773146</v>
      </c>
      <c r="R294">
        <v>297</v>
      </c>
    </row>
    <row r="295" spans="1:18" x14ac:dyDescent="0.25">
      <c r="A295" t="s">
        <v>969</v>
      </c>
      <c r="B295" t="s">
        <v>608</v>
      </c>
      <c r="C295" t="s">
        <v>970</v>
      </c>
      <c r="D295" t="s">
        <v>970</v>
      </c>
      <c r="E295" t="s">
        <v>970</v>
      </c>
      <c r="F295" t="s">
        <v>21</v>
      </c>
      <c r="G295" t="s">
        <v>22</v>
      </c>
      <c r="H295" t="s">
        <v>34</v>
      </c>
      <c r="I295" t="s">
        <v>610</v>
      </c>
      <c r="J295">
        <v>2014</v>
      </c>
      <c r="K295">
        <v>43698.521897777777</v>
      </c>
      <c r="L295" t="s">
        <v>531</v>
      </c>
      <c r="M295" t="s">
        <v>42</v>
      </c>
      <c r="N295" t="s">
        <v>27</v>
      </c>
      <c r="O295">
        <v>63596</v>
      </c>
      <c r="P295">
        <v>42329.215277777781</v>
      </c>
      <c r="Q295">
        <v>41799.75829297454</v>
      </c>
      <c r="R295">
        <v>298</v>
      </c>
    </row>
    <row r="296" spans="1:18" x14ac:dyDescent="0.25">
      <c r="A296" t="s">
        <v>971</v>
      </c>
      <c r="B296" t="s">
        <v>972</v>
      </c>
      <c r="C296" t="s">
        <v>973</v>
      </c>
      <c r="D296" t="s">
        <v>973</v>
      </c>
      <c r="E296" t="s">
        <v>973</v>
      </c>
      <c r="F296" t="s">
        <v>21</v>
      </c>
      <c r="G296" t="s">
        <v>63</v>
      </c>
      <c r="H296" t="s">
        <v>23</v>
      </c>
      <c r="I296" t="s">
        <v>41</v>
      </c>
      <c r="J296">
        <v>2007</v>
      </c>
      <c r="K296">
        <v>43698.521897777777</v>
      </c>
      <c r="L296" t="s">
        <v>25</v>
      </c>
      <c r="M296" t="s">
        <v>42</v>
      </c>
      <c r="N296" t="s">
        <v>27</v>
      </c>
      <c r="O296">
        <v>66915</v>
      </c>
      <c r="P296">
        <v>42387.43472222222</v>
      </c>
      <c r="Q296">
        <v>41799.766331018516</v>
      </c>
      <c r="R296">
        <v>299</v>
      </c>
    </row>
    <row r="297" spans="1:18" x14ac:dyDescent="0.25">
      <c r="A297" t="s">
        <v>25</v>
      </c>
      <c r="B297" t="s">
        <v>25</v>
      </c>
      <c r="C297" t="s">
        <v>974</v>
      </c>
      <c r="D297" t="s">
        <v>974</v>
      </c>
      <c r="E297" t="s">
        <v>974</v>
      </c>
      <c r="F297" t="s">
        <v>21</v>
      </c>
      <c r="G297" t="s">
        <v>22</v>
      </c>
      <c r="H297" t="s">
        <v>25</v>
      </c>
      <c r="I297" t="s">
        <v>25</v>
      </c>
      <c r="K297">
        <v>43698.521897777777</v>
      </c>
      <c r="L297" t="s">
        <v>25</v>
      </c>
      <c r="M297" t="s">
        <v>26</v>
      </c>
      <c r="N297" t="s">
        <v>27</v>
      </c>
      <c r="Q297">
        <v>41804.585709259256</v>
      </c>
      <c r="R297">
        <v>300</v>
      </c>
    </row>
    <row r="298" spans="1:18" x14ac:dyDescent="0.25">
      <c r="A298" t="s">
        <v>25</v>
      </c>
      <c r="B298" t="s">
        <v>25</v>
      </c>
      <c r="C298" t="s">
        <v>975</v>
      </c>
      <c r="D298" t="s">
        <v>975</v>
      </c>
      <c r="E298" t="s">
        <v>975</v>
      </c>
      <c r="F298" t="s">
        <v>21</v>
      </c>
      <c r="G298" t="s">
        <v>22</v>
      </c>
      <c r="H298" t="s">
        <v>25</v>
      </c>
      <c r="I298" t="s">
        <v>25</v>
      </c>
      <c r="K298">
        <v>43698.521897777777</v>
      </c>
      <c r="L298" t="s">
        <v>25</v>
      </c>
      <c r="M298" t="s">
        <v>26</v>
      </c>
      <c r="N298" t="s">
        <v>27</v>
      </c>
      <c r="Q298">
        <v>41804.586009837964</v>
      </c>
      <c r="R298">
        <v>301</v>
      </c>
    </row>
    <row r="299" spans="1:18" x14ac:dyDescent="0.25">
      <c r="A299" t="s">
        <v>25</v>
      </c>
      <c r="B299" t="s">
        <v>25</v>
      </c>
      <c r="C299" t="s">
        <v>976</v>
      </c>
      <c r="D299" t="s">
        <v>976</v>
      </c>
      <c r="E299" t="s">
        <v>976</v>
      </c>
      <c r="F299" t="s">
        <v>21</v>
      </c>
      <c r="G299" t="s">
        <v>22</v>
      </c>
      <c r="H299" t="s">
        <v>25</v>
      </c>
      <c r="I299" t="s">
        <v>25</v>
      </c>
      <c r="K299">
        <v>43698.521897777777</v>
      </c>
      <c r="L299" t="s">
        <v>25</v>
      </c>
      <c r="M299" t="s">
        <v>26</v>
      </c>
      <c r="N299" t="s">
        <v>27</v>
      </c>
      <c r="Q299">
        <v>41804.586254398149</v>
      </c>
      <c r="R299">
        <v>302</v>
      </c>
    </row>
    <row r="300" spans="1:18" x14ac:dyDescent="0.25">
      <c r="A300" t="s">
        <v>25</v>
      </c>
      <c r="B300" t="s">
        <v>25</v>
      </c>
      <c r="C300" t="s">
        <v>977</v>
      </c>
      <c r="D300" t="s">
        <v>977</v>
      </c>
      <c r="E300" t="s">
        <v>977</v>
      </c>
      <c r="F300" t="s">
        <v>21</v>
      </c>
      <c r="G300" t="s">
        <v>22</v>
      </c>
      <c r="H300" t="s">
        <v>25</v>
      </c>
      <c r="I300" t="s">
        <v>25</v>
      </c>
      <c r="K300">
        <v>43698.521897777777</v>
      </c>
      <c r="L300" t="s">
        <v>25</v>
      </c>
      <c r="M300" t="s">
        <v>26</v>
      </c>
      <c r="N300" t="s">
        <v>27</v>
      </c>
      <c r="Q300">
        <v>41804.586476388889</v>
      </c>
      <c r="R300">
        <v>303</v>
      </c>
    </row>
    <row r="301" spans="1:18" x14ac:dyDescent="0.25">
      <c r="A301" t="s">
        <v>25</v>
      </c>
      <c r="B301" t="s">
        <v>25</v>
      </c>
      <c r="C301" t="s">
        <v>978</v>
      </c>
      <c r="D301" t="s">
        <v>978</v>
      </c>
      <c r="E301" t="s">
        <v>978</v>
      </c>
      <c r="F301" t="s">
        <v>21</v>
      </c>
      <c r="G301" t="s">
        <v>22</v>
      </c>
      <c r="H301" t="s">
        <v>25</v>
      </c>
      <c r="I301" t="s">
        <v>25</v>
      </c>
      <c r="K301">
        <v>43698.521897777777</v>
      </c>
      <c r="L301" t="s">
        <v>25</v>
      </c>
      <c r="M301" t="s">
        <v>26</v>
      </c>
      <c r="N301" t="s">
        <v>27</v>
      </c>
      <c r="Q301">
        <v>41804.586866284721</v>
      </c>
      <c r="R301">
        <v>304</v>
      </c>
    </row>
    <row r="302" spans="1:18" x14ac:dyDescent="0.25">
      <c r="A302" t="s">
        <v>979</v>
      </c>
      <c r="B302" t="s">
        <v>979</v>
      </c>
      <c r="C302" t="s">
        <v>980</v>
      </c>
      <c r="D302" t="s">
        <v>980</v>
      </c>
      <c r="E302" t="s">
        <v>980</v>
      </c>
      <c r="F302" t="s">
        <v>21</v>
      </c>
      <c r="G302" t="s">
        <v>22</v>
      </c>
      <c r="H302" t="s">
        <v>25</v>
      </c>
      <c r="I302" t="s">
        <v>25</v>
      </c>
      <c r="K302">
        <v>43698.521897777777</v>
      </c>
      <c r="L302" t="s">
        <v>25</v>
      </c>
      <c r="M302" t="s">
        <v>26</v>
      </c>
      <c r="N302" t="s">
        <v>27</v>
      </c>
      <c r="Q302">
        <v>41804.587227280092</v>
      </c>
      <c r="R302">
        <v>305</v>
      </c>
    </row>
    <row r="303" spans="1:18" x14ac:dyDescent="0.25">
      <c r="A303" t="s">
        <v>981</v>
      </c>
      <c r="B303" t="s">
        <v>982</v>
      </c>
      <c r="C303" t="s">
        <v>983</v>
      </c>
      <c r="D303" t="s">
        <v>983</v>
      </c>
      <c r="E303" t="s">
        <v>983</v>
      </c>
      <c r="F303" t="s">
        <v>21</v>
      </c>
      <c r="G303" t="s">
        <v>22</v>
      </c>
      <c r="H303" t="s">
        <v>110</v>
      </c>
      <c r="I303" t="s">
        <v>111</v>
      </c>
      <c r="J303">
        <v>2005</v>
      </c>
      <c r="K303">
        <v>43698.521897777777</v>
      </c>
      <c r="L303" t="s">
        <v>25</v>
      </c>
      <c r="M303" t="s">
        <v>37</v>
      </c>
      <c r="N303" t="s">
        <v>27</v>
      </c>
      <c r="O303">
        <v>60423</v>
      </c>
      <c r="P303">
        <v>42278.848043981481</v>
      </c>
      <c r="Q303">
        <v>41806.725305636573</v>
      </c>
      <c r="R303">
        <v>306</v>
      </c>
    </row>
    <row r="304" spans="1:18" x14ac:dyDescent="0.25">
      <c r="A304" t="s">
        <v>984</v>
      </c>
      <c r="B304" t="s">
        <v>985</v>
      </c>
      <c r="C304" t="s">
        <v>986</v>
      </c>
      <c r="D304" t="s">
        <v>986</v>
      </c>
      <c r="E304" t="s">
        <v>986</v>
      </c>
      <c r="F304" t="s">
        <v>21</v>
      </c>
      <c r="G304" t="s">
        <v>22</v>
      </c>
      <c r="H304" t="s">
        <v>110</v>
      </c>
      <c r="I304" t="s">
        <v>111</v>
      </c>
      <c r="J304">
        <v>2005</v>
      </c>
      <c r="K304">
        <v>43698.521897777777</v>
      </c>
      <c r="L304" t="s">
        <v>25</v>
      </c>
      <c r="M304" t="s">
        <v>37</v>
      </c>
      <c r="N304" t="s">
        <v>27</v>
      </c>
      <c r="Q304">
        <v>41806.769402546299</v>
      </c>
      <c r="R304">
        <v>307</v>
      </c>
    </row>
    <row r="305" spans="1:18" x14ac:dyDescent="0.25">
      <c r="A305" t="s">
        <v>987</v>
      </c>
      <c r="B305" t="s">
        <v>988</v>
      </c>
      <c r="C305" t="s">
        <v>989</v>
      </c>
      <c r="D305" t="s">
        <v>989</v>
      </c>
      <c r="E305" t="s">
        <v>989</v>
      </c>
      <c r="F305" t="s">
        <v>21</v>
      </c>
      <c r="G305" t="s">
        <v>22</v>
      </c>
      <c r="H305" t="s">
        <v>23</v>
      </c>
      <c r="I305" t="s">
        <v>24</v>
      </c>
      <c r="J305">
        <v>2006</v>
      </c>
      <c r="K305">
        <v>43698.521897777777</v>
      </c>
      <c r="L305" t="s">
        <v>36</v>
      </c>
      <c r="M305" t="s">
        <v>42</v>
      </c>
      <c r="N305" t="s">
        <v>27</v>
      </c>
      <c r="O305">
        <v>62539</v>
      </c>
      <c r="P305">
        <v>42312.740312499998</v>
      </c>
      <c r="Q305">
        <v>41810.46937392361</v>
      </c>
      <c r="R305">
        <v>308</v>
      </c>
    </row>
    <row r="306" spans="1:18" x14ac:dyDescent="0.25">
      <c r="A306" t="s">
        <v>990</v>
      </c>
      <c r="B306" t="s">
        <v>991</v>
      </c>
      <c r="C306" t="s">
        <v>992</v>
      </c>
      <c r="D306" t="s">
        <v>992</v>
      </c>
      <c r="E306" t="s">
        <v>992</v>
      </c>
      <c r="F306" t="s">
        <v>21</v>
      </c>
      <c r="G306" t="s">
        <v>22</v>
      </c>
      <c r="H306" t="s">
        <v>23</v>
      </c>
      <c r="I306" t="s">
        <v>993</v>
      </c>
      <c r="J306">
        <v>2006</v>
      </c>
      <c r="K306">
        <v>43698.521897777777</v>
      </c>
      <c r="L306" t="s">
        <v>36</v>
      </c>
      <c r="M306" t="s">
        <v>42</v>
      </c>
      <c r="N306" t="s">
        <v>994</v>
      </c>
      <c r="O306">
        <v>63402</v>
      </c>
      <c r="P306">
        <v>42326.957650462966</v>
      </c>
      <c r="Q306">
        <v>41810.475400543983</v>
      </c>
      <c r="R306">
        <v>309</v>
      </c>
    </row>
    <row r="307" spans="1:18" x14ac:dyDescent="0.25">
      <c r="A307" t="s">
        <v>995</v>
      </c>
      <c r="B307" t="s">
        <v>996</v>
      </c>
      <c r="C307" t="s">
        <v>997</v>
      </c>
      <c r="D307" t="s">
        <v>997</v>
      </c>
      <c r="E307" t="s">
        <v>997</v>
      </c>
      <c r="F307" t="s">
        <v>91</v>
      </c>
      <c r="G307" t="s">
        <v>22</v>
      </c>
      <c r="H307" t="s">
        <v>998</v>
      </c>
      <c r="I307" t="s">
        <v>465</v>
      </c>
      <c r="J307">
        <v>2015</v>
      </c>
      <c r="K307">
        <v>43698.521897777777</v>
      </c>
      <c r="L307" t="s">
        <v>466</v>
      </c>
      <c r="M307" t="s">
        <v>154</v>
      </c>
      <c r="N307" t="s">
        <v>467</v>
      </c>
      <c r="O307">
        <v>336614</v>
      </c>
      <c r="P307">
        <v>43681.742847222224</v>
      </c>
      <c r="Q307">
        <v>41821.671226388891</v>
      </c>
      <c r="R307">
        <v>310</v>
      </c>
    </row>
    <row r="308" spans="1:18" x14ac:dyDescent="0.25">
      <c r="A308" t="s">
        <v>999</v>
      </c>
      <c r="B308" t="s">
        <v>1000</v>
      </c>
      <c r="C308" t="s">
        <v>1001</v>
      </c>
      <c r="D308" t="s">
        <v>1001</v>
      </c>
      <c r="E308" t="s">
        <v>1001</v>
      </c>
      <c r="F308" t="s">
        <v>91</v>
      </c>
      <c r="G308" t="s">
        <v>22</v>
      </c>
      <c r="H308" t="s">
        <v>998</v>
      </c>
      <c r="I308" t="s">
        <v>465</v>
      </c>
      <c r="J308">
        <v>2015</v>
      </c>
      <c r="K308">
        <v>43698.521897777777</v>
      </c>
      <c r="L308" t="s">
        <v>466</v>
      </c>
      <c r="M308" t="s">
        <v>154</v>
      </c>
      <c r="N308" t="s">
        <v>467</v>
      </c>
      <c r="O308">
        <v>345375</v>
      </c>
      <c r="P308">
        <v>43698.521897777777</v>
      </c>
      <c r="Q308">
        <v>41824.705040937501</v>
      </c>
      <c r="R308">
        <v>311</v>
      </c>
    </row>
    <row r="309" spans="1:18" x14ac:dyDescent="0.25">
      <c r="A309" t="s">
        <v>1002</v>
      </c>
      <c r="B309" t="s">
        <v>1003</v>
      </c>
      <c r="C309" t="s">
        <v>1004</v>
      </c>
      <c r="D309" t="s">
        <v>1004</v>
      </c>
      <c r="E309" t="s">
        <v>1004</v>
      </c>
      <c r="F309" t="s">
        <v>21</v>
      </c>
      <c r="G309" t="s">
        <v>63</v>
      </c>
      <c r="H309" t="s">
        <v>53</v>
      </c>
      <c r="I309" t="s">
        <v>810</v>
      </c>
      <c r="J309">
        <v>2015</v>
      </c>
      <c r="K309">
        <v>43698.521897777777</v>
      </c>
      <c r="L309" t="s">
        <v>1005</v>
      </c>
      <c r="M309" t="s">
        <v>42</v>
      </c>
      <c r="N309" t="s">
        <v>27</v>
      </c>
      <c r="O309">
        <v>219889</v>
      </c>
      <c r="P309">
        <v>43359.654166666667</v>
      </c>
      <c r="Q309">
        <v>41831.692485416665</v>
      </c>
      <c r="R309">
        <v>312</v>
      </c>
    </row>
    <row r="310" spans="1:18" x14ac:dyDescent="0.25">
      <c r="A310" t="s">
        <v>1006</v>
      </c>
      <c r="B310" t="s">
        <v>1007</v>
      </c>
      <c r="C310" t="s">
        <v>1008</v>
      </c>
      <c r="D310" t="s">
        <v>1008</v>
      </c>
      <c r="E310" t="s">
        <v>1008</v>
      </c>
      <c r="F310" t="s">
        <v>21</v>
      </c>
      <c r="G310" t="s">
        <v>63</v>
      </c>
      <c r="H310" t="s">
        <v>34</v>
      </c>
      <c r="I310" t="s">
        <v>35</v>
      </c>
      <c r="J310">
        <v>2015</v>
      </c>
      <c r="K310">
        <v>43698.521897777777</v>
      </c>
      <c r="L310" t="s">
        <v>25</v>
      </c>
      <c r="M310" t="s">
        <v>42</v>
      </c>
      <c r="N310" t="s">
        <v>27</v>
      </c>
      <c r="O310">
        <v>55108</v>
      </c>
      <c r="P310">
        <v>42187.316261574073</v>
      </c>
      <c r="Q310">
        <v>41834.788000266206</v>
      </c>
      <c r="R310">
        <v>313</v>
      </c>
    </row>
    <row r="311" spans="1:18" x14ac:dyDescent="0.25">
      <c r="A311" t="s">
        <v>1009</v>
      </c>
      <c r="B311" t="s">
        <v>1010</v>
      </c>
      <c r="C311" t="s">
        <v>1011</v>
      </c>
      <c r="D311" t="s">
        <v>1011</v>
      </c>
      <c r="E311" t="s">
        <v>1011</v>
      </c>
      <c r="F311" t="s">
        <v>91</v>
      </c>
      <c r="G311" t="s">
        <v>22</v>
      </c>
      <c r="H311" t="s">
        <v>998</v>
      </c>
      <c r="I311" t="s">
        <v>465</v>
      </c>
      <c r="J311">
        <v>2015</v>
      </c>
      <c r="K311">
        <v>43698.521897777777</v>
      </c>
      <c r="L311" t="s">
        <v>466</v>
      </c>
      <c r="M311" t="s">
        <v>154</v>
      </c>
      <c r="N311" t="s">
        <v>467</v>
      </c>
      <c r="O311">
        <v>346463</v>
      </c>
      <c r="P311">
        <v>43698.521897777777</v>
      </c>
      <c r="Q311">
        <v>41836.734618402777</v>
      </c>
      <c r="R311">
        <v>314</v>
      </c>
    </row>
    <row r="312" spans="1:18" x14ac:dyDescent="0.25">
      <c r="A312" t="s">
        <v>1012</v>
      </c>
      <c r="B312" t="s">
        <v>1013</v>
      </c>
      <c r="C312" t="s">
        <v>1014</v>
      </c>
      <c r="D312" t="s">
        <v>1014</v>
      </c>
      <c r="E312" t="s">
        <v>1014</v>
      </c>
      <c r="F312" t="s">
        <v>91</v>
      </c>
      <c r="G312" t="s">
        <v>22</v>
      </c>
      <c r="H312" t="s">
        <v>53</v>
      </c>
      <c r="I312" t="s">
        <v>465</v>
      </c>
      <c r="J312">
        <v>2015</v>
      </c>
      <c r="K312">
        <v>43698.521897777777</v>
      </c>
      <c r="L312" t="s">
        <v>466</v>
      </c>
      <c r="M312" t="s">
        <v>154</v>
      </c>
      <c r="N312" t="s">
        <v>467</v>
      </c>
      <c r="O312">
        <v>345791</v>
      </c>
      <c r="P312">
        <v>43698.521897777777</v>
      </c>
      <c r="Q312">
        <v>41838.734922256946</v>
      </c>
      <c r="R312">
        <v>315</v>
      </c>
    </row>
    <row r="313" spans="1:18" x14ac:dyDescent="0.25">
      <c r="A313" t="s">
        <v>1015</v>
      </c>
      <c r="B313" t="s">
        <v>1016</v>
      </c>
      <c r="C313" t="s">
        <v>1017</v>
      </c>
      <c r="D313" t="s">
        <v>1017</v>
      </c>
      <c r="E313" t="s">
        <v>1017</v>
      </c>
      <c r="F313" t="s">
        <v>21</v>
      </c>
      <c r="G313" t="s">
        <v>63</v>
      </c>
      <c r="H313" t="s">
        <v>53</v>
      </c>
      <c r="I313" t="s">
        <v>41</v>
      </c>
      <c r="J313">
        <v>2006</v>
      </c>
      <c r="K313">
        <v>43698.521897777777</v>
      </c>
      <c r="L313" t="s">
        <v>25</v>
      </c>
      <c r="M313" t="s">
        <v>42</v>
      </c>
      <c r="N313" t="s">
        <v>27</v>
      </c>
      <c r="O313">
        <v>104243</v>
      </c>
      <c r="P313">
        <v>42804.954837962963</v>
      </c>
      <c r="Q313">
        <v>41842.465922835647</v>
      </c>
      <c r="R313">
        <v>316</v>
      </c>
    </row>
    <row r="314" spans="1:18" x14ac:dyDescent="0.25">
      <c r="A314" t="s">
        <v>1018</v>
      </c>
      <c r="B314" t="s">
        <v>1019</v>
      </c>
      <c r="C314" t="s">
        <v>1020</v>
      </c>
      <c r="D314" t="s">
        <v>1020</v>
      </c>
      <c r="E314" t="s">
        <v>1020</v>
      </c>
      <c r="F314" t="s">
        <v>91</v>
      </c>
      <c r="G314" t="s">
        <v>22</v>
      </c>
      <c r="H314" t="s">
        <v>53</v>
      </c>
      <c r="I314" t="s">
        <v>465</v>
      </c>
      <c r="J314">
        <v>2015</v>
      </c>
      <c r="K314">
        <v>43698.521897777777</v>
      </c>
      <c r="L314" t="s">
        <v>193</v>
      </c>
      <c r="M314" t="s">
        <v>154</v>
      </c>
      <c r="N314" t="s">
        <v>415</v>
      </c>
      <c r="O314">
        <v>345489</v>
      </c>
      <c r="P314">
        <v>43698.521897777777</v>
      </c>
      <c r="Q314">
        <v>41844.659110879627</v>
      </c>
      <c r="R314">
        <v>317</v>
      </c>
    </row>
    <row r="315" spans="1:18" x14ac:dyDescent="0.25">
      <c r="A315" t="s">
        <v>1021</v>
      </c>
      <c r="B315" t="s">
        <v>1022</v>
      </c>
      <c r="C315" t="s">
        <v>1023</v>
      </c>
      <c r="D315" t="s">
        <v>1023</v>
      </c>
      <c r="E315" t="s">
        <v>1023</v>
      </c>
      <c r="F315" t="s">
        <v>21</v>
      </c>
      <c r="G315" t="s">
        <v>63</v>
      </c>
      <c r="H315" t="s">
        <v>53</v>
      </c>
      <c r="I315" t="s">
        <v>54</v>
      </c>
      <c r="J315">
        <v>2007</v>
      </c>
      <c r="K315">
        <v>43698.521897777777</v>
      </c>
      <c r="L315" t="s">
        <v>25</v>
      </c>
      <c r="M315" t="s">
        <v>154</v>
      </c>
      <c r="N315" t="s">
        <v>27</v>
      </c>
      <c r="O315">
        <v>40592</v>
      </c>
      <c r="P315">
        <v>41867.531145833331</v>
      </c>
      <c r="Q315">
        <v>41856.538045173613</v>
      </c>
      <c r="R315">
        <v>318</v>
      </c>
    </row>
    <row r="316" spans="1:18" x14ac:dyDescent="0.25">
      <c r="A316" t="s">
        <v>1024</v>
      </c>
      <c r="B316" t="s">
        <v>1025</v>
      </c>
      <c r="C316" t="s">
        <v>1026</v>
      </c>
      <c r="D316" t="s">
        <v>1026</v>
      </c>
      <c r="E316" t="s">
        <v>1026</v>
      </c>
      <c r="F316" t="s">
        <v>21</v>
      </c>
      <c r="G316" t="s">
        <v>63</v>
      </c>
      <c r="H316" t="s">
        <v>80</v>
      </c>
      <c r="I316" t="s">
        <v>1027</v>
      </c>
      <c r="J316">
        <v>2007</v>
      </c>
      <c r="K316">
        <v>43698.521897777777</v>
      </c>
      <c r="L316" t="s">
        <v>25</v>
      </c>
      <c r="M316" t="s">
        <v>37</v>
      </c>
      <c r="N316" t="s">
        <v>27</v>
      </c>
      <c r="O316">
        <v>44368</v>
      </c>
      <c r="P316">
        <v>41956.68550925926</v>
      </c>
      <c r="Q316">
        <v>41859.543176238425</v>
      </c>
      <c r="R316">
        <v>319</v>
      </c>
    </row>
    <row r="317" spans="1:18" x14ac:dyDescent="0.25">
      <c r="A317" t="s">
        <v>1028</v>
      </c>
      <c r="B317" t="s">
        <v>1029</v>
      </c>
      <c r="C317" t="s">
        <v>1030</v>
      </c>
      <c r="D317" t="s">
        <v>1030</v>
      </c>
      <c r="E317" t="s">
        <v>1030</v>
      </c>
      <c r="F317" t="s">
        <v>21</v>
      </c>
      <c r="G317" t="s">
        <v>63</v>
      </c>
      <c r="H317" t="s">
        <v>34</v>
      </c>
      <c r="I317" t="s">
        <v>35</v>
      </c>
      <c r="J317">
        <v>2007</v>
      </c>
      <c r="K317">
        <v>43698.521897777777</v>
      </c>
      <c r="L317" t="s">
        <v>25</v>
      </c>
      <c r="M317" t="s">
        <v>42</v>
      </c>
      <c r="N317" t="s">
        <v>27</v>
      </c>
      <c r="O317">
        <v>70893</v>
      </c>
      <c r="P317">
        <v>42443.777789351851</v>
      </c>
      <c r="Q317">
        <v>41870.561953553239</v>
      </c>
      <c r="R317">
        <v>320</v>
      </c>
    </row>
    <row r="318" spans="1:18" x14ac:dyDescent="0.25">
      <c r="A318" t="s">
        <v>25</v>
      </c>
      <c r="B318" t="s">
        <v>25</v>
      </c>
      <c r="C318" t="s">
        <v>1031</v>
      </c>
      <c r="D318" t="s">
        <v>1031</v>
      </c>
      <c r="E318" t="s">
        <v>1032</v>
      </c>
      <c r="F318" t="s">
        <v>21</v>
      </c>
      <c r="G318" t="s">
        <v>106</v>
      </c>
      <c r="H318" t="s">
        <v>25</v>
      </c>
      <c r="I318" t="s">
        <v>25</v>
      </c>
      <c r="K318">
        <v>43698.521897777777</v>
      </c>
      <c r="L318" t="s">
        <v>25</v>
      </c>
      <c r="M318" t="s">
        <v>42</v>
      </c>
      <c r="N318" t="s">
        <v>27</v>
      </c>
      <c r="Q318">
        <v>41870.933639386574</v>
      </c>
      <c r="R318">
        <v>321</v>
      </c>
    </row>
    <row r="319" spans="1:18" x14ac:dyDescent="0.25">
      <c r="A319" t="s">
        <v>25</v>
      </c>
      <c r="B319" t="s">
        <v>25</v>
      </c>
      <c r="C319" t="s">
        <v>1033</v>
      </c>
      <c r="D319" t="s">
        <v>1033</v>
      </c>
      <c r="E319" t="s">
        <v>1034</v>
      </c>
      <c r="F319" t="s">
        <v>21</v>
      </c>
      <c r="G319" t="s">
        <v>106</v>
      </c>
      <c r="H319" t="s">
        <v>25</v>
      </c>
      <c r="I319" t="s">
        <v>25</v>
      </c>
      <c r="K319">
        <v>43698.521897777777</v>
      </c>
      <c r="L319" t="s">
        <v>25</v>
      </c>
      <c r="M319" t="s">
        <v>42</v>
      </c>
      <c r="N319" t="s">
        <v>27</v>
      </c>
      <c r="Q319">
        <v>41871.833697222224</v>
      </c>
      <c r="R319">
        <v>322</v>
      </c>
    </row>
    <row r="320" spans="1:18" x14ac:dyDescent="0.25">
      <c r="A320" t="s">
        <v>1035</v>
      </c>
      <c r="B320" t="s">
        <v>593</v>
      </c>
      <c r="C320" t="s">
        <v>1036</v>
      </c>
      <c r="D320" t="s">
        <v>1036</v>
      </c>
      <c r="E320" t="s">
        <v>1036</v>
      </c>
      <c r="F320" t="s">
        <v>21</v>
      </c>
      <c r="G320" t="s">
        <v>22</v>
      </c>
      <c r="H320" t="s">
        <v>236</v>
      </c>
      <c r="I320" t="s">
        <v>556</v>
      </c>
      <c r="J320">
        <v>2014</v>
      </c>
      <c r="K320">
        <v>43698.521897777777</v>
      </c>
      <c r="L320" t="s">
        <v>25</v>
      </c>
      <c r="M320" t="s">
        <v>154</v>
      </c>
      <c r="N320" t="s">
        <v>27</v>
      </c>
      <c r="O320">
        <v>72040</v>
      </c>
      <c r="P320">
        <v>42458.259618055556</v>
      </c>
      <c r="Q320">
        <v>41878.721538310187</v>
      </c>
      <c r="R320">
        <v>323</v>
      </c>
    </row>
    <row r="321" spans="1:18" x14ac:dyDescent="0.25">
      <c r="A321" t="s">
        <v>1037</v>
      </c>
      <c r="B321" t="s">
        <v>1038</v>
      </c>
      <c r="C321" t="s">
        <v>1039</v>
      </c>
      <c r="D321" t="s">
        <v>1039</v>
      </c>
      <c r="E321" t="s">
        <v>1039</v>
      </c>
      <c r="F321" t="s">
        <v>21</v>
      </c>
      <c r="G321" t="s">
        <v>63</v>
      </c>
      <c r="H321" t="s">
        <v>53</v>
      </c>
      <c r="I321" t="s">
        <v>810</v>
      </c>
      <c r="J321">
        <v>2008</v>
      </c>
      <c r="K321">
        <v>43698.521897777777</v>
      </c>
      <c r="L321" t="s">
        <v>25</v>
      </c>
      <c r="M321" t="s">
        <v>42</v>
      </c>
      <c r="N321" t="s">
        <v>27</v>
      </c>
      <c r="O321">
        <v>113133</v>
      </c>
      <c r="P321">
        <v>42875.347916666666</v>
      </c>
      <c r="Q321">
        <v>41880.839239699075</v>
      </c>
      <c r="R321">
        <v>324</v>
      </c>
    </row>
    <row r="322" spans="1:18" x14ac:dyDescent="0.25">
      <c r="A322" t="s">
        <v>25</v>
      </c>
      <c r="B322" t="s">
        <v>25</v>
      </c>
      <c r="C322" t="s">
        <v>1040</v>
      </c>
      <c r="D322" t="s">
        <v>1040</v>
      </c>
      <c r="E322" t="s">
        <v>1040</v>
      </c>
      <c r="F322" t="s">
        <v>21</v>
      </c>
      <c r="G322" t="s">
        <v>22</v>
      </c>
      <c r="H322" t="s">
        <v>25</v>
      </c>
      <c r="I322" t="s">
        <v>25</v>
      </c>
      <c r="K322">
        <v>43698.521897777777</v>
      </c>
      <c r="L322" t="s">
        <v>25</v>
      </c>
      <c r="M322" t="s">
        <v>42</v>
      </c>
      <c r="N322" t="s">
        <v>27</v>
      </c>
      <c r="Q322">
        <v>41885.675520798613</v>
      </c>
      <c r="R322">
        <v>325</v>
      </c>
    </row>
    <row r="323" spans="1:18" x14ac:dyDescent="0.25">
      <c r="A323" t="s">
        <v>1041</v>
      </c>
      <c r="B323" t="s">
        <v>1042</v>
      </c>
      <c r="C323" t="s">
        <v>1043</v>
      </c>
      <c r="D323" t="s">
        <v>1043</v>
      </c>
      <c r="E323" t="s">
        <v>1043</v>
      </c>
      <c r="F323" t="s">
        <v>21</v>
      </c>
      <c r="G323" t="s">
        <v>63</v>
      </c>
      <c r="H323" t="s">
        <v>34</v>
      </c>
      <c r="I323" t="s">
        <v>1044</v>
      </c>
      <c r="J323">
        <v>2010</v>
      </c>
      <c r="K323">
        <v>43698.521897777777</v>
      </c>
      <c r="L323" t="s">
        <v>25</v>
      </c>
      <c r="M323" t="s">
        <v>42</v>
      </c>
      <c r="N323" t="s">
        <v>27</v>
      </c>
      <c r="O323">
        <v>53448</v>
      </c>
      <c r="P323">
        <v>42152.756527777776</v>
      </c>
      <c r="Q323">
        <v>41891.861064930556</v>
      </c>
      <c r="R323">
        <v>326</v>
      </c>
    </row>
    <row r="324" spans="1:18" x14ac:dyDescent="0.25">
      <c r="A324" t="s">
        <v>1045</v>
      </c>
      <c r="B324" t="s">
        <v>1046</v>
      </c>
      <c r="C324" t="s">
        <v>1047</v>
      </c>
      <c r="D324" t="s">
        <v>1047</v>
      </c>
      <c r="E324" t="s">
        <v>1047</v>
      </c>
      <c r="F324" t="s">
        <v>21</v>
      </c>
      <c r="G324" t="s">
        <v>63</v>
      </c>
      <c r="H324" t="s">
        <v>34</v>
      </c>
      <c r="I324" t="s">
        <v>721</v>
      </c>
      <c r="J324">
        <v>2009</v>
      </c>
      <c r="K324">
        <v>43698.521897777777</v>
      </c>
      <c r="L324" t="s">
        <v>25</v>
      </c>
      <c r="M324" t="s">
        <v>154</v>
      </c>
      <c r="N324" t="s">
        <v>27</v>
      </c>
      <c r="O324">
        <v>96430</v>
      </c>
      <c r="P324">
        <v>42740.364583333336</v>
      </c>
      <c r="Q324">
        <v>41900.614925960646</v>
      </c>
      <c r="R324">
        <v>327</v>
      </c>
    </row>
    <row r="325" spans="1:18" x14ac:dyDescent="0.25">
      <c r="A325" t="s">
        <v>1048</v>
      </c>
      <c r="B325" t="s">
        <v>216</v>
      </c>
      <c r="C325" t="s">
        <v>1049</v>
      </c>
      <c r="D325" t="s">
        <v>1049</v>
      </c>
      <c r="E325" t="s">
        <v>1049</v>
      </c>
      <c r="F325" t="s">
        <v>21</v>
      </c>
      <c r="G325" t="s">
        <v>63</v>
      </c>
      <c r="H325" t="s">
        <v>23</v>
      </c>
      <c r="I325" t="s">
        <v>59</v>
      </c>
      <c r="J325">
        <v>2006</v>
      </c>
      <c r="K325">
        <v>43698.521897777777</v>
      </c>
      <c r="L325" t="s">
        <v>25</v>
      </c>
      <c r="M325" t="s">
        <v>42</v>
      </c>
      <c r="N325" t="s">
        <v>27</v>
      </c>
      <c r="O325">
        <v>48951</v>
      </c>
      <c r="P325">
        <v>42068.962893518517</v>
      </c>
      <c r="Q325">
        <v>41904.590265543979</v>
      </c>
      <c r="R325">
        <v>328</v>
      </c>
    </row>
    <row r="326" spans="1:18" x14ac:dyDescent="0.25">
      <c r="A326" t="s">
        <v>1050</v>
      </c>
      <c r="B326" t="s">
        <v>1051</v>
      </c>
      <c r="C326" t="s">
        <v>1052</v>
      </c>
      <c r="D326" t="s">
        <v>1052</v>
      </c>
      <c r="E326" t="s">
        <v>1052</v>
      </c>
      <c r="F326" t="s">
        <v>21</v>
      </c>
      <c r="G326" t="s">
        <v>22</v>
      </c>
      <c r="H326" t="s">
        <v>236</v>
      </c>
      <c r="I326" t="s">
        <v>41</v>
      </c>
      <c r="J326">
        <v>2006</v>
      </c>
      <c r="K326">
        <v>43698.521897777777</v>
      </c>
      <c r="L326" t="s">
        <v>36</v>
      </c>
      <c r="M326" t="s">
        <v>42</v>
      </c>
      <c r="N326" t="s">
        <v>27</v>
      </c>
      <c r="O326">
        <v>43353</v>
      </c>
      <c r="P326">
        <v>41932.947916666664</v>
      </c>
      <c r="Q326">
        <v>41908.795357604169</v>
      </c>
      <c r="R326">
        <v>329</v>
      </c>
    </row>
    <row r="327" spans="1:18" x14ac:dyDescent="0.25">
      <c r="A327" t="s">
        <v>1053</v>
      </c>
      <c r="B327" t="s">
        <v>1054</v>
      </c>
      <c r="C327" t="s">
        <v>1055</v>
      </c>
      <c r="D327" t="s">
        <v>1055</v>
      </c>
      <c r="E327" t="s">
        <v>1055</v>
      </c>
      <c r="F327" t="s">
        <v>21</v>
      </c>
      <c r="G327" t="s">
        <v>63</v>
      </c>
      <c r="H327" t="s">
        <v>34</v>
      </c>
      <c r="I327" t="s">
        <v>35</v>
      </c>
      <c r="J327">
        <v>2013</v>
      </c>
      <c r="K327">
        <v>43698.521897777777</v>
      </c>
      <c r="L327" t="s">
        <v>1056</v>
      </c>
      <c r="M327" t="s">
        <v>42</v>
      </c>
      <c r="N327" t="s">
        <v>27</v>
      </c>
      <c r="O327">
        <v>189742</v>
      </c>
      <c r="P327">
        <v>43267.259293981479</v>
      </c>
      <c r="Q327">
        <v>41908.799039664351</v>
      </c>
      <c r="R327">
        <v>330</v>
      </c>
    </row>
    <row r="328" spans="1:18" x14ac:dyDescent="0.25">
      <c r="A328" t="s">
        <v>1057</v>
      </c>
      <c r="B328" t="s">
        <v>1058</v>
      </c>
      <c r="C328" t="s">
        <v>1059</v>
      </c>
      <c r="D328" t="s">
        <v>1060</v>
      </c>
      <c r="E328" t="s">
        <v>1061</v>
      </c>
      <c r="F328" t="s">
        <v>21</v>
      </c>
      <c r="G328" t="s">
        <v>63</v>
      </c>
      <c r="H328" t="s">
        <v>80</v>
      </c>
      <c r="I328" t="s">
        <v>272</v>
      </c>
      <c r="J328">
        <v>2006</v>
      </c>
      <c r="K328">
        <v>43698.521897777777</v>
      </c>
      <c r="L328" t="s">
        <v>25</v>
      </c>
      <c r="M328" t="s">
        <v>26</v>
      </c>
      <c r="N328" t="s">
        <v>27</v>
      </c>
      <c r="Q328">
        <v>41922.482761342595</v>
      </c>
      <c r="R328">
        <v>331</v>
      </c>
    </row>
    <row r="329" spans="1:18" x14ac:dyDescent="0.25">
      <c r="A329" t="s">
        <v>1062</v>
      </c>
      <c r="B329" t="s">
        <v>1063</v>
      </c>
      <c r="C329" t="s">
        <v>1064</v>
      </c>
      <c r="D329" t="s">
        <v>1064</v>
      </c>
      <c r="E329" t="s">
        <v>1064</v>
      </c>
      <c r="F329" t="s">
        <v>21</v>
      </c>
      <c r="G329" t="s">
        <v>22</v>
      </c>
      <c r="H329" t="s">
        <v>1065</v>
      </c>
      <c r="I329" t="s">
        <v>24</v>
      </c>
      <c r="J329">
        <v>2007</v>
      </c>
      <c r="K329">
        <v>43698.521897777777</v>
      </c>
      <c r="L329" t="s">
        <v>36</v>
      </c>
      <c r="M329" t="s">
        <v>154</v>
      </c>
      <c r="N329" t="s">
        <v>27</v>
      </c>
      <c r="O329">
        <v>58633</v>
      </c>
      <c r="P329">
        <v>42244.851724537039</v>
      </c>
      <c r="Q329">
        <v>41922.753405902775</v>
      </c>
      <c r="R329">
        <v>332</v>
      </c>
    </row>
    <row r="330" spans="1:18" x14ac:dyDescent="0.25">
      <c r="A330" t="s">
        <v>1066</v>
      </c>
      <c r="B330" t="s">
        <v>1067</v>
      </c>
      <c r="C330" t="s">
        <v>1068</v>
      </c>
      <c r="D330" t="s">
        <v>1068</v>
      </c>
      <c r="E330" t="s">
        <v>1068</v>
      </c>
      <c r="F330" t="s">
        <v>21</v>
      </c>
      <c r="G330" t="s">
        <v>22</v>
      </c>
      <c r="H330" t="s">
        <v>23</v>
      </c>
      <c r="I330" t="s">
        <v>24</v>
      </c>
      <c r="J330">
        <v>2007</v>
      </c>
      <c r="K330">
        <v>43698.521897777777</v>
      </c>
      <c r="L330" t="s">
        <v>36</v>
      </c>
      <c r="M330" t="s">
        <v>42</v>
      </c>
      <c r="N330" t="s">
        <v>27</v>
      </c>
      <c r="O330">
        <v>71300</v>
      </c>
      <c r="P330">
        <v>42446.859953703701</v>
      </c>
      <c r="Q330">
        <v>41926.699997719908</v>
      </c>
      <c r="R330">
        <v>333</v>
      </c>
    </row>
    <row r="331" spans="1:18" x14ac:dyDescent="0.25">
      <c r="A331" t="s">
        <v>1069</v>
      </c>
      <c r="B331" t="s">
        <v>1070</v>
      </c>
      <c r="C331" t="s">
        <v>1071</v>
      </c>
      <c r="D331" t="s">
        <v>1071</v>
      </c>
      <c r="E331" t="s">
        <v>1071</v>
      </c>
      <c r="F331" t="s">
        <v>21</v>
      </c>
      <c r="G331" t="s">
        <v>22</v>
      </c>
      <c r="H331" t="s">
        <v>23</v>
      </c>
      <c r="I331" t="s">
        <v>24</v>
      </c>
      <c r="J331">
        <v>2007</v>
      </c>
      <c r="K331">
        <v>43698.521897777777</v>
      </c>
      <c r="L331" t="s">
        <v>36</v>
      </c>
      <c r="M331" t="s">
        <v>42</v>
      </c>
      <c r="N331" t="s">
        <v>27</v>
      </c>
      <c r="O331">
        <v>72136</v>
      </c>
      <c r="P331">
        <v>42459.527800925927</v>
      </c>
      <c r="Q331">
        <v>41926.708434375003</v>
      </c>
      <c r="R331">
        <v>334</v>
      </c>
    </row>
    <row r="332" spans="1:18" x14ac:dyDescent="0.25">
      <c r="A332" t="s">
        <v>1072</v>
      </c>
      <c r="B332" t="s">
        <v>1073</v>
      </c>
      <c r="C332" t="s">
        <v>1074</v>
      </c>
      <c r="D332" t="s">
        <v>1074</v>
      </c>
      <c r="E332" t="s">
        <v>1074</v>
      </c>
      <c r="F332" t="s">
        <v>21</v>
      </c>
      <c r="G332" t="s">
        <v>22</v>
      </c>
      <c r="H332" t="s">
        <v>23</v>
      </c>
      <c r="I332" t="s">
        <v>24</v>
      </c>
      <c r="J332">
        <v>2007</v>
      </c>
      <c r="K332">
        <v>43698.521897777777</v>
      </c>
      <c r="L332" t="s">
        <v>36</v>
      </c>
      <c r="M332" t="s">
        <v>42</v>
      </c>
      <c r="N332" t="s">
        <v>27</v>
      </c>
      <c r="O332">
        <v>80424</v>
      </c>
      <c r="P332">
        <v>42571.774340277778</v>
      </c>
      <c r="Q332">
        <v>41926.715983217589</v>
      </c>
      <c r="R332">
        <v>335</v>
      </c>
    </row>
    <row r="333" spans="1:18" x14ac:dyDescent="0.25">
      <c r="A333" t="s">
        <v>1075</v>
      </c>
      <c r="B333" t="s">
        <v>1076</v>
      </c>
      <c r="C333" t="s">
        <v>1077</v>
      </c>
      <c r="D333" t="s">
        <v>1077</v>
      </c>
      <c r="E333" t="s">
        <v>1077</v>
      </c>
      <c r="F333" t="s">
        <v>21</v>
      </c>
      <c r="G333" t="s">
        <v>22</v>
      </c>
      <c r="H333" t="s">
        <v>23</v>
      </c>
      <c r="I333" t="s">
        <v>24</v>
      </c>
      <c r="J333">
        <v>2007</v>
      </c>
      <c r="K333">
        <v>43698.521897777777</v>
      </c>
      <c r="L333" t="s">
        <v>36</v>
      </c>
      <c r="M333" t="s">
        <v>42</v>
      </c>
      <c r="N333" t="s">
        <v>27</v>
      </c>
      <c r="O333">
        <v>72191</v>
      </c>
      <c r="P333">
        <v>42460.898715277777</v>
      </c>
      <c r="Q333">
        <v>41926.719004895836</v>
      </c>
      <c r="R333">
        <v>336</v>
      </c>
    </row>
    <row r="334" spans="1:18" x14ac:dyDescent="0.25">
      <c r="A334" t="s">
        <v>1078</v>
      </c>
      <c r="B334" t="s">
        <v>1079</v>
      </c>
      <c r="C334" t="s">
        <v>1080</v>
      </c>
      <c r="D334" t="s">
        <v>1080</v>
      </c>
      <c r="E334" t="s">
        <v>1080</v>
      </c>
      <c r="F334" t="s">
        <v>21</v>
      </c>
      <c r="G334" t="s">
        <v>63</v>
      </c>
      <c r="H334" t="s">
        <v>34</v>
      </c>
      <c r="I334" t="s">
        <v>35</v>
      </c>
      <c r="J334">
        <v>2007</v>
      </c>
      <c r="K334">
        <v>43698.521897777777</v>
      </c>
      <c r="L334" t="s">
        <v>25</v>
      </c>
      <c r="M334" t="s">
        <v>42</v>
      </c>
      <c r="N334" t="s">
        <v>27</v>
      </c>
      <c r="O334">
        <v>49760</v>
      </c>
      <c r="P334">
        <v>42085.912835648145</v>
      </c>
      <c r="Q334">
        <v>41928.728007407408</v>
      </c>
      <c r="R334">
        <v>337</v>
      </c>
    </row>
    <row r="335" spans="1:18" x14ac:dyDescent="0.25">
      <c r="A335" t="s">
        <v>1081</v>
      </c>
      <c r="B335" t="s">
        <v>805</v>
      </c>
      <c r="C335" t="s">
        <v>1082</v>
      </c>
      <c r="D335" t="s">
        <v>1082</v>
      </c>
      <c r="E335" t="s">
        <v>1082</v>
      </c>
      <c r="F335" t="s">
        <v>21</v>
      </c>
      <c r="G335" t="s">
        <v>63</v>
      </c>
      <c r="H335" t="s">
        <v>53</v>
      </c>
      <c r="I335" t="s">
        <v>41</v>
      </c>
      <c r="J335">
        <v>2007</v>
      </c>
      <c r="K335">
        <v>43698.521897777777</v>
      </c>
      <c r="L335" t="s">
        <v>25</v>
      </c>
      <c r="M335" t="s">
        <v>42</v>
      </c>
      <c r="N335" t="s">
        <v>27</v>
      </c>
      <c r="O335">
        <v>48620</v>
      </c>
      <c r="P335">
        <v>42062.898148148146</v>
      </c>
      <c r="Q335">
        <v>41929.767550960649</v>
      </c>
      <c r="R335">
        <v>338</v>
      </c>
    </row>
    <row r="336" spans="1:18" x14ac:dyDescent="0.25">
      <c r="A336" t="s">
        <v>1083</v>
      </c>
      <c r="B336" t="s">
        <v>948</v>
      </c>
      <c r="C336" t="s">
        <v>1084</v>
      </c>
      <c r="D336" t="s">
        <v>1084</v>
      </c>
      <c r="E336" t="s">
        <v>1084</v>
      </c>
      <c r="F336" t="s">
        <v>21</v>
      </c>
      <c r="G336" t="s">
        <v>63</v>
      </c>
      <c r="H336" t="s">
        <v>34</v>
      </c>
      <c r="I336" t="s">
        <v>35</v>
      </c>
      <c r="J336">
        <v>2015</v>
      </c>
      <c r="K336">
        <v>43698.521897777777</v>
      </c>
      <c r="L336" t="s">
        <v>25</v>
      </c>
      <c r="M336" t="s">
        <v>42</v>
      </c>
      <c r="N336" t="s">
        <v>27</v>
      </c>
      <c r="O336">
        <v>100154</v>
      </c>
      <c r="P336">
        <v>42771.228472222225</v>
      </c>
      <c r="Q336">
        <v>41935.47054328704</v>
      </c>
      <c r="R336">
        <v>339</v>
      </c>
    </row>
    <row r="337" spans="1:18" x14ac:dyDescent="0.25">
      <c r="A337" t="s">
        <v>1085</v>
      </c>
      <c r="B337" t="s">
        <v>1086</v>
      </c>
      <c r="C337" t="s">
        <v>1087</v>
      </c>
      <c r="D337" t="s">
        <v>1087</v>
      </c>
      <c r="E337" t="s">
        <v>1087</v>
      </c>
      <c r="F337" t="s">
        <v>91</v>
      </c>
      <c r="G337" t="s">
        <v>63</v>
      </c>
      <c r="H337" t="s">
        <v>236</v>
      </c>
      <c r="I337" t="s">
        <v>728</v>
      </c>
      <c r="J337">
        <v>2014</v>
      </c>
      <c r="K337">
        <v>43698.521897777777</v>
      </c>
      <c r="L337" t="s">
        <v>466</v>
      </c>
      <c r="M337" t="s">
        <v>154</v>
      </c>
      <c r="N337" t="s">
        <v>467</v>
      </c>
      <c r="O337">
        <v>343763</v>
      </c>
      <c r="P337">
        <v>43693.834722222222</v>
      </c>
      <c r="Q337">
        <v>41936.558080208335</v>
      </c>
      <c r="R337">
        <v>340</v>
      </c>
    </row>
    <row r="338" spans="1:18" x14ac:dyDescent="0.25">
      <c r="A338" t="s">
        <v>1088</v>
      </c>
      <c r="B338" t="s">
        <v>920</v>
      </c>
      <c r="C338" t="s">
        <v>1089</v>
      </c>
      <c r="D338" t="s">
        <v>1089</v>
      </c>
      <c r="E338" t="s">
        <v>1089</v>
      </c>
      <c r="F338" t="s">
        <v>21</v>
      </c>
      <c r="G338" t="s">
        <v>22</v>
      </c>
      <c r="H338" t="s">
        <v>110</v>
      </c>
      <c r="I338" t="s">
        <v>111</v>
      </c>
      <c r="J338">
        <v>2007</v>
      </c>
      <c r="K338">
        <v>43698.521897777777</v>
      </c>
      <c r="L338" t="s">
        <v>36</v>
      </c>
      <c r="M338" t="s">
        <v>37</v>
      </c>
      <c r="N338" t="s">
        <v>27</v>
      </c>
      <c r="Q338">
        <v>41936.794534953704</v>
      </c>
      <c r="R338">
        <v>341</v>
      </c>
    </row>
    <row r="339" spans="1:18" x14ac:dyDescent="0.25">
      <c r="A339" t="s">
        <v>1090</v>
      </c>
      <c r="B339" t="s">
        <v>930</v>
      </c>
      <c r="C339" t="s">
        <v>1091</v>
      </c>
      <c r="D339" t="s">
        <v>1091</v>
      </c>
      <c r="E339" t="s">
        <v>1091</v>
      </c>
      <c r="F339" t="s">
        <v>21</v>
      </c>
      <c r="G339" t="s">
        <v>22</v>
      </c>
      <c r="H339" t="s">
        <v>110</v>
      </c>
      <c r="I339" t="s">
        <v>111</v>
      </c>
      <c r="J339">
        <v>2005</v>
      </c>
      <c r="K339">
        <v>43698.521897777777</v>
      </c>
      <c r="L339" t="s">
        <v>25</v>
      </c>
      <c r="M339" t="s">
        <v>37</v>
      </c>
      <c r="N339" t="s">
        <v>27</v>
      </c>
      <c r="O339">
        <v>48581</v>
      </c>
      <c r="P339">
        <v>42059.998078703706</v>
      </c>
      <c r="Q339">
        <v>41936.797879548612</v>
      </c>
      <c r="R339">
        <v>342</v>
      </c>
    </row>
    <row r="340" spans="1:18" x14ac:dyDescent="0.25">
      <c r="A340" t="s">
        <v>1092</v>
      </c>
      <c r="B340" t="s">
        <v>1093</v>
      </c>
      <c r="C340" t="s">
        <v>1094</v>
      </c>
      <c r="D340" t="s">
        <v>1094</v>
      </c>
      <c r="E340" t="s">
        <v>1094</v>
      </c>
      <c r="F340" t="s">
        <v>91</v>
      </c>
      <c r="G340" t="s">
        <v>63</v>
      </c>
      <c r="H340" t="s">
        <v>236</v>
      </c>
      <c r="I340" t="s">
        <v>728</v>
      </c>
      <c r="J340">
        <v>2014</v>
      </c>
      <c r="K340">
        <v>43698.521897777777</v>
      </c>
      <c r="L340" t="s">
        <v>466</v>
      </c>
      <c r="M340" t="s">
        <v>154</v>
      </c>
      <c r="N340" t="s">
        <v>467</v>
      </c>
      <c r="O340">
        <v>345728</v>
      </c>
      <c r="P340">
        <v>43698.521897777777</v>
      </c>
      <c r="Q340">
        <v>41940.497897719906</v>
      </c>
      <c r="R340">
        <v>343</v>
      </c>
    </row>
    <row r="341" spans="1:18" x14ac:dyDescent="0.25">
      <c r="A341" t="s">
        <v>1095</v>
      </c>
      <c r="B341" t="s">
        <v>1096</v>
      </c>
      <c r="C341" t="s">
        <v>1097</v>
      </c>
      <c r="D341" t="s">
        <v>1097</v>
      </c>
      <c r="E341" t="s">
        <v>1097</v>
      </c>
      <c r="F341" t="s">
        <v>91</v>
      </c>
      <c r="G341" t="s">
        <v>63</v>
      </c>
      <c r="H341" t="s">
        <v>236</v>
      </c>
      <c r="I341" t="s">
        <v>728</v>
      </c>
      <c r="J341">
        <v>2014</v>
      </c>
      <c r="K341">
        <v>43698.521897777777</v>
      </c>
      <c r="L341" t="s">
        <v>466</v>
      </c>
      <c r="M341" t="s">
        <v>154</v>
      </c>
      <c r="N341" t="s">
        <v>467</v>
      </c>
      <c r="O341">
        <v>347152</v>
      </c>
      <c r="P341">
        <v>43698.521897777777</v>
      </c>
      <c r="Q341">
        <v>41941.569402893518</v>
      </c>
      <c r="R341">
        <v>344</v>
      </c>
    </row>
    <row r="342" spans="1:18" x14ac:dyDescent="0.25">
      <c r="A342" t="s">
        <v>1098</v>
      </c>
      <c r="B342" t="s">
        <v>1099</v>
      </c>
      <c r="C342" t="s">
        <v>1100</v>
      </c>
      <c r="D342" t="s">
        <v>1100</v>
      </c>
      <c r="E342" t="s">
        <v>1100</v>
      </c>
      <c r="F342" t="s">
        <v>21</v>
      </c>
      <c r="G342" t="s">
        <v>63</v>
      </c>
      <c r="H342" t="s">
        <v>53</v>
      </c>
      <c r="I342" t="s">
        <v>810</v>
      </c>
      <c r="J342">
        <v>2010</v>
      </c>
      <c r="K342">
        <v>43698.521897777777</v>
      </c>
      <c r="L342" t="s">
        <v>25</v>
      </c>
      <c r="M342" t="s">
        <v>26</v>
      </c>
      <c r="N342" t="s">
        <v>27</v>
      </c>
      <c r="O342">
        <v>62780</v>
      </c>
      <c r="P342">
        <v>42318.570150462961</v>
      </c>
      <c r="Q342">
        <v>41943.764252083332</v>
      </c>
      <c r="R342">
        <v>345</v>
      </c>
    </row>
    <row r="343" spans="1:18" x14ac:dyDescent="0.25">
      <c r="A343" t="s">
        <v>1101</v>
      </c>
      <c r="B343" t="s">
        <v>1102</v>
      </c>
      <c r="C343" t="s">
        <v>1103</v>
      </c>
      <c r="D343" t="s">
        <v>1103</v>
      </c>
      <c r="E343" t="s">
        <v>1103</v>
      </c>
      <c r="F343" t="s">
        <v>21</v>
      </c>
      <c r="G343" t="s">
        <v>22</v>
      </c>
      <c r="H343" t="s">
        <v>110</v>
      </c>
      <c r="I343" t="s">
        <v>111</v>
      </c>
      <c r="J343">
        <v>2003</v>
      </c>
      <c r="K343">
        <v>43698.521897777777</v>
      </c>
      <c r="L343" t="s">
        <v>36</v>
      </c>
      <c r="M343" t="s">
        <v>37</v>
      </c>
      <c r="N343" t="s">
        <v>27</v>
      </c>
      <c r="O343">
        <v>124422</v>
      </c>
      <c r="P343">
        <v>42950.745833333334</v>
      </c>
      <c r="Q343">
        <v>41953.750085416665</v>
      </c>
      <c r="R343">
        <v>346</v>
      </c>
    </row>
    <row r="344" spans="1:18" x14ac:dyDescent="0.25">
      <c r="A344" t="s">
        <v>1104</v>
      </c>
      <c r="B344" t="s">
        <v>1105</v>
      </c>
      <c r="C344" t="s">
        <v>1106</v>
      </c>
      <c r="D344" t="s">
        <v>1106</v>
      </c>
      <c r="E344" t="s">
        <v>1106</v>
      </c>
      <c r="F344" t="s">
        <v>21</v>
      </c>
      <c r="G344" t="s">
        <v>22</v>
      </c>
      <c r="H344" t="s">
        <v>110</v>
      </c>
      <c r="I344" t="s">
        <v>111</v>
      </c>
      <c r="J344">
        <v>2003</v>
      </c>
      <c r="K344">
        <v>43698.521897777777</v>
      </c>
      <c r="L344" t="s">
        <v>36</v>
      </c>
      <c r="M344" t="s">
        <v>37</v>
      </c>
      <c r="N344" t="s">
        <v>27</v>
      </c>
      <c r="O344">
        <v>147470</v>
      </c>
      <c r="P344">
        <v>43074.265567129631</v>
      </c>
      <c r="Q344">
        <v>41953.753076886576</v>
      </c>
      <c r="R344">
        <v>347</v>
      </c>
    </row>
    <row r="345" spans="1:18" x14ac:dyDescent="0.25">
      <c r="A345" t="s">
        <v>1107</v>
      </c>
      <c r="B345" t="s">
        <v>1108</v>
      </c>
      <c r="C345" t="s">
        <v>1109</v>
      </c>
      <c r="D345" t="s">
        <v>1109</v>
      </c>
      <c r="E345" t="s">
        <v>1109</v>
      </c>
      <c r="F345" t="s">
        <v>21</v>
      </c>
      <c r="G345" t="s">
        <v>22</v>
      </c>
      <c r="H345" t="s">
        <v>110</v>
      </c>
      <c r="I345" t="s">
        <v>111</v>
      </c>
      <c r="J345">
        <v>2005</v>
      </c>
      <c r="K345">
        <v>43698.521897777777</v>
      </c>
      <c r="L345" t="s">
        <v>36</v>
      </c>
      <c r="M345" t="s">
        <v>37</v>
      </c>
      <c r="N345" t="s">
        <v>27</v>
      </c>
      <c r="O345">
        <v>146935</v>
      </c>
      <c r="P345">
        <v>43082.341168981482</v>
      </c>
      <c r="Q345">
        <v>41953.755138159722</v>
      </c>
      <c r="R345">
        <v>348</v>
      </c>
    </row>
    <row r="346" spans="1:18" x14ac:dyDescent="0.25">
      <c r="A346" t="s">
        <v>1110</v>
      </c>
      <c r="B346" t="s">
        <v>830</v>
      </c>
      <c r="C346" t="s">
        <v>1111</v>
      </c>
      <c r="D346" t="s">
        <v>1111</v>
      </c>
      <c r="E346" t="s">
        <v>1111</v>
      </c>
      <c r="F346" t="s">
        <v>21</v>
      </c>
      <c r="G346" t="s">
        <v>22</v>
      </c>
      <c r="H346" t="s">
        <v>236</v>
      </c>
      <c r="I346" t="s">
        <v>41</v>
      </c>
      <c r="J346">
        <v>2006</v>
      </c>
      <c r="K346">
        <v>43698.521897777777</v>
      </c>
      <c r="L346" t="s">
        <v>422</v>
      </c>
      <c r="M346" t="s">
        <v>37</v>
      </c>
      <c r="N346" t="s">
        <v>27</v>
      </c>
      <c r="O346">
        <v>181396</v>
      </c>
      <c r="P346">
        <v>43227.916666666664</v>
      </c>
      <c r="Q346">
        <v>41953.757961689815</v>
      </c>
      <c r="R346">
        <v>349</v>
      </c>
    </row>
    <row r="347" spans="1:18" x14ac:dyDescent="0.25">
      <c r="A347" t="s">
        <v>1112</v>
      </c>
      <c r="B347" t="s">
        <v>1113</v>
      </c>
      <c r="C347" t="s">
        <v>1114</v>
      </c>
      <c r="D347" t="s">
        <v>1114</v>
      </c>
      <c r="E347" t="s">
        <v>1114</v>
      </c>
      <c r="F347" t="s">
        <v>21</v>
      </c>
      <c r="G347" t="s">
        <v>22</v>
      </c>
      <c r="H347" t="s">
        <v>236</v>
      </c>
      <c r="I347" t="s">
        <v>41</v>
      </c>
      <c r="J347">
        <v>2006</v>
      </c>
      <c r="K347">
        <v>43698.521897777777</v>
      </c>
      <c r="L347" t="s">
        <v>36</v>
      </c>
      <c r="M347" t="s">
        <v>37</v>
      </c>
      <c r="N347" t="s">
        <v>27</v>
      </c>
      <c r="O347">
        <v>88140</v>
      </c>
      <c r="P347">
        <v>42654.604166666664</v>
      </c>
      <c r="Q347">
        <v>41953.759385798614</v>
      </c>
      <c r="R347">
        <v>350</v>
      </c>
    </row>
    <row r="348" spans="1:18" x14ac:dyDescent="0.25">
      <c r="A348" t="s">
        <v>1115</v>
      </c>
      <c r="B348" t="s">
        <v>1116</v>
      </c>
      <c r="C348" t="s">
        <v>1117</v>
      </c>
      <c r="D348" t="s">
        <v>1117</v>
      </c>
      <c r="E348" t="s">
        <v>1117</v>
      </c>
      <c r="F348" t="s">
        <v>21</v>
      </c>
      <c r="G348" t="s">
        <v>63</v>
      </c>
      <c r="H348" t="s">
        <v>53</v>
      </c>
      <c r="I348" t="s">
        <v>1118</v>
      </c>
      <c r="J348">
        <v>2007</v>
      </c>
      <c r="K348">
        <v>43698.521897777777</v>
      </c>
      <c r="L348" t="s">
        <v>25</v>
      </c>
      <c r="M348" t="s">
        <v>42</v>
      </c>
      <c r="N348" t="s">
        <v>27</v>
      </c>
      <c r="O348">
        <v>53388</v>
      </c>
      <c r="P348">
        <v>42152.045567129629</v>
      </c>
      <c r="Q348">
        <v>42026.470694247684</v>
      </c>
      <c r="R348">
        <v>351</v>
      </c>
    </row>
    <row r="349" spans="1:18" x14ac:dyDescent="0.25">
      <c r="A349" t="s">
        <v>1119</v>
      </c>
      <c r="B349" t="s">
        <v>1120</v>
      </c>
      <c r="C349" t="s">
        <v>1121</v>
      </c>
      <c r="D349" t="s">
        <v>1121</v>
      </c>
      <c r="E349" t="s">
        <v>1121</v>
      </c>
      <c r="F349" t="s">
        <v>21</v>
      </c>
      <c r="G349" t="s">
        <v>63</v>
      </c>
      <c r="H349" t="s">
        <v>53</v>
      </c>
      <c r="I349" t="s">
        <v>721</v>
      </c>
      <c r="J349">
        <v>2009</v>
      </c>
      <c r="K349">
        <v>43698.521897777777</v>
      </c>
      <c r="L349" t="s">
        <v>25</v>
      </c>
      <c r="M349" t="s">
        <v>154</v>
      </c>
      <c r="N349" t="s">
        <v>27</v>
      </c>
      <c r="O349">
        <v>58600</v>
      </c>
      <c r="P349">
        <v>42242.371747685182</v>
      </c>
      <c r="Q349">
        <v>42041.42969178241</v>
      </c>
      <c r="R349">
        <v>352</v>
      </c>
    </row>
    <row r="350" spans="1:18" x14ac:dyDescent="0.25">
      <c r="A350" t="s">
        <v>1122</v>
      </c>
      <c r="B350" t="s">
        <v>1123</v>
      </c>
      <c r="C350" t="s">
        <v>1124</v>
      </c>
      <c r="D350" t="s">
        <v>1124</v>
      </c>
      <c r="E350" t="s">
        <v>1124</v>
      </c>
      <c r="F350" t="s">
        <v>21</v>
      </c>
      <c r="G350" t="s">
        <v>22</v>
      </c>
      <c r="H350" t="s">
        <v>23</v>
      </c>
      <c r="I350" t="s">
        <v>24</v>
      </c>
      <c r="J350">
        <v>2006</v>
      </c>
      <c r="K350">
        <v>43698.521897777777</v>
      </c>
      <c r="L350" t="s">
        <v>25</v>
      </c>
      <c r="M350" t="s">
        <v>42</v>
      </c>
      <c r="N350" t="s">
        <v>27</v>
      </c>
      <c r="O350">
        <v>60215</v>
      </c>
      <c r="P350">
        <v>42280.457835648151</v>
      </c>
      <c r="Q350">
        <v>42055.659245601855</v>
      </c>
      <c r="R350">
        <v>353</v>
      </c>
    </row>
    <row r="351" spans="1:18" x14ac:dyDescent="0.25">
      <c r="A351" t="s">
        <v>1125</v>
      </c>
      <c r="B351" t="s">
        <v>1126</v>
      </c>
      <c r="C351" t="s">
        <v>1127</v>
      </c>
      <c r="D351" t="s">
        <v>1127</v>
      </c>
      <c r="E351" t="s">
        <v>1127</v>
      </c>
      <c r="F351" t="s">
        <v>21</v>
      </c>
      <c r="G351" t="s">
        <v>22</v>
      </c>
      <c r="H351" t="s">
        <v>23</v>
      </c>
      <c r="I351" t="s">
        <v>24</v>
      </c>
      <c r="J351">
        <v>2007</v>
      </c>
      <c r="K351">
        <v>43698.521897777777</v>
      </c>
      <c r="L351" t="s">
        <v>36</v>
      </c>
      <c r="M351" t="s">
        <v>42</v>
      </c>
      <c r="N351" t="s">
        <v>27</v>
      </c>
      <c r="O351">
        <v>72125</v>
      </c>
      <c r="P351">
        <v>42459.616493055553</v>
      </c>
      <c r="Q351">
        <v>42055.660176157406</v>
      </c>
      <c r="R351">
        <v>354</v>
      </c>
    </row>
    <row r="352" spans="1:18" x14ac:dyDescent="0.25">
      <c r="A352" t="s">
        <v>1128</v>
      </c>
      <c r="B352" t="s">
        <v>1129</v>
      </c>
      <c r="C352" t="s">
        <v>1130</v>
      </c>
      <c r="D352" t="s">
        <v>1130</v>
      </c>
      <c r="E352" t="s">
        <v>1130</v>
      </c>
      <c r="F352" t="s">
        <v>21</v>
      </c>
      <c r="G352" t="s">
        <v>22</v>
      </c>
      <c r="H352" t="s">
        <v>23</v>
      </c>
      <c r="I352" t="s">
        <v>24</v>
      </c>
      <c r="J352">
        <v>2006</v>
      </c>
      <c r="K352">
        <v>43698.521897777777</v>
      </c>
      <c r="L352" t="s">
        <v>25</v>
      </c>
      <c r="M352" t="s">
        <v>42</v>
      </c>
      <c r="N352" t="s">
        <v>27</v>
      </c>
      <c r="O352">
        <v>70638</v>
      </c>
      <c r="P352">
        <v>42426.287141203706</v>
      </c>
      <c r="Q352">
        <v>42055.661117013886</v>
      </c>
      <c r="R352">
        <v>355</v>
      </c>
    </row>
    <row r="353" spans="1:18" x14ac:dyDescent="0.25">
      <c r="A353" t="s">
        <v>1131</v>
      </c>
      <c r="B353" t="s">
        <v>1132</v>
      </c>
      <c r="C353" t="s">
        <v>1133</v>
      </c>
      <c r="D353" t="s">
        <v>1133</v>
      </c>
      <c r="E353" t="s">
        <v>1133</v>
      </c>
      <c r="F353" t="s">
        <v>21</v>
      </c>
      <c r="G353" t="s">
        <v>22</v>
      </c>
      <c r="H353" t="s">
        <v>23</v>
      </c>
      <c r="I353" t="s">
        <v>24</v>
      </c>
      <c r="J353">
        <v>2007</v>
      </c>
      <c r="K353">
        <v>43698.521897777777</v>
      </c>
      <c r="L353" t="s">
        <v>25</v>
      </c>
      <c r="M353" t="s">
        <v>42</v>
      </c>
      <c r="N353" t="s">
        <v>27</v>
      </c>
      <c r="O353">
        <v>58767</v>
      </c>
      <c r="P353">
        <v>42248.826689814814</v>
      </c>
      <c r="Q353">
        <v>42055.66207017361</v>
      </c>
      <c r="R353">
        <v>356</v>
      </c>
    </row>
    <row r="354" spans="1:18" x14ac:dyDescent="0.25">
      <c r="A354" t="s">
        <v>1134</v>
      </c>
      <c r="B354" t="s">
        <v>1135</v>
      </c>
      <c r="C354" t="s">
        <v>1136</v>
      </c>
      <c r="D354" t="s">
        <v>1136</v>
      </c>
      <c r="E354" t="s">
        <v>1136</v>
      </c>
      <c r="F354" t="s">
        <v>21</v>
      </c>
      <c r="G354" t="s">
        <v>22</v>
      </c>
      <c r="H354" t="s">
        <v>23</v>
      </c>
      <c r="I354" t="s">
        <v>24</v>
      </c>
      <c r="J354">
        <v>2007</v>
      </c>
      <c r="K354">
        <v>43698.521897777777</v>
      </c>
      <c r="L354" t="s">
        <v>36</v>
      </c>
      <c r="M354" t="s">
        <v>42</v>
      </c>
      <c r="N354" t="s">
        <v>27</v>
      </c>
      <c r="O354">
        <v>58690</v>
      </c>
      <c r="P354">
        <v>42247.615613425929</v>
      </c>
      <c r="Q354">
        <v>42055.663232557868</v>
      </c>
      <c r="R354">
        <v>357</v>
      </c>
    </row>
    <row r="355" spans="1:18" x14ac:dyDescent="0.25">
      <c r="A355" t="s">
        <v>1137</v>
      </c>
      <c r="B355" t="s">
        <v>357</v>
      </c>
      <c r="C355" t="s">
        <v>1138</v>
      </c>
      <c r="D355" t="s">
        <v>1138</v>
      </c>
      <c r="E355" t="s">
        <v>1138</v>
      </c>
      <c r="F355" t="s">
        <v>21</v>
      </c>
      <c r="G355" t="s">
        <v>22</v>
      </c>
      <c r="H355" t="s">
        <v>34</v>
      </c>
      <c r="I355" t="s">
        <v>35</v>
      </c>
      <c r="J355">
        <v>2007</v>
      </c>
      <c r="K355">
        <v>43698.521897777777</v>
      </c>
      <c r="L355" t="s">
        <v>36</v>
      </c>
      <c r="M355" t="s">
        <v>42</v>
      </c>
      <c r="N355" t="s">
        <v>27</v>
      </c>
      <c r="O355">
        <v>62554</v>
      </c>
      <c r="P355">
        <v>42312.728819444441</v>
      </c>
      <c r="Q355">
        <v>42059.554939236114</v>
      </c>
      <c r="R355">
        <v>358</v>
      </c>
    </row>
    <row r="356" spans="1:18" x14ac:dyDescent="0.25">
      <c r="A356" t="s">
        <v>1139</v>
      </c>
      <c r="B356" t="s">
        <v>985</v>
      </c>
      <c r="C356" t="s">
        <v>1140</v>
      </c>
      <c r="D356" t="s">
        <v>1140</v>
      </c>
      <c r="E356" t="s">
        <v>1141</v>
      </c>
      <c r="F356" t="s">
        <v>21</v>
      </c>
      <c r="G356" t="s">
        <v>22</v>
      </c>
      <c r="H356" t="s">
        <v>110</v>
      </c>
      <c r="I356" t="s">
        <v>111</v>
      </c>
      <c r="J356">
        <v>2005</v>
      </c>
      <c r="K356">
        <v>43698.521897777777</v>
      </c>
      <c r="L356" t="s">
        <v>36</v>
      </c>
      <c r="M356" t="s">
        <v>154</v>
      </c>
      <c r="N356" t="s">
        <v>27</v>
      </c>
      <c r="O356">
        <v>60676</v>
      </c>
      <c r="P356">
        <v>42285.477314814816</v>
      </c>
      <c r="Q356">
        <v>42062.61407974537</v>
      </c>
      <c r="R356">
        <v>359</v>
      </c>
    </row>
    <row r="357" spans="1:18" x14ac:dyDescent="0.25">
      <c r="A357" t="s">
        <v>25</v>
      </c>
      <c r="B357" t="s">
        <v>25</v>
      </c>
      <c r="C357" t="s">
        <v>1142</v>
      </c>
      <c r="D357" t="s">
        <v>1142</v>
      </c>
      <c r="E357" t="s">
        <v>1143</v>
      </c>
      <c r="F357" t="s">
        <v>21</v>
      </c>
      <c r="G357" t="s">
        <v>106</v>
      </c>
      <c r="H357" t="s">
        <v>25</v>
      </c>
      <c r="I357" t="s">
        <v>25</v>
      </c>
      <c r="K357">
        <v>43698.521897777777</v>
      </c>
      <c r="L357" t="s">
        <v>25</v>
      </c>
      <c r="M357" t="s">
        <v>42</v>
      </c>
      <c r="N357" t="s">
        <v>27</v>
      </c>
      <c r="Q357">
        <v>42065.111431631944</v>
      </c>
      <c r="R357">
        <v>360</v>
      </c>
    </row>
    <row r="358" spans="1:18" x14ac:dyDescent="0.25">
      <c r="A358" t="s">
        <v>1144</v>
      </c>
      <c r="B358" t="s">
        <v>760</v>
      </c>
      <c r="C358" t="s">
        <v>1145</v>
      </c>
      <c r="D358" t="s">
        <v>1145</v>
      </c>
      <c r="E358" t="s">
        <v>1146</v>
      </c>
      <c r="F358" t="s">
        <v>21</v>
      </c>
      <c r="G358" t="s">
        <v>22</v>
      </c>
      <c r="H358" t="s">
        <v>110</v>
      </c>
      <c r="I358" t="s">
        <v>111</v>
      </c>
      <c r="J358">
        <v>2005</v>
      </c>
      <c r="K358">
        <v>43698.521897777777</v>
      </c>
      <c r="L358" t="s">
        <v>36</v>
      </c>
      <c r="M358" t="s">
        <v>154</v>
      </c>
      <c r="N358" t="s">
        <v>523</v>
      </c>
      <c r="O358">
        <v>120953</v>
      </c>
      <c r="P358">
        <v>42942.620972222219</v>
      </c>
      <c r="Q358">
        <v>42065.621508993056</v>
      </c>
      <c r="R358">
        <v>361</v>
      </c>
    </row>
    <row r="359" spans="1:18" x14ac:dyDescent="0.25">
      <c r="A359" t="s">
        <v>1147</v>
      </c>
      <c r="B359" t="s">
        <v>625</v>
      </c>
      <c r="C359" t="s">
        <v>1148</v>
      </c>
      <c r="D359" t="s">
        <v>1148</v>
      </c>
      <c r="E359" t="s">
        <v>1148</v>
      </c>
      <c r="F359" t="s">
        <v>91</v>
      </c>
      <c r="G359" t="s">
        <v>63</v>
      </c>
      <c r="H359" t="s">
        <v>34</v>
      </c>
      <c r="I359" t="s">
        <v>35</v>
      </c>
      <c r="J359">
        <v>2006</v>
      </c>
      <c r="K359">
        <v>43698.521897777777</v>
      </c>
      <c r="L359" t="s">
        <v>193</v>
      </c>
      <c r="M359" t="s">
        <v>42</v>
      </c>
      <c r="N359" t="s">
        <v>93</v>
      </c>
      <c r="O359">
        <v>346943</v>
      </c>
      <c r="P359">
        <v>43698.521897777777</v>
      </c>
      <c r="Q359">
        <v>42068.50756111111</v>
      </c>
      <c r="R359">
        <v>362</v>
      </c>
    </row>
    <row r="360" spans="1:18" x14ac:dyDescent="0.25">
      <c r="A360" t="s">
        <v>1149</v>
      </c>
      <c r="B360" t="s">
        <v>1150</v>
      </c>
      <c r="C360" t="s">
        <v>1151</v>
      </c>
      <c r="D360" t="s">
        <v>1151</v>
      </c>
      <c r="E360" t="s">
        <v>1152</v>
      </c>
      <c r="F360" t="s">
        <v>21</v>
      </c>
      <c r="G360" t="s">
        <v>22</v>
      </c>
      <c r="H360" t="s">
        <v>23</v>
      </c>
      <c r="I360" t="s">
        <v>24</v>
      </c>
      <c r="J360">
        <v>2007</v>
      </c>
      <c r="K360">
        <v>43698.521897777777</v>
      </c>
      <c r="L360" t="s">
        <v>36</v>
      </c>
      <c r="M360" t="s">
        <v>42</v>
      </c>
      <c r="N360" t="s">
        <v>27</v>
      </c>
      <c r="O360">
        <v>82897</v>
      </c>
      <c r="P360">
        <v>42600.691712962966</v>
      </c>
      <c r="Q360">
        <v>42068.508601354166</v>
      </c>
      <c r="R360">
        <v>363</v>
      </c>
    </row>
    <row r="361" spans="1:18" x14ac:dyDescent="0.25">
      <c r="A361" t="s">
        <v>1153</v>
      </c>
      <c r="B361" t="s">
        <v>1154</v>
      </c>
      <c r="C361" t="s">
        <v>1155</v>
      </c>
      <c r="D361" t="s">
        <v>1155</v>
      </c>
      <c r="E361" t="s">
        <v>1155</v>
      </c>
      <c r="F361" t="s">
        <v>21</v>
      </c>
      <c r="G361" t="s">
        <v>63</v>
      </c>
      <c r="H361" t="s">
        <v>53</v>
      </c>
      <c r="I361" t="s">
        <v>721</v>
      </c>
      <c r="J361">
        <v>2003</v>
      </c>
      <c r="K361">
        <v>43698.521897777777</v>
      </c>
      <c r="L361" t="s">
        <v>25</v>
      </c>
      <c r="M361" t="s">
        <v>154</v>
      </c>
      <c r="N361" t="s">
        <v>27</v>
      </c>
      <c r="O361">
        <v>52872</v>
      </c>
      <c r="P361">
        <v>42141.715798611112</v>
      </c>
      <c r="Q361">
        <v>42069.544904317132</v>
      </c>
      <c r="R361">
        <v>364</v>
      </c>
    </row>
    <row r="362" spans="1:18" x14ac:dyDescent="0.25">
      <c r="A362" t="s">
        <v>1156</v>
      </c>
      <c r="B362" t="s">
        <v>1157</v>
      </c>
      <c r="C362" t="s">
        <v>1158</v>
      </c>
      <c r="D362" t="s">
        <v>1158</v>
      </c>
      <c r="E362" t="s">
        <v>1158</v>
      </c>
      <c r="F362" t="s">
        <v>21</v>
      </c>
      <c r="G362" t="s">
        <v>63</v>
      </c>
      <c r="H362" t="s">
        <v>53</v>
      </c>
      <c r="I362" t="s">
        <v>721</v>
      </c>
      <c r="J362">
        <v>2007</v>
      </c>
      <c r="K362">
        <v>43698.521897777777</v>
      </c>
      <c r="L362" t="s">
        <v>25</v>
      </c>
      <c r="M362" t="s">
        <v>154</v>
      </c>
      <c r="N362" t="s">
        <v>27</v>
      </c>
      <c r="O362">
        <v>57072</v>
      </c>
      <c r="P362">
        <v>42210.371481481481</v>
      </c>
      <c r="Q362">
        <v>42069.586951192126</v>
      </c>
      <c r="R362">
        <v>365</v>
      </c>
    </row>
    <row r="363" spans="1:18" x14ac:dyDescent="0.25">
      <c r="A363" t="s">
        <v>1159</v>
      </c>
      <c r="B363" t="s">
        <v>1160</v>
      </c>
      <c r="C363" t="s">
        <v>1161</v>
      </c>
      <c r="D363" t="s">
        <v>1161</v>
      </c>
      <c r="E363" t="s">
        <v>1161</v>
      </c>
      <c r="F363" t="s">
        <v>21</v>
      </c>
      <c r="G363" t="s">
        <v>63</v>
      </c>
      <c r="H363" t="s">
        <v>53</v>
      </c>
      <c r="I363" t="s">
        <v>1162</v>
      </c>
      <c r="J363">
        <v>2011</v>
      </c>
      <c r="K363">
        <v>43698.521897777777</v>
      </c>
      <c r="L363" t="s">
        <v>466</v>
      </c>
      <c r="M363" t="s">
        <v>154</v>
      </c>
      <c r="N363" t="s">
        <v>27</v>
      </c>
      <c r="O363">
        <v>286559</v>
      </c>
      <c r="P363">
        <v>43550.243842592594</v>
      </c>
      <c r="Q363">
        <v>42069.590219826387</v>
      </c>
      <c r="R363">
        <v>366</v>
      </c>
    </row>
    <row r="364" spans="1:18" x14ac:dyDescent="0.25">
      <c r="A364" t="s">
        <v>25</v>
      </c>
      <c r="B364" t="s">
        <v>25</v>
      </c>
      <c r="C364" t="s">
        <v>1163</v>
      </c>
      <c r="D364" t="s">
        <v>1163</v>
      </c>
      <c r="E364" t="s">
        <v>1164</v>
      </c>
      <c r="F364" t="s">
        <v>21</v>
      </c>
      <c r="G364" t="s">
        <v>106</v>
      </c>
      <c r="H364" t="s">
        <v>25</v>
      </c>
      <c r="I364" t="s">
        <v>25</v>
      </c>
      <c r="K364">
        <v>43698.521897777777</v>
      </c>
      <c r="L364" t="s">
        <v>25</v>
      </c>
      <c r="M364" t="s">
        <v>42</v>
      </c>
      <c r="N364" t="s">
        <v>27</v>
      </c>
      <c r="Q364">
        <v>42072.955168321758</v>
      </c>
      <c r="R364">
        <v>367</v>
      </c>
    </row>
    <row r="365" spans="1:18" x14ac:dyDescent="0.25">
      <c r="A365" t="s">
        <v>1165</v>
      </c>
      <c r="B365" t="s">
        <v>1166</v>
      </c>
      <c r="C365" t="s">
        <v>1167</v>
      </c>
      <c r="D365" t="s">
        <v>1167</v>
      </c>
      <c r="E365" t="s">
        <v>1167</v>
      </c>
      <c r="F365" t="s">
        <v>21</v>
      </c>
      <c r="G365" t="s">
        <v>63</v>
      </c>
      <c r="H365" t="s">
        <v>34</v>
      </c>
      <c r="I365" t="s">
        <v>1168</v>
      </c>
      <c r="J365">
        <v>2016</v>
      </c>
      <c r="K365">
        <v>43698.521897777777</v>
      </c>
      <c r="L365" t="s">
        <v>25</v>
      </c>
      <c r="M365" t="s">
        <v>42</v>
      </c>
      <c r="N365" t="s">
        <v>27</v>
      </c>
      <c r="O365">
        <v>51101</v>
      </c>
      <c r="P365">
        <v>42109.662916666668</v>
      </c>
      <c r="Q365">
        <v>42073.667394560187</v>
      </c>
      <c r="R365">
        <v>368</v>
      </c>
    </row>
    <row r="366" spans="1:18" x14ac:dyDescent="0.25">
      <c r="A366" t="s">
        <v>1169</v>
      </c>
      <c r="B366" t="s">
        <v>1170</v>
      </c>
      <c r="C366" t="s">
        <v>1171</v>
      </c>
      <c r="D366" t="s">
        <v>1171</v>
      </c>
      <c r="E366" t="s">
        <v>1171</v>
      </c>
      <c r="F366" t="s">
        <v>21</v>
      </c>
      <c r="G366" t="s">
        <v>63</v>
      </c>
      <c r="H366" t="s">
        <v>34</v>
      </c>
      <c r="I366" t="s">
        <v>1168</v>
      </c>
      <c r="J366">
        <v>2016</v>
      </c>
      <c r="K366">
        <v>43698.521897777777</v>
      </c>
      <c r="L366" t="s">
        <v>25</v>
      </c>
      <c r="M366" t="s">
        <v>42</v>
      </c>
      <c r="N366" t="s">
        <v>27</v>
      </c>
      <c r="O366">
        <v>51102</v>
      </c>
      <c r="P366">
        <v>42109.116273148145</v>
      </c>
      <c r="Q366">
        <v>42073.669008252313</v>
      </c>
      <c r="R366">
        <v>369</v>
      </c>
    </row>
    <row r="367" spans="1:18" x14ac:dyDescent="0.25">
      <c r="A367" t="s">
        <v>1172</v>
      </c>
      <c r="B367" t="s">
        <v>1173</v>
      </c>
      <c r="C367" t="s">
        <v>1174</v>
      </c>
      <c r="D367" t="s">
        <v>1174</v>
      </c>
      <c r="E367" t="s">
        <v>1175</v>
      </c>
      <c r="F367" t="s">
        <v>21</v>
      </c>
      <c r="G367" t="s">
        <v>22</v>
      </c>
      <c r="H367" t="s">
        <v>53</v>
      </c>
      <c r="I367" t="s">
        <v>471</v>
      </c>
      <c r="J367">
        <v>2016</v>
      </c>
      <c r="K367">
        <v>43698.521897777777</v>
      </c>
      <c r="L367" t="s">
        <v>36</v>
      </c>
      <c r="M367" t="s">
        <v>42</v>
      </c>
      <c r="N367" t="s">
        <v>27</v>
      </c>
      <c r="O367">
        <v>113154</v>
      </c>
      <c r="P367">
        <v>42873.879953703705</v>
      </c>
      <c r="Q367">
        <v>42073.761720486109</v>
      </c>
      <c r="R367">
        <v>370</v>
      </c>
    </row>
    <row r="368" spans="1:18" x14ac:dyDescent="0.25">
      <c r="A368" t="s">
        <v>1176</v>
      </c>
      <c r="B368" t="s">
        <v>1177</v>
      </c>
      <c r="C368" t="s">
        <v>1178</v>
      </c>
      <c r="D368" t="s">
        <v>1178</v>
      </c>
      <c r="E368" t="s">
        <v>1179</v>
      </c>
      <c r="F368" t="s">
        <v>21</v>
      </c>
      <c r="G368" t="s">
        <v>22</v>
      </c>
      <c r="H368" t="s">
        <v>53</v>
      </c>
      <c r="I368" t="s">
        <v>471</v>
      </c>
      <c r="J368">
        <v>2016</v>
      </c>
      <c r="K368">
        <v>43698.521897777777</v>
      </c>
      <c r="L368" t="s">
        <v>36</v>
      </c>
      <c r="M368" t="s">
        <v>42</v>
      </c>
      <c r="N368" t="s">
        <v>27</v>
      </c>
      <c r="O368">
        <v>115271</v>
      </c>
      <c r="P368">
        <v>42889.834027777775</v>
      </c>
      <c r="Q368">
        <v>42073.763439618058</v>
      </c>
      <c r="R368">
        <v>371</v>
      </c>
    </row>
    <row r="369" spans="1:18" x14ac:dyDescent="0.25">
      <c r="A369" t="s">
        <v>1180</v>
      </c>
      <c r="B369" t="s">
        <v>1181</v>
      </c>
      <c r="C369" t="s">
        <v>1182</v>
      </c>
      <c r="D369" t="s">
        <v>1182</v>
      </c>
      <c r="E369" t="s">
        <v>1183</v>
      </c>
      <c r="F369" t="s">
        <v>21</v>
      </c>
      <c r="G369" t="s">
        <v>22</v>
      </c>
      <c r="H369" t="s">
        <v>53</v>
      </c>
      <c r="I369" t="s">
        <v>471</v>
      </c>
      <c r="J369">
        <v>2016</v>
      </c>
      <c r="K369">
        <v>43698.521897777777</v>
      </c>
      <c r="L369" t="s">
        <v>36</v>
      </c>
      <c r="M369" t="s">
        <v>42</v>
      </c>
      <c r="N369" t="s">
        <v>27</v>
      </c>
      <c r="O369">
        <v>113299</v>
      </c>
      <c r="P369">
        <v>42874.336111111108</v>
      </c>
      <c r="Q369">
        <v>42073.765274803241</v>
      </c>
      <c r="R369">
        <v>374</v>
      </c>
    </row>
    <row r="370" spans="1:18" x14ac:dyDescent="0.25">
      <c r="A370" t="s">
        <v>1184</v>
      </c>
      <c r="B370" t="s">
        <v>1185</v>
      </c>
      <c r="C370" t="s">
        <v>1186</v>
      </c>
      <c r="D370" t="s">
        <v>1186</v>
      </c>
      <c r="E370" t="s">
        <v>1187</v>
      </c>
      <c r="F370" t="s">
        <v>21</v>
      </c>
      <c r="G370" t="s">
        <v>22</v>
      </c>
      <c r="H370" t="s">
        <v>53</v>
      </c>
      <c r="I370" t="s">
        <v>471</v>
      </c>
      <c r="J370">
        <v>2016</v>
      </c>
      <c r="K370">
        <v>43698.521897777777</v>
      </c>
      <c r="L370" t="s">
        <v>36</v>
      </c>
      <c r="M370" t="s">
        <v>42</v>
      </c>
      <c r="N370" t="s">
        <v>27</v>
      </c>
      <c r="O370">
        <v>113804</v>
      </c>
      <c r="P370">
        <v>42878.790648148148</v>
      </c>
      <c r="Q370">
        <v>42073.766448495371</v>
      </c>
      <c r="R370">
        <v>375</v>
      </c>
    </row>
    <row r="371" spans="1:18" x14ac:dyDescent="0.25">
      <c r="A371" t="s">
        <v>1188</v>
      </c>
      <c r="B371" t="s">
        <v>1189</v>
      </c>
      <c r="C371" t="s">
        <v>1190</v>
      </c>
      <c r="D371" t="s">
        <v>1190</v>
      </c>
      <c r="E371" t="s">
        <v>1191</v>
      </c>
      <c r="F371" t="s">
        <v>91</v>
      </c>
      <c r="G371" t="s">
        <v>63</v>
      </c>
      <c r="H371" t="s">
        <v>53</v>
      </c>
      <c r="I371" t="s">
        <v>54</v>
      </c>
      <c r="J371">
        <v>2015</v>
      </c>
      <c r="K371">
        <v>43698.521897777777</v>
      </c>
      <c r="L371" t="s">
        <v>466</v>
      </c>
      <c r="M371" t="s">
        <v>154</v>
      </c>
      <c r="N371" t="s">
        <v>467</v>
      </c>
      <c r="O371">
        <v>343255</v>
      </c>
      <c r="P371">
        <v>43694.556377314817</v>
      </c>
      <c r="Q371">
        <v>42074.60708587963</v>
      </c>
      <c r="R371">
        <v>376</v>
      </c>
    </row>
    <row r="372" spans="1:18" x14ac:dyDescent="0.25">
      <c r="A372" t="s">
        <v>1192</v>
      </c>
      <c r="B372" t="s">
        <v>1193</v>
      </c>
      <c r="C372" t="s">
        <v>1194</v>
      </c>
      <c r="D372" t="s">
        <v>1194</v>
      </c>
      <c r="E372" t="s">
        <v>1195</v>
      </c>
      <c r="F372" t="s">
        <v>21</v>
      </c>
      <c r="G372" t="s">
        <v>22</v>
      </c>
      <c r="H372" t="s">
        <v>53</v>
      </c>
      <c r="I372" t="s">
        <v>54</v>
      </c>
      <c r="J372">
        <v>2015</v>
      </c>
      <c r="K372">
        <v>43698.521897777777</v>
      </c>
      <c r="L372" t="s">
        <v>25</v>
      </c>
      <c r="M372" t="s">
        <v>154</v>
      </c>
      <c r="N372" t="s">
        <v>27</v>
      </c>
      <c r="O372">
        <v>100585</v>
      </c>
      <c r="P372">
        <v>42780.371446759258</v>
      </c>
      <c r="Q372">
        <v>42074.630565474537</v>
      </c>
      <c r="R372">
        <v>377</v>
      </c>
    </row>
    <row r="373" spans="1:18" x14ac:dyDescent="0.25">
      <c r="A373" t="s">
        <v>1196</v>
      </c>
      <c r="B373" t="s">
        <v>1197</v>
      </c>
      <c r="C373" t="s">
        <v>1198</v>
      </c>
      <c r="D373" t="s">
        <v>1198</v>
      </c>
      <c r="E373" t="s">
        <v>1198</v>
      </c>
      <c r="F373" t="s">
        <v>21</v>
      </c>
      <c r="G373" t="s">
        <v>63</v>
      </c>
      <c r="H373" t="s">
        <v>53</v>
      </c>
      <c r="I373" t="s">
        <v>810</v>
      </c>
      <c r="J373">
        <v>2016</v>
      </c>
      <c r="K373">
        <v>43698.521897777777</v>
      </c>
      <c r="L373" t="s">
        <v>25</v>
      </c>
      <c r="M373" t="s">
        <v>42</v>
      </c>
      <c r="N373" t="s">
        <v>27</v>
      </c>
      <c r="O373">
        <v>131858</v>
      </c>
      <c r="P373">
        <v>42997.951099537036</v>
      </c>
      <c r="Q373">
        <v>42075.447113275462</v>
      </c>
      <c r="R373">
        <v>378</v>
      </c>
    </row>
    <row r="374" spans="1:18" x14ac:dyDescent="0.25">
      <c r="A374" t="s">
        <v>1199</v>
      </c>
      <c r="B374" t="s">
        <v>1200</v>
      </c>
      <c r="C374" t="s">
        <v>1201</v>
      </c>
      <c r="D374" t="s">
        <v>1201</v>
      </c>
      <c r="E374" t="s">
        <v>1201</v>
      </c>
      <c r="F374" t="s">
        <v>21</v>
      </c>
      <c r="G374" t="s">
        <v>63</v>
      </c>
      <c r="H374" t="s">
        <v>53</v>
      </c>
      <c r="I374" t="s">
        <v>810</v>
      </c>
      <c r="J374">
        <v>2016</v>
      </c>
      <c r="K374">
        <v>43698.521897777777</v>
      </c>
      <c r="L374" t="s">
        <v>25</v>
      </c>
      <c r="M374" t="s">
        <v>42</v>
      </c>
      <c r="N374" t="s">
        <v>27</v>
      </c>
      <c r="O374">
        <v>150830</v>
      </c>
      <c r="P374">
        <v>43090.921273148146</v>
      </c>
      <c r="Q374">
        <v>42075.451298576387</v>
      </c>
      <c r="R374">
        <v>379</v>
      </c>
    </row>
    <row r="375" spans="1:18" x14ac:dyDescent="0.25">
      <c r="A375" t="s">
        <v>1202</v>
      </c>
      <c r="B375" t="s">
        <v>1203</v>
      </c>
      <c r="C375" t="s">
        <v>1204</v>
      </c>
      <c r="D375" t="s">
        <v>1204</v>
      </c>
      <c r="E375" t="s">
        <v>1205</v>
      </c>
      <c r="F375" t="s">
        <v>21</v>
      </c>
      <c r="G375" t="s">
        <v>22</v>
      </c>
      <c r="H375" t="s">
        <v>23</v>
      </c>
      <c r="I375" t="s">
        <v>24</v>
      </c>
      <c r="J375">
        <v>2007</v>
      </c>
      <c r="K375">
        <v>43698.521897777777</v>
      </c>
      <c r="L375" t="s">
        <v>36</v>
      </c>
      <c r="M375" t="s">
        <v>42</v>
      </c>
      <c r="N375" t="s">
        <v>27</v>
      </c>
      <c r="O375">
        <v>58654</v>
      </c>
      <c r="P375">
        <v>42252.579907407409</v>
      </c>
      <c r="Q375">
        <v>42076.587500497684</v>
      </c>
      <c r="R375">
        <v>380</v>
      </c>
    </row>
    <row r="376" spans="1:18" x14ac:dyDescent="0.25">
      <c r="A376" t="s">
        <v>1206</v>
      </c>
      <c r="B376" t="s">
        <v>1207</v>
      </c>
      <c r="C376" t="s">
        <v>1208</v>
      </c>
      <c r="D376" t="s">
        <v>1208</v>
      </c>
      <c r="E376" t="s">
        <v>1209</v>
      </c>
      <c r="F376" t="s">
        <v>21</v>
      </c>
      <c r="G376" t="s">
        <v>22</v>
      </c>
      <c r="H376" t="s">
        <v>23</v>
      </c>
      <c r="I376" t="s">
        <v>24</v>
      </c>
      <c r="J376">
        <v>2007</v>
      </c>
      <c r="K376">
        <v>43698.521897777777</v>
      </c>
      <c r="L376" t="s">
        <v>36</v>
      </c>
      <c r="M376" t="s">
        <v>42</v>
      </c>
      <c r="N376" t="s">
        <v>27</v>
      </c>
      <c r="O376">
        <v>60176</v>
      </c>
      <c r="P376">
        <v>42279.356203703705</v>
      </c>
      <c r="Q376">
        <v>42076.591655706019</v>
      </c>
      <c r="R376">
        <v>381</v>
      </c>
    </row>
    <row r="377" spans="1:18" x14ac:dyDescent="0.25">
      <c r="A377" t="s">
        <v>1210</v>
      </c>
      <c r="B377" t="s">
        <v>1211</v>
      </c>
      <c r="C377" t="s">
        <v>1212</v>
      </c>
      <c r="D377" t="s">
        <v>1212</v>
      </c>
      <c r="E377" t="s">
        <v>1213</v>
      </c>
      <c r="F377" t="s">
        <v>21</v>
      </c>
      <c r="G377" t="s">
        <v>22</v>
      </c>
      <c r="H377" t="s">
        <v>23</v>
      </c>
      <c r="I377" t="s">
        <v>24</v>
      </c>
      <c r="J377">
        <v>2007</v>
      </c>
      <c r="K377">
        <v>43698.521897777777</v>
      </c>
      <c r="L377" t="s">
        <v>36</v>
      </c>
      <c r="M377" t="s">
        <v>42</v>
      </c>
      <c r="N377" t="s">
        <v>27</v>
      </c>
      <c r="O377">
        <v>59806</v>
      </c>
      <c r="P377">
        <v>42270.3750462963</v>
      </c>
      <c r="Q377">
        <v>42076.596245335648</v>
      </c>
      <c r="R377">
        <v>382</v>
      </c>
    </row>
    <row r="378" spans="1:18" x14ac:dyDescent="0.25">
      <c r="A378" t="s">
        <v>1214</v>
      </c>
      <c r="B378" t="s">
        <v>1215</v>
      </c>
      <c r="C378" t="s">
        <v>1216</v>
      </c>
      <c r="D378" t="s">
        <v>1216</v>
      </c>
      <c r="E378" t="s">
        <v>1217</v>
      </c>
      <c r="F378" t="s">
        <v>91</v>
      </c>
      <c r="G378" t="s">
        <v>22</v>
      </c>
      <c r="H378" t="s">
        <v>53</v>
      </c>
      <c r="I378" t="s">
        <v>54</v>
      </c>
      <c r="J378">
        <v>2015</v>
      </c>
      <c r="K378">
        <v>43698.521897777777</v>
      </c>
      <c r="L378" t="s">
        <v>466</v>
      </c>
      <c r="M378" t="s">
        <v>154</v>
      </c>
      <c r="N378" t="s">
        <v>467</v>
      </c>
      <c r="O378">
        <v>345758</v>
      </c>
      <c r="P378">
        <v>43698.521897777777</v>
      </c>
      <c r="Q378">
        <v>42077.720951504627</v>
      </c>
      <c r="R378">
        <v>383</v>
      </c>
    </row>
    <row r="379" spans="1:18" x14ac:dyDescent="0.25">
      <c r="A379" t="s">
        <v>1218</v>
      </c>
      <c r="B379" t="s">
        <v>1219</v>
      </c>
      <c r="C379" t="s">
        <v>1220</v>
      </c>
      <c r="D379" t="s">
        <v>1220</v>
      </c>
      <c r="E379" t="s">
        <v>1221</v>
      </c>
      <c r="F379" t="s">
        <v>91</v>
      </c>
      <c r="G379" t="s">
        <v>63</v>
      </c>
      <c r="H379" t="s">
        <v>53</v>
      </c>
      <c r="I379" t="s">
        <v>54</v>
      </c>
      <c r="J379">
        <v>2015</v>
      </c>
      <c r="K379">
        <v>43698.521897777777</v>
      </c>
      <c r="L379" t="s">
        <v>466</v>
      </c>
      <c r="M379" t="s">
        <v>154</v>
      </c>
      <c r="N379" t="s">
        <v>467</v>
      </c>
      <c r="O379">
        <v>347163</v>
      </c>
      <c r="P379">
        <v>43698.521897777777</v>
      </c>
      <c r="Q379">
        <v>42077.723388888888</v>
      </c>
      <c r="R379">
        <v>384</v>
      </c>
    </row>
    <row r="380" spans="1:18" x14ac:dyDescent="0.25">
      <c r="A380" t="s">
        <v>1222</v>
      </c>
      <c r="B380" t="s">
        <v>1223</v>
      </c>
      <c r="C380" t="s">
        <v>1224</v>
      </c>
      <c r="D380" t="s">
        <v>1224</v>
      </c>
      <c r="E380" t="s">
        <v>1225</v>
      </c>
      <c r="F380" t="s">
        <v>91</v>
      </c>
      <c r="G380" t="s">
        <v>22</v>
      </c>
      <c r="H380" t="s">
        <v>53</v>
      </c>
      <c r="I380" t="s">
        <v>54</v>
      </c>
      <c r="J380">
        <v>2015</v>
      </c>
      <c r="K380">
        <v>43698.521897777777</v>
      </c>
      <c r="L380" t="s">
        <v>466</v>
      </c>
      <c r="M380" t="s">
        <v>154</v>
      </c>
      <c r="N380" t="s">
        <v>467</v>
      </c>
      <c r="O380">
        <v>342695</v>
      </c>
      <c r="P380">
        <v>43690.783333333333</v>
      </c>
      <c r="Q380">
        <v>42077.724544363424</v>
      </c>
      <c r="R380">
        <v>385</v>
      </c>
    </row>
    <row r="381" spans="1:18" x14ac:dyDescent="0.25">
      <c r="A381" t="s">
        <v>1226</v>
      </c>
      <c r="B381" t="s">
        <v>1227</v>
      </c>
      <c r="C381" t="s">
        <v>1228</v>
      </c>
      <c r="D381" t="s">
        <v>1228</v>
      </c>
      <c r="E381" t="s">
        <v>1228</v>
      </c>
      <c r="F381" t="s">
        <v>91</v>
      </c>
      <c r="G381" t="s">
        <v>63</v>
      </c>
      <c r="H381" t="s">
        <v>34</v>
      </c>
      <c r="I381" t="s">
        <v>35</v>
      </c>
      <c r="J381">
        <v>2007</v>
      </c>
      <c r="K381">
        <v>43698.521897777777</v>
      </c>
      <c r="L381" t="s">
        <v>193</v>
      </c>
      <c r="M381" t="s">
        <v>42</v>
      </c>
      <c r="N381" t="s">
        <v>93</v>
      </c>
      <c r="O381">
        <v>346594</v>
      </c>
      <c r="P381">
        <v>43698.521897777777</v>
      </c>
      <c r="Q381">
        <v>42077.740714814812</v>
      </c>
      <c r="R381">
        <v>386</v>
      </c>
    </row>
    <row r="382" spans="1:18" x14ac:dyDescent="0.25">
      <c r="A382" t="s">
        <v>1229</v>
      </c>
      <c r="B382" t="s">
        <v>1230</v>
      </c>
      <c r="C382" t="s">
        <v>1231</v>
      </c>
      <c r="D382" t="s">
        <v>1231</v>
      </c>
      <c r="E382" t="s">
        <v>1232</v>
      </c>
      <c r="F382" t="s">
        <v>21</v>
      </c>
      <c r="G382" t="s">
        <v>63</v>
      </c>
      <c r="H382" t="s">
        <v>23</v>
      </c>
      <c r="I382" t="s">
        <v>24</v>
      </c>
      <c r="J382">
        <v>2007</v>
      </c>
      <c r="K382">
        <v>43698.521897777777</v>
      </c>
      <c r="L382" t="s">
        <v>711</v>
      </c>
      <c r="M382" t="s">
        <v>42</v>
      </c>
      <c r="N382" t="s">
        <v>27</v>
      </c>
      <c r="O382">
        <v>196632</v>
      </c>
      <c r="P382">
        <v>43284.724305555559</v>
      </c>
      <c r="Q382">
        <v>42077.743752314818</v>
      </c>
      <c r="R382">
        <v>387</v>
      </c>
    </row>
    <row r="383" spans="1:18" x14ac:dyDescent="0.25">
      <c r="A383" t="s">
        <v>1233</v>
      </c>
      <c r="B383" t="s">
        <v>1234</v>
      </c>
      <c r="C383" t="s">
        <v>1235</v>
      </c>
      <c r="D383" t="s">
        <v>1235</v>
      </c>
      <c r="E383" t="s">
        <v>1235</v>
      </c>
      <c r="F383" t="s">
        <v>21</v>
      </c>
      <c r="G383" t="s">
        <v>63</v>
      </c>
      <c r="H383" t="s">
        <v>34</v>
      </c>
      <c r="I383" t="s">
        <v>35</v>
      </c>
      <c r="J383">
        <v>2007</v>
      </c>
      <c r="K383">
        <v>43698.521897777777</v>
      </c>
      <c r="L383" t="s">
        <v>25</v>
      </c>
      <c r="M383" t="s">
        <v>42</v>
      </c>
      <c r="N383" t="s">
        <v>27</v>
      </c>
      <c r="O383">
        <v>67622</v>
      </c>
      <c r="P383">
        <v>42396.172037037039</v>
      </c>
      <c r="Q383">
        <v>42086.523965590277</v>
      </c>
      <c r="R383">
        <v>388</v>
      </c>
    </row>
    <row r="384" spans="1:18" x14ac:dyDescent="0.25">
      <c r="A384" t="s">
        <v>1236</v>
      </c>
      <c r="B384" t="s">
        <v>1237</v>
      </c>
      <c r="C384" t="s">
        <v>1238</v>
      </c>
      <c r="D384" t="s">
        <v>1238</v>
      </c>
      <c r="E384" t="s">
        <v>1238</v>
      </c>
      <c r="F384" t="s">
        <v>21</v>
      </c>
      <c r="G384" t="s">
        <v>63</v>
      </c>
      <c r="H384" t="s">
        <v>53</v>
      </c>
      <c r="I384" t="s">
        <v>1162</v>
      </c>
      <c r="J384">
        <v>2011</v>
      </c>
      <c r="K384">
        <v>43698.521897777777</v>
      </c>
      <c r="L384" t="s">
        <v>466</v>
      </c>
      <c r="M384" t="s">
        <v>154</v>
      </c>
      <c r="N384" t="s">
        <v>27</v>
      </c>
      <c r="O384">
        <v>243006</v>
      </c>
      <c r="P384">
        <v>43434.631643518522</v>
      </c>
      <c r="Q384">
        <v>42088.593434490744</v>
      </c>
      <c r="R384">
        <v>389</v>
      </c>
    </row>
    <row r="385" spans="1:18" x14ac:dyDescent="0.25">
      <c r="A385" t="s">
        <v>1239</v>
      </c>
      <c r="B385" t="s">
        <v>1240</v>
      </c>
      <c r="C385" t="s">
        <v>1241</v>
      </c>
      <c r="D385" t="s">
        <v>1241</v>
      </c>
      <c r="E385" t="s">
        <v>1241</v>
      </c>
      <c r="F385" t="s">
        <v>21</v>
      </c>
      <c r="G385" t="s">
        <v>63</v>
      </c>
      <c r="H385" t="s">
        <v>34</v>
      </c>
      <c r="I385" t="s">
        <v>35</v>
      </c>
      <c r="J385">
        <v>2015</v>
      </c>
      <c r="K385">
        <v>43698.521897777777</v>
      </c>
      <c r="L385" t="s">
        <v>25</v>
      </c>
      <c r="M385" t="s">
        <v>42</v>
      </c>
      <c r="N385" t="s">
        <v>27</v>
      </c>
      <c r="O385">
        <v>148186</v>
      </c>
      <c r="P385">
        <v>43079.877384259256</v>
      </c>
      <c r="Q385">
        <v>42090.526212534722</v>
      </c>
      <c r="R385">
        <v>390</v>
      </c>
    </row>
    <row r="386" spans="1:18" x14ac:dyDescent="0.25">
      <c r="A386" t="s">
        <v>1242</v>
      </c>
      <c r="B386" t="s">
        <v>1243</v>
      </c>
      <c r="C386" t="s">
        <v>1244</v>
      </c>
      <c r="D386" t="s">
        <v>1244</v>
      </c>
      <c r="E386" t="s">
        <v>1244</v>
      </c>
      <c r="F386" t="s">
        <v>21</v>
      </c>
      <c r="G386" t="s">
        <v>63</v>
      </c>
      <c r="H386" t="s">
        <v>53</v>
      </c>
      <c r="I386" t="s">
        <v>25</v>
      </c>
      <c r="J386">
        <v>2007</v>
      </c>
      <c r="K386">
        <v>43698.521897777777</v>
      </c>
      <c r="L386" t="s">
        <v>466</v>
      </c>
      <c r="M386" t="s">
        <v>154</v>
      </c>
      <c r="N386" t="s">
        <v>27</v>
      </c>
      <c r="O386">
        <v>225734</v>
      </c>
      <c r="P386">
        <v>43378.970833333333</v>
      </c>
      <c r="Q386">
        <v>42093.758663576387</v>
      </c>
      <c r="R386">
        <v>391</v>
      </c>
    </row>
    <row r="387" spans="1:18" x14ac:dyDescent="0.25">
      <c r="A387" t="s">
        <v>1245</v>
      </c>
      <c r="B387" t="s">
        <v>1246</v>
      </c>
      <c r="C387" t="s">
        <v>1247</v>
      </c>
      <c r="D387" t="s">
        <v>1247</v>
      </c>
      <c r="E387" t="s">
        <v>1247</v>
      </c>
      <c r="F387" t="s">
        <v>253</v>
      </c>
      <c r="G387" t="s">
        <v>63</v>
      </c>
      <c r="H387" t="s">
        <v>53</v>
      </c>
      <c r="I387" t="s">
        <v>1248</v>
      </c>
      <c r="J387">
        <v>2007</v>
      </c>
      <c r="K387">
        <v>43698.521897777777</v>
      </c>
      <c r="L387" t="s">
        <v>466</v>
      </c>
      <c r="M387" t="s">
        <v>154</v>
      </c>
      <c r="N387" t="s">
        <v>467</v>
      </c>
      <c r="O387">
        <v>336970</v>
      </c>
      <c r="P387">
        <v>43679.115219907406</v>
      </c>
      <c r="Q387">
        <v>42093.765641087964</v>
      </c>
      <c r="R387">
        <v>392</v>
      </c>
    </row>
    <row r="388" spans="1:18" x14ac:dyDescent="0.25">
      <c r="A388" t="s">
        <v>1249</v>
      </c>
      <c r="B388" t="s">
        <v>1250</v>
      </c>
      <c r="C388" t="s">
        <v>1251</v>
      </c>
      <c r="D388" t="s">
        <v>1251</v>
      </c>
      <c r="E388" t="s">
        <v>1251</v>
      </c>
      <c r="F388" t="s">
        <v>91</v>
      </c>
      <c r="G388" t="s">
        <v>63</v>
      </c>
      <c r="H388" t="s">
        <v>53</v>
      </c>
      <c r="I388" t="s">
        <v>744</v>
      </c>
      <c r="J388">
        <v>2007</v>
      </c>
      <c r="K388">
        <v>43698.521897777777</v>
      </c>
      <c r="L388" t="s">
        <v>466</v>
      </c>
      <c r="M388" t="s">
        <v>154</v>
      </c>
      <c r="N388" t="s">
        <v>467</v>
      </c>
      <c r="O388">
        <v>346609</v>
      </c>
      <c r="P388">
        <v>43698.521897777777</v>
      </c>
      <c r="Q388">
        <v>42093.771165393518</v>
      </c>
      <c r="R388">
        <v>393</v>
      </c>
    </row>
    <row r="389" spans="1:18" x14ac:dyDescent="0.25">
      <c r="A389" t="s">
        <v>1252</v>
      </c>
      <c r="B389" t="s">
        <v>1253</v>
      </c>
      <c r="C389" t="s">
        <v>1254</v>
      </c>
      <c r="D389" t="s">
        <v>1254</v>
      </c>
      <c r="E389" t="s">
        <v>1254</v>
      </c>
      <c r="F389" t="s">
        <v>21</v>
      </c>
      <c r="G389" t="s">
        <v>63</v>
      </c>
      <c r="H389" t="s">
        <v>34</v>
      </c>
      <c r="I389" t="s">
        <v>149</v>
      </c>
      <c r="J389">
        <v>2006</v>
      </c>
      <c r="K389">
        <v>43698.521897777777</v>
      </c>
      <c r="L389" t="s">
        <v>25</v>
      </c>
      <c r="M389" t="s">
        <v>154</v>
      </c>
      <c r="N389" t="s">
        <v>27</v>
      </c>
      <c r="O389">
        <v>67485</v>
      </c>
      <c r="P389">
        <v>42405.112256944441</v>
      </c>
      <c r="Q389">
        <v>42093.7982962963</v>
      </c>
      <c r="R389">
        <v>394</v>
      </c>
    </row>
    <row r="390" spans="1:18" x14ac:dyDescent="0.25">
      <c r="A390" t="s">
        <v>1255</v>
      </c>
      <c r="B390" t="s">
        <v>1256</v>
      </c>
      <c r="C390" t="s">
        <v>1257</v>
      </c>
      <c r="D390" t="s">
        <v>1257</v>
      </c>
      <c r="E390" t="s">
        <v>1257</v>
      </c>
      <c r="F390" t="s">
        <v>21</v>
      </c>
      <c r="G390" t="s">
        <v>63</v>
      </c>
      <c r="H390" t="s">
        <v>236</v>
      </c>
      <c r="I390" t="s">
        <v>784</v>
      </c>
      <c r="J390">
        <v>2006</v>
      </c>
      <c r="K390">
        <v>43698.521897777777</v>
      </c>
      <c r="L390" t="s">
        <v>25</v>
      </c>
      <c r="M390" t="s">
        <v>154</v>
      </c>
      <c r="N390" t="s">
        <v>27</v>
      </c>
      <c r="O390">
        <v>56668</v>
      </c>
      <c r="P390">
        <v>42217.076678240737</v>
      </c>
      <c r="Q390">
        <v>42093.803747488426</v>
      </c>
      <c r="R390">
        <v>395</v>
      </c>
    </row>
    <row r="391" spans="1:18" x14ac:dyDescent="0.25">
      <c r="A391" t="s">
        <v>1258</v>
      </c>
      <c r="B391" t="s">
        <v>1259</v>
      </c>
      <c r="C391" t="s">
        <v>1260</v>
      </c>
      <c r="D391" t="s">
        <v>1260</v>
      </c>
      <c r="E391" t="s">
        <v>1260</v>
      </c>
      <c r="F391" t="s">
        <v>21</v>
      </c>
      <c r="G391" t="s">
        <v>63</v>
      </c>
      <c r="H391" t="s">
        <v>34</v>
      </c>
      <c r="I391" t="s">
        <v>35</v>
      </c>
      <c r="J391">
        <v>2011</v>
      </c>
      <c r="K391">
        <v>43698.521897777777</v>
      </c>
      <c r="L391" t="s">
        <v>25</v>
      </c>
      <c r="M391" t="s">
        <v>42</v>
      </c>
      <c r="N391" t="s">
        <v>27</v>
      </c>
      <c r="O391">
        <v>65972</v>
      </c>
      <c r="P391">
        <v>42369.952233796299</v>
      </c>
      <c r="Q391">
        <v>42096.581514120371</v>
      </c>
      <c r="R391">
        <v>396</v>
      </c>
    </row>
    <row r="392" spans="1:18" x14ac:dyDescent="0.25">
      <c r="A392" t="s">
        <v>1261</v>
      </c>
      <c r="B392" t="s">
        <v>1262</v>
      </c>
      <c r="C392" t="s">
        <v>1263</v>
      </c>
      <c r="D392" t="s">
        <v>1263</v>
      </c>
      <c r="E392" t="s">
        <v>1263</v>
      </c>
      <c r="F392" t="s">
        <v>21</v>
      </c>
      <c r="G392" t="s">
        <v>63</v>
      </c>
      <c r="H392" t="s">
        <v>34</v>
      </c>
      <c r="I392" t="s">
        <v>149</v>
      </c>
      <c r="J392">
        <v>2009</v>
      </c>
      <c r="K392">
        <v>43698.521897777777</v>
      </c>
      <c r="L392" t="s">
        <v>1264</v>
      </c>
      <c r="M392" t="s">
        <v>154</v>
      </c>
      <c r="N392" t="s">
        <v>27</v>
      </c>
      <c r="O392">
        <v>132406</v>
      </c>
      <c r="P392">
        <v>42999.687789351854</v>
      </c>
      <c r="Q392">
        <v>42103.539347835649</v>
      </c>
      <c r="R392">
        <v>397</v>
      </c>
    </row>
    <row r="393" spans="1:18" x14ac:dyDescent="0.25">
      <c r="A393" t="s">
        <v>1265</v>
      </c>
      <c r="B393" t="s">
        <v>1266</v>
      </c>
      <c r="C393" t="s">
        <v>1267</v>
      </c>
      <c r="D393" t="s">
        <v>1267</v>
      </c>
      <c r="E393" t="s">
        <v>1267</v>
      </c>
      <c r="F393" t="s">
        <v>21</v>
      </c>
      <c r="G393" t="s">
        <v>63</v>
      </c>
      <c r="H393" t="s">
        <v>34</v>
      </c>
      <c r="I393" t="s">
        <v>149</v>
      </c>
      <c r="J393">
        <v>2007</v>
      </c>
      <c r="K393">
        <v>43698.521897777777</v>
      </c>
      <c r="L393" t="s">
        <v>25</v>
      </c>
      <c r="M393" t="s">
        <v>154</v>
      </c>
      <c r="N393" t="s">
        <v>27</v>
      </c>
      <c r="O393">
        <v>91869</v>
      </c>
      <c r="P393">
        <v>42688.793055555558</v>
      </c>
      <c r="Q393">
        <v>42104.464317048609</v>
      </c>
      <c r="R393">
        <v>398</v>
      </c>
    </row>
    <row r="394" spans="1:18" x14ac:dyDescent="0.25">
      <c r="A394" t="s">
        <v>1268</v>
      </c>
      <c r="B394" t="s">
        <v>1269</v>
      </c>
      <c r="C394" t="s">
        <v>1270</v>
      </c>
      <c r="D394" t="s">
        <v>1270</v>
      </c>
      <c r="E394" t="s">
        <v>1270</v>
      </c>
      <c r="F394" t="s">
        <v>21</v>
      </c>
      <c r="G394" t="s">
        <v>63</v>
      </c>
      <c r="H394" t="s">
        <v>34</v>
      </c>
      <c r="I394" t="s">
        <v>149</v>
      </c>
      <c r="J394">
        <v>2007</v>
      </c>
      <c r="K394">
        <v>43698.521897777777</v>
      </c>
      <c r="L394" t="s">
        <v>25</v>
      </c>
      <c r="M394" t="s">
        <v>154</v>
      </c>
      <c r="N394" t="s">
        <v>27</v>
      </c>
      <c r="O394">
        <v>133039</v>
      </c>
      <c r="P394">
        <v>43007.418622685182</v>
      </c>
      <c r="Q394">
        <v>42104.625648263886</v>
      </c>
      <c r="R394">
        <v>399</v>
      </c>
    </row>
    <row r="395" spans="1:18" x14ac:dyDescent="0.25">
      <c r="A395" t="s">
        <v>1271</v>
      </c>
      <c r="B395" t="s">
        <v>1272</v>
      </c>
      <c r="C395" t="s">
        <v>1273</v>
      </c>
      <c r="D395" t="s">
        <v>1273</v>
      </c>
      <c r="E395" t="s">
        <v>1273</v>
      </c>
      <c r="F395" t="s">
        <v>21</v>
      </c>
      <c r="G395" t="s">
        <v>63</v>
      </c>
      <c r="H395" t="s">
        <v>34</v>
      </c>
      <c r="I395" t="s">
        <v>35</v>
      </c>
      <c r="J395">
        <v>2006</v>
      </c>
      <c r="K395">
        <v>43698.521897777777</v>
      </c>
      <c r="L395" t="s">
        <v>25</v>
      </c>
      <c r="M395" t="s">
        <v>42</v>
      </c>
      <c r="N395" t="s">
        <v>27</v>
      </c>
      <c r="O395">
        <v>160266</v>
      </c>
      <c r="P395">
        <v>43157.012349537035</v>
      </c>
      <c r="Q395">
        <v>42107.694800729165</v>
      </c>
      <c r="R395">
        <v>400</v>
      </c>
    </row>
    <row r="396" spans="1:18" x14ac:dyDescent="0.25">
      <c r="A396" t="s">
        <v>1274</v>
      </c>
      <c r="B396" t="s">
        <v>1275</v>
      </c>
      <c r="C396" t="s">
        <v>1276</v>
      </c>
      <c r="D396" t="s">
        <v>1276</v>
      </c>
      <c r="E396" t="s">
        <v>1276</v>
      </c>
      <c r="F396" t="s">
        <v>91</v>
      </c>
      <c r="G396" t="s">
        <v>63</v>
      </c>
      <c r="H396" t="s">
        <v>34</v>
      </c>
      <c r="I396" t="s">
        <v>35</v>
      </c>
      <c r="J396">
        <v>2016</v>
      </c>
      <c r="K396">
        <v>43698.521897777777</v>
      </c>
      <c r="L396" t="s">
        <v>193</v>
      </c>
      <c r="M396" t="s">
        <v>42</v>
      </c>
      <c r="N396" t="s">
        <v>93</v>
      </c>
      <c r="O396">
        <v>346399</v>
      </c>
      <c r="P396">
        <v>43698.521897777777</v>
      </c>
      <c r="Q396">
        <v>42110.386753935185</v>
      </c>
      <c r="R396">
        <v>401</v>
      </c>
    </row>
    <row r="397" spans="1:18" x14ac:dyDescent="0.25">
      <c r="A397" t="s">
        <v>1277</v>
      </c>
      <c r="B397" t="s">
        <v>1278</v>
      </c>
      <c r="C397" t="s">
        <v>1279</v>
      </c>
      <c r="D397" t="s">
        <v>1279</v>
      </c>
      <c r="E397" t="s">
        <v>1280</v>
      </c>
      <c r="F397" t="s">
        <v>21</v>
      </c>
      <c r="G397" t="s">
        <v>22</v>
      </c>
      <c r="H397" t="s">
        <v>23</v>
      </c>
      <c r="I397" t="s">
        <v>24</v>
      </c>
      <c r="J397">
        <v>2007</v>
      </c>
      <c r="K397">
        <v>43698.521897777777</v>
      </c>
      <c r="L397" t="s">
        <v>36</v>
      </c>
      <c r="M397" t="s">
        <v>42</v>
      </c>
      <c r="N397" t="s">
        <v>27</v>
      </c>
      <c r="O397">
        <v>79467</v>
      </c>
      <c r="P397">
        <v>42558.900613425925</v>
      </c>
      <c r="Q397">
        <v>42111.768043865741</v>
      </c>
      <c r="R397">
        <v>402</v>
      </c>
    </row>
    <row r="398" spans="1:18" x14ac:dyDescent="0.25">
      <c r="A398" t="s">
        <v>1281</v>
      </c>
      <c r="B398" t="s">
        <v>1282</v>
      </c>
      <c r="C398" t="s">
        <v>1283</v>
      </c>
      <c r="D398" t="s">
        <v>1283</v>
      </c>
      <c r="E398" t="s">
        <v>1283</v>
      </c>
      <c r="F398" t="s">
        <v>21</v>
      </c>
      <c r="G398" t="s">
        <v>63</v>
      </c>
      <c r="H398" t="s">
        <v>53</v>
      </c>
      <c r="I398" t="s">
        <v>41</v>
      </c>
      <c r="J398">
        <v>2011</v>
      </c>
      <c r="K398">
        <v>43698.521897777777</v>
      </c>
      <c r="L398" t="s">
        <v>92</v>
      </c>
      <c r="M398" t="s">
        <v>42</v>
      </c>
      <c r="N398" t="s">
        <v>27</v>
      </c>
      <c r="O398">
        <v>322755</v>
      </c>
      <c r="P398">
        <v>43644.597222222219</v>
      </c>
      <c r="Q398">
        <v>42111.768455057871</v>
      </c>
      <c r="R398">
        <v>403</v>
      </c>
    </row>
    <row r="399" spans="1:18" x14ac:dyDescent="0.25">
      <c r="A399" t="s">
        <v>1284</v>
      </c>
      <c r="B399" t="s">
        <v>1285</v>
      </c>
      <c r="C399" t="s">
        <v>1286</v>
      </c>
      <c r="D399" t="s">
        <v>1286</v>
      </c>
      <c r="E399" t="s">
        <v>1287</v>
      </c>
      <c r="F399" t="s">
        <v>21</v>
      </c>
      <c r="G399" t="s">
        <v>22</v>
      </c>
      <c r="H399" t="s">
        <v>23</v>
      </c>
      <c r="I399" t="s">
        <v>24</v>
      </c>
      <c r="J399">
        <v>2007</v>
      </c>
      <c r="K399">
        <v>43698.521897777777</v>
      </c>
      <c r="L399" t="s">
        <v>36</v>
      </c>
      <c r="M399" t="s">
        <v>42</v>
      </c>
      <c r="N399" t="s">
        <v>27</v>
      </c>
      <c r="O399">
        <v>80892</v>
      </c>
      <c r="P399">
        <v>42577.695798611108</v>
      </c>
      <c r="Q399">
        <v>42111.770957060187</v>
      </c>
      <c r="R399">
        <v>404</v>
      </c>
    </row>
    <row r="400" spans="1:18" x14ac:dyDescent="0.25">
      <c r="A400" t="s">
        <v>1288</v>
      </c>
      <c r="B400" t="s">
        <v>1289</v>
      </c>
      <c r="C400" t="s">
        <v>1290</v>
      </c>
      <c r="D400" t="s">
        <v>1290</v>
      </c>
      <c r="E400" t="s">
        <v>1291</v>
      </c>
      <c r="F400" t="s">
        <v>21</v>
      </c>
      <c r="G400" t="s">
        <v>22</v>
      </c>
      <c r="H400" t="s">
        <v>23</v>
      </c>
      <c r="I400" t="s">
        <v>24</v>
      </c>
      <c r="J400">
        <v>2007</v>
      </c>
      <c r="K400">
        <v>43698.521897777777</v>
      </c>
      <c r="L400" t="s">
        <v>36</v>
      </c>
      <c r="M400" t="s">
        <v>42</v>
      </c>
      <c r="N400" t="s">
        <v>27</v>
      </c>
      <c r="O400">
        <v>79332</v>
      </c>
      <c r="P400">
        <v>42557.895833333336</v>
      </c>
      <c r="Q400">
        <v>42111.772873148147</v>
      </c>
      <c r="R400">
        <v>405</v>
      </c>
    </row>
    <row r="401" spans="1:18" x14ac:dyDescent="0.25">
      <c r="A401" t="s">
        <v>1292</v>
      </c>
      <c r="B401" t="s">
        <v>1293</v>
      </c>
      <c r="C401" t="s">
        <v>1294</v>
      </c>
      <c r="D401" t="s">
        <v>1294</v>
      </c>
      <c r="E401" t="s">
        <v>1295</v>
      </c>
      <c r="F401" t="s">
        <v>21</v>
      </c>
      <c r="G401" t="s">
        <v>22</v>
      </c>
      <c r="H401" t="s">
        <v>23</v>
      </c>
      <c r="I401" t="s">
        <v>24</v>
      </c>
      <c r="J401">
        <v>2007</v>
      </c>
      <c r="K401">
        <v>43698.521897777777</v>
      </c>
      <c r="L401" t="s">
        <v>36</v>
      </c>
      <c r="M401" t="s">
        <v>42</v>
      </c>
      <c r="N401" t="s">
        <v>27</v>
      </c>
      <c r="O401">
        <v>69538</v>
      </c>
      <c r="P401">
        <v>42425.708194444444</v>
      </c>
      <c r="Q401">
        <v>42111.774197071762</v>
      </c>
      <c r="R401">
        <v>406</v>
      </c>
    </row>
    <row r="402" spans="1:18" x14ac:dyDescent="0.25">
      <c r="A402" t="s">
        <v>1296</v>
      </c>
      <c r="B402" t="s">
        <v>1297</v>
      </c>
      <c r="C402" t="s">
        <v>1298</v>
      </c>
      <c r="D402" t="s">
        <v>1298</v>
      </c>
      <c r="E402" t="s">
        <v>1299</v>
      </c>
      <c r="F402" t="s">
        <v>21</v>
      </c>
      <c r="G402" t="s">
        <v>22</v>
      </c>
      <c r="H402" t="s">
        <v>23</v>
      </c>
      <c r="I402" t="s">
        <v>24</v>
      </c>
      <c r="J402">
        <v>2007</v>
      </c>
      <c r="K402">
        <v>43698.521897777777</v>
      </c>
      <c r="L402" t="s">
        <v>36</v>
      </c>
      <c r="M402" t="s">
        <v>42</v>
      </c>
      <c r="N402" t="s">
        <v>27</v>
      </c>
      <c r="O402">
        <v>84287</v>
      </c>
      <c r="P402">
        <v>42615.728472222225</v>
      </c>
      <c r="Q402">
        <v>42111.775135266202</v>
      </c>
      <c r="R402">
        <v>407</v>
      </c>
    </row>
    <row r="403" spans="1:18" x14ac:dyDescent="0.25">
      <c r="A403" t="s">
        <v>1300</v>
      </c>
      <c r="B403" t="s">
        <v>1301</v>
      </c>
      <c r="C403" t="s">
        <v>1302</v>
      </c>
      <c r="D403" t="s">
        <v>1302</v>
      </c>
      <c r="E403" t="s">
        <v>1302</v>
      </c>
      <c r="F403" t="s">
        <v>21</v>
      </c>
      <c r="G403" t="s">
        <v>22</v>
      </c>
      <c r="H403" t="s">
        <v>1303</v>
      </c>
      <c r="I403" t="s">
        <v>1304</v>
      </c>
      <c r="J403">
        <v>2004</v>
      </c>
      <c r="K403">
        <v>43698.521897777777</v>
      </c>
      <c r="L403" t="s">
        <v>25</v>
      </c>
      <c r="M403" t="s">
        <v>26</v>
      </c>
      <c r="N403" t="s">
        <v>1305</v>
      </c>
      <c r="O403">
        <v>51276</v>
      </c>
      <c r="P403">
        <v>42114.664502314816</v>
      </c>
      <c r="Q403">
        <v>42111.800679745371</v>
      </c>
      <c r="R403">
        <v>408</v>
      </c>
    </row>
    <row r="404" spans="1:18" x14ac:dyDescent="0.25">
      <c r="A404" t="s">
        <v>1306</v>
      </c>
      <c r="B404" t="s">
        <v>1307</v>
      </c>
      <c r="C404" t="s">
        <v>1308</v>
      </c>
      <c r="D404" t="s">
        <v>1308</v>
      </c>
      <c r="E404" t="s">
        <v>1308</v>
      </c>
      <c r="F404" t="s">
        <v>21</v>
      </c>
      <c r="G404" t="s">
        <v>63</v>
      </c>
      <c r="H404" t="s">
        <v>34</v>
      </c>
      <c r="I404" t="s">
        <v>25</v>
      </c>
      <c r="J404">
        <v>2007</v>
      </c>
      <c r="K404">
        <v>43698.521897777777</v>
      </c>
      <c r="L404" t="s">
        <v>1264</v>
      </c>
      <c r="M404" t="s">
        <v>154</v>
      </c>
      <c r="N404" t="s">
        <v>27</v>
      </c>
      <c r="O404">
        <v>86485</v>
      </c>
      <c r="P404">
        <v>42640.357638888891</v>
      </c>
      <c r="Q404">
        <v>42112.720186805556</v>
      </c>
      <c r="R404">
        <v>409</v>
      </c>
    </row>
    <row r="405" spans="1:18" x14ac:dyDescent="0.25">
      <c r="A405" t="s">
        <v>1309</v>
      </c>
      <c r="B405" t="s">
        <v>1310</v>
      </c>
      <c r="C405" t="s">
        <v>1311</v>
      </c>
      <c r="D405" t="s">
        <v>1311</v>
      </c>
      <c r="E405" t="s">
        <v>1311</v>
      </c>
      <c r="F405" t="s">
        <v>21</v>
      </c>
      <c r="G405" t="s">
        <v>63</v>
      </c>
      <c r="H405" t="s">
        <v>34</v>
      </c>
      <c r="I405" t="s">
        <v>25</v>
      </c>
      <c r="J405">
        <v>2007</v>
      </c>
      <c r="K405">
        <v>43698.521897777777</v>
      </c>
      <c r="L405" t="s">
        <v>1264</v>
      </c>
      <c r="M405" t="s">
        <v>154</v>
      </c>
      <c r="N405" t="s">
        <v>27</v>
      </c>
      <c r="O405">
        <v>100560</v>
      </c>
      <c r="P405">
        <v>42777.51458333333</v>
      </c>
      <c r="Q405">
        <v>42119.62529984954</v>
      </c>
      <c r="R405">
        <v>410</v>
      </c>
    </row>
    <row r="406" spans="1:18" x14ac:dyDescent="0.25">
      <c r="A406" t="s">
        <v>1312</v>
      </c>
      <c r="B406" t="s">
        <v>1313</v>
      </c>
      <c r="C406" t="s">
        <v>1314</v>
      </c>
      <c r="D406" t="s">
        <v>1314</v>
      </c>
      <c r="E406" t="s">
        <v>1314</v>
      </c>
      <c r="F406" t="s">
        <v>21</v>
      </c>
      <c r="G406" t="s">
        <v>22</v>
      </c>
      <c r="H406" t="s">
        <v>1315</v>
      </c>
      <c r="I406" t="s">
        <v>1316</v>
      </c>
      <c r="J406">
        <v>2006</v>
      </c>
      <c r="K406">
        <v>43698.521897777777</v>
      </c>
      <c r="L406" t="s">
        <v>25</v>
      </c>
      <c r="M406" t="s">
        <v>26</v>
      </c>
      <c r="N406" t="s">
        <v>523</v>
      </c>
      <c r="O406">
        <v>52000</v>
      </c>
      <c r="P406">
        <v>42124.962164351855</v>
      </c>
      <c r="Q406">
        <v>42124.80276770833</v>
      </c>
      <c r="R406">
        <v>411</v>
      </c>
    </row>
    <row r="407" spans="1:18" x14ac:dyDescent="0.25">
      <c r="A407" t="s">
        <v>1317</v>
      </c>
      <c r="B407" t="s">
        <v>1318</v>
      </c>
      <c r="C407" t="s">
        <v>1319</v>
      </c>
      <c r="D407" t="s">
        <v>1319</v>
      </c>
      <c r="E407" t="s">
        <v>1319</v>
      </c>
      <c r="F407" t="s">
        <v>21</v>
      </c>
      <c r="G407" t="s">
        <v>63</v>
      </c>
      <c r="H407" t="s">
        <v>53</v>
      </c>
      <c r="I407" t="s">
        <v>744</v>
      </c>
      <c r="J407">
        <v>2007</v>
      </c>
      <c r="K407">
        <v>43698.521897777777</v>
      </c>
      <c r="L407" t="s">
        <v>25</v>
      </c>
      <c r="M407" t="s">
        <v>154</v>
      </c>
      <c r="N407" t="s">
        <v>27</v>
      </c>
      <c r="O407">
        <v>169559</v>
      </c>
      <c r="P407">
        <v>43184.634513888886</v>
      </c>
      <c r="Q407">
        <v>42128.746692939814</v>
      </c>
      <c r="R407">
        <v>412</v>
      </c>
    </row>
    <row r="408" spans="1:18" x14ac:dyDescent="0.25">
      <c r="A408" t="s">
        <v>1320</v>
      </c>
      <c r="B408" t="s">
        <v>1321</v>
      </c>
      <c r="C408" t="s">
        <v>1322</v>
      </c>
      <c r="D408" t="s">
        <v>1322</v>
      </c>
      <c r="E408" t="s">
        <v>1323</v>
      </c>
      <c r="F408" t="s">
        <v>21</v>
      </c>
      <c r="G408" t="s">
        <v>106</v>
      </c>
      <c r="H408" t="s">
        <v>25</v>
      </c>
      <c r="I408" t="s">
        <v>25</v>
      </c>
      <c r="K408">
        <v>43698.521897777777</v>
      </c>
      <c r="L408" t="s">
        <v>25</v>
      </c>
      <c r="M408" t="s">
        <v>154</v>
      </c>
      <c r="N408" t="s">
        <v>27</v>
      </c>
      <c r="O408">
        <v>66640</v>
      </c>
      <c r="P408">
        <v>42380.80972222222</v>
      </c>
      <c r="Q408">
        <v>42128.973283414351</v>
      </c>
      <c r="R408">
        <v>413</v>
      </c>
    </row>
    <row r="409" spans="1:18" x14ac:dyDescent="0.25">
      <c r="A409" t="s">
        <v>1324</v>
      </c>
      <c r="B409" t="s">
        <v>1325</v>
      </c>
      <c r="C409" t="s">
        <v>1326</v>
      </c>
      <c r="D409" t="s">
        <v>1326</v>
      </c>
      <c r="E409" t="s">
        <v>1326</v>
      </c>
      <c r="F409" t="s">
        <v>21</v>
      </c>
      <c r="G409" t="s">
        <v>63</v>
      </c>
      <c r="H409" t="s">
        <v>80</v>
      </c>
      <c r="I409" t="s">
        <v>1327</v>
      </c>
      <c r="J409">
        <v>2012</v>
      </c>
      <c r="K409">
        <v>43698.521897777777</v>
      </c>
      <c r="L409" t="s">
        <v>25</v>
      </c>
      <c r="M409" t="s">
        <v>154</v>
      </c>
      <c r="N409" t="s">
        <v>27</v>
      </c>
      <c r="O409">
        <v>78086</v>
      </c>
      <c r="P409">
        <v>42545.364594907405</v>
      </c>
      <c r="Q409">
        <v>42131.866413923613</v>
      </c>
      <c r="R409">
        <v>414</v>
      </c>
    </row>
    <row r="410" spans="1:18" x14ac:dyDescent="0.25">
      <c r="A410" t="s">
        <v>1328</v>
      </c>
      <c r="B410" t="s">
        <v>1329</v>
      </c>
      <c r="C410" t="s">
        <v>1330</v>
      </c>
      <c r="D410" t="s">
        <v>1330</v>
      </c>
      <c r="E410" t="s">
        <v>1330</v>
      </c>
      <c r="F410" t="s">
        <v>21</v>
      </c>
      <c r="G410" t="s">
        <v>63</v>
      </c>
      <c r="H410" t="s">
        <v>53</v>
      </c>
      <c r="I410" t="s">
        <v>810</v>
      </c>
      <c r="J410">
        <v>2011</v>
      </c>
      <c r="K410">
        <v>43698.521897777777</v>
      </c>
      <c r="L410" t="s">
        <v>25</v>
      </c>
      <c r="M410" t="s">
        <v>42</v>
      </c>
      <c r="N410" t="s">
        <v>27</v>
      </c>
      <c r="O410">
        <v>53769</v>
      </c>
      <c r="P410">
        <v>42161.945138888892</v>
      </c>
      <c r="Q410">
        <v>42132.550409062504</v>
      </c>
      <c r="R410">
        <v>415</v>
      </c>
    </row>
    <row r="411" spans="1:18" x14ac:dyDescent="0.25">
      <c r="A411" t="s">
        <v>1331</v>
      </c>
      <c r="B411" t="s">
        <v>1332</v>
      </c>
      <c r="C411" t="s">
        <v>1333</v>
      </c>
      <c r="D411" t="s">
        <v>1333</v>
      </c>
      <c r="E411" t="s">
        <v>1333</v>
      </c>
      <c r="F411" t="s">
        <v>21</v>
      </c>
      <c r="G411" t="s">
        <v>63</v>
      </c>
      <c r="H411" t="s">
        <v>1334</v>
      </c>
      <c r="I411" t="s">
        <v>1335</v>
      </c>
      <c r="J411">
        <v>2007</v>
      </c>
      <c r="K411">
        <v>43698.521897777777</v>
      </c>
      <c r="L411" t="s">
        <v>25</v>
      </c>
      <c r="M411" t="s">
        <v>154</v>
      </c>
      <c r="N411" t="s">
        <v>27</v>
      </c>
      <c r="O411">
        <v>183093</v>
      </c>
      <c r="P411">
        <v>43236.659039351849</v>
      </c>
      <c r="Q411">
        <v>42136.689462499999</v>
      </c>
      <c r="R411">
        <v>416</v>
      </c>
    </row>
    <row r="412" spans="1:18" x14ac:dyDescent="0.25">
      <c r="A412" t="s">
        <v>1336</v>
      </c>
      <c r="B412" t="s">
        <v>1337</v>
      </c>
      <c r="C412" t="s">
        <v>1338</v>
      </c>
      <c r="D412" t="s">
        <v>1338</v>
      </c>
      <c r="E412" t="s">
        <v>1338</v>
      </c>
      <c r="F412" t="s">
        <v>21</v>
      </c>
      <c r="G412" t="s">
        <v>63</v>
      </c>
      <c r="H412" t="s">
        <v>53</v>
      </c>
      <c r="I412" t="s">
        <v>25</v>
      </c>
      <c r="J412">
        <v>2007</v>
      </c>
      <c r="K412">
        <v>43698.521897777777</v>
      </c>
      <c r="L412" t="s">
        <v>25</v>
      </c>
      <c r="M412" t="s">
        <v>154</v>
      </c>
      <c r="N412" t="s">
        <v>27</v>
      </c>
      <c r="O412">
        <v>57405</v>
      </c>
      <c r="P412">
        <v>42224.542361111111</v>
      </c>
      <c r="Q412">
        <v>42139.54711496528</v>
      </c>
      <c r="R412">
        <v>417</v>
      </c>
    </row>
    <row r="413" spans="1:18" x14ac:dyDescent="0.25">
      <c r="A413" t="s">
        <v>1339</v>
      </c>
      <c r="B413" t="s">
        <v>1340</v>
      </c>
      <c r="C413" t="s">
        <v>1341</v>
      </c>
      <c r="D413" t="s">
        <v>1341</v>
      </c>
      <c r="E413" t="s">
        <v>1341</v>
      </c>
      <c r="F413" t="s">
        <v>21</v>
      </c>
      <c r="G413" t="s">
        <v>63</v>
      </c>
      <c r="H413" t="s">
        <v>53</v>
      </c>
      <c r="I413" t="s">
        <v>25</v>
      </c>
      <c r="J413">
        <v>2009</v>
      </c>
      <c r="K413">
        <v>43698.521897777777</v>
      </c>
      <c r="L413" t="s">
        <v>25</v>
      </c>
      <c r="M413" t="s">
        <v>154</v>
      </c>
      <c r="N413" t="s">
        <v>27</v>
      </c>
      <c r="O413">
        <v>168677</v>
      </c>
      <c r="P413">
        <v>43182.731446759259</v>
      </c>
      <c r="Q413">
        <v>42139.615478159722</v>
      </c>
      <c r="R413">
        <v>418</v>
      </c>
    </row>
    <row r="414" spans="1:18" x14ac:dyDescent="0.25">
      <c r="A414" t="s">
        <v>1342</v>
      </c>
      <c r="B414" t="s">
        <v>1343</v>
      </c>
      <c r="C414" t="s">
        <v>1344</v>
      </c>
      <c r="D414" t="s">
        <v>1344</v>
      </c>
      <c r="E414" t="s">
        <v>1344</v>
      </c>
      <c r="F414" t="s">
        <v>91</v>
      </c>
      <c r="G414" t="s">
        <v>63</v>
      </c>
      <c r="H414" t="s">
        <v>53</v>
      </c>
      <c r="I414" t="s">
        <v>1345</v>
      </c>
      <c r="J414">
        <v>2012</v>
      </c>
      <c r="K414">
        <v>43698.521897777777</v>
      </c>
      <c r="L414" t="s">
        <v>466</v>
      </c>
      <c r="M414" t="s">
        <v>154</v>
      </c>
      <c r="N414" t="s">
        <v>467</v>
      </c>
      <c r="O414">
        <v>345455</v>
      </c>
      <c r="P414">
        <v>43698.521897777777</v>
      </c>
      <c r="Q414">
        <v>42139.743790590277</v>
      </c>
      <c r="R414">
        <v>419</v>
      </c>
    </row>
    <row r="415" spans="1:18" x14ac:dyDescent="0.25">
      <c r="A415" t="s">
        <v>1346</v>
      </c>
      <c r="B415" t="s">
        <v>1347</v>
      </c>
      <c r="C415" t="s">
        <v>1348</v>
      </c>
      <c r="D415" t="s">
        <v>1348</v>
      </c>
      <c r="E415" t="s">
        <v>1348</v>
      </c>
      <c r="F415" t="s">
        <v>21</v>
      </c>
      <c r="G415" t="s">
        <v>63</v>
      </c>
      <c r="H415" t="s">
        <v>34</v>
      </c>
      <c r="I415" t="s">
        <v>35</v>
      </c>
      <c r="J415">
        <v>2012</v>
      </c>
      <c r="K415">
        <v>43698.521897777777</v>
      </c>
      <c r="L415" t="s">
        <v>25</v>
      </c>
      <c r="M415" t="s">
        <v>42</v>
      </c>
      <c r="N415" t="s">
        <v>27</v>
      </c>
      <c r="O415">
        <v>78389</v>
      </c>
      <c r="P415">
        <v>42546.579340277778</v>
      </c>
      <c r="Q415">
        <v>42143.665128009263</v>
      </c>
      <c r="R415">
        <v>420</v>
      </c>
    </row>
    <row r="416" spans="1:18" x14ac:dyDescent="0.25">
      <c r="A416" t="s">
        <v>1349</v>
      </c>
      <c r="B416" t="s">
        <v>1350</v>
      </c>
      <c r="C416" t="s">
        <v>1351</v>
      </c>
      <c r="D416" t="s">
        <v>1351</v>
      </c>
      <c r="E416" t="s">
        <v>1351</v>
      </c>
      <c r="F416" t="s">
        <v>21</v>
      </c>
      <c r="G416" t="s">
        <v>63</v>
      </c>
      <c r="H416" t="s">
        <v>53</v>
      </c>
      <c r="I416" t="s">
        <v>282</v>
      </c>
      <c r="J416">
        <v>2009</v>
      </c>
      <c r="K416">
        <v>43698.521897777777</v>
      </c>
      <c r="L416" t="s">
        <v>25</v>
      </c>
      <c r="M416" t="s">
        <v>154</v>
      </c>
      <c r="N416" t="s">
        <v>27</v>
      </c>
      <c r="O416">
        <v>78633</v>
      </c>
      <c r="P416">
        <v>42544.799907407411</v>
      </c>
      <c r="Q416">
        <v>42144.469014351853</v>
      </c>
      <c r="R416">
        <v>421</v>
      </c>
    </row>
    <row r="417" spans="1:18" x14ac:dyDescent="0.25">
      <c r="A417" t="s">
        <v>1352</v>
      </c>
      <c r="B417" t="s">
        <v>1353</v>
      </c>
      <c r="C417" t="s">
        <v>1354</v>
      </c>
      <c r="D417" t="s">
        <v>1354</v>
      </c>
      <c r="E417" t="s">
        <v>1354</v>
      </c>
      <c r="F417" t="s">
        <v>21</v>
      </c>
      <c r="G417" t="s">
        <v>63</v>
      </c>
      <c r="H417" t="s">
        <v>34</v>
      </c>
      <c r="I417" t="s">
        <v>35</v>
      </c>
      <c r="J417">
        <v>2016</v>
      </c>
      <c r="K417">
        <v>43698.521897777777</v>
      </c>
      <c r="L417" t="s">
        <v>25</v>
      </c>
      <c r="M417" t="s">
        <v>42</v>
      </c>
      <c r="N417" t="s">
        <v>27</v>
      </c>
      <c r="O417">
        <v>54938</v>
      </c>
      <c r="P417">
        <v>42183.532719907409</v>
      </c>
      <c r="Q417">
        <v>42144.481370486108</v>
      </c>
      <c r="R417">
        <v>422</v>
      </c>
    </row>
    <row r="418" spans="1:18" x14ac:dyDescent="0.25">
      <c r="A418" t="s">
        <v>1355</v>
      </c>
      <c r="B418" t="s">
        <v>1356</v>
      </c>
      <c r="C418" t="s">
        <v>1357</v>
      </c>
      <c r="D418" t="s">
        <v>1357</v>
      </c>
      <c r="E418" t="s">
        <v>1357</v>
      </c>
      <c r="F418" t="s">
        <v>21</v>
      </c>
      <c r="G418" t="s">
        <v>63</v>
      </c>
      <c r="H418" t="s">
        <v>34</v>
      </c>
      <c r="I418" t="s">
        <v>35</v>
      </c>
      <c r="J418">
        <v>2016</v>
      </c>
      <c r="K418">
        <v>43698.521897777777</v>
      </c>
      <c r="L418" t="s">
        <v>25</v>
      </c>
      <c r="M418" t="s">
        <v>42</v>
      </c>
      <c r="N418" t="s">
        <v>27</v>
      </c>
      <c r="O418">
        <v>55451</v>
      </c>
      <c r="P418">
        <v>42192.915694444448</v>
      </c>
      <c r="Q418">
        <v>42144.481777280096</v>
      </c>
      <c r="R418">
        <v>423</v>
      </c>
    </row>
    <row r="419" spans="1:18" x14ac:dyDescent="0.25">
      <c r="A419" t="s">
        <v>1358</v>
      </c>
      <c r="B419" t="s">
        <v>1359</v>
      </c>
      <c r="C419" t="s">
        <v>1360</v>
      </c>
      <c r="D419" t="s">
        <v>1360</v>
      </c>
      <c r="E419" t="s">
        <v>1361</v>
      </c>
      <c r="F419" t="s">
        <v>21</v>
      </c>
      <c r="G419" t="s">
        <v>22</v>
      </c>
      <c r="H419" t="s">
        <v>23</v>
      </c>
      <c r="I419" t="s">
        <v>24</v>
      </c>
      <c r="J419">
        <v>2007</v>
      </c>
      <c r="K419">
        <v>43698.521897777777</v>
      </c>
      <c r="L419" t="s">
        <v>36</v>
      </c>
      <c r="M419" t="s">
        <v>42</v>
      </c>
      <c r="N419" t="s">
        <v>27</v>
      </c>
      <c r="O419">
        <v>84539</v>
      </c>
      <c r="P419">
        <v>42620.429259259261</v>
      </c>
      <c r="Q419">
        <v>42144.491440428239</v>
      </c>
      <c r="R419">
        <v>424</v>
      </c>
    </row>
    <row r="420" spans="1:18" x14ac:dyDescent="0.25">
      <c r="A420" t="s">
        <v>1362</v>
      </c>
      <c r="B420" t="s">
        <v>1363</v>
      </c>
      <c r="C420" t="s">
        <v>1364</v>
      </c>
      <c r="D420" t="s">
        <v>1364</v>
      </c>
      <c r="E420" t="s">
        <v>1365</v>
      </c>
      <c r="F420" t="s">
        <v>21</v>
      </c>
      <c r="G420" t="s">
        <v>22</v>
      </c>
      <c r="H420" t="s">
        <v>23</v>
      </c>
      <c r="I420" t="s">
        <v>24</v>
      </c>
      <c r="J420">
        <v>2007</v>
      </c>
      <c r="K420">
        <v>43698.521897777777</v>
      </c>
      <c r="L420" t="s">
        <v>36</v>
      </c>
      <c r="M420" t="s">
        <v>42</v>
      </c>
      <c r="N420" t="s">
        <v>27</v>
      </c>
      <c r="O420">
        <v>53976</v>
      </c>
      <c r="P420">
        <v>42163.741782407407</v>
      </c>
      <c r="Q420">
        <v>42144.493947337964</v>
      </c>
      <c r="R420">
        <v>425</v>
      </c>
    </row>
    <row r="421" spans="1:18" x14ac:dyDescent="0.25">
      <c r="A421" t="s">
        <v>1366</v>
      </c>
      <c r="B421" t="s">
        <v>1367</v>
      </c>
      <c r="C421" t="s">
        <v>1368</v>
      </c>
      <c r="D421" t="s">
        <v>1368</v>
      </c>
      <c r="E421" t="s">
        <v>1369</v>
      </c>
      <c r="F421" t="s">
        <v>21</v>
      </c>
      <c r="G421" t="s">
        <v>22</v>
      </c>
      <c r="H421" t="s">
        <v>23</v>
      </c>
      <c r="I421" t="s">
        <v>24</v>
      </c>
      <c r="J421">
        <v>2007</v>
      </c>
      <c r="K421">
        <v>43698.521897777777</v>
      </c>
      <c r="L421" t="s">
        <v>36</v>
      </c>
      <c r="M421" t="s">
        <v>42</v>
      </c>
      <c r="N421" t="s">
        <v>27</v>
      </c>
      <c r="O421">
        <v>79506</v>
      </c>
      <c r="P421">
        <v>42560.524155092593</v>
      </c>
      <c r="Q421">
        <v>42144.496177349538</v>
      </c>
      <c r="R421">
        <v>426</v>
      </c>
    </row>
    <row r="422" spans="1:18" x14ac:dyDescent="0.25">
      <c r="A422" t="s">
        <v>1370</v>
      </c>
      <c r="B422" t="s">
        <v>1371</v>
      </c>
      <c r="C422" t="s">
        <v>1372</v>
      </c>
      <c r="D422" t="s">
        <v>1372</v>
      </c>
      <c r="E422" t="s">
        <v>1372</v>
      </c>
      <c r="F422" t="s">
        <v>91</v>
      </c>
      <c r="G422" t="s">
        <v>63</v>
      </c>
      <c r="H422" t="s">
        <v>34</v>
      </c>
      <c r="I422" t="s">
        <v>35</v>
      </c>
      <c r="J422">
        <v>2012</v>
      </c>
      <c r="K422">
        <v>43698.521897777777</v>
      </c>
      <c r="L422" t="s">
        <v>193</v>
      </c>
      <c r="M422" t="s">
        <v>42</v>
      </c>
      <c r="N422" t="s">
        <v>415</v>
      </c>
      <c r="O422">
        <v>343641</v>
      </c>
      <c r="P422">
        <v>43693.9</v>
      </c>
      <c r="Q422">
        <v>42154.709313194442</v>
      </c>
      <c r="R422">
        <v>427</v>
      </c>
    </row>
    <row r="423" spans="1:18" x14ac:dyDescent="0.25">
      <c r="A423" t="s">
        <v>1373</v>
      </c>
      <c r="B423" t="s">
        <v>1374</v>
      </c>
      <c r="C423" t="s">
        <v>1375</v>
      </c>
      <c r="D423" t="s">
        <v>1375</v>
      </c>
      <c r="E423" t="s">
        <v>1375</v>
      </c>
      <c r="F423" t="s">
        <v>21</v>
      </c>
      <c r="G423" t="s">
        <v>63</v>
      </c>
      <c r="H423" t="s">
        <v>34</v>
      </c>
      <c r="I423" t="s">
        <v>35</v>
      </c>
      <c r="J423">
        <v>2014</v>
      </c>
      <c r="K423">
        <v>43698.521897777777</v>
      </c>
      <c r="L423" t="s">
        <v>25</v>
      </c>
      <c r="M423" t="s">
        <v>42</v>
      </c>
      <c r="N423" t="s">
        <v>27</v>
      </c>
      <c r="O423">
        <v>60958</v>
      </c>
      <c r="P423">
        <v>42291.865578703706</v>
      </c>
      <c r="Q423">
        <v>42154.711314618056</v>
      </c>
      <c r="R423">
        <v>428</v>
      </c>
    </row>
    <row r="424" spans="1:18" x14ac:dyDescent="0.25">
      <c r="A424" t="s">
        <v>1376</v>
      </c>
      <c r="B424" t="s">
        <v>1377</v>
      </c>
      <c r="C424" t="s">
        <v>1378</v>
      </c>
      <c r="D424" t="s">
        <v>1378</v>
      </c>
      <c r="E424" t="s">
        <v>1379</v>
      </c>
      <c r="F424" t="s">
        <v>21</v>
      </c>
      <c r="G424" t="s">
        <v>22</v>
      </c>
      <c r="H424" t="s">
        <v>23</v>
      </c>
      <c r="I424" t="s">
        <v>24</v>
      </c>
      <c r="J424">
        <v>2007</v>
      </c>
      <c r="K424">
        <v>43698.521897777777</v>
      </c>
      <c r="L424" t="s">
        <v>25</v>
      </c>
      <c r="M424" t="s">
        <v>42</v>
      </c>
      <c r="N424" t="s">
        <v>27</v>
      </c>
      <c r="O424">
        <v>73533</v>
      </c>
      <c r="P424">
        <v>42479.592210648145</v>
      </c>
      <c r="Q424">
        <v>42154.771082291663</v>
      </c>
      <c r="R424">
        <v>429</v>
      </c>
    </row>
    <row r="425" spans="1:18" x14ac:dyDescent="0.25">
      <c r="A425" t="s">
        <v>1380</v>
      </c>
      <c r="B425" t="s">
        <v>1381</v>
      </c>
      <c r="C425" t="s">
        <v>1382</v>
      </c>
      <c r="D425" t="s">
        <v>1382</v>
      </c>
      <c r="E425" t="s">
        <v>1383</v>
      </c>
      <c r="F425" t="s">
        <v>21</v>
      </c>
      <c r="G425" t="s">
        <v>22</v>
      </c>
      <c r="H425" t="s">
        <v>23</v>
      </c>
      <c r="I425" t="s">
        <v>24</v>
      </c>
      <c r="J425">
        <v>2007</v>
      </c>
      <c r="K425">
        <v>43698.521897777777</v>
      </c>
      <c r="L425" t="s">
        <v>25</v>
      </c>
      <c r="M425" t="s">
        <v>42</v>
      </c>
      <c r="N425" t="s">
        <v>27</v>
      </c>
      <c r="O425">
        <v>74458</v>
      </c>
      <c r="P425">
        <v>42495.051064814812</v>
      </c>
      <c r="Q425">
        <v>42154.772531562499</v>
      </c>
      <c r="R425">
        <v>430</v>
      </c>
    </row>
    <row r="426" spans="1:18" x14ac:dyDescent="0.25">
      <c r="A426" t="s">
        <v>1384</v>
      </c>
      <c r="B426" t="s">
        <v>1385</v>
      </c>
      <c r="C426" t="s">
        <v>1386</v>
      </c>
      <c r="D426" t="s">
        <v>1386</v>
      </c>
      <c r="E426" t="s">
        <v>1386</v>
      </c>
      <c r="F426" t="s">
        <v>91</v>
      </c>
      <c r="G426" t="s">
        <v>63</v>
      </c>
      <c r="H426" t="s">
        <v>23</v>
      </c>
      <c r="I426" t="s">
        <v>41</v>
      </c>
      <c r="J426">
        <v>2016</v>
      </c>
      <c r="K426">
        <v>43698.521897777777</v>
      </c>
      <c r="L426" t="s">
        <v>1005</v>
      </c>
      <c r="M426" t="s">
        <v>42</v>
      </c>
      <c r="N426" t="s">
        <v>27</v>
      </c>
      <c r="O426">
        <v>346593</v>
      </c>
      <c r="P426">
        <v>43698.521897777777</v>
      </c>
      <c r="Q426">
        <v>42158.583436608795</v>
      </c>
      <c r="R426">
        <v>431</v>
      </c>
    </row>
    <row r="427" spans="1:18" x14ac:dyDescent="0.25">
      <c r="A427" t="s">
        <v>1387</v>
      </c>
      <c r="B427" t="s">
        <v>1388</v>
      </c>
      <c r="C427" t="s">
        <v>1389</v>
      </c>
      <c r="D427" t="s">
        <v>1389</v>
      </c>
      <c r="E427" t="s">
        <v>1389</v>
      </c>
      <c r="F427" t="s">
        <v>21</v>
      </c>
      <c r="G427" t="s">
        <v>63</v>
      </c>
      <c r="H427" t="s">
        <v>34</v>
      </c>
      <c r="I427" t="s">
        <v>35</v>
      </c>
      <c r="J427">
        <v>2007</v>
      </c>
      <c r="K427">
        <v>43698.521897777777</v>
      </c>
      <c r="L427" t="s">
        <v>25</v>
      </c>
      <c r="M427" t="s">
        <v>42</v>
      </c>
      <c r="N427" t="s">
        <v>27</v>
      </c>
      <c r="O427">
        <v>92099</v>
      </c>
      <c r="P427">
        <v>42691.720914351848</v>
      </c>
      <c r="Q427">
        <v>42166.546830439816</v>
      </c>
      <c r="R427">
        <v>432</v>
      </c>
    </row>
    <row r="428" spans="1:18" x14ac:dyDescent="0.25">
      <c r="A428" t="s">
        <v>1390</v>
      </c>
      <c r="B428" t="s">
        <v>1391</v>
      </c>
      <c r="C428" t="s">
        <v>1392</v>
      </c>
      <c r="D428" t="s">
        <v>1392</v>
      </c>
      <c r="E428" t="s">
        <v>1392</v>
      </c>
      <c r="F428" t="s">
        <v>91</v>
      </c>
      <c r="G428" t="s">
        <v>22</v>
      </c>
      <c r="H428" t="s">
        <v>1393</v>
      </c>
      <c r="I428" t="s">
        <v>1394</v>
      </c>
      <c r="J428">
        <v>2012</v>
      </c>
      <c r="K428">
        <v>43698.521897777777</v>
      </c>
      <c r="L428" t="s">
        <v>25</v>
      </c>
      <c r="M428" t="s">
        <v>26</v>
      </c>
      <c r="N428" t="s">
        <v>93</v>
      </c>
      <c r="Q428">
        <v>42168.645994247687</v>
      </c>
      <c r="R428">
        <v>433</v>
      </c>
    </row>
    <row r="429" spans="1:18" x14ac:dyDescent="0.25">
      <c r="A429" t="s">
        <v>1395</v>
      </c>
      <c r="B429" t="s">
        <v>1396</v>
      </c>
      <c r="C429" t="s">
        <v>1397</v>
      </c>
      <c r="D429" t="s">
        <v>1397</v>
      </c>
      <c r="E429" t="s">
        <v>1397</v>
      </c>
      <c r="F429" t="s">
        <v>91</v>
      </c>
      <c r="G429" t="s">
        <v>22</v>
      </c>
      <c r="H429" t="s">
        <v>1303</v>
      </c>
      <c r="I429" t="s">
        <v>1398</v>
      </c>
      <c r="J429">
        <v>2010</v>
      </c>
      <c r="K429">
        <v>43698.521897777777</v>
      </c>
      <c r="L429" t="s">
        <v>36</v>
      </c>
      <c r="M429" t="s">
        <v>1399</v>
      </c>
      <c r="N429" t="s">
        <v>415</v>
      </c>
      <c r="Q429">
        <v>42168.661458993054</v>
      </c>
      <c r="R429">
        <v>434</v>
      </c>
    </row>
    <row r="430" spans="1:18" x14ac:dyDescent="0.25">
      <c r="A430" t="s">
        <v>1400</v>
      </c>
      <c r="B430" t="s">
        <v>1400</v>
      </c>
      <c r="C430" t="s">
        <v>1401</v>
      </c>
      <c r="D430" t="s">
        <v>1401</v>
      </c>
      <c r="E430" t="s">
        <v>1401</v>
      </c>
      <c r="F430" t="s">
        <v>21</v>
      </c>
      <c r="G430" t="s">
        <v>22</v>
      </c>
      <c r="H430" t="s">
        <v>25</v>
      </c>
      <c r="I430" t="s">
        <v>25</v>
      </c>
      <c r="K430">
        <v>43698.521897777777</v>
      </c>
      <c r="L430" t="s">
        <v>25</v>
      </c>
      <c r="M430" t="s">
        <v>42</v>
      </c>
      <c r="N430" t="s">
        <v>415</v>
      </c>
      <c r="Q430">
        <v>42175.58230234954</v>
      </c>
      <c r="R430">
        <v>435</v>
      </c>
    </row>
    <row r="431" spans="1:18" x14ac:dyDescent="0.25">
      <c r="A431" t="s">
        <v>25</v>
      </c>
      <c r="B431" t="s">
        <v>25</v>
      </c>
      <c r="C431" t="s">
        <v>1402</v>
      </c>
      <c r="D431" t="s">
        <v>1402</v>
      </c>
      <c r="E431" t="s">
        <v>1402</v>
      </c>
      <c r="F431" t="s">
        <v>21</v>
      </c>
      <c r="G431" t="s">
        <v>22</v>
      </c>
      <c r="H431" t="s">
        <v>25</v>
      </c>
      <c r="I431" t="s">
        <v>25</v>
      </c>
      <c r="K431">
        <v>43698.521897777777</v>
      </c>
      <c r="L431" t="s">
        <v>25</v>
      </c>
      <c r="M431" t="s">
        <v>42</v>
      </c>
      <c r="N431" t="s">
        <v>27</v>
      </c>
      <c r="Q431">
        <v>42175.582688275463</v>
      </c>
      <c r="R431">
        <v>436</v>
      </c>
    </row>
    <row r="432" spans="1:18" x14ac:dyDescent="0.25">
      <c r="A432" t="s">
        <v>1403</v>
      </c>
      <c r="B432" t="s">
        <v>1404</v>
      </c>
      <c r="C432" t="s">
        <v>1405</v>
      </c>
      <c r="D432" t="s">
        <v>1405</v>
      </c>
      <c r="E432" t="s">
        <v>1405</v>
      </c>
      <c r="F432" t="s">
        <v>21</v>
      </c>
      <c r="G432" t="s">
        <v>22</v>
      </c>
      <c r="H432" t="s">
        <v>1406</v>
      </c>
      <c r="I432" t="s">
        <v>25</v>
      </c>
      <c r="K432">
        <v>43698.521897777777</v>
      </c>
      <c r="L432" t="s">
        <v>25</v>
      </c>
      <c r="M432" t="s">
        <v>42</v>
      </c>
      <c r="N432" t="s">
        <v>523</v>
      </c>
      <c r="Q432">
        <v>42175.583027002314</v>
      </c>
      <c r="R432">
        <v>437</v>
      </c>
    </row>
    <row r="433" spans="1:18" x14ac:dyDescent="0.25">
      <c r="A433" t="s">
        <v>1407</v>
      </c>
      <c r="B433" t="s">
        <v>1408</v>
      </c>
      <c r="C433" t="s">
        <v>1409</v>
      </c>
      <c r="D433" t="s">
        <v>1409</v>
      </c>
      <c r="E433" t="s">
        <v>1409</v>
      </c>
      <c r="F433" t="s">
        <v>21</v>
      </c>
      <c r="G433" t="s">
        <v>22</v>
      </c>
      <c r="H433" t="s">
        <v>1410</v>
      </c>
      <c r="I433" t="s">
        <v>1411</v>
      </c>
      <c r="K433">
        <v>43698.521897777777</v>
      </c>
      <c r="L433" t="s">
        <v>25</v>
      </c>
      <c r="M433" t="s">
        <v>42</v>
      </c>
      <c r="N433" t="s">
        <v>1305</v>
      </c>
      <c r="Q433">
        <v>42175.583544212961</v>
      </c>
      <c r="R433">
        <v>438</v>
      </c>
    </row>
    <row r="434" spans="1:18" x14ac:dyDescent="0.25">
      <c r="A434" t="s">
        <v>1412</v>
      </c>
      <c r="B434" t="s">
        <v>1413</v>
      </c>
      <c r="C434" t="s">
        <v>1414</v>
      </c>
      <c r="D434" t="s">
        <v>1414</v>
      </c>
      <c r="E434" t="s">
        <v>1414</v>
      </c>
      <c r="F434" t="s">
        <v>91</v>
      </c>
      <c r="G434" t="s">
        <v>63</v>
      </c>
      <c r="H434" t="s">
        <v>23</v>
      </c>
      <c r="I434" t="s">
        <v>41</v>
      </c>
      <c r="J434">
        <v>2009</v>
      </c>
      <c r="K434">
        <v>43698.521897777777</v>
      </c>
      <c r="L434" t="s">
        <v>193</v>
      </c>
      <c r="M434" t="s">
        <v>42</v>
      </c>
      <c r="N434" t="s">
        <v>415</v>
      </c>
      <c r="O434">
        <v>345487</v>
      </c>
      <c r="P434">
        <v>43698.521897777777</v>
      </c>
      <c r="Q434">
        <v>42180.601412268516</v>
      </c>
      <c r="R434">
        <v>439</v>
      </c>
    </row>
    <row r="435" spans="1:18" x14ac:dyDescent="0.25">
      <c r="A435" t="s">
        <v>1415</v>
      </c>
      <c r="B435" t="s">
        <v>1416</v>
      </c>
      <c r="C435" t="s">
        <v>1417</v>
      </c>
      <c r="D435" t="s">
        <v>1417</v>
      </c>
      <c r="E435" t="s">
        <v>1417</v>
      </c>
      <c r="F435" t="s">
        <v>21</v>
      </c>
      <c r="G435" t="s">
        <v>63</v>
      </c>
      <c r="H435" t="s">
        <v>34</v>
      </c>
      <c r="I435" t="s">
        <v>35</v>
      </c>
      <c r="J435">
        <v>2014</v>
      </c>
      <c r="K435">
        <v>43698.521897777777</v>
      </c>
      <c r="L435" t="s">
        <v>1005</v>
      </c>
      <c r="M435" t="s">
        <v>42</v>
      </c>
      <c r="N435" t="s">
        <v>27</v>
      </c>
      <c r="O435">
        <v>301712</v>
      </c>
      <c r="P435">
        <v>43590.030219907407</v>
      </c>
      <c r="Q435">
        <v>42185.508441469909</v>
      </c>
      <c r="R435">
        <v>440</v>
      </c>
    </row>
    <row r="436" spans="1:18" x14ac:dyDescent="0.25">
      <c r="A436" t="s">
        <v>1418</v>
      </c>
      <c r="B436" t="s">
        <v>1419</v>
      </c>
      <c r="C436" t="s">
        <v>1420</v>
      </c>
      <c r="D436" t="s">
        <v>1420</v>
      </c>
      <c r="E436" t="s">
        <v>1420</v>
      </c>
      <c r="F436" t="s">
        <v>21</v>
      </c>
      <c r="G436" t="s">
        <v>63</v>
      </c>
      <c r="H436" t="s">
        <v>53</v>
      </c>
      <c r="I436" t="s">
        <v>25</v>
      </c>
      <c r="J436">
        <v>2003</v>
      </c>
      <c r="K436">
        <v>43698.521897777777</v>
      </c>
      <c r="L436" t="s">
        <v>25</v>
      </c>
      <c r="M436" t="s">
        <v>154</v>
      </c>
      <c r="N436" t="s">
        <v>27</v>
      </c>
      <c r="O436">
        <v>117602</v>
      </c>
      <c r="P436">
        <v>42908.510381944441</v>
      </c>
      <c r="Q436">
        <v>42186.652449305555</v>
      </c>
      <c r="R436">
        <v>441</v>
      </c>
    </row>
    <row r="437" spans="1:18" x14ac:dyDescent="0.25">
      <c r="A437" t="s">
        <v>1421</v>
      </c>
      <c r="B437" t="s">
        <v>1422</v>
      </c>
      <c r="C437" t="s">
        <v>1423</v>
      </c>
      <c r="D437" t="s">
        <v>1423</v>
      </c>
      <c r="E437" t="s">
        <v>1423</v>
      </c>
      <c r="F437" t="s">
        <v>21</v>
      </c>
      <c r="G437" t="s">
        <v>63</v>
      </c>
      <c r="H437" t="s">
        <v>53</v>
      </c>
      <c r="I437" t="s">
        <v>25</v>
      </c>
      <c r="J437">
        <v>2006</v>
      </c>
      <c r="K437">
        <v>43698.521897777777</v>
      </c>
      <c r="L437" t="s">
        <v>25</v>
      </c>
      <c r="M437" t="s">
        <v>154</v>
      </c>
      <c r="N437" t="s">
        <v>27</v>
      </c>
      <c r="O437">
        <v>56679</v>
      </c>
      <c r="P437">
        <v>42215.761932870373</v>
      </c>
      <c r="Q437">
        <v>42186.672903969906</v>
      </c>
      <c r="R437">
        <v>442</v>
      </c>
    </row>
    <row r="438" spans="1:18" x14ac:dyDescent="0.25">
      <c r="A438" t="s">
        <v>1424</v>
      </c>
      <c r="B438" t="s">
        <v>1425</v>
      </c>
      <c r="C438" t="s">
        <v>1426</v>
      </c>
      <c r="D438" t="s">
        <v>1426</v>
      </c>
      <c r="E438" t="s">
        <v>1426</v>
      </c>
      <c r="F438" t="s">
        <v>253</v>
      </c>
      <c r="G438" t="s">
        <v>63</v>
      </c>
      <c r="H438" t="s">
        <v>53</v>
      </c>
      <c r="I438" t="s">
        <v>1162</v>
      </c>
      <c r="J438">
        <v>2009</v>
      </c>
      <c r="K438">
        <v>43698.521897777777</v>
      </c>
      <c r="L438" t="s">
        <v>466</v>
      </c>
      <c r="M438" t="s">
        <v>154</v>
      </c>
      <c r="N438" t="s">
        <v>467</v>
      </c>
      <c r="Q438">
        <v>42188.746064733794</v>
      </c>
      <c r="R438">
        <v>443</v>
      </c>
    </row>
    <row r="439" spans="1:18" x14ac:dyDescent="0.25">
      <c r="A439" t="s">
        <v>1427</v>
      </c>
      <c r="B439" t="s">
        <v>1428</v>
      </c>
      <c r="C439" t="s">
        <v>1429</v>
      </c>
      <c r="D439" t="s">
        <v>1429</v>
      </c>
      <c r="E439" t="s">
        <v>1429</v>
      </c>
      <c r="F439" t="s">
        <v>21</v>
      </c>
      <c r="G439" t="s">
        <v>63</v>
      </c>
      <c r="H439" t="s">
        <v>53</v>
      </c>
      <c r="I439" t="s">
        <v>744</v>
      </c>
      <c r="J439">
        <v>2007</v>
      </c>
      <c r="K439">
        <v>43698.521897777777</v>
      </c>
      <c r="L439" t="s">
        <v>25</v>
      </c>
      <c r="M439" t="s">
        <v>154</v>
      </c>
      <c r="N439" t="s">
        <v>27</v>
      </c>
      <c r="O439">
        <v>65698</v>
      </c>
      <c r="P439">
        <v>42358.779768518521</v>
      </c>
      <c r="Q439">
        <v>42188.74869197917</v>
      </c>
      <c r="R439">
        <v>444</v>
      </c>
    </row>
    <row r="440" spans="1:18" x14ac:dyDescent="0.25">
      <c r="A440" t="s">
        <v>25</v>
      </c>
      <c r="B440" t="s">
        <v>25</v>
      </c>
      <c r="C440" t="s">
        <v>1430</v>
      </c>
      <c r="D440" t="s">
        <v>1430</v>
      </c>
      <c r="E440" t="s">
        <v>1430</v>
      </c>
      <c r="F440" t="s">
        <v>21</v>
      </c>
      <c r="G440" t="s">
        <v>22</v>
      </c>
      <c r="H440" t="s">
        <v>1406</v>
      </c>
      <c r="I440" t="s">
        <v>25</v>
      </c>
      <c r="K440">
        <v>43698.521897777777</v>
      </c>
      <c r="L440" t="s">
        <v>25</v>
      </c>
      <c r="M440" t="s">
        <v>42</v>
      </c>
      <c r="N440" t="s">
        <v>27</v>
      </c>
      <c r="Q440">
        <v>42195.597905555558</v>
      </c>
      <c r="R440">
        <v>445</v>
      </c>
    </row>
    <row r="441" spans="1:18" x14ac:dyDescent="0.25">
      <c r="A441" t="s">
        <v>1431</v>
      </c>
      <c r="B441" t="s">
        <v>1432</v>
      </c>
      <c r="C441" t="s">
        <v>1433</v>
      </c>
      <c r="D441" t="s">
        <v>1433</v>
      </c>
      <c r="E441" t="s">
        <v>1433</v>
      </c>
      <c r="F441" t="s">
        <v>21</v>
      </c>
      <c r="G441" t="s">
        <v>63</v>
      </c>
      <c r="H441" t="s">
        <v>53</v>
      </c>
      <c r="I441" t="s">
        <v>1248</v>
      </c>
      <c r="J441">
        <v>2007</v>
      </c>
      <c r="K441">
        <v>43698.521897777777</v>
      </c>
      <c r="L441" t="s">
        <v>466</v>
      </c>
      <c r="M441" t="s">
        <v>154</v>
      </c>
      <c r="N441" t="s">
        <v>27</v>
      </c>
      <c r="O441">
        <v>150191</v>
      </c>
      <c r="P441">
        <v>43087.59097222222</v>
      </c>
      <c r="Q441">
        <v>42196.646170567132</v>
      </c>
      <c r="R441">
        <v>446</v>
      </c>
    </row>
    <row r="442" spans="1:18" x14ac:dyDescent="0.25">
      <c r="A442" t="s">
        <v>1434</v>
      </c>
      <c r="B442" t="s">
        <v>1435</v>
      </c>
      <c r="C442" t="s">
        <v>1436</v>
      </c>
      <c r="D442" t="s">
        <v>1436</v>
      </c>
      <c r="E442" t="s">
        <v>1436</v>
      </c>
      <c r="F442" t="s">
        <v>91</v>
      </c>
      <c r="G442" t="s">
        <v>22</v>
      </c>
      <c r="H442" t="s">
        <v>1437</v>
      </c>
      <c r="I442" t="s">
        <v>1438</v>
      </c>
      <c r="J442">
        <v>2015</v>
      </c>
      <c r="K442">
        <v>43698.521897777777</v>
      </c>
      <c r="L442" t="s">
        <v>25</v>
      </c>
      <c r="M442" t="s">
        <v>26</v>
      </c>
      <c r="N442" t="s">
        <v>1439</v>
      </c>
      <c r="Q442">
        <v>42208.514521180557</v>
      </c>
      <c r="R442">
        <v>447</v>
      </c>
    </row>
    <row r="443" spans="1:18" x14ac:dyDescent="0.25">
      <c r="A443" t="s">
        <v>1440</v>
      </c>
      <c r="B443" t="s">
        <v>1441</v>
      </c>
      <c r="C443" t="s">
        <v>1442</v>
      </c>
      <c r="D443" t="s">
        <v>1442</v>
      </c>
      <c r="E443" t="s">
        <v>1442</v>
      </c>
      <c r="F443" t="s">
        <v>21</v>
      </c>
      <c r="G443" t="s">
        <v>22</v>
      </c>
      <c r="H443" t="s">
        <v>1443</v>
      </c>
      <c r="I443" t="s">
        <v>25</v>
      </c>
      <c r="K443">
        <v>43698.521897777777</v>
      </c>
      <c r="L443" t="s">
        <v>25</v>
      </c>
      <c r="M443" t="s">
        <v>154</v>
      </c>
      <c r="N443" t="s">
        <v>27</v>
      </c>
      <c r="Q443">
        <v>42208.529980474537</v>
      </c>
      <c r="R443">
        <v>448</v>
      </c>
    </row>
    <row r="444" spans="1:18" x14ac:dyDescent="0.25">
      <c r="A444" t="s">
        <v>1444</v>
      </c>
      <c r="B444" t="s">
        <v>1445</v>
      </c>
      <c r="C444" t="s">
        <v>1446</v>
      </c>
      <c r="D444" t="s">
        <v>1446</v>
      </c>
      <c r="E444" t="s">
        <v>1446</v>
      </c>
      <c r="F444" t="s">
        <v>21</v>
      </c>
      <c r="G444" t="s">
        <v>63</v>
      </c>
      <c r="H444" t="s">
        <v>23</v>
      </c>
      <c r="I444" t="s">
        <v>41</v>
      </c>
      <c r="J444">
        <v>2011</v>
      </c>
      <c r="K444">
        <v>43698.521897777777</v>
      </c>
      <c r="L444" t="s">
        <v>25</v>
      </c>
      <c r="M444" t="s">
        <v>42</v>
      </c>
      <c r="N444" t="s">
        <v>27</v>
      </c>
      <c r="O444">
        <v>63117</v>
      </c>
      <c r="P444">
        <v>42325.873645833337</v>
      </c>
      <c r="Q444">
        <v>42212.513749155092</v>
      </c>
      <c r="R444">
        <v>449</v>
      </c>
    </row>
    <row r="445" spans="1:18" x14ac:dyDescent="0.25">
      <c r="A445" t="s">
        <v>1447</v>
      </c>
      <c r="B445" t="s">
        <v>1448</v>
      </c>
      <c r="C445" t="s">
        <v>1449</v>
      </c>
      <c r="D445" t="s">
        <v>1449</v>
      </c>
      <c r="E445" t="s">
        <v>1449</v>
      </c>
      <c r="F445" t="s">
        <v>21</v>
      </c>
      <c r="G445" t="s">
        <v>63</v>
      </c>
      <c r="H445" t="s">
        <v>236</v>
      </c>
      <c r="I445" t="s">
        <v>41</v>
      </c>
      <c r="J445">
        <v>2012</v>
      </c>
      <c r="K445">
        <v>43698.521897777777</v>
      </c>
      <c r="L445" t="s">
        <v>25</v>
      </c>
      <c r="M445" t="s">
        <v>42</v>
      </c>
      <c r="N445" t="s">
        <v>27</v>
      </c>
      <c r="O445">
        <v>74799</v>
      </c>
      <c r="P445">
        <v>42500.453738425924</v>
      </c>
      <c r="Q445">
        <v>42215.743699537037</v>
      </c>
      <c r="R445">
        <v>450</v>
      </c>
    </row>
    <row r="446" spans="1:18" x14ac:dyDescent="0.25">
      <c r="A446" t="s">
        <v>1450</v>
      </c>
      <c r="B446" t="s">
        <v>1451</v>
      </c>
      <c r="C446" t="s">
        <v>1452</v>
      </c>
      <c r="D446" t="s">
        <v>1452</v>
      </c>
      <c r="E446" t="s">
        <v>1452</v>
      </c>
      <c r="F446" t="s">
        <v>21</v>
      </c>
      <c r="G446" t="s">
        <v>63</v>
      </c>
      <c r="H446" t="s">
        <v>34</v>
      </c>
      <c r="I446" t="s">
        <v>35</v>
      </c>
      <c r="J446">
        <v>2009</v>
      </c>
      <c r="K446">
        <v>43698.521897777777</v>
      </c>
      <c r="L446" t="s">
        <v>25</v>
      </c>
      <c r="M446" t="s">
        <v>42</v>
      </c>
      <c r="N446" t="s">
        <v>27</v>
      </c>
      <c r="O446">
        <v>57345</v>
      </c>
      <c r="P446">
        <v>42224.767395833333</v>
      </c>
      <c r="Q446">
        <v>42215.765277893515</v>
      </c>
      <c r="R446">
        <v>451</v>
      </c>
    </row>
    <row r="447" spans="1:18" x14ac:dyDescent="0.25">
      <c r="A447" t="s">
        <v>1453</v>
      </c>
      <c r="B447" t="s">
        <v>1454</v>
      </c>
      <c r="C447" t="s">
        <v>1455</v>
      </c>
      <c r="D447" t="s">
        <v>1455</v>
      </c>
      <c r="E447" t="s">
        <v>1455</v>
      </c>
      <c r="F447" t="s">
        <v>21</v>
      </c>
      <c r="G447" t="s">
        <v>63</v>
      </c>
      <c r="H447" t="s">
        <v>34</v>
      </c>
      <c r="I447" t="s">
        <v>149</v>
      </c>
      <c r="J447">
        <v>2011</v>
      </c>
      <c r="K447">
        <v>43698.521897777777</v>
      </c>
      <c r="L447" t="s">
        <v>25</v>
      </c>
      <c r="M447" t="s">
        <v>154</v>
      </c>
      <c r="N447" t="s">
        <v>27</v>
      </c>
      <c r="O447">
        <v>150090</v>
      </c>
      <c r="P447">
        <v>43088.592395833337</v>
      </c>
      <c r="Q447">
        <v>42217.628572685186</v>
      </c>
      <c r="R447">
        <v>452</v>
      </c>
    </row>
    <row r="448" spans="1:18" x14ac:dyDescent="0.25">
      <c r="A448" t="s">
        <v>1456</v>
      </c>
      <c r="B448" t="s">
        <v>1457</v>
      </c>
      <c r="C448" t="s">
        <v>1458</v>
      </c>
      <c r="D448" t="s">
        <v>1458</v>
      </c>
      <c r="E448" t="s">
        <v>1458</v>
      </c>
      <c r="F448" t="s">
        <v>21</v>
      </c>
      <c r="G448" t="s">
        <v>63</v>
      </c>
      <c r="H448" t="s">
        <v>53</v>
      </c>
      <c r="I448" t="s">
        <v>1162</v>
      </c>
      <c r="J448">
        <v>2009</v>
      </c>
      <c r="K448">
        <v>43698.521897777777</v>
      </c>
      <c r="L448" t="s">
        <v>25</v>
      </c>
      <c r="M448" t="s">
        <v>154</v>
      </c>
      <c r="N448" t="s">
        <v>27</v>
      </c>
      <c r="O448">
        <v>156099</v>
      </c>
      <c r="P448">
        <v>43128.813738425924</v>
      </c>
      <c r="Q448">
        <v>42221.62965451389</v>
      </c>
      <c r="R448">
        <v>453</v>
      </c>
    </row>
    <row r="449" spans="1:18" x14ac:dyDescent="0.25">
      <c r="A449" t="s">
        <v>1459</v>
      </c>
      <c r="B449" t="s">
        <v>1460</v>
      </c>
      <c r="C449" t="s">
        <v>1461</v>
      </c>
      <c r="D449" t="s">
        <v>1461</v>
      </c>
      <c r="E449" t="s">
        <v>1461</v>
      </c>
      <c r="F449" t="s">
        <v>21</v>
      </c>
      <c r="G449" t="s">
        <v>63</v>
      </c>
      <c r="H449" t="s">
        <v>34</v>
      </c>
      <c r="I449" t="s">
        <v>35</v>
      </c>
      <c r="J449">
        <v>2014</v>
      </c>
      <c r="K449">
        <v>43698.521897777777</v>
      </c>
      <c r="L449" t="s">
        <v>25</v>
      </c>
      <c r="M449" t="s">
        <v>42</v>
      </c>
      <c r="N449" t="s">
        <v>27</v>
      </c>
      <c r="O449">
        <v>74296</v>
      </c>
      <c r="P449">
        <v>42494.488715277781</v>
      </c>
      <c r="Q449">
        <v>42223.555547337965</v>
      </c>
      <c r="R449">
        <v>454</v>
      </c>
    </row>
    <row r="450" spans="1:18" x14ac:dyDescent="0.25">
      <c r="A450" t="s">
        <v>1462</v>
      </c>
      <c r="B450" t="s">
        <v>1463</v>
      </c>
      <c r="C450" t="s">
        <v>1464</v>
      </c>
      <c r="D450" t="s">
        <v>1464</v>
      </c>
      <c r="E450" t="s">
        <v>1464</v>
      </c>
      <c r="F450" t="s">
        <v>21</v>
      </c>
      <c r="G450" t="s">
        <v>63</v>
      </c>
      <c r="H450" t="s">
        <v>34</v>
      </c>
      <c r="I450" t="s">
        <v>35</v>
      </c>
      <c r="J450">
        <v>2016</v>
      </c>
      <c r="K450">
        <v>43698.521897777777</v>
      </c>
      <c r="L450" t="s">
        <v>25</v>
      </c>
      <c r="M450" t="s">
        <v>42</v>
      </c>
      <c r="N450" t="s">
        <v>27</v>
      </c>
      <c r="O450">
        <v>58427</v>
      </c>
      <c r="P450">
        <v>42244.101493055554</v>
      </c>
      <c r="Q450">
        <v>42223.60128333333</v>
      </c>
      <c r="R450">
        <v>455</v>
      </c>
    </row>
    <row r="451" spans="1:18" x14ac:dyDescent="0.25">
      <c r="A451" t="s">
        <v>1465</v>
      </c>
      <c r="B451" t="s">
        <v>533</v>
      </c>
      <c r="C451" t="s">
        <v>1466</v>
      </c>
      <c r="D451" t="s">
        <v>1466</v>
      </c>
      <c r="E451" t="s">
        <v>1466</v>
      </c>
      <c r="F451" t="s">
        <v>21</v>
      </c>
      <c r="G451" t="s">
        <v>63</v>
      </c>
      <c r="H451" t="s">
        <v>34</v>
      </c>
      <c r="I451" t="s">
        <v>149</v>
      </c>
      <c r="J451">
        <v>2013</v>
      </c>
      <c r="K451">
        <v>43698.521897777777</v>
      </c>
      <c r="L451" t="s">
        <v>466</v>
      </c>
      <c r="M451" t="s">
        <v>154</v>
      </c>
      <c r="N451" t="s">
        <v>27</v>
      </c>
      <c r="O451">
        <v>250921</v>
      </c>
      <c r="P451">
        <v>43449.663194444445</v>
      </c>
      <c r="Q451">
        <v>42226.753625347221</v>
      </c>
      <c r="R451">
        <v>456</v>
      </c>
    </row>
    <row r="452" spans="1:18" x14ac:dyDescent="0.25">
      <c r="A452" t="s">
        <v>1467</v>
      </c>
      <c r="B452" t="s">
        <v>210</v>
      </c>
      <c r="C452" t="s">
        <v>1468</v>
      </c>
      <c r="D452" t="s">
        <v>1468</v>
      </c>
      <c r="E452" t="s">
        <v>1468</v>
      </c>
      <c r="F452" t="s">
        <v>21</v>
      </c>
      <c r="G452" t="s">
        <v>63</v>
      </c>
      <c r="H452" t="s">
        <v>23</v>
      </c>
      <c r="I452" t="s">
        <v>59</v>
      </c>
      <c r="J452">
        <v>2006</v>
      </c>
      <c r="K452">
        <v>43698.521897777777</v>
      </c>
      <c r="L452" t="s">
        <v>466</v>
      </c>
      <c r="M452" t="s">
        <v>154</v>
      </c>
      <c r="N452" t="s">
        <v>27</v>
      </c>
      <c r="O452">
        <v>292781</v>
      </c>
      <c r="P452">
        <v>43568.158333333333</v>
      </c>
      <c r="Q452">
        <v>42226.762573761574</v>
      </c>
      <c r="R452">
        <v>457</v>
      </c>
    </row>
    <row r="453" spans="1:18" x14ac:dyDescent="0.25">
      <c r="A453" t="s">
        <v>1469</v>
      </c>
      <c r="B453" t="s">
        <v>1470</v>
      </c>
      <c r="C453" t="s">
        <v>1471</v>
      </c>
      <c r="D453" t="s">
        <v>1471</v>
      </c>
      <c r="E453" t="s">
        <v>1472</v>
      </c>
      <c r="F453" t="s">
        <v>21</v>
      </c>
      <c r="G453" t="s">
        <v>22</v>
      </c>
      <c r="H453" t="s">
        <v>53</v>
      </c>
      <c r="I453" t="s">
        <v>471</v>
      </c>
      <c r="J453">
        <v>2016</v>
      </c>
      <c r="K453">
        <v>43698.521897777777</v>
      </c>
      <c r="L453" t="s">
        <v>25</v>
      </c>
      <c r="M453" t="s">
        <v>42</v>
      </c>
      <c r="N453" t="s">
        <v>27</v>
      </c>
      <c r="O453">
        <v>115862</v>
      </c>
      <c r="P453">
        <v>42894.207743055558</v>
      </c>
      <c r="Q453">
        <v>42228.687543171298</v>
      </c>
      <c r="R453">
        <v>458</v>
      </c>
    </row>
    <row r="454" spans="1:18" x14ac:dyDescent="0.25">
      <c r="A454" t="s">
        <v>1473</v>
      </c>
      <c r="B454" t="s">
        <v>1474</v>
      </c>
      <c r="C454" t="s">
        <v>1475</v>
      </c>
      <c r="D454" t="s">
        <v>1475</v>
      </c>
      <c r="E454" t="s">
        <v>1476</v>
      </c>
      <c r="F454" t="s">
        <v>21</v>
      </c>
      <c r="G454" t="s">
        <v>22</v>
      </c>
      <c r="H454" t="s">
        <v>53</v>
      </c>
      <c r="I454" t="s">
        <v>471</v>
      </c>
      <c r="J454">
        <v>2016</v>
      </c>
      <c r="K454">
        <v>43698.521897777777</v>
      </c>
      <c r="L454" t="s">
        <v>25</v>
      </c>
      <c r="M454" t="s">
        <v>42</v>
      </c>
      <c r="N454" t="s">
        <v>27</v>
      </c>
      <c r="O454">
        <v>118313</v>
      </c>
      <c r="P454">
        <v>42908.999305555553</v>
      </c>
      <c r="Q454">
        <v>42228.688437037039</v>
      </c>
      <c r="R454">
        <v>459</v>
      </c>
    </row>
    <row r="455" spans="1:18" x14ac:dyDescent="0.25">
      <c r="A455" t="s">
        <v>1477</v>
      </c>
      <c r="B455" t="s">
        <v>1478</v>
      </c>
      <c r="C455" t="s">
        <v>1479</v>
      </c>
      <c r="D455" t="s">
        <v>1479</v>
      </c>
      <c r="E455" t="s">
        <v>1480</v>
      </c>
      <c r="F455" t="s">
        <v>21</v>
      </c>
      <c r="G455" t="s">
        <v>22</v>
      </c>
      <c r="H455" t="s">
        <v>998</v>
      </c>
      <c r="I455" t="s">
        <v>471</v>
      </c>
      <c r="J455">
        <v>2016</v>
      </c>
      <c r="K455">
        <v>43698.521897777777</v>
      </c>
      <c r="L455" t="s">
        <v>25</v>
      </c>
      <c r="M455" t="s">
        <v>42</v>
      </c>
      <c r="N455" t="s">
        <v>27</v>
      </c>
      <c r="O455">
        <v>116787</v>
      </c>
      <c r="P455">
        <v>42899.208333333336</v>
      </c>
      <c r="Q455">
        <v>42228.689044016202</v>
      </c>
      <c r="R455">
        <v>460</v>
      </c>
    </row>
    <row r="456" spans="1:18" x14ac:dyDescent="0.25">
      <c r="A456" t="s">
        <v>1481</v>
      </c>
      <c r="B456" t="s">
        <v>1482</v>
      </c>
      <c r="C456" t="s">
        <v>1483</v>
      </c>
      <c r="D456" t="s">
        <v>1483</v>
      </c>
      <c r="E456" t="s">
        <v>1484</v>
      </c>
      <c r="F456" t="s">
        <v>21</v>
      </c>
      <c r="G456" t="s">
        <v>22</v>
      </c>
      <c r="H456" t="s">
        <v>53</v>
      </c>
      <c r="I456" t="s">
        <v>471</v>
      </c>
      <c r="J456">
        <v>2016</v>
      </c>
      <c r="K456">
        <v>43698.521897777777</v>
      </c>
      <c r="L456" t="s">
        <v>25</v>
      </c>
      <c r="M456" t="s">
        <v>42</v>
      </c>
      <c r="N456" t="s">
        <v>27</v>
      </c>
      <c r="O456">
        <v>118325</v>
      </c>
      <c r="P456">
        <v>42908.947916666664</v>
      </c>
      <c r="Q456">
        <v>42228.689756747684</v>
      </c>
      <c r="R456">
        <v>461</v>
      </c>
    </row>
    <row r="457" spans="1:18" x14ac:dyDescent="0.25">
      <c r="A457" t="s">
        <v>1485</v>
      </c>
      <c r="B457" t="s">
        <v>1486</v>
      </c>
      <c r="C457" t="s">
        <v>1487</v>
      </c>
      <c r="D457" t="s">
        <v>1487</v>
      </c>
      <c r="E457" t="s">
        <v>1488</v>
      </c>
      <c r="F457" t="s">
        <v>21</v>
      </c>
      <c r="G457" t="s">
        <v>22</v>
      </c>
      <c r="H457" t="s">
        <v>998</v>
      </c>
      <c r="I457" t="s">
        <v>471</v>
      </c>
      <c r="J457">
        <v>2016</v>
      </c>
      <c r="K457">
        <v>43698.521897777777</v>
      </c>
      <c r="L457" t="s">
        <v>25</v>
      </c>
      <c r="M457" t="s">
        <v>42</v>
      </c>
      <c r="N457" t="s">
        <v>27</v>
      </c>
      <c r="O457">
        <v>116867</v>
      </c>
      <c r="P457">
        <v>42899.510416666664</v>
      </c>
      <c r="Q457">
        <v>42228.690425115739</v>
      </c>
      <c r="R457">
        <v>462</v>
      </c>
    </row>
    <row r="458" spans="1:18" x14ac:dyDescent="0.25">
      <c r="A458" t="s">
        <v>1489</v>
      </c>
      <c r="B458" t="s">
        <v>1490</v>
      </c>
      <c r="C458" t="s">
        <v>1491</v>
      </c>
      <c r="D458" t="s">
        <v>1491</v>
      </c>
      <c r="E458" t="s">
        <v>1492</v>
      </c>
      <c r="F458" t="s">
        <v>21</v>
      </c>
      <c r="G458" t="s">
        <v>22</v>
      </c>
      <c r="H458" t="s">
        <v>998</v>
      </c>
      <c r="I458" t="s">
        <v>471</v>
      </c>
      <c r="J458">
        <v>2016</v>
      </c>
      <c r="K458">
        <v>43698.521897777777</v>
      </c>
      <c r="L458" t="s">
        <v>25</v>
      </c>
      <c r="M458" t="s">
        <v>154</v>
      </c>
      <c r="N458" t="s">
        <v>27</v>
      </c>
      <c r="O458">
        <v>131524</v>
      </c>
      <c r="P458">
        <v>42992.764745370368</v>
      </c>
      <c r="Q458">
        <v>42228.691175462962</v>
      </c>
      <c r="R458">
        <v>463</v>
      </c>
    </row>
    <row r="459" spans="1:18" x14ac:dyDescent="0.25">
      <c r="A459" t="s">
        <v>1493</v>
      </c>
      <c r="B459" t="s">
        <v>1494</v>
      </c>
      <c r="C459" t="s">
        <v>1495</v>
      </c>
      <c r="D459" t="s">
        <v>1495</v>
      </c>
      <c r="E459" t="s">
        <v>1496</v>
      </c>
      <c r="F459" t="s">
        <v>21</v>
      </c>
      <c r="G459" t="s">
        <v>22</v>
      </c>
      <c r="H459" t="s">
        <v>998</v>
      </c>
      <c r="I459" t="s">
        <v>471</v>
      </c>
      <c r="J459">
        <v>2016</v>
      </c>
      <c r="K459">
        <v>43698.521897777777</v>
      </c>
      <c r="L459" t="s">
        <v>25</v>
      </c>
      <c r="M459" t="s">
        <v>154</v>
      </c>
      <c r="N459" t="s">
        <v>27</v>
      </c>
      <c r="O459">
        <v>80445</v>
      </c>
      <c r="P459">
        <v>42570.786076388889</v>
      </c>
      <c r="Q459">
        <v>42228.691933136572</v>
      </c>
      <c r="R459">
        <v>464</v>
      </c>
    </row>
    <row r="460" spans="1:18" x14ac:dyDescent="0.25">
      <c r="A460" t="s">
        <v>1497</v>
      </c>
      <c r="B460" t="s">
        <v>1498</v>
      </c>
      <c r="C460" t="s">
        <v>1499</v>
      </c>
      <c r="D460" t="s">
        <v>1499</v>
      </c>
      <c r="E460" t="s">
        <v>1500</v>
      </c>
      <c r="F460" t="s">
        <v>21</v>
      </c>
      <c r="G460" t="s">
        <v>22</v>
      </c>
      <c r="H460" t="s">
        <v>998</v>
      </c>
      <c r="I460" t="s">
        <v>471</v>
      </c>
      <c r="J460">
        <v>2016</v>
      </c>
      <c r="K460">
        <v>43698.521897777777</v>
      </c>
      <c r="L460" t="s">
        <v>25</v>
      </c>
      <c r="M460" t="s">
        <v>154</v>
      </c>
      <c r="N460" t="s">
        <v>27</v>
      </c>
      <c r="O460">
        <v>81497</v>
      </c>
      <c r="P460">
        <v>42584.609282407408</v>
      </c>
      <c r="Q460">
        <v>42228.692625115742</v>
      </c>
      <c r="R460">
        <v>465</v>
      </c>
    </row>
    <row r="461" spans="1:18" x14ac:dyDescent="0.25">
      <c r="A461" t="s">
        <v>1501</v>
      </c>
      <c r="B461" t="s">
        <v>1502</v>
      </c>
      <c r="C461" t="s">
        <v>1503</v>
      </c>
      <c r="D461" t="s">
        <v>1503</v>
      </c>
      <c r="E461" t="s">
        <v>1504</v>
      </c>
      <c r="F461" t="s">
        <v>21</v>
      </c>
      <c r="G461" t="s">
        <v>22</v>
      </c>
      <c r="H461" t="s">
        <v>998</v>
      </c>
      <c r="I461" t="s">
        <v>471</v>
      </c>
      <c r="J461">
        <v>2016</v>
      </c>
      <c r="K461">
        <v>43698.521897777777</v>
      </c>
      <c r="L461" t="s">
        <v>25</v>
      </c>
      <c r="M461" t="s">
        <v>154</v>
      </c>
      <c r="N461" t="s">
        <v>27</v>
      </c>
      <c r="O461">
        <v>81700</v>
      </c>
      <c r="P461">
        <v>42585.682638888888</v>
      </c>
      <c r="Q461">
        <v>42228.693975034723</v>
      </c>
      <c r="R461">
        <v>466</v>
      </c>
    </row>
    <row r="462" spans="1:18" x14ac:dyDescent="0.25">
      <c r="A462" t="s">
        <v>1505</v>
      </c>
      <c r="B462" t="s">
        <v>1506</v>
      </c>
      <c r="C462" t="s">
        <v>1507</v>
      </c>
      <c r="D462" t="s">
        <v>1507</v>
      </c>
      <c r="E462" t="s">
        <v>1508</v>
      </c>
      <c r="F462" t="s">
        <v>91</v>
      </c>
      <c r="G462" t="s">
        <v>63</v>
      </c>
      <c r="H462" t="s">
        <v>998</v>
      </c>
      <c r="I462" t="s">
        <v>471</v>
      </c>
      <c r="J462">
        <v>2016</v>
      </c>
      <c r="K462">
        <v>43698.521897777777</v>
      </c>
      <c r="L462" t="s">
        <v>899</v>
      </c>
      <c r="M462" t="s">
        <v>154</v>
      </c>
      <c r="N462" t="s">
        <v>523</v>
      </c>
      <c r="O462">
        <v>346597</v>
      </c>
      <c r="P462">
        <v>43698.521897777777</v>
      </c>
      <c r="Q462">
        <v>42228.694991435186</v>
      </c>
      <c r="R462">
        <v>467</v>
      </c>
    </row>
    <row r="463" spans="1:18" x14ac:dyDescent="0.25">
      <c r="A463" t="s">
        <v>1509</v>
      </c>
      <c r="B463" t="s">
        <v>1510</v>
      </c>
      <c r="C463" t="s">
        <v>1511</v>
      </c>
      <c r="D463" t="s">
        <v>1511</v>
      </c>
      <c r="E463" t="s">
        <v>1511</v>
      </c>
      <c r="F463" t="s">
        <v>21</v>
      </c>
      <c r="G463" t="s">
        <v>63</v>
      </c>
      <c r="H463" t="s">
        <v>34</v>
      </c>
      <c r="I463" t="s">
        <v>35</v>
      </c>
      <c r="J463">
        <v>2007</v>
      </c>
      <c r="K463">
        <v>43698.521897777777</v>
      </c>
      <c r="L463" t="s">
        <v>25</v>
      </c>
      <c r="M463" t="s">
        <v>42</v>
      </c>
      <c r="N463" t="s">
        <v>27</v>
      </c>
      <c r="O463">
        <v>68640</v>
      </c>
      <c r="P463">
        <v>42408.78329861111</v>
      </c>
      <c r="Q463">
        <v>42230.644018287036</v>
      </c>
      <c r="R463">
        <v>468</v>
      </c>
    </row>
    <row r="464" spans="1:18" x14ac:dyDescent="0.25">
      <c r="A464" t="s">
        <v>1512</v>
      </c>
      <c r="B464" t="s">
        <v>1513</v>
      </c>
      <c r="C464" t="s">
        <v>1514</v>
      </c>
      <c r="D464" t="s">
        <v>1514</v>
      </c>
      <c r="E464" t="s">
        <v>1514</v>
      </c>
      <c r="F464" t="s">
        <v>21</v>
      </c>
      <c r="G464" t="s">
        <v>63</v>
      </c>
      <c r="H464" t="s">
        <v>34</v>
      </c>
      <c r="I464" t="s">
        <v>25</v>
      </c>
      <c r="J464">
        <v>2007</v>
      </c>
      <c r="K464">
        <v>43698.521897777777</v>
      </c>
      <c r="L464" t="s">
        <v>25</v>
      </c>
      <c r="M464" t="s">
        <v>154</v>
      </c>
      <c r="N464" t="s">
        <v>27</v>
      </c>
      <c r="O464">
        <v>62297</v>
      </c>
      <c r="P464">
        <v>42311.288171296299</v>
      </c>
      <c r="Q464">
        <v>42241.748087349537</v>
      </c>
      <c r="R464">
        <v>469</v>
      </c>
    </row>
    <row r="465" spans="1:18" x14ac:dyDescent="0.25">
      <c r="A465" t="s">
        <v>1515</v>
      </c>
      <c r="B465" t="s">
        <v>564</v>
      </c>
      <c r="C465" t="s">
        <v>1516</v>
      </c>
      <c r="D465" t="s">
        <v>1516</v>
      </c>
      <c r="E465" t="s">
        <v>1516</v>
      </c>
      <c r="F465" t="s">
        <v>21</v>
      </c>
      <c r="G465" t="s">
        <v>63</v>
      </c>
      <c r="H465" t="s">
        <v>53</v>
      </c>
      <c r="I465" t="s">
        <v>41</v>
      </c>
      <c r="J465">
        <v>2007</v>
      </c>
      <c r="K465">
        <v>43698.521897777777</v>
      </c>
      <c r="L465" t="s">
        <v>25</v>
      </c>
      <c r="M465" t="s">
        <v>42</v>
      </c>
      <c r="N465" t="s">
        <v>27</v>
      </c>
      <c r="O465">
        <v>70896</v>
      </c>
      <c r="P465">
        <v>42444.093032407407</v>
      </c>
      <c r="Q465">
        <v>42242.68310451389</v>
      </c>
      <c r="R465">
        <v>470</v>
      </c>
    </row>
    <row r="466" spans="1:18" x14ac:dyDescent="0.25">
      <c r="A466" t="s">
        <v>1517</v>
      </c>
      <c r="B466" t="s">
        <v>1518</v>
      </c>
      <c r="C466" t="s">
        <v>1519</v>
      </c>
      <c r="D466" t="s">
        <v>1519</v>
      </c>
      <c r="E466" t="s">
        <v>1519</v>
      </c>
      <c r="F466" t="s">
        <v>21</v>
      </c>
      <c r="G466" t="s">
        <v>63</v>
      </c>
      <c r="H466" t="s">
        <v>53</v>
      </c>
      <c r="I466" t="s">
        <v>1162</v>
      </c>
      <c r="J466">
        <v>2008</v>
      </c>
      <c r="K466">
        <v>43698.521897777777</v>
      </c>
      <c r="L466" t="s">
        <v>25</v>
      </c>
      <c r="M466" t="s">
        <v>154</v>
      </c>
      <c r="N466" t="s">
        <v>27</v>
      </c>
      <c r="O466">
        <v>155998</v>
      </c>
      <c r="P466">
        <v>43128.677395833336</v>
      </c>
      <c r="Q466">
        <v>42248.62739927083</v>
      </c>
      <c r="R466">
        <v>471</v>
      </c>
    </row>
    <row r="467" spans="1:18" x14ac:dyDescent="0.25">
      <c r="A467" t="s">
        <v>1520</v>
      </c>
      <c r="B467" t="s">
        <v>1521</v>
      </c>
      <c r="C467" t="s">
        <v>1522</v>
      </c>
      <c r="D467" t="s">
        <v>1522</v>
      </c>
      <c r="E467" t="s">
        <v>1522</v>
      </c>
      <c r="F467" t="s">
        <v>21</v>
      </c>
      <c r="G467" t="s">
        <v>63</v>
      </c>
      <c r="H467" t="s">
        <v>53</v>
      </c>
      <c r="I467" t="s">
        <v>810</v>
      </c>
      <c r="J467">
        <v>2011</v>
      </c>
      <c r="K467">
        <v>43698.521897777777</v>
      </c>
      <c r="L467" t="s">
        <v>25</v>
      </c>
      <c r="M467" t="s">
        <v>26</v>
      </c>
      <c r="N467" t="s">
        <v>27</v>
      </c>
      <c r="O467">
        <v>140421</v>
      </c>
      <c r="P467">
        <v>43040.104548611111</v>
      </c>
      <c r="Q467">
        <v>42249.652466666666</v>
      </c>
      <c r="R467">
        <v>472</v>
      </c>
    </row>
    <row r="468" spans="1:18" x14ac:dyDescent="0.25">
      <c r="A468" t="s">
        <v>1523</v>
      </c>
      <c r="B468" t="s">
        <v>1524</v>
      </c>
      <c r="C468" t="s">
        <v>1525</v>
      </c>
      <c r="D468" t="s">
        <v>1525</v>
      </c>
      <c r="E468" t="s">
        <v>1525</v>
      </c>
      <c r="F468" t="s">
        <v>21</v>
      </c>
      <c r="G468" t="s">
        <v>63</v>
      </c>
      <c r="H468" t="s">
        <v>23</v>
      </c>
      <c r="I468" t="s">
        <v>1526</v>
      </c>
      <c r="J468">
        <v>2011</v>
      </c>
      <c r="K468">
        <v>43698.521897777777</v>
      </c>
      <c r="L468" t="s">
        <v>25</v>
      </c>
      <c r="M468" t="s">
        <v>154</v>
      </c>
      <c r="N468" t="s">
        <v>27</v>
      </c>
      <c r="O468">
        <v>122605</v>
      </c>
      <c r="P468">
        <v>42941.452118055553</v>
      </c>
      <c r="Q468">
        <v>42249.839313425924</v>
      </c>
      <c r="R468">
        <v>473</v>
      </c>
    </row>
    <row r="469" spans="1:18" x14ac:dyDescent="0.25">
      <c r="A469" t="s">
        <v>1527</v>
      </c>
      <c r="B469" t="s">
        <v>1528</v>
      </c>
      <c r="C469" t="s">
        <v>1529</v>
      </c>
      <c r="D469" t="s">
        <v>1529</v>
      </c>
      <c r="E469" t="s">
        <v>1529</v>
      </c>
      <c r="F469" t="s">
        <v>21</v>
      </c>
      <c r="G469" t="s">
        <v>63</v>
      </c>
      <c r="H469" t="s">
        <v>80</v>
      </c>
      <c r="I469" t="s">
        <v>1327</v>
      </c>
      <c r="J469">
        <v>2012</v>
      </c>
      <c r="K469">
        <v>43698.521897777777</v>
      </c>
      <c r="L469" t="s">
        <v>25</v>
      </c>
      <c r="M469" t="s">
        <v>154</v>
      </c>
      <c r="N469" t="s">
        <v>27</v>
      </c>
      <c r="O469">
        <v>163616</v>
      </c>
      <c r="P469">
        <v>43163.623541666668</v>
      </c>
      <c r="Q469">
        <v>42250.796190706016</v>
      </c>
      <c r="R469">
        <v>474</v>
      </c>
    </row>
    <row r="470" spans="1:18" x14ac:dyDescent="0.25">
      <c r="A470" t="s">
        <v>25</v>
      </c>
      <c r="B470" t="s">
        <v>25</v>
      </c>
      <c r="C470" t="s">
        <v>1530</v>
      </c>
      <c r="D470" t="s">
        <v>1531</v>
      </c>
      <c r="E470" t="s">
        <v>1532</v>
      </c>
      <c r="F470" t="s">
        <v>21</v>
      </c>
      <c r="G470" t="s">
        <v>106</v>
      </c>
      <c r="H470" t="s">
        <v>25</v>
      </c>
      <c r="I470" t="s">
        <v>25</v>
      </c>
      <c r="K470">
        <v>43698.521897777777</v>
      </c>
      <c r="L470" t="s">
        <v>25</v>
      </c>
      <c r="M470" t="s">
        <v>42</v>
      </c>
      <c r="N470" t="s">
        <v>27</v>
      </c>
      <c r="Q470">
        <v>42253.612060300926</v>
      </c>
      <c r="R470">
        <v>475</v>
      </c>
    </row>
    <row r="471" spans="1:18" x14ac:dyDescent="0.25">
      <c r="A471" t="s">
        <v>1533</v>
      </c>
      <c r="B471" t="s">
        <v>1534</v>
      </c>
      <c r="C471" t="s">
        <v>1535</v>
      </c>
      <c r="D471" t="s">
        <v>1535</v>
      </c>
      <c r="E471" t="s">
        <v>1535</v>
      </c>
      <c r="F471" t="s">
        <v>21</v>
      </c>
      <c r="G471" t="s">
        <v>63</v>
      </c>
      <c r="H471" t="s">
        <v>236</v>
      </c>
      <c r="I471" t="s">
        <v>41</v>
      </c>
      <c r="J471">
        <v>2016</v>
      </c>
      <c r="K471">
        <v>43698.521897777777</v>
      </c>
      <c r="L471" t="s">
        <v>25</v>
      </c>
      <c r="M471" t="s">
        <v>42</v>
      </c>
      <c r="N471" t="s">
        <v>27</v>
      </c>
      <c r="O471">
        <v>76586</v>
      </c>
      <c r="P471">
        <v>42522.992835648147</v>
      </c>
      <c r="Q471">
        <v>42256.639054826388</v>
      </c>
      <c r="R471">
        <v>476</v>
      </c>
    </row>
    <row r="472" spans="1:18" x14ac:dyDescent="0.25">
      <c r="A472" t="s">
        <v>1536</v>
      </c>
      <c r="B472" t="s">
        <v>1537</v>
      </c>
      <c r="C472" t="s">
        <v>1538</v>
      </c>
      <c r="D472" t="s">
        <v>1538</v>
      </c>
      <c r="E472" t="s">
        <v>1538</v>
      </c>
      <c r="F472" t="s">
        <v>21</v>
      </c>
      <c r="G472" t="s">
        <v>63</v>
      </c>
      <c r="H472" t="s">
        <v>53</v>
      </c>
      <c r="I472" t="s">
        <v>1539</v>
      </c>
      <c r="J472">
        <v>2005</v>
      </c>
      <c r="K472">
        <v>43698.521897777777</v>
      </c>
      <c r="L472" t="s">
        <v>25</v>
      </c>
      <c r="M472" t="s">
        <v>154</v>
      </c>
      <c r="N472" t="s">
        <v>27</v>
      </c>
      <c r="O472">
        <v>85092</v>
      </c>
      <c r="P472">
        <v>42624.511111111111</v>
      </c>
      <c r="Q472">
        <v>42257.785521990743</v>
      </c>
      <c r="R472">
        <v>477</v>
      </c>
    </row>
    <row r="473" spans="1:18" x14ac:dyDescent="0.25">
      <c r="A473" t="s">
        <v>1540</v>
      </c>
      <c r="B473" t="s">
        <v>1541</v>
      </c>
      <c r="C473" t="s">
        <v>1542</v>
      </c>
      <c r="D473" t="s">
        <v>1542</v>
      </c>
      <c r="E473" t="s">
        <v>1542</v>
      </c>
      <c r="F473" t="s">
        <v>21</v>
      </c>
      <c r="G473" t="s">
        <v>63</v>
      </c>
      <c r="H473" t="s">
        <v>53</v>
      </c>
      <c r="I473" t="s">
        <v>1345</v>
      </c>
      <c r="J473">
        <v>2010</v>
      </c>
      <c r="K473">
        <v>43698.521897777777</v>
      </c>
      <c r="L473" t="s">
        <v>25</v>
      </c>
      <c r="M473" t="s">
        <v>154</v>
      </c>
      <c r="N473" t="s">
        <v>27</v>
      </c>
      <c r="O473">
        <v>95891</v>
      </c>
      <c r="P473">
        <v>42728.078472222223</v>
      </c>
      <c r="Q473">
        <v>42257.788944907406</v>
      </c>
      <c r="R473">
        <v>478</v>
      </c>
    </row>
    <row r="474" spans="1:18" x14ac:dyDescent="0.25">
      <c r="A474" t="s">
        <v>1543</v>
      </c>
      <c r="B474" t="s">
        <v>1544</v>
      </c>
      <c r="C474" t="s">
        <v>1545</v>
      </c>
      <c r="D474" t="s">
        <v>1545</v>
      </c>
      <c r="E474" t="s">
        <v>1545</v>
      </c>
      <c r="F474" t="s">
        <v>253</v>
      </c>
      <c r="G474" t="s">
        <v>63</v>
      </c>
      <c r="H474" t="s">
        <v>53</v>
      </c>
      <c r="I474" t="s">
        <v>1539</v>
      </c>
      <c r="J474">
        <v>2006</v>
      </c>
      <c r="K474">
        <v>43698.521897777777</v>
      </c>
      <c r="L474" t="s">
        <v>466</v>
      </c>
      <c r="M474" t="s">
        <v>154</v>
      </c>
      <c r="N474" t="s">
        <v>467</v>
      </c>
      <c r="O474">
        <v>304757</v>
      </c>
      <c r="P474">
        <v>43599.85533564815</v>
      </c>
      <c r="Q474">
        <v>42257.796385879628</v>
      </c>
      <c r="R474">
        <v>479</v>
      </c>
    </row>
    <row r="475" spans="1:18" x14ac:dyDescent="0.25">
      <c r="A475" t="s">
        <v>1546</v>
      </c>
      <c r="B475" t="s">
        <v>1547</v>
      </c>
      <c r="C475" t="s">
        <v>1548</v>
      </c>
      <c r="D475" t="s">
        <v>1548</v>
      </c>
      <c r="E475" t="s">
        <v>1548</v>
      </c>
      <c r="F475" t="s">
        <v>91</v>
      </c>
      <c r="G475" t="s">
        <v>63</v>
      </c>
      <c r="H475" t="s">
        <v>53</v>
      </c>
      <c r="I475" t="s">
        <v>810</v>
      </c>
      <c r="J475">
        <v>2016</v>
      </c>
      <c r="K475">
        <v>43698.521897777777</v>
      </c>
      <c r="L475" t="s">
        <v>1005</v>
      </c>
      <c r="M475" t="s">
        <v>42</v>
      </c>
      <c r="N475" t="s">
        <v>415</v>
      </c>
      <c r="O475">
        <v>346033</v>
      </c>
      <c r="P475">
        <v>43697.875</v>
      </c>
      <c r="Q475">
        <v>42262.530250891206</v>
      </c>
      <c r="R475">
        <v>480</v>
      </c>
    </row>
    <row r="476" spans="1:18" x14ac:dyDescent="0.25">
      <c r="A476" t="s">
        <v>1549</v>
      </c>
      <c r="B476" t="s">
        <v>1550</v>
      </c>
      <c r="C476" t="s">
        <v>1551</v>
      </c>
      <c r="D476" t="s">
        <v>1551</v>
      </c>
      <c r="E476" t="s">
        <v>1551</v>
      </c>
      <c r="F476" t="s">
        <v>21</v>
      </c>
      <c r="G476" t="s">
        <v>63</v>
      </c>
      <c r="H476" t="s">
        <v>53</v>
      </c>
      <c r="I476" t="s">
        <v>810</v>
      </c>
      <c r="J476">
        <v>2016</v>
      </c>
      <c r="K476">
        <v>43698.521897777777</v>
      </c>
      <c r="L476" t="s">
        <v>1005</v>
      </c>
      <c r="M476" t="s">
        <v>42</v>
      </c>
      <c r="N476" t="s">
        <v>27</v>
      </c>
      <c r="O476">
        <v>240949</v>
      </c>
      <c r="P476">
        <v>43420.299305555556</v>
      </c>
      <c r="Q476">
        <v>42262.532313692129</v>
      </c>
      <c r="R476">
        <v>481</v>
      </c>
    </row>
    <row r="477" spans="1:18" x14ac:dyDescent="0.25">
      <c r="A477" t="s">
        <v>1552</v>
      </c>
      <c r="B477" t="s">
        <v>1553</v>
      </c>
      <c r="C477" t="s">
        <v>1554</v>
      </c>
      <c r="D477" t="s">
        <v>1554</v>
      </c>
      <c r="E477" t="s">
        <v>1554</v>
      </c>
      <c r="F477" t="s">
        <v>21</v>
      </c>
      <c r="G477" t="s">
        <v>63</v>
      </c>
      <c r="H477" t="s">
        <v>53</v>
      </c>
      <c r="I477" t="s">
        <v>810</v>
      </c>
      <c r="J477">
        <v>2016</v>
      </c>
      <c r="K477">
        <v>43698.521897777777</v>
      </c>
      <c r="L477" t="s">
        <v>25</v>
      </c>
      <c r="M477" t="s">
        <v>42</v>
      </c>
      <c r="N477" t="s">
        <v>27</v>
      </c>
      <c r="O477">
        <v>167823</v>
      </c>
      <c r="P477">
        <v>43178.438888888886</v>
      </c>
      <c r="Q477">
        <v>42262.536248379627</v>
      </c>
      <c r="R477">
        <v>482</v>
      </c>
    </row>
    <row r="478" spans="1:18" x14ac:dyDescent="0.25">
      <c r="A478" t="s">
        <v>1555</v>
      </c>
      <c r="B478" t="s">
        <v>1556</v>
      </c>
      <c r="C478" t="s">
        <v>1557</v>
      </c>
      <c r="D478" t="s">
        <v>1557</v>
      </c>
      <c r="E478" t="s">
        <v>1557</v>
      </c>
      <c r="F478" t="s">
        <v>21</v>
      </c>
      <c r="G478" t="s">
        <v>63</v>
      </c>
      <c r="H478" t="s">
        <v>34</v>
      </c>
      <c r="I478" t="s">
        <v>35</v>
      </c>
      <c r="J478">
        <v>2012</v>
      </c>
      <c r="K478">
        <v>43698.521897777777</v>
      </c>
      <c r="L478" t="s">
        <v>25</v>
      </c>
      <c r="M478" t="s">
        <v>42</v>
      </c>
      <c r="N478" t="s">
        <v>27</v>
      </c>
      <c r="O478">
        <v>86317</v>
      </c>
      <c r="P478">
        <v>42638.282986111109</v>
      </c>
      <c r="Q478">
        <v>42262.539212650459</v>
      </c>
      <c r="R478">
        <v>483</v>
      </c>
    </row>
    <row r="479" spans="1:18" x14ac:dyDescent="0.25">
      <c r="A479" t="s">
        <v>1558</v>
      </c>
      <c r="B479" t="s">
        <v>1559</v>
      </c>
      <c r="C479" t="s">
        <v>1560</v>
      </c>
      <c r="D479" t="s">
        <v>1560</v>
      </c>
      <c r="E479" t="s">
        <v>1560</v>
      </c>
      <c r="F479" t="s">
        <v>253</v>
      </c>
      <c r="G479" t="s">
        <v>63</v>
      </c>
      <c r="H479" t="s">
        <v>34</v>
      </c>
      <c r="I479" t="s">
        <v>35</v>
      </c>
      <c r="J479">
        <v>2016</v>
      </c>
      <c r="K479">
        <v>43698.521897777777</v>
      </c>
      <c r="L479" t="s">
        <v>1005</v>
      </c>
      <c r="M479" t="s">
        <v>42</v>
      </c>
      <c r="N479" t="s">
        <v>415</v>
      </c>
      <c r="O479">
        <v>345191</v>
      </c>
      <c r="P479">
        <v>43696.984722222223</v>
      </c>
      <c r="Q479">
        <v>42262.543986111108</v>
      </c>
      <c r="R479">
        <v>484</v>
      </c>
    </row>
    <row r="480" spans="1:18" x14ac:dyDescent="0.25">
      <c r="A480" t="s">
        <v>1561</v>
      </c>
      <c r="B480" t="s">
        <v>1562</v>
      </c>
      <c r="C480" t="s">
        <v>1563</v>
      </c>
      <c r="D480" t="s">
        <v>1563</v>
      </c>
      <c r="E480" t="s">
        <v>1563</v>
      </c>
      <c r="F480" t="s">
        <v>21</v>
      </c>
      <c r="G480" t="s">
        <v>63</v>
      </c>
      <c r="H480" t="s">
        <v>53</v>
      </c>
      <c r="I480" t="s">
        <v>471</v>
      </c>
      <c r="J480">
        <v>2013</v>
      </c>
      <c r="K480">
        <v>43698.521897777777</v>
      </c>
      <c r="L480" t="s">
        <v>466</v>
      </c>
      <c r="M480" t="s">
        <v>154</v>
      </c>
      <c r="N480" t="s">
        <v>27</v>
      </c>
      <c r="O480">
        <v>273570</v>
      </c>
      <c r="P480">
        <v>43516.018414351849</v>
      </c>
      <c r="Q480">
        <v>42264.477042094906</v>
      </c>
      <c r="R480">
        <v>485</v>
      </c>
    </row>
    <row r="481" spans="1:18" x14ac:dyDescent="0.25">
      <c r="A481" t="s">
        <v>1564</v>
      </c>
      <c r="B481" t="s">
        <v>1565</v>
      </c>
      <c r="C481" t="s">
        <v>1566</v>
      </c>
      <c r="D481" t="s">
        <v>1566</v>
      </c>
      <c r="E481" t="s">
        <v>1567</v>
      </c>
      <c r="F481" t="s">
        <v>21</v>
      </c>
      <c r="G481" t="s">
        <v>22</v>
      </c>
      <c r="H481" t="s">
        <v>53</v>
      </c>
      <c r="I481" t="s">
        <v>471</v>
      </c>
      <c r="J481">
        <v>2016</v>
      </c>
      <c r="K481">
        <v>43698.521897777777</v>
      </c>
      <c r="L481" t="s">
        <v>25</v>
      </c>
      <c r="M481" t="s">
        <v>154</v>
      </c>
      <c r="N481" t="s">
        <v>27</v>
      </c>
      <c r="O481">
        <v>130711</v>
      </c>
      <c r="P481">
        <v>42996.363217592596</v>
      </c>
      <c r="Q481">
        <v>42265.430113773145</v>
      </c>
      <c r="R481">
        <v>486</v>
      </c>
    </row>
    <row r="482" spans="1:18" x14ac:dyDescent="0.25">
      <c r="A482" t="s">
        <v>1568</v>
      </c>
      <c r="B482" t="s">
        <v>1569</v>
      </c>
      <c r="C482" t="s">
        <v>1570</v>
      </c>
      <c r="D482" t="s">
        <v>1570</v>
      </c>
      <c r="E482" t="s">
        <v>1571</v>
      </c>
      <c r="F482" t="s">
        <v>21</v>
      </c>
      <c r="G482" t="s">
        <v>22</v>
      </c>
      <c r="H482" t="s">
        <v>53</v>
      </c>
      <c r="I482" t="s">
        <v>471</v>
      </c>
      <c r="J482">
        <v>2016</v>
      </c>
      <c r="K482">
        <v>43698.521897777777</v>
      </c>
      <c r="L482" t="s">
        <v>25</v>
      </c>
      <c r="M482" t="s">
        <v>154</v>
      </c>
      <c r="N482" t="s">
        <v>27</v>
      </c>
      <c r="O482">
        <v>128969</v>
      </c>
      <c r="P482">
        <v>42980.914583333331</v>
      </c>
      <c r="Q482">
        <v>42265.433973344909</v>
      </c>
      <c r="R482">
        <v>487</v>
      </c>
    </row>
    <row r="483" spans="1:18" x14ac:dyDescent="0.25">
      <c r="A483" t="s">
        <v>1572</v>
      </c>
      <c r="B483" t="s">
        <v>1573</v>
      </c>
      <c r="C483" t="s">
        <v>1574</v>
      </c>
      <c r="D483" t="s">
        <v>1574</v>
      </c>
      <c r="E483" t="s">
        <v>1575</v>
      </c>
      <c r="F483" t="s">
        <v>21</v>
      </c>
      <c r="G483" t="s">
        <v>22</v>
      </c>
      <c r="H483" t="s">
        <v>53</v>
      </c>
      <c r="I483" t="s">
        <v>471</v>
      </c>
      <c r="J483">
        <v>2016</v>
      </c>
      <c r="K483">
        <v>43698.521897777777</v>
      </c>
      <c r="L483" t="s">
        <v>25</v>
      </c>
      <c r="M483" t="s">
        <v>154</v>
      </c>
      <c r="N483" t="s">
        <v>27</v>
      </c>
      <c r="O483">
        <v>130650</v>
      </c>
      <c r="P483">
        <v>42994.622511574074</v>
      </c>
      <c r="Q483">
        <v>42265.435537731479</v>
      </c>
      <c r="R483">
        <v>488</v>
      </c>
    </row>
    <row r="484" spans="1:18" x14ac:dyDescent="0.25">
      <c r="A484" t="s">
        <v>1576</v>
      </c>
      <c r="B484" t="s">
        <v>1577</v>
      </c>
      <c r="C484" t="s">
        <v>1578</v>
      </c>
      <c r="D484" t="s">
        <v>1578</v>
      </c>
      <c r="E484" t="s">
        <v>1579</v>
      </c>
      <c r="F484" t="s">
        <v>21</v>
      </c>
      <c r="G484" t="s">
        <v>22</v>
      </c>
      <c r="H484" t="s">
        <v>53</v>
      </c>
      <c r="I484" t="s">
        <v>471</v>
      </c>
      <c r="J484">
        <v>2016</v>
      </c>
      <c r="K484">
        <v>43698.521897777777</v>
      </c>
      <c r="L484" t="s">
        <v>25</v>
      </c>
      <c r="M484" t="s">
        <v>154</v>
      </c>
      <c r="N484" t="s">
        <v>27</v>
      </c>
      <c r="O484">
        <v>129551</v>
      </c>
      <c r="P484">
        <v>42981.694444444445</v>
      </c>
      <c r="Q484">
        <v>42265.438286377313</v>
      </c>
      <c r="R484">
        <v>489</v>
      </c>
    </row>
    <row r="485" spans="1:18" x14ac:dyDescent="0.25">
      <c r="A485" t="s">
        <v>1580</v>
      </c>
      <c r="B485" t="s">
        <v>1581</v>
      </c>
      <c r="C485" t="s">
        <v>1582</v>
      </c>
      <c r="D485" t="s">
        <v>1582</v>
      </c>
      <c r="E485" t="s">
        <v>1583</v>
      </c>
      <c r="F485" t="s">
        <v>21</v>
      </c>
      <c r="G485" t="s">
        <v>22</v>
      </c>
      <c r="H485" t="s">
        <v>53</v>
      </c>
      <c r="I485" t="s">
        <v>471</v>
      </c>
      <c r="J485">
        <v>2016</v>
      </c>
      <c r="K485">
        <v>43698.521897777777</v>
      </c>
      <c r="L485" t="s">
        <v>25</v>
      </c>
      <c r="M485" t="s">
        <v>154</v>
      </c>
      <c r="N485" t="s">
        <v>27</v>
      </c>
      <c r="O485">
        <v>129872</v>
      </c>
      <c r="P485">
        <v>42986.324305555558</v>
      </c>
      <c r="Q485">
        <v>42265.712825428243</v>
      </c>
      <c r="R485">
        <v>490</v>
      </c>
    </row>
    <row r="486" spans="1:18" x14ac:dyDescent="0.25">
      <c r="A486" t="s">
        <v>1584</v>
      </c>
      <c r="B486" t="s">
        <v>1585</v>
      </c>
      <c r="C486" t="s">
        <v>1586</v>
      </c>
      <c r="D486" t="s">
        <v>1586</v>
      </c>
      <c r="E486" t="s">
        <v>1587</v>
      </c>
      <c r="F486" t="s">
        <v>21</v>
      </c>
      <c r="G486" t="s">
        <v>22</v>
      </c>
      <c r="H486" t="s">
        <v>53</v>
      </c>
      <c r="I486" t="s">
        <v>471</v>
      </c>
      <c r="J486">
        <v>2016</v>
      </c>
      <c r="K486">
        <v>43698.521897777777</v>
      </c>
      <c r="L486" t="s">
        <v>25</v>
      </c>
      <c r="M486" t="s">
        <v>154</v>
      </c>
      <c r="N486" t="s">
        <v>27</v>
      </c>
      <c r="O486">
        <v>133195</v>
      </c>
      <c r="P486">
        <v>43007.333969907406</v>
      </c>
      <c r="Q486">
        <v>42265.713883680553</v>
      </c>
      <c r="R486">
        <v>491</v>
      </c>
    </row>
    <row r="487" spans="1:18" x14ac:dyDescent="0.25">
      <c r="A487" t="s">
        <v>1588</v>
      </c>
      <c r="B487" t="s">
        <v>1589</v>
      </c>
      <c r="C487" t="s">
        <v>1590</v>
      </c>
      <c r="D487" t="s">
        <v>1590</v>
      </c>
      <c r="E487" t="s">
        <v>1591</v>
      </c>
      <c r="F487" t="s">
        <v>21</v>
      </c>
      <c r="G487" t="s">
        <v>22</v>
      </c>
      <c r="H487" t="s">
        <v>53</v>
      </c>
      <c r="I487" t="s">
        <v>471</v>
      </c>
      <c r="J487">
        <v>2016</v>
      </c>
      <c r="K487">
        <v>43698.521897777777</v>
      </c>
      <c r="L487" t="s">
        <v>25</v>
      </c>
      <c r="M487" t="s">
        <v>154</v>
      </c>
      <c r="N487" t="s">
        <v>27</v>
      </c>
      <c r="O487">
        <v>134641</v>
      </c>
      <c r="P487">
        <v>43010.588194444441</v>
      </c>
      <c r="Q487">
        <v>42266.496652199072</v>
      </c>
      <c r="R487">
        <v>492</v>
      </c>
    </row>
    <row r="488" spans="1:18" x14ac:dyDescent="0.25">
      <c r="A488" t="s">
        <v>1592</v>
      </c>
      <c r="B488" t="s">
        <v>1593</v>
      </c>
      <c r="C488" t="s">
        <v>1594</v>
      </c>
      <c r="D488" t="s">
        <v>1594</v>
      </c>
      <c r="E488" t="s">
        <v>1595</v>
      </c>
      <c r="F488" t="s">
        <v>21</v>
      </c>
      <c r="G488" t="s">
        <v>22</v>
      </c>
      <c r="H488" t="s">
        <v>53</v>
      </c>
      <c r="I488" t="s">
        <v>471</v>
      </c>
      <c r="J488">
        <v>2016</v>
      </c>
      <c r="K488">
        <v>43698.521897777777</v>
      </c>
      <c r="L488" t="s">
        <v>25</v>
      </c>
      <c r="M488" t="s">
        <v>154</v>
      </c>
      <c r="N488" t="s">
        <v>27</v>
      </c>
      <c r="O488">
        <v>129489</v>
      </c>
      <c r="P488">
        <v>42981.883703703701</v>
      </c>
      <c r="Q488">
        <v>42266.497358449073</v>
      </c>
      <c r="R488">
        <v>493</v>
      </c>
    </row>
    <row r="489" spans="1:18" x14ac:dyDescent="0.25">
      <c r="A489" t="s">
        <v>1596</v>
      </c>
      <c r="B489" t="s">
        <v>1597</v>
      </c>
      <c r="C489" t="s">
        <v>1598</v>
      </c>
      <c r="D489" t="s">
        <v>1598</v>
      </c>
      <c r="E489" t="s">
        <v>1599</v>
      </c>
      <c r="F489" t="s">
        <v>21</v>
      </c>
      <c r="G489" t="s">
        <v>22</v>
      </c>
      <c r="H489" t="s">
        <v>53</v>
      </c>
      <c r="I489" t="s">
        <v>471</v>
      </c>
      <c r="J489">
        <v>2016</v>
      </c>
      <c r="K489">
        <v>43698.521897777777</v>
      </c>
      <c r="L489" t="s">
        <v>25</v>
      </c>
      <c r="M489" t="s">
        <v>154</v>
      </c>
      <c r="N489" t="s">
        <v>27</v>
      </c>
      <c r="O489">
        <v>134822</v>
      </c>
      <c r="P489">
        <v>43013.645150462966</v>
      </c>
      <c r="Q489">
        <v>42266.49793946759</v>
      </c>
      <c r="R489">
        <v>494</v>
      </c>
    </row>
    <row r="490" spans="1:18" x14ac:dyDescent="0.25">
      <c r="A490" t="s">
        <v>1600</v>
      </c>
      <c r="B490" t="s">
        <v>1601</v>
      </c>
      <c r="C490" t="s">
        <v>1602</v>
      </c>
      <c r="D490" t="s">
        <v>1602</v>
      </c>
      <c r="E490" t="s">
        <v>1603</v>
      </c>
      <c r="F490" t="s">
        <v>91</v>
      </c>
      <c r="G490" t="s">
        <v>63</v>
      </c>
      <c r="H490" t="s">
        <v>53</v>
      </c>
      <c r="I490" t="s">
        <v>471</v>
      </c>
      <c r="J490">
        <v>2016</v>
      </c>
      <c r="K490">
        <v>43698.521897777777</v>
      </c>
      <c r="L490" t="s">
        <v>1604</v>
      </c>
      <c r="M490" t="s">
        <v>154</v>
      </c>
      <c r="N490" t="s">
        <v>467</v>
      </c>
      <c r="O490">
        <v>346257</v>
      </c>
      <c r="P490">
        <v>43698.521897777777</v>
      </c>
      <c r="Q490">
        <v>42266.498704398145</v>
      </c>
      <c r="R490">
        <v>495</v>
      </c>
    </row>
    <row r="491" spans="1:18" x14ac:dyDescent="0.25">
      <c r="A491" t="s">
        <v>1605</v>
      </c>
      <c r="B491" t="s">
        <v>1256</v>
      </c>
      <c r="C491" t="s">
        <v>1606</v>
      </c>
      <c r="D491" t="s">
        <v>1606</v>
      </c>
      <c r="E491" t="s">
        <v>1606</v>
      </c>
      <c r="F491" t="s">
        <v>21</v>
      </c>
      <c r="G491" t="s">
        <v>63</v>
      </c>
      <c r="H491" t="s">
        <v>236</v>
      </c>
      <c r="I491" t="s">
        <v>25</v>
      </c>
      <c r="J491">
        <v>2006</v>
      </c>
      <c r="K491">
        <v>43698.521897777777</v>
      </c>
      <c r="L491" t="s">
        <v>25</v>
      </c>
      <c r="M491" t="s">
        <v>154</v>
      </c>
      <c r="N491" t="s">
        <v>1305</v>
      </c>
      <c r="O491">
        <v>148596</v>
      </c>
      <c r="P491">
        <v>43080.49523148148</v>
      </c>
      <c r="Q491">
        <v>42266.50143167824</v>
      </c>
      <c r="R491">
        <v>496</v>
      </c>
    </row>
    <row r="492" spans="1:18" x14ac:dyDescent="0.25">
      <c r="A492" t="s">
        <v>1607</v>
      </c>
      <c r="B492" t="s">
        <v>1608</v>
      </c>
      <c r="C492" t="s">
        <v>1609</v>
      </c>
      <c r="D492" t="s">
        <v>1609</v>
      </c>
      <c r="E492" t="s">
        <v>1609</v>
      </c>
      <c r="F492" t="s">
        <v>21</v>
      </c>
      <c r="G492" t="s">
        <v>63</v>
      </c>
      <c r="H492" t="s">
        <v>53</v>
      </c>
      <c r="I492" t="s">
        <v>810</v>
      </c>
      <c r="J492">
        <v>2013</v>
      </c>
      <c r="K492">
        <v>43698.521897777777</v>
      </c>
      <c r="L492" t="s">
        <v>25</v>
      </c>
      <c r="M492" t="s">
        <v>42</v>
      </c>
      <c r="N492" t="s">
        <v>27</v>
      </c>
      <c r="O492">
        <v>71227</v>
      </c>
      <c r="P492">
        <v>42450.441203703704</v>
      </c>
      <c r="Q492">
        <v>42266.506751620371</v>
      </c>
      <c r="R492">
        <v>497</v>
      </c>
    </row>
    <row r="493" spans="1:18" x14ac:dyDescent="0.25">
      <c r="A493" t="s">
        <v>1610</v>
      </c>
      <c r="B493" t="s">
        <v>1611</v>
      </c>
      <c r="C493" t="s">
        <v>1612</v>
      </c>
      <c r="D493" t="s">
        <v>1612</v>
      </c>
      <c r="E493" t="s">
        <v>1612</v>
      </c>
      <c r="F493" t="s">
        <v>21</v>
      </c>
      <c r="G493" t="s">
        <v>63</v>
      </c>
      <c r="H493" t="s">
        <v>1613</v>
      </c>
      <c r="I493" t="s">
        <v>810</v>
      </c>
      <c r="J493">
        <v>2015</v>
      </c>
      <c r="K493">
        <v>43698.521897777777</v>
      </c>
      <c r="L493" t="s">
        <v>25</v>
      </c>
      <c r="M493" t="s">
        <v>42</v>
      </c>
      <c r="N493" t="s">
        <v>27</v>
      </c>
      <c r="O493">
        <v>91648</v>
      </c>
      <c r="P493">
        <v>42690.118958333333</v>
      </c>
      <c r="Q493">
        <v>42266.508608599535</v>
      </c>
      <c r="R493">
        <v>498</v>
      </c>
    </row>
    <row r="494" spans="1:18" x14ac:dyDescent="0.25">
      <c r="A494" t="s">
        <v>1614</v>
      </c>
      <c r="B494" t="s">
        <v>1615</v>
      </c>
      <c r="C494" t="s">
        <v>1616</v>
      </c>
      <c r="D494" t="s">
        <v>1616</v>
      </c>
      <c r="E494" t="s">
        <v>1616</v>
      </c>
      <c r="F494" t="s">
        <v>21</v>
      </c>
      <c r="G494" t="s">
        <v>63</v>
      </c>
      <c r="H494" t="s">
        <v>34</v>
      </c>
      <c r="I494" t="s">
        <v>35</v>
      </c>
      <c r="J494">
        <v>2016</v>
      </c>
      <c r="K494">
        <v>43698.521897777777</v>
      </c>
      <c r="L494" t="s">
        <v>1005</v>
      </c>
      <c r="M494" t="s">
        <v>42</v>
      </c>
      <c r="N494" t="s">
        <v>27</v>
      </c>
      <c r="O494">
        <v>301727</v>
      </c>
      <c r="P494">
        <v>43590.261273148149</v>
      </c>
      <c r="Q494">
        <v>42266.536625115739</v>
      </c>
      <c r="R494">
        <v>499</v>
      </c>
    </row>
    <row r="495" spans="1:18" x14ac:dyDescent="0.25">
      <c r="A495" t="s">
        <v>1617</v>
      </c>
      <c r="B495" t="s">
        <v>1618</v>
      </c>
      <c r="C495" t="s">
        <v>1619</v>
      </c>
      <c r="D495" t="s">
        <v>1619</v>
      </c>
      <c r="E495" t="s">
        <v>1619</v>
      </c>
      <c r="F495" t="s">
        <v>91</v>
      </c>
      <c r="G495" t="s">
        <v>63</v>
      </c>
      <c r="H495" t="s">
        <v>23</v>
      </c>
      <c r="I495" t="s">
        <v>41</v>
      </c>
      <c r="J495">
        <v>2015</v>
      </c>
      <c r="K495">
        <v>43698.521897777777</v>
      </c>
      <c r="L495" t="s">
        <v>1005</v>
      </c>
      <c r="M495" t="s">
        <v>42</v>
      </c>
      <c r="N495" t="s">
        <v>27</v>
      </c>
      <c r="O495">
        <v>346405</v>
      </c>
      <c r="P495">
        <v>43698.521897777777</v>
      </c>
      <c r="Q495">
        <v>42266.537622766205</v>
      </c>
      <c r="R495">
        <v>500</v>
      </c>
    </row>
    <row r="496" spans="1:18" x14ac:dyDescent="0.25">
      <c r="A496" t="s">
        <v>1620</v>
      </c>
      <c r="B496" t="s">
        <v>1621</v>
      </c>
      <c r="C496" t="s">
        <v>1622</v>
      </c>
      <c r="D496" t="s">
        <v>1622</v>
      </c>
      <c r="E496" t="s">
        <v>1622</v>
      </c>
      <c r="F496" t="s">
        <v>21</v>
      </c>
      <c r="G496" t="s">
        <v>63</v>
      </c>
      <c r="H496" t="s">
        <v>23</v>
      </c>
      <c r="I496" t="s">
        <v>41</v>
      </c>
      <c r="J496">
        <v>2015</v>
      </c>
      <c r="K496">
        <v>43698.521897777777</v>
      </c>
      <c r="L496" t="s">
        <v>1005</v>
      </c>
      <c r="M496" t="s">
        <v>42</v>
      </c>
      <c r="N496" t="s">
        <v>27</v>
      </c>
      <c r="O496">
        <v>195002</v>
      </c>
      <c r="P496">
        <v>43279.686377314814</v>
      </c>
      <c r="Q496">
        <v>42266.53830104167</v>
      </c>
      <c r="R496">
        <v>501</v>
      </c>
    </row>
    <row r="497" spans="1:18" x14ac:dyDescent="0.25">
      <c r="A497" t="s">
        <v>1623</v>
      </c>
      <c r="B497" t="s">
        <v>1624</v>
      </c>
      <c r="C497" t="s">
        <v>1625</v>
      </c>
      <c r="D497" t="s">
        <v>1625</v>
      </c>
      <c r="E497" t="s">
        <v>1625</v>
      </c>
      <c r="F497" t="s">
        <v>21</v>
      </c>
      <c r="G497" t="s">
        <v>63</v>
      </c>
      <c r="H497" t="s">
        <v>53</v>
      </c>
      <c r="I497" t="s">
        <v>810</v>
      </c>
      <c r="J497">
        <v>2013</v>
      </c>
      <c r="K497">
        <v>43698.521897777777</v>
      </c>
      <c r="L497" t="s">
        <v>25</v>
      </c>
      <c r="M497" t="s">
        <v>42</v>
      </c>
      <c r="N497" t="s">
        <v>27</v>
      </c>
      <c r="O497">
        <v>81159</v>
      </c>
      <c r="P497">
        <v>42580.131319444445</v>
      </c>
      <c r="Q497">
        <v>42266.538775659719</v>
      </c>
      <c r="R497">
        <v>502</v>
      </c>
    </row>
    <row r="498" spans="1:18" x14ac:dyDescent="0.25">
      <c r="A498" t="s">
        <v>1626</v>
      </c>
      <c r="B498" t="s">
        <v>1627</v>
      </c>
      <c r="C498" t="s">
        <v>1628</v>
      </c>
      <c r="D498" t="s">
        <v>1628</v>
      </c>
      <c r="E498" t="s">
        <v>1628</v>
      </c>
      <c r="F498" t="s">
        <v>21</v>
      </c>
      <c r="G498" t="s">
        <v>63</v>
      </c>
      <c r="H498" t="s">
        <v>23</v>
      </c>
      <c r="I498" t="s">
        <v>41</v>
      </c>
      <c r="J498">
        <v>2015</v>
      </c>
      <c r="K498">
        <v>43698.521897777777</v>
      </c>
      <c r="L498" t="s">
        <v>1005</v>
      </c>
      <c r="M498" t="s">
        <v>42</v>
      </c>
      <c r="N498" t="s">
        <v>27</v>
      </c>
      <c r="O498">
        <v>279250</v>
      </c>
      <c r="P498">
        <v>43533.103472222225</v>
      </c>
      <c r="Q498">
        <v>42266.539493206015</v>
      </c>
      <c r="R498">
        <v>503</v>
      </c>
    </row>
    <row r="499" spans="1:18" x14ac:dyDescent="0.25">
      <c r="A499" t="s">
        <v>1629</v>
      </c>
      <c r="B499" t="s">
        <v>1630</v>
      </c>
      <c r="C499" t="s">
        <v>1631</v>
      </c>
      <c r="D499" t="s">
        <v>1631</v>
      </c>
      <c r="E499" t="s">
        <v>1631</v>
      </c>
      <c r="F499" t="s">
        <v>21</v>
      </c>
      <c r="G499" t="s">
        <v>63</v>
      </c>
      <c r="H499" t="s">
        <v>53</v>
      </c>
      <c r="I499" t="s">
        <v>810</v>
      </c>
      <c r="J499">
        <v>2016</v>
      </c>
      <c r="K499">
        <v>43698.521897777777</v>
      </c>
      <c r="L499" t="s">
        <v>25</v>
      </c>
      <c r="M499" t="s">
        <v>42</v>
      </c>
      <c r="N499" t="s">
        <v>27</v>
      </c>
      <c r="O499">
        <v>103277</v>
      </c>
      <c r="P499">
        <v>42798.234293981484</v>
      </c>
      <c r="Q499">
        <v>42270.729316087964</v>
      </c>
      <c r="R499">
        <v>504</v>
      </c>
    </row>
    <row r="500" spans="1:18" x14ac:dyDescent="0.25">
      <c r="A500" t="s">
        <v>1632</v>
      </c>
      <c r="B500" t="s">
        <v>1633</v>
      </c>
      <c r="C500" t="s">
        <v>1634</v>
      </c>
      <c r="D500" t="s">
        <v>1634</v>
      </c>
      <c r="E500" t="s">
        <v>1635</v>
      </c>
      <c r="F500" t="s">
        <v>21</v>
      </c>
      <c r="G500" t="s">
        <v>22</v>
      </c>
      <c r="H500" t="s">
        <v>53</v>
      </c>
      <c r="I500" t="s">
        <v>471</v>
      </c>
      <c r="J500">
        <v>2016</v>
      </c>
      <c r="K500">
        <v>43698.521897777777</v>
      </c>
      <c r="L500" t="s">
        <v>422</v>
      </c>
      <c r="M500" t="s">
        <v>42</v>
      </c>
      <c r="N500" t="s">
        <v>27</v>
      </c>
      <c r="O500">
        <v>211703</v>
      </c>
      <c r="P500">
        <v>43332.8125</v>
      </c>
      <c r="Q500">
        <v>42275.591104976855</v>
      </c>
      <c r="R500">
        <v>505</v>
      </c>
    </row>
    <row r="501" spans="1:18" x14ac:dyDescent="0.25">
      <c r="A501" t="s">
        <v>1636</v>
      </c>
      <c r="B501" t="s">
        <v>1637</v>
      </c>
      <c r="C501" t="s">
        <v>1638</v>
      </c>
      <c r="D501" t="s">
        <v>1638</v>
      </c>
      <c r="E501" t="s">
        <v>1639</v>
      </c>
      <c r="F501" t="s">
        <v>21</v>
      </c>
      <c r="G501" t="s">
        <v>22</v>
      </c>
      <c r="H501" t="s">
        <v>53</v>
      </c>
      <c r="I501" t="s">
        <v>471</v>
      </c>
      <c r="J501">
        <v>2016</v>
      </c>
      <c r="K501">
        <v>43698.521897777777</v>
      </c>
      <c r="L501" t="s">
        <v>1640</v>
      </c>
      <c r="M501" t="s">
        <v>42</v>
      </c>
      <c r="N501" t="s">
        <v>27</v>
      </c>
      <c r="O501">
        <v>214341</v>
      </c>
      <c r="P501">
        <v>43340.99591435185</v>
      </c>
      <c r="Q501">
        <v>42275.636903391205</v>
      </c>
      <c r="R501">
        <v>506</v>
      </c>
    </row>
    <row r="502" spans="1:18" x14ac:dyDescent="0.25">
      <c r="A502" t="s">
        <v>1641</v>
      </c>
      <c r="B502" t="s">
        <v>1642</v>
      </c>
      <c r="C502" t="s">
        <v>1643</v>
      </c>
      <c r="D502" t="s">
        <v>1643</v>
      </c>
      <c r="E502" t="s">
        <v>1643</v>
      </c>
      <c r="F502" t="s">
        <v>21</v>
      </c>
      <c r="G502" t="s">
        <v>63</v>
      </c>
      <c r="H502" t="s">
        <v>236</v>
      </c>
      <c r="I502" t="s">
        <v>728</v>
      </c>
      <c r="J502">
        <v>2007</v>
      </c>
      <c r="K502">
        <v>43698.521897777777</v>
      </c>
      <c r="L502" t="s">
        <v>25</v>
      </c>
      <c r="M502" t="s">
        <v>37</v>
      </c>
      <c r="N502" t="s">
        <v>27</v>
      </c>
      <c r="O502">
        <v>74297</v>
      </c>
      <c r="P502">
        <v>42493.646527777775</v>
      </c>
      <c r="Q502">
        <v>42275.65038900463</v>
      </c>
      <c r="R502">
        <v>507</v>
      </c>
    </row>
    <row r="503" spans="1:18" x14ac:dyDescent="0.25">
      <c r="A503" t="s">
        <v>1644</v>
      </c>
      <c r="B503" t="s">
        <v>1645</v>
      </c>
      <c r="C503" t="s">
        <v>1646</v>
      </c>
      <c r="D503" t="s">
        <v>1646</v>
      </c>
      <c r="E503" t="s">
        <v>1647</v>
      </c>
      <c r="F503" t="s">
        <v>21</v>
      </c>
      <c r="G503" t="s">
        <v>22</v>
      </c>
      <c r="H503" t="s">
        <v>53</v>
      </c>
      <c r="I503" t="s">
        <v>471</v>
      </c>
      <c r="J503">
        <v>2016</v>
      </c>
      <c r="K503">
        <v>43698.521897777777</v>
      </c>
      <c r="L503" t="s">
        <v>422</v>
      </c>
      <c r="M503" t="s">
        <v>42</v>
      </c>
      <c r="N503" t="s">
        <v>27</v>
      </c>
      <c r="O503">
        <v>207200</v>
      </c>
      <c r="P503">
        <v>43317.947916666664</v>
      </c>
      <c r="Q503">
        <v>42277.772271678237</v>
      </c>
      <c r="R503">
        <v>508</v>
      </c>
    </row>
    <row r="504" spans="1:18" x14ac:dyDescent="0.25">
      <c r="A504" t="s">
        <v>1648</v>
      </c>
      <c r="B504" t="s">
        <v>1649</v>
      </c>
      <c r="C504" t="s">
        <v>1650</v>
      </c>
      <c r="D504" t="s">
        <v>1650</v>
      </c>
      <c r="E504" t="s">
        <v>1651</v>
      </c>
      <c r="F504" t="s">
        <v>21</v>
      </c>
      <c r="G504" t="s">
        <v>22</v>
      </c>
      <c r="H504" t="s">
        <v>53</v>
      </c>
      <c r="I504" t="s">
        <v>471</v>
      </c>
      <c r="J504">
        <v>2016</v>
      </c>
      <c r="K504">
        <v>43698.521897777777</v>
      </c>
      <c r="L504" t="s">
        <v>422</v>
      </c>
      <c r="M504" t="s">
        <v>42</v>
      </c>
      <c r="N504" t="s">
        <v>27</v>
      </c>
      <c r="O504">
        <v>213918</v>
      </c>
      <c r="P504">
        <v>43339.052083333336</v>
      </c>
      <c r="Q504">
        <v>42277.78337109954</v>
      </c>
      <c r="R504">
        <v>509</v>
      </c>
    </row>
    <row r="505" spans="1:18" x14ac:dyDescent="0.25">
      <c r="A505" t="s">
        <v>1652</v>
      </c>
      <c r="B505" t="s">
        <v>1653</v>
      </c>
      <c r="C505" t="s">
        <v>1654</v>
      </c>
      <c r="D505" t="s">
        <v>1654</v>
      </c>
      <c r="E505" t="s">
        <v>1655</v>
      </c>
      <c r="F505" t="s">
        <v>21</v>
      </c>
      <c r="G505" t="s">
        <v>22</v>
      </c>
      <c r="H505" t="s">
        <v>53</v>
      </c>
      <c r="I505" t="s">
        <v>471</v>
      </c>
      <c r="J505">
        <v>2016</v>
      </c>
      <c r="K505">
        <v>43698.521897777777</v>
      </c>
      <c r="L505" t="s">
        <v>422</v>
      </c>
      <c r="M505" t="s">
        <v>42</v>
      </c>
      <c r="N505" t="s">
        <v>27</v>
      </c>
      <c r="O505">
        <v>210095</v>
      </c>
      <c r="P505">
        <v>43327.364583333336</v>
      </c>
      <c r="Q505">
        <v>42277.7912665162</v>
      </c>
      <c r="R505">
        <v>510</v>
      </c>
    </row>
    <row r="506" spans="1:18" x14ac:dyDescent="0.25">
      <c r="A506" t="s">
        <v>1656</v>
      </c>
      <c r="B506" t="s">
        <v>1657</v>
      </c>
      <c r="C506" t="s">
        <v>1658</v>
      </c>
      <c r="D506" t="s">
        <v>1658</v>
      </c>
      <c r="E506" t="s">
        <v>1659</v>
      </c>
      <c r="F506" t="s">
        <v>21</v>
      </c>
      <c r="G506" t="s">
        <v>22</v>
      </c>
      <c r="H506" t="s">
        <v>53</v>
      </c>
      <c r="I506" t="s">
        <v>471</v>
      </c>
      <c r="J506">
        <v>2016</v>
      </c>
      <c r="K506">
        <v>43698.521897777777</v>
      </c>
      <c r="L506" t="s">
        <v>1660</v>
      </c>
      <c r="M506" t="s">
        <v>37</v>
      </c>
      <c r="N506" t="s">
        <v>27</v>
      </c>
      <c r="O506">
        <v>181027</v>
      </c>
      <c r="P506">
        <v>43227.613194444442</v>
      </c>
      <c r="Q506">
        <v>42278.622827777777</v>
      </c>
      <c r="R506">
        <v>511</v>
      </c>
    </row>
    <row r="507" spans="1:18" x14ac:dyDescent="0.25">
      <c r="A507" t="s">
        <v>1661</v>
      </c>
      <c r="B507" t="s">
        <v>1662</v>
      </c>
      <c r="C507" t="s">
        <v>1663</v>
      </c>
      <c r="D507" t="s">
        <v>1663</v>
      </c>
      <c r="E507" t="s">
        <v>1664</v>
      </c>
      <c r="F507" t="s">
        <v>21</v>
      </c>
      <c r="G507" t="s">
        <v>22</v>
      </c>
      <c r="H507" t="s">
        <v>53</v>
      </c>
      <c r="I507" t="s">
        <v>471</v>
      </c>
      <c r="J507">
        <v>2016</v>
      </c>
      <c r="K507">
        <v>43698.521897777777</v>
      </c>
      <c r="L507" t="s">
        <v>1660</v>
      </c>
      <c r="M507" t="s">
        <v>37</v>
      </c>
      <c r="N507" t="s">
        <v>27</v>
      </c>
      <c r="O507">
        <v>216742</v>
      </c>
      <c r="P507">
        <v>43348.094548611109</v>
      </c>
      <c r="Q507">
        <v>42278.625462465279</v>
      </c>
      <c r="R507">
        <v>512</v>
      </c>
    </row>
    <row r="508" spans="1:18" x14ac:dyDescent="0.25">
      <c r="A508" t="s">
        <v>1665</v>
      </c>
      <c r="B508" t="s">
        <v>1666</v>
      </c>
      <c r="C508" t="s">
        <v>1667</v>
      </c>
      <c r="D508" t="s">
        <v>1667</v>
      </c>
      <c r="E508" t="s">
        <v>1668</v>
      </c>
      <c r="F508" t="s">
        <v>21</v>
      </c>
      <c r="G508" t="s">
        <v>22</v>
      </c>
      <c r="H508" t="s">
        <v>53</v>
      </c>
      <c r="I508" t="s">
        <v>471</v>
      </c>
      <c r="J508">
        <v>2016</v>
      </c>
      <c r="K508">
        <v>43698.521897777777</v>
      </c>
      <c r="L508" t="s">
        <v>1660</v>
      </c>
      <c r="M508" t="s">
        <v>37</v>
      </c>
      <c r="N508" t="s">
        <v>27</v>
      </c>
      <c r="O508">
        <v>207304</v>
      </c>
      <c r="P508">
        <v>43319.631863425922</v>
      </c>
      <c r="Q508">
        <v>42278.630989849538</v>
      </c>
      <c r="R508">
        <v>513</v>
      </c>
    </row>
    <row r="509" spans="1:18" x14ac:dyDescent="0.25">
      <c r="A509" t="s">
        <v>1669</v>
      </c>
      <c r="B509" t="s">
        <v>1670</v>
      </c>
      <c r="C509" t="s">
        <v>1671</v>
      </c>
      <c r="D509" t="s">
        <v>1671</v>
      </c>
      <c r="E509" t="s">
        <v>1672</v>
      </c>
      <c r="F509" t="s">
        <v>21</v>
      </c>
      <c r="G509" t="s">
        <v>22</v>
      </c>
      <c r="H509" t="s">
        <v>53</v>
      </c>
      <c r="I509" t="s">
        <v>471</v>
      </c>
      <c r="J509">
        <v>2016</v>
      </c>
      <c r="K509">
        <v>43698.521897777777</v>
      </c>
      <c r="L509" t="s">
        <v>1660</v>
      </c>
      <c r="M509" t="s">
        <v>37</v>
      </c>
      <c r="N509" t="s">
        <v>27</v>
      </c>
      <c r="O509">
        <v>179390</v>
      </c>
      <c r="P509">
        <v>43220.734027777777</v>
      </c>
      <c r="Q509">
        <v>42278.633471608795</v>
      </c>
      <c r="R509">
        <v>514</v>
      </c>
    </row>
    <row r="510" spans="1:18" x14ac:dyDescent="0.25">
      <c r="A510" t="s">
        <v>1673</v>
      </c>
      <c r="B510" t="s">
        <v>1674</v>
      </c>
      <c r="C510" t="s">
        <v>1675</v>
      </c>
      <c r="D510" t="s">
        <v>1675</v>
      </c>
      <c r="E510" t="s">
        <v>1676</v>
      </c>
      <c r="F510" t="s">
        <v>21</v>
      </c>
      <c r="G510" t="s">
        <v>22</v>
      </c>
      <c r="H510" t="s">
        <v>53</v>
      </c>
      <c r="I510" t="s">
        <v>471</v>
      </c>
      <c r="J510">
        <v>2016</v>
      </c>
      <c r="K510">
        <v>43698.521897777777</v>
      </c>
      <c r="L510" t="s">
        <v>1660</v>
      </c>
      <c r="M510" t="s">
        <v>37</v>
      </c>
      <c r="N510" t="s">
        <v>27</v>
      </c>
      <c r="O510">
        <v>212592</v>
      </c>
      <c r="P510">
        <v>43335.567141203705</v>
      </c>
      <c r="Q510">
        <v>42278.637474687501</v>
      </c>
      <c r="R510">
        <v>515</v>
      </c>
    </row>
    <row r="511" spans="1:18" x14ac:dyDescent="0.25">
      <c r="A511" t="s">
        <v>1677</v>
      </c>
      <c r="B511" t="s">
        <v>372</v>
      </c>
      <c r="C511" t="s">
        <v>1678</v>
      </c>
      <c r="D511" t="s">
        <v>1678</v>
      </c>
      <c r="E511" t="s">
        <v>1678</v>
      </c>
      <c r="F511" t="s">
        <v>91</v>
      </c>
      <c r="G511" t="s">
        <v>63</v>
      </c>
      <c r="H511" t="s">
        <v>23</v>
      </c>
      <c r="I511" t="s">
        <v>59</v>
      </c>
      <c r="J511">
        <v>2007</v>
      </c>
      <c r="K511">
        <v>43698.521897777777</v>
      </c>
      <c r="L511" t="s">
        <v>466</v>
      </c>
      <c r="M511" t="s">
        <v>154</v>
      </c>
      <c r="N511" t="s">
        <v>467</v>
      </c>
      <c r="O511">
        <v>343696</v>
      </c>
      <c r="P511">
        <v>43695.750069444446</v>
      </c>
      <c r="Q511">
        <v>42279.57513784722</v>
      </c>
      <c r="R511">
        <v>516</v>
      </c>
    </row>
    <row r="512" spans="1:18" x14ac:dyDescent="0.25">
      <c r="A512" t="s">
        <v>1679</v>
      </c>
      <c r="B512" t="s">
        <v>1680</v>
      </c>
      <c r="C512" t="s">
        <v>1681</v>
      </c>
      <c r="D512" t="s">
        <v>1681</v>
      </c>
      <c r="E512" t="s">
        <v>1682</v>
      </c>
      <c r="F512" t="s">
        <v>91</v>
      </c>
      <c r="G512" t="s">
        <v>22</v>
      </c>
      <c r="H512" t="s">
        <v>520</v>
      </c>
      <c r="I512" t="s">
        <v>521</v>
      </c>
      <c r="J512">
        <v>2011</v>
      </c>
      <c r="K512">
        <v>43698.521897777777</v>
      </c>
      <c r="L512" t="s">
        <v>422</v>
      </c>
      <c r="M512" t="s">
        <v>42</v>
      </c>
      <c r="N512" t="s">
        <v>27</v>
      </c>
      <c r="O512">
        <v>346834</v>
      </c>
      <c r="P512">
        <v>43698.521897777777</v>
      </c>
      <c r="Q512">
        <v>42280.662155358797</v>
      </c>
      <c r="R512">
        <v>517</v>
      </c>
    </row>
    <row r="513" spans="1:18" x14ac:dyDescent="0.25">
      <c r="A513" t="s">
        <v>1683</v>
      </c>
      <c r="B513" t="s">
        <v>376</v>
      </c>
      <c r="C513" t="s">
        <v>1684</v>
      </c>
      <c r="D513" t="s">
        <v>1684</v>
      </c>
      <c r="E513" t="s">
        <v>1684</v>
      </c>
      <c r="F513" t="s">
        <v>21</v>
      </c>
      <c r="G513" t="s">
        <v>63</v>
      </c>
      <c r="H513" t="s">
        <v>23</v>
      </c>
      <c r="I513" t="s">
        <v>59</v>
      </c>
      <c r="J513">
        <v>2007</v>
      </c>
      <c r="K513">
        <v>43698.521897777777</v>
      </c>
      <c r="L513" t="s">
        <v>1264</v>
      </c>
      <c r="M513" t="s">
        <v>154</v>
      </c>
      <c r="N513" t="s">
        <v>27</v>
      </c>
      <c r="O513">
        <v>138604</v>
      </c>
      <c r="P513">
        <v>43033.866666666669</v>
      </c>
      <c r="Q513">
        <v>42282.601844328703</v>
      </c>
      <c r="R513">
        <v>518</v>
      </c>
    </row>
    <row r="514" spans="1:18" x14ac:dyDescent="0.25">
      <c r="A514" t="s">
        <v>1685</v>
      </c>
      <c r="B514" t="s">
        <v>1135</v>
      </c>
      <c r="C514" t="s">
        <v>1686</v>
      </c>
      <c r="D514" t="s">
        <v>1686</v>
      </c>
      <c r="E514" t="s">
        <v>1686</v>
      </c>
      <c r="F514" t="s">
        <v>91</v>
      </c>
      <c r="G514" t="s">
        <v>63</v>
      </c>
      <c r="H514" t="s">
        <v>23</v>
      </c>
      <c r="I514" t="s">
        <v>24</v>
      </c>
      <c r="J514">
        <v>2007</v>
      </c>
      <c r="K514">
        <v>43698.521897777777</v>
      </c>
      <c r="L514" t="s">
        <v>466</v>
      </c>
      <c r="M514" t="s">
        <v>154</v>
      </c>
      <c r="N514" t="s">
        <v>467</v>
      </c>
      <c r="O514">
        <v>346618</v>
      </c>
      <c r="P514">
        <v>43698.521897777777</v>
      </c>
      <c r="Q514">
        <v>42282.608123379629</v>
      </c>
      <c r="R514">
        <v>519</v>
      </c>
    </row>
    <row r="515" spans="1:18" x14ac:dyDescent="0.25">
      <c r="A515" t="s">
        <v>1687</v>
      </c>
      <c r="B515" t="s">
        <v>1688</v>
      </c>
      <c r="C515" t="s">
        <v>1689</v>
      </c>
      <c r="D515" t="s">
        <v>1689</v>
      </c>
      <c r="E515" t="s">
        <v>1689</v>
      </c>
      <c r="F515" t="s">
        <v>21</v>
      </c>
      <c r="G515" t="s">
        <v>63</v>
      </c>
      <c r="H515" t="s">
        <v>23</v>
      </c>
      <c r="I515" t="s">
        <v>24</v>
      </c>
      <c r="J515">
        <v>2007</v>
      </c>
      <c r="K515">
        <v>43698.521897777777</v>
      </c>
      <c r="L515" t="s">
        <v>1264</v>
      </c>
      <c r="M515" t="s">
        <v>154</v>
      </c>
      <c r="N515" t="s">
        <v>27</v>
      </c>
      <c r="O515">
        <v>174015</v>
      </c>
      <c r="P515">
        <v>43205.592349537037</v>
      </c>
      <c r="Q515">
        <v>42282.610091122682</v>
      </c>
      <c r="R515">
        <v>520</v>
      </c>
    </row>
    <row r="516" spans="1:18" x14ac:dyDescent="0.25">
      <c r="A516" t="s">
        <v>1690</v>
      </c>
      <c r="B516" t="s">
        <v>57</v>
      </c>
      <c r="C516" t="s">
        <v>1691</v>
      </c>
      <c r="D516" t="s">
        <v>1691</v>
      </c>
      <c r="E516" t="s">
        <v>1691</v>
      </c>
      <c r="F516" t="s">
        <v>21</v>
      </c>
      <c r="G516" t="s">
        <v>63</v>
      </c>
      <c r="H516" t="s">
        <v>23</v>
      </c>
      <c r="I516" t="s">
        <v>59</v>
      </c>
      <c r="J516">
        <v>2007</v>
      </c>
      <c r="K516">
        <v>43698.521897777777</v>
      </c>
      <c r="L516" t="s">
        <v>1264</v>
      </c>
      <c r="M516" t="s">
        <v>154</v>
      </c>
      <c r="N516" t="s">
        <v>27</v>
      </c>
      <c r="O516">
        <v>130734</v>
      </c>
      <c r="P516">
        <v>42991.863043981481</v>
      </c>
      <c r="Q516">
        <v>42282.61220019676</v>
      </c>
      <c r="R516">
        <v>521</v>
      </c>
    </row>
    <row r="517" spans="1:18" x14ac:dyDescent="0.25">
      <c r="A517" t="s">
        <v>1692</v>
      </c>
      <c r="B517" t="s">
        <v>824</v>
      </c>
      <c r="C517" t="s">
        <v>1693</v>
      </c>
      <c r="D517" t="s">
        <v>1693</v>
      </c>
      <c r="E517" t="s">
        <v>1693</v>
      </c>
      <c r="F517" t="s">
        <v>21</v>
      </c>
      <c r="G517" t="s">
        <v>22</v>
      </c>
      <c r="H517" t="s">
        <v>110</v>
      </c>
      <c r="I517" t="s">
        <v>111</v>
      </c>
      <c r="J517">
        <v>2005</v>
      </c>
      <c r="K517">
        <v>43698.521897777777</v>
      </c>
      <c r="L517" t="s">
        <v>25</v>
      </c>
      <c r="M517" t="s">
        <v>37</v>
      </c>
      <c r="N517" t="s">
        <v>27</v>
      </c>
      <c r="O517">
        <v>110872</v>
      </c>
      <c r="P517">
        <v>42857.21875</v>
      </c>
      <c r="Q517">
        <v>42282.676378159726</v>
      </c>
      <c r="R517">
        <v>522</v>
      </c>
    </row>
    <row r="518" spans="1:18" x14ac:dyDescent="0.25">
      <c r="A518" t="s">
        <v>1694</v>
      </c>
      <c r="B518" t="s">
        <v>1132</v>
      </c>
      <c r="C518" t="s">
        <v>1695</v>
      </c>
      <c r="D518" t="s">
        <v>1695</v>
      </c>
      <c r="E518" t="s">
        <v>1695</v>
      </c>
      <c r="F518" t="s">
        <v>21</v>
      </c>
      <c r="G518" t="s">
        <v>63</v>
      </c>
      <c r="H518" t="s">
        <v>23</v>
      </c>
      <c r="I518" t="s">
        <v>24</v>
      </c>
      <c r="J518">
        <v>2007</v>
      </c>
      <c r="K518">
        <v>43698.521897777777</v>
      </c>
      <c r="L518" t="s">
        <v>25</v>
      </c>
      <c r="M518" t="s">
        <v>154</v>
      </c>
      <c r="N518" t="s">
        <v>27</v>
      </c>
      <c r="O518">
        <v>62401</v>
      </c>
      <c r="P518">
        <v>42314.855833333335</v>
      </c>
      <c r="Q518">
        <v>42285.745241087963</v>
      </c>
      <c r="R518">
        <v>523</v>
      </c>
    </row>
    <row r="519" spans="1:18" x14ac:dyDescent="0.25">
      <c r="A519" t="s">
        <v>1696</v>
      </c>
      <c r="B519" t="s">
        <v>1697</v>
      </c>
      <c r="C519" t="s">
        <v>1698</v>
      </c>
      <c r="D519" t="s">
        <v>1698</v>
      </c>
      <c r="E519" t="s">
        <v>1698</v>
      </c>
      <c r="F519" t="s">
        <v>21</v>
      </c>
      <c r="G519" t="s">
        <v>63</v>
      </c>
      <c r="H519" t="s">
        <v>34</v>
      </c>
      <c r="I519" t="s">
        <v>35</v>
      </c>
      <c r="J519">
        <v>2010</v>
      </c>
      <c r="K519">
        <v>43698.521897777777</v>
      </c>
      <c r="L519" t="s">
        <v>193</v>
      </c>
      <c r="M519" t="s">
        <v>42</v>
      </c>
      <c r="N519" t="s">
        <v>27</v>
      </c>
      <c r="O519">
        <v>197625</v>
      </c>
      <c r="P519">
        <v>43288.620833333334</v>
      </c>
      <c r="Q519">
        <v>42290.539497766207</v>
      </c>
      <c r="R519">
        <v>524</v>
      </c>
    </row>
    <row r="520" spans="1:18" x14ac:dyDescent="0.25">
      <c r="A520" t="s">
        <v>1699</v>
      </c>
      <c r="B520" t="s">
        <v>1700</v>
      </c>
      <c r="C520" t="s">
        <v>1701</v>
      </c>
      <c r="D520" t="s">
        <v>1701</v>
      </c>
      <c r="E520" t="s">
        <v>1701</v>
      </c>
      <c r="F520" t="s">
        <v>21</v>
      </c>
      <c r="G520" t="s">
        <v>63</v>
      </c>
      <c r="H520" t="s">
        <v>34</v>
      </c>
      <c r="I520" t="s">
        <v>35</v>
      </c>
      <c r="J520">
        <v>2006</v>
      </c>
      <c r="K520">
        <v>43698.521897777777</v>
      </c>
      <c r="L520" t="s">
        <v>25</v>
      </c>
      <c r="M520" t="s">
        <v>42</v>
      </c>
      <c r="N520" t="s">
        <v>27</v>
      </c>
      <c r="O520">
        <v>75712</v>
      </c>
      <c r="P520">
        <v>42509.687118055554</v>
      </c>
      <c r="Q520">
        <v>42290.540322187502</v>
      </c>
      <c r="R520">
        <v>525</v>
      </c>
    </row>
    <row r="521" spans="1:18" x14ac:dyDescent="0.25">
      <c r="A521" t="s">
        <v>1702</v>
      </c>
      <c r="B521" t="s">
        <v>1703</v>
      </c>
      <c r="C521" t="s">
        <v>1704</v>
      </c>
      <c r="D521" t="s">
        <v>1704</v>
      </c>
      <c r="E521" t="s">
        <v>1704</v>
      </c>
      <c r="F521" t="s">
        <v>21</v>
      </c>
      <c r="G521" t="s">
        <v>63</v>
      </c>
      <c r="H521" t="s">
        <v>34</v>
      </c>
      <c r="I521" t="s">
        <v>35</v>
      </c>
      <c r="J521">
        <v>2010</v>
      </c>
      <c r="K521">
        <v>43698.521897777777</v>
      </c>
      <c r="L521" t="s">
        <v>193</v>
      </c>
      <c r="M521" t="s">
        <v>42</v>
      </c>
      <c r="N521" t="s">
        <v>27</v>
      </c>
      <c r="O521">
        <v>207828</v>
      </c>
      <c r="P521">
        <v>43322.854097222225</v>
      </c>
      <c r="Q521">
        <v>42290.554172372686</v>
      </c>
      <c r="R521">
        <v>526</v>
      </c>
    </row>
    <row r="522" spans="1:18" x14ac:dyDescent="0.25">
      <c r="A522" t="s">
        <v>1705</v>
      </c>
      <c r="B522" t="s">
        <v>1706</v>
      </c>
      <c r="C522" t="s">
        <v>1707</v>
      </c>
      <c r="D522" t="s">
        <v>1707</v>
      </c>
      <c r="E522" t="s">
        <v>1708</v>
      </c>
      <c r="F522" t="s">
        <v>21</v>
      </c>
      <c r="G522" t="s">
        <v>63</v>
      </c>
      <c r="H522" t="s">
        <v>34</v>
      </c>
      <c r="I522" t="s">
        <v>149</v>
      </c>
      <c r="J522">
        <v>2006</v>
      </c>
      <c r="K522">
        <v>43698.521897777777</v>
      </c>
      <c r="L522" t="s">
        <v>25</v>
      </c>
      <c r="M522" t="s">
        <v>154</v>
      </c>
      <c r="N522" t="s">
        <v>27</v>
      </c>
      <c r="O522">
        <v>102888</v>
      </c>
      <c r="P522">
        <v>42799.449988425928</v>
      </c>
      <c r="Q522">
        <v>42291.540501041665</v>
      </c>
      <c r="R522">
        <v>527</v>
      </c>
    </row>
    <row r="523" spans="1:18" x14ac:dyDescent="0.25">
      <c r="A523" t="s">
        <v>1709</v>
      </c>
      <c r="B523" t="s">
        <v>1710</v>
      </c>
      <c r="C523" t="s">
        <v>1711</v>
      </c>
      <c r="D523" t="s">
        <v>1711</v>
      </c>
      <c r="E523" t="s">
        <v>1711</v>
      </c>
      <c r="F523" t="s">
        <v>21</v>
      </c>
      <c r="G523" t="s">
        <v>63</v>
      </c>
      <c r="H523" t="s">
        <v>53</v>
      </c>
      <c r="I523" t="s">
        <v>1248</v>
      </c>
      <c r="J523">
        <v>2005</v>
      </c>
      <c r="K523">
        <v>43698.521897777777</v>
      </c>
      <c r="L523" t="s">
        <v>25</v>
      </c>
      <c r="M523" t="s">
        <v>154</v>
      </c>
      <c r="N523" t="s">
        <v>27</v>
      </c>
      <c r="O523">
        <v>85771</v>
      </c>
      <c r="P523">
        <v>42636.210335648146</v>
      </c>
      <c r="Q523">
        <v>42291.558189699077</v>
      </c>
      <c r="R523">
        <v>528</v>
      </c>
    </row>
    <row r="524" spans="1:18" x14ac:dyDescent="0.25">
      <c r="A524" t="s">
        <v>1712</v>
      </c>
      <c r="B524" t="s">
        <v>382</v>
      </c>
      <c r="C524" t="s">
        <v>1713</v>
      </c>
      <c r="D524" t="s">
        <v>1713</v>
      </c>
      <c r="E524" t="s">
        <v>1713</v>
      </c>
      <c r="F524" t="s">
        <v>21</v>
      </c>
      <c r="G524" t="s">
        <v>63</v>
      </c>
      <c r="H524" t="s">
        <v>23</v>
      </c>
      <c r="I524" t="s">
        <v>59</v>
      </c>
      <c r="J524">
        <v>2007</v>
      </c>
      <c r="K524">
        <v>43698.521897777777</v>
      </c>
      <c r="L524" t="s">
        <v>1264</v>
      </c>
      <c r="M524" t="s">
        <v>154</v>
      </c>
      <c r="N524" t="s">
        <v>27</v>
      </c>
      <c r="O524">
        <v>82634</v>
      </c>
      <c r="P524">
        <v>42600.940324074072</v>
      </c>
      <c r="Q524">
        <v>42291.571961307869</v>
      </c>
      <c r="R524">
        <v>529</v>
      </c>
    </row>
    <row r="525" spans="1:18" x14ac:dyDescent="0.25">
      <c r="A525" t="s">
        <v>1714</v>
      </c>
      <c r="B525" t="s">
        <v>394</v>
      </c>
      <c r="C525" t="s">
        <v>1715</v>
      </c>
      <c r="D525" t="s">
        <v>1715</v>
      </c>
      <c r="E525" t="s">
        <v>1715</v>
      </c>
      <c r="F525" t="s">
        <v>21</v>
      </c>
      <c r="G525" t="s">
        <v>22</v>
      </c>
      <c r="H525" t="s">
        <v>53</v>
      </c>
      <c r="I525" t="s">
        <v>54</v>
      </c>
      <c r="J525">
        <v>2007</v>
      </c>
      <c r="K525">
        <v>43698.521897777777</v>
      </c>
      <c r="L525" t="s">
        <v>1716</v>
      </c>
      <c r="M525" t="s">
        <v>37</v>
      </c>
      <c r="N525" t="s">
        <v>27</v>
      </c>
      <c r="O525">
        <v>181398</v>
      </c>
      <c r="P525">
        <v>43227.886805555558</v>
      </c>
      <c r="Q525">
        <v>42291.693477430556</v>
      </c>
      <c r="R525">
        <v>530</v>
      </c>
    </row>
    <row r="526" spans="1:18" x14ac:dyDescent="0.25">
      <c r="A526" t="s">
        <v>1717</v>
      </c>
      <c r="B526" t="s">
        <v>403</v>
      </c>
      <c r="C526" t="s">
        <v>1718</v>
      </c>
      <c r="D526" t="s">
        <v>1718</v>
      </c>
      <c r="E526" t="s">
        <v>1718</v>
      </c>
      <c r="F526" t="s">
        <v>21</v>
      </c>
      <c r="G526" t="s">
        <v>22</v>
      </c>
      <c r="H526" t="s">
        <v>53</v>
      </c>
      <c r="I526" t="s">
        <v>54</v>
      </c>
      <c r="J526">
        <v>2007</v>
      </c>
      <c r="K526">
        <v>43698.521897777777</v>
      </c>
      <c r="L526" t="s">
        <v>25</v>
      </c>
      <c r="M526" t="s">
        <v>37</v>
      </c>
      <c r="N526" t="s">
        <v>27</v>
      </c>
      <c r="O526">
        <v>183860</v>
      </c>
      <c r="P526">
        <v>43236.245833333334</v>
      </c>
      <c r="Q526">
        <v>42291.696289039355</v>
      </c>
      <c r="R526">
        <v>531</v>
      </c>
    </row>
    <row r="527" spans="1:18" x14ac:dyDescent="0.25">
      <c r="A527" t="s">
        <v>1719</v>
      </c>
      <c r="B527" t="s">
        <v>1720</v>
      </c>
      <c r="C527" t="s">
        <v>1721</v>
      </c>
      <c r="D527" t="s">
        <v>1721</v>
      </c>
      <c r="E527" t="s">
        <v>1721</v>
      </c>
      <c r="F527" t="s">
        <v>21</v>
      </c>
      <c r="G527" t="s">
        <v>22</v>
      </c>
      <c r="H527" t="s">
        <v>80</v>
      </c>
      <c r="I527" t="s">
        <v>1722</v>
      </c>
      <c r="J527">
        <v>2002</v>
      </c>
      <c r="K527">
        <v>43698.521897777777</v>
      </c>
      <c r="L527" t="s">
        <v>25</v>
      </c>
      <c r="M527" t="s">
        <v>37</v>
      </c>
      <c r="N527" t="s">
        <v>27</v>
      </c>
      <c r="O527">
        <v>119359</v>
      </c>
      <c r="P527">
        <v>42916.623182870368</v>
      </c>
      <c r="Q527">
        <v>42297.635567939818</v>
      </c>
      <c r="R527">
        <v>532</v>
      </c>
    </row>
    <row r="528" spans="1:18" x14ac:dyDescent="0.25">
      <c r="A528" t="s">
        <v>1723</v>
      </c>
      <c r="B528" t="s">
        <v>1724</v>
      </c>
      <c r="C528" t="s">
        <v>1725</v>
      </c>
      <c r="D528" t="s">
        <v>1725</v>
      </c>
      <c r="E528" t="s">
        <v>1725</v>
      </c>
      <c r="F528" t="s">
        <v>91</v>
      </c>
      <c r="G528" t="s">
        <v>63</v>
      </c>
      <c r="H528" t="s">
        <v>53</v>
      </c>
      <c r="I528" t="s">
        <v>1539</v>
      </c>
      <c r="J528">
        <v>2003</v>
      </c>
      <c r="K528">
        <v>43698.521897777777</v>
      </c>
      <c r="L528" t="s">
        <v>466</v>
      </c>
      <c r="M528" t="s">
        <v>154</v>
      </c>
      <c r="N528" t="s">
        <v>467</v>
      </c>
      <c r="O528">
        <v>345861</v>
      </c>
      <c r="P528">
        <v>43698.521897777777</v>
      </c>
      <c r="Q528">
        <v>42297.701357060185</v>
      </c>
      <c r="R528">
        <v>533</v>
      </c>
    </row>
    <row r="529" spans="1:18" x14ac:dyDescent="0.25">
      <c r="A529" t="s">
        <v>1726</v>
      </c>
      <c r="B529" t="s">
        <v>1727</v>
      </c>
      <c r="C529" t="s">
        <v>1728</v>
      </c>
      <c r="D529" t="s">
        <v>1728</v>
      </c>
      <c r="E529" t="s">
        <v>1728</v>
      </c>
      <c r="F529" t="s">
        <v>253</v>
      </c>
      <c r="G529" t="s">
        <v>63</v>
      </c>
      <c r="H529" t="s">
        <v>53</v>
      </c>
      <c r="I529" t="s">
        <v>471</v>
      </c>
      <c r="J529">
        <v>2010</v>
      </c>
      <c r="K529">
        <v>43698.521897777777</v>
      </c>
      <c r="L529" t="s">
        <v>466</v>
      </c>
      <c r="M529" t="s">
        <v>154</v>
      </c>
      <c r="N529" t="s">
        <v>467</v>
      </c>
      <c r="O529">
        <v>307956</v>
      </c>
      <c r="P529">
        <v>43601.625694444447</v>
      </c>
      <c r="Q529">
        <v>42299.461406944443</v>
      </c>
      <c r="R529">
        <v>534</v>
      </c>
    </row>
    <row r="530" spans="1:18" x14ac:dyDescent="0.25">
      <c r="A530" t="s">
        <v>1729</v>
      </c>
      <c r="B530" t="s">
        <v>1730</v>
      </c>
      <c r="C530" t="s">
        <v>1731</v>
      </c>
      <c r="D530" t="s">
        <v>1731</v>
      </c>
      <c r="E530" t="s">
        <v>1732</v>
      </c>
      <c r="F530" t="s">
        <v>21</v>
      </c>
      <c r="G530" t="s">
        <v>22</v>
      </c>
      <c r="H530" t="s">
        <v>53</v>
      </c>
      <c r="I530" t="s">
        <v>471</v>
      </c>
      <c r="J530">
        <v>2016</v>
      </c>
      <c r="K530">
        <v>43698.521897777777</v>
      </c>
      <c r="L530" t="s">
        <v>1660</v>
      </c>
      <c r="M530" t="s">
        <v>1733</v>
      </c>
      <c r="N530" t="s">
        <v>27</v>
      </c>
      <c r="O530">
        <v>212035</v>
      </c>
      <c r="P530">
        <v>43333.805474537039</v>
      </c>
      <c r="Q530">
        <v>42299.631925000002</v>
      </c>
      <c r="R530">
        <v>535</v>
      </c>
    </row>
    <row r="531" spans="1:18" x14ac:dyDescent="0.25">
      <c r="A531" t="s">
        <v>1734</v>
      </c>
      <c r="B531" t="s">
        <v>1735</v>
      </c>
      <c r="C531" t="s">
        <v>1736</v>
      </c>
      <c r="D531" t="s">
        <v>1736</v>
      </c>
      <c r="E531" t="s">
        <v>1737</v>
      </c>
      <c r="F531" t="s">
        <v>21</v>
      </c>
      <c r="G531" t="s">
        <v>22</v>
      </c>
      <c r="H531" t="s">
        <v>53</v>
      </c>
      <c r="I531" t="s">
        <v>471</v>
      </c>
      <c r="J531">
        <v>2016</v>
      </c>
      <c r="K531">
        <v>43698.521897777777</v>
      </c>
      <c r="L531" t="s">
        <v>25</v>
      </c>
      <c r="M531" t="s">
        <v>1738</v>
      </c>
      <c r="N531" t="s">
        <v>27</v>
      </c>
      <c r="O531">
        <v>128334</v>
      </c>
      <c r="P531">
        <v>42981.579756944448</v>
      </c>
      <c r="Q531">
        <v>42302.545964004632</v>
      </c>
      <c r="R531">
        <v>536</v>
      </c>
    </row>
    <row r="532" spans="1:18" x14ac:dyDescent="0.25">
      <c r="A532" t="s">
        <v>1739</v>
      </c>
      <c r="B532" t="s">
        <v>1740</v>
      </c>
      <c r="C532" t="s">
        <v>1741</v>
      </c>
      <c r="D532" t="s">
        <v>1741</v>
      </c>
      <c r="E532" t="s">
        <v>1742</v>
      </c>
      <c r="F532" t="s">
        <v>21</v>
      </c>
      <c r="G532" t="s">
        <v>22</v>
      </c>
      <c r="H532" t="s">
        <v>53</v>
      </c>
      <c r="I532" t="s">
        <v>471</v>
      </c>
      <c r="J532">
        <v>2016</v>
      </c>
      <c r="K532">
        <v>43698.521897777777</v>
      </c>
      <c r="L532" t="s">
        <v>25</v>
      </c>
      <c r="M532" t="s">
        <v>1738</v>
      </c>
      <c r="N532" t="s">
        <v>27</v>
      </c>
      <c r="O532">
        <v>132810</v>
      </c>
      <c r="P532">
        <v>42999.791666666664</v>
      </c>
      <c r="Q532">
        <v>42302.549270717594</v>
      </c>
      <c r="R532">
        <v>537</v>
      </c>
    </row>
    <row r="533" spans="1:18" x14ac:dyDescent="0.25">
      <c r="A533" t="s">
        <v>1743</v>
      </c>
      <c r="B533" t="s">
        <v>1744</v>
      </c>
      <c r="C533" t="s">
        <v>1745</v>
      </c>
      <c r="D533" t="s">
        <v>1745</v>
      </c>
      <c r="E533" t="s">
        <v>1746</v>
      </c>
      <c r="F533" t="s">
        <v>21</v>
      </c>
      <c r="G533" t="s">
        <v>22</v>
      </c>
      <c r="H533" t="s">
        <v>53</v>
      </c>
      <c r="I533" t="s">
        <v>471</v>
      </c>
      <c r="J533">
        <v>2016</v>
      </c>
      <c r="K533">
        <v>43698.521897777777</v>
      </c>
      <c r="L533" t="s">
        <v>25</v>
      </c>
      <c r="M533" t="s">
        <v>1738</v>
      </c>
      <c r="N533" t="s">
        <v>27</v>
      </c>
      <c r="O533">
        <v>130844</v>
      </c>
      <c r="P533">
        <v>42992.574999999997</v>
      </c>
      <c r="Q533">
        <v>42302.573480011575</v>
      </c>
      <c r="R533">
        <v>538</v>
      </c>
    </row>
    <row r="534" spans="1:18" x14ac:dyDescent="0.25">
      <c r="A534" t="s">
        <v>1747</v>
      </c>
      <c r="B534" t="s">
        <v>1748</v>
      </c>
      <c r="C534" t="s">
        <v>1749</v>
      </c>
      <c r="D534" t="s">
        <v>1749</v>
      </c>
      <c r="E534" t="s">
        <v>1750</v>
      </c>
      <c r="F534" t="s">
        <v>21</v>
      </c>
      <c r="G534" t="s">
        <v>22</v>
      </c>
      <c r="H534" t="s">
        <v>53</v>
      </c>
      <c r="I534" t="s">
        <v>471</v>
      </c>
      <c r="J534">
        <v>2016</v>
      </c>
      <c r="K534">
        <v>43698.521897777777</v>
      </c>
      <c r="L534" t="s">
        <v>25</v>
      </c>
      <c r="M534" t="s">
        <v>1738</v>
      </c>
      <c r="N534" t="s">
        <v>27</v>
      </c>
      <c r="O534">
        <v>128443</v>
      </c>
      <c r="P534">
        <v>42980.806250000001</v>
      </c>
      <c r="Q534">
        <v>42302.577542326391</v>
      </c>
      <c r="R534">
        <v>539</v>
      </c>
    </row>
    <row r="535" spans="1:18" x14ac:dyDescent="0.25">
      <c r="A535" t="s">
        <v>1751</v>
      </c>
      <c r="B535" t="s">
        <v>1752</v>
      </c>
      <c r="C535" t="s">
        <v>1753</v>
      </c>
      <c r="D535" t="s">
        <v>1753</v>
      </c>
      <c r="E535" t="s">
        <v>1754</v>
      </c>
      <c r="F535" t="s">
        <v>91</v>
      </c>
      <c r="G535" t="s">
        <v>63</v>
      </c>
      <c r="H535" t="s">
        <v>53</v>
      </c>
      <c r="I535" t="s">
        <v>471</v>
      </c>
      <c r="J535">
        <v>2016</v>
      </c>
      <c r="K535">
        <v>43698.521897777777</v>
      </c>
      <c r="L535" t="s">
        <v>466</v>
      </c>
      <c r="M535" t="s">
        <v>1738</v>
      </c>
      <c r="N535" t="s">
        <v>467</v>
      </c>
      <c r="O535">
        <v>345773</v>
      </c>
      <c r="P535">
        <v>43698.521897777777</v>
      </c>
      <c r="Q535">
        <v>42302.578959918981</v>
      </c>
      <c r="R535">
        <v>540</v>
      </c>
    </row>
    <row r="536" spans="1:18" x14ac:dyDescent="0.25">
      <c r="A536" t="s">
        <v>1755</v>
      </c>
      <c r="B536" t="s">
        <v>1756</v>
      </c>
      <c r="C536" t="s">
        <v>1757</v>
      </c>
      <c r="D536" t="s">
        <v>1757</v>
      </c>
      <c r="E536" t="s">
        <v>1757</v>
      </c>
      <c r="F536" t="s">
        <v>21</v>
      </c>
      <c r="G536" t="s">
        <v>63</v>
      </c>
      <c r="H536" t="s">
        <v>34</v>
      </c>
      <c r="I536" t="s">
        <v>35</v>
      </c>
      <c r="J536">
        <v>2008</v>
      </c>
      <c r="K536">
        <v>43698.521897777777</v>
      </c>
      <c r="L536" t="s">
        <v>25</v>
      </c>
      <c r="M536" t="s">
        <v>42</v>
      </c>
      <c r="N536" t="s">
        <v>27</v>
      </c>
      <c r="O536">
        <v>63113</v>
      </c>
      <c r="P536">
        <v>42322.281712962962</v>
      </c>
      <c r="Q536">
        <v>42305.565018321759</v>
      </c>
      <c r="R536">
        <v>541</v>
      </c>
    </row>
    <row r="537" spans="1:18" x14ac:dyDescent="0.25">
      <c r="A537" t="s">
        <v>1758</v>
      </c>
      <c r="B537" t="s">
        <v>169</v>
      </c>
      <c r="C537" t="s">
        <v>1759</v>
      </c>
      <c r="D537" t="s">
        <v>1759</v>
      </c>
      <c r="E537" t="s">
        <v>1759</v>
      </c>
      <c r="F537" t="s">
        <v>91</v>
      </c>
      <c r="G537" t="s">
        <v>63</v>
      </c>
      <c r="H537" t="s">
        <v>23</v>
      </c>
      <c r="I537" t="s">
        <v>25</v>
      </c>
      <c r="J537">
        <v>2007</v>
      </c>
      <c r="K537">
        <v>43698.521897777777</v>
      </c>
      <c r="L537" t="s">
        <v>466</v>
      </c>
      <c r="M537" t="s">
        <v>154</v>
      </c>
      <c r="N537" t="s">
        <v>467</v>
      </c>
      <c r="O537">
        <v>343301</v>
      </c>
      <c r="P537">
        <v>43694.835381944446</v>
      </c>
      <c r="Q537">
        <v>42305.652560185183</v>
      </c>
      <c r="R537">
        <v>542</v>
      </c>
    </row>
    <row r="538" spans="1:18" x14ac:dyDescent="0.25">
      <c r="A538" t="s">
        <v>1760</v>
      </c>
      <c r="B538" t="s">
        <v>1123</v>
      </c>
      <c r="C538" t="s">
        <v>1761</v>
      </c>
      <c r="D538" t="s">
        <v>1761</v>
      </c>
      <c r="E538" t="s">
        <v>1761</v>
      </c>
      <c r="F538" t="s">
        <v>21</v>
      </c>
      <c r="G538" t="s">
        <v>63</v>
      </c>
      <c r="H538" t="s">
        <v>23</v>
      </c>
      <c r="I538" t="s">
        <v>25</v>
      </c>
      <c r="J538">
        <v>2006</v>
      </c>
      <c r="K538">
        <v>43698.521897777777</v>
      </c>
      <c r="L538" t="s">
        <v>1264</v>
      </c>
      <c r="M538" t="s">
        <v>154</v>
      </c>
      <c r="N538" t="s">
        <v>1305</v>
      </c>
      <c r="O538">
        <v>155940</v>
      </c>
      <c r="P538">
        <v>43128.739594907405</v>
      </c>
      <c r="Q538">
        <v>42305.673700891202</v>
      </c>
      <c r="R538">
        <v>543</v>
      </c>
    </row>
    <row r="539" spans="1:18" x14ac:dyDescent="0.25">
      <c r="A539" t="s">
        <v>1762</v>
      </c>
      <c r="B539" t="s">
        <v>178</v>
      </c>
      <c r="C539" t="s">
        <v>1763</v>
      </c>
      <c r="D539" t="s">
        <v>1763</v>
      </c>
      <c r="E539" t="s">
        <v>1763</v>
      </c>
      <c r="F539" t="s">
        <v>21</v>
      </c>
      <c r="G539" t="s">
        <v>63</v>
      </c>
      <c r="H539" t="s">
        <v>23</v>
      </c>
      <c r="I539" t="s">
        <v>25</v>
      </c>
      <c r="J539">
        <v>2007</v>
      </c>
      <c r="K539">
        <v>43698.521897777777</v>
      </c>
      <c r="L539" t="s">
        <v>25</v>
      </c>
      <c r="M539" t="s">
        <v>154</v>
      </c>
      <c r="N539" t="s">
        <v>27</v>
      </c>
      <c r="O539">
        <v>253658</v>
      </c>
      <c r="P539">
        <v>43452.79791666667</v>
      </c>
      <c r="Q539">
        <v>42305.679335532404</v>
      </c>
      <c r="R539">
        <v>544</v>
      </c>
    </row>
    <row r="540" spans="1:18" x14ac:dyDescent="0.25">
      <c r="A540" t="s">
        <v>1764</v>
      </c>
      <c r="B540" t="s">
        <v>1765</v>
      </c>
      <c r="C540" t="s">
        <v>1766</v>
      </c>
      <c r="D540" t="s">
        <v>1766</v>
      </c>
      <c r="E540" t="s">
        <v>1767</v>
      </c>
      <c r="F540" t="s">
        <v>21</v>
      </c>
      <c r="G540" t="s">
        <v>22</v>
      </c>
      <c r="H540" t="s">
        <v>53</v>
      </c>
      <c r="I540" t="s">
        <v>471</v>
      </c>
      <c r="J540">
        <v>2016</v>
      </c>
      <c r="K540">
        <v>43698.521897777777</v>
      </c>
      <c r="L540" t="s">
        <v>1660</v>
      </c>
      <c r="M540" t="s">
        <v>37</v>
      </c>
      <c r="N540" t="s">
        <v>27</v>
      </c>
      <c r="O540">
        <v>182203</v>
      </c>
      <c r="P540">
        <v>43230.597222222219</v>
      </c>
      <c r="Q540">
        <v>42306.544496678238</v>
      </c>
      <c r="R540">
        <v>545</v>
      </c>
    </row>
    <row r="541" spans="1:18" x14ac:dyDescent="0.25">
      <c r="A541" t="s">
        <v>1768</v>
      </c>
      <c r="B541" t="s">
        <v>1769</v>
      </c>
      <c r="C541" t="s">
        <v>1770</v>
      </c>
      <c r="D541" t="s">
        <v>1770</v>
      </c>
      <c r="E541" t="s">
        <v>1771</v>
      </c>
      <c r="F541" t="s">
        <v>21</v>
      </c>
      <c r="G541" t="s">
        <v>22</v>
      </c>
      <c r="H541" t="s">
        <v>53</v>
      </c>
      <c r="I541" t="s">
        <v>471</v>
      </c>
      <c r="J541">
        <v>2016</v>
      </c>
      <c r="K541">
        <v>43698.521897777777</v>
      </c>
      <c r="L541" t="s">
        <v>1660</v>
      </c>
      <c r="M541" t="s">
        <v>37</v>
      </c>
      <c r="N541" t="s">
        <v>27</v>
      </c>
      <c r="O541">
        <v>211610</v>
      </c>
      <c r="P541">
        <v>43333.08152777778</v>
      </c>
      <c r="Q541">
        <v>42306.546715474535</v>
      </c>
      <c r="R541">
        <v>546</v>
      </c>
    </row>
    <row r="542" spans="1:18" x14ac:dyDescent="0.25">
      <c r="A542" t="s">
        <v>1772</v>
      </c>
      <c r="B542" t="s">
        <v>1773</v>
      </c>
      <c r="C542" t="s">
        <v>1774</v>
      </c>
      <c r="D542" t="s">
        <v>1774</v>
      </c>
      <c r="E542" t="s">
        <v>1775</v>
      </c>
      <c r="F542" t="s">
        <v>21</v>
      </c>
      <c r="G542" t="s">
        <v>22</v>
      </c>
      <c r="H542" t="s">
        <v>53</v>
      </c>
      <c r="I542" t="s">
        <v>471</v>
      </c>
      <c r="J542">
        <v>2016</v>
      </c>
      <c r="K542">
        <v>43698.521897777777</v>
      </c>
      <c r="L542" t="s">
        <v>1660</v>
      </c>
      <c r="M542" t="s">
        <v>37</v>
      </c>
      <c r="N542" t="s">
        <v>27</v>
      </c>
      <c r="O542">
        <v>212361</v>
      </c>
      <c r="P542">
        <v>43334.90525462963</v>
      </c>
      <c r="Q542">
        <v>42306.548478391203</v>
      </c>
      <c r="R542">
        <v>547</v>
      </c>
    </row>
    <row r="543" spans="1:18" x14ac:dyDescent="0.25">
      <c r="A543" t="s">
        <v>1776</v>
      </c>
      <c r="B543" t="s">
        <v>1777</v>
      </c>
      <c r="C543" t="s">
        <v>1778</v>
      </c>
      <c r="D543" t="s">
        <v>1778</v>
      </c>
      <c r="E543" t="s">
        <v>1779</v>
      </c>
      <c r="F543" t="s">
        <v>21</v>
      </c>
      <c r="G543" t="s">
        <v>22</v>
      </c>
      <c r="H543" t="s">
        <v>53</v>
      </c>
      <c r="I543" t="s">
        <v>471</v>
      </c>
      <c r="J543">
        <v>2016</v>
      </c>
      <c r="K543">
        <v>43698.521897777777</v>
      </c>
      <c r="L543" t="s">
        <v>1660</v>
      </c>
      <c r="M543" t="s">
        <v>37</v>
      </c>
      <c r="N543" t="s">
        <v>27</v>
      </c>
      <c r="O543">
        <v>203614</v>
      </c>
      <c r="P543">
        <v>43307.48400462963</v>
      </c>
      <c r="Q543">
        <v>42306.589075312499</v>
      </c>
      <c r="R543">
        <v>548</v>
      </c>
    </row>
    <row r="544" spans="1:18" x14ac:dyDescent="0.25">
      <c r="A544" t="s">
        <v>1780</v>
      </c>
      <c r="B544" t="s">
        <v>1781</v>
      </c>
      <c r="C544" t="s">
        <v>1782</v>
      </c>
      <c r="D544" t="s">
        <v>1782</v>
      </c>
      <c r="E544" t="s">
        <v>1783</v>
      </c>
      <c r="F544" t="s">
        <v>21</v>
      </c>
      <c r="G544" t="s">
        <v>22</v>
      </c>
      <c r="H544" t="s">
        <v>53</v>
      </c>
      <c r="I544" t="s">
        <v>471</v>
      </c>
      <c r="J544">
        <v>2016</v>
      </c>
      <c r="K544">
        <v>43698.521897777777</v>
      </c>
      <c r="L544" t="s">
        <v>1716</v>
      </c>
      <c r="M544" t="s">
        <v>37</v>
      </c>
      <c r="N544" t="s">
        <v>27</v>
      </c>
      <c r="O544">
        <v>208917</v>
      </c>
      <c r="P544">
        <v>43323.667361111111</v>
      </c>
      <c r="Q544">
        <v>42306.593174571761</v>
      </c>
      <c r="R544">
        <v>549</v>
      </c>
    </row>
    <row r="545" spans="1:18" x14ac:dyDescent="0.25">
      <c r="A545" t="s">
        <v>1784</v>
      </c>
      <c r="B545" t="s">
        <v>1785</v>
      </c>
      <c r="C545" t="s">
        <v>1786</v>
      </c>
      <c r="D545" t="s">
        <v>1786</v>
      </c>
      <c r="E545" t="s">
        <v>1787</v>
      </c>
      <c r="F545" t="s">
        <v>21</v>
      </c>
      <c r="G545" t="s">
        <v>22</v>
      </c>
      <c r="H545" t="s">
        <v>53</v>
      </c>
      <c r="I545" t="s">
        <v>471</v>
      </c>
      <c r="J545">
        <v>2016</v>
      </c>
      <c r="K545">
        <v>43698.521897777777</v>
      </c>
      <c r="L545" t="s">
        <v>1660</v>
      </c>
      <c r="M545" t="s">
        <v>37</v>
      </c>
      <c r="N545" t="s">
        <v>27</v>
      </c>
      <c r="O545">
        <v>208602</v>
      </c>
      <c r="P545">
        <v>43322.395011574074</v>
      </c>
      <c r="Q545">
        <v>42306.594706481483</v>
      </c>
      <c r="R545">
        <v>550</v>
      </c>
    </row>
    <row r="546" spans="1:18" x14ac:dyDescent="0.25">
      <c r="A546" t="s">
        <v>1788</v>
      </c>
      <c r="B546" t="s">
        <v>1789</v>
      </c>
      <c r="C546" t="s">
        <v>1790</v>
      </c>
      <c r="D546" t="s">
        <v>1790</v>
      </c>
      <c r="E546" t="s">
        <v>1790</v>
      </c>
      <c r="F546" t="s">
        <v>21</v>
      </c>
      <c r="G546" t="s">
        <v>63</v>
      </c>
      <c r="H546" t="s">
        <v>23</v>
      </c>
      <c r="I546" t="s">
        <v>41</v>
      </c>
      <c r="J546">
        <v>2016</v>
      </c>
      <c r="K546">
        <v>43698.521897777777</v>
      </c>
      <c r="L546" t="s">
        <v>25</v>
      </c>
      <c r="M546" t="s">
        <v>42</v>
      </c>
      <c r="N546" t="s">
        <v>27</v>
      </c>
      <c r="O546">
        <v>76595</v>
      </c>
      <c r="P546">
        <v>42523.339583333334</v>
      </c>
      <c r="Q546">
        <v>42308.608702314814</v>
      </c>
      <c r="R546">
        <v>551</v>
      </c>
    </row>
    <row r="547" spans="1:18" x14ac:dyDescent="0.25">
      <c r="A547" t="s">
        <v>1791</v>
      </c>
      <c r="B547" t="s">
        <v>1207</v>
      </c>
      <c r="C547" t="s">
        <v>1792</v>
      </c>
      <c r="D547" t="s">
        <v>1792</v>
      </c>
      <c r="E547" t="s">
        <v>1792</v>
      </c>
      <c r="F547" t="s">
        <v>21</v>
      </c>
      <c r="G547" t="s">
        <v>63</v>
      </c>
      <c r="H547" t="s">
        <v>23</v>
      </c>
      <c r="I547" t="s">
        <v>24</v>
      </c>
      <c r="J547">
        <v>2007</v>
      </c>
      <c r="K547">
        <v>43698.521897777777</v>
      </c>
      <c r="L547" t="s">
        <v>1264</v>
      </c>
      <c r="M547" t="s">
        <v>154</v>
      </c>
      <c r="N547" t="s">
        <v>27</v>
      </c>
      <c r="O547">
        <v>153134</v>
      </c>
      <c r="P547">
        <v>43114.663217592592</v>
      </c>
      <c r="Q547">
        <v>42311.553591747688</v>
      </c>
      <c r="R547">
        <v>552</v>
      </c>
    </row>
    <row r="548" spans="1:18" x14ac:dyDescent="0.25">
      <c r="A548" t="s">
        <v>1793</v>
      </c>
      <c r="B548" t="s">
        <v>1794</v>
      </c>
      <c r="C548" t="s">
        <v>1795</v>
      </c>
      <c r="D548" t="s">
        <v>1795</v>
      </c>
      <c r="E548" t="s">
        <v>1795</v>
      </c>
      <c r="F548" t="s">
        <v>21</v>
      </c>
      <c r="G548" t="s">
        <v>63</v>
      </c>
      <c r="H548" t="s">
        <v>53</v>
      </c>
      <c r="I548" t="s">
        <v>810</v>
      </c>
      <c r="J548">
        <v>2016</v>
      </c>
      <c r="K548">
        <v>43698.521897777777</v>
      </c>
      <c r="L548" t="s">
        <v>25</v>
      </c>
      <c r="M548" t="s">
        <v>42</v>
      </c>
      <c r="N548" t="s">
        <v>27</v>
      </c>
      <c r="O548">
        <v>68827</v>
      </c>
      <c r="P548">
        <v>42412.988703703704</v>
      </c>
      <c r="Q548">
        <v>42311.736633796296</v>
      </c>
      <c r="R548">
        <v>553</v>
      </c>
    </row>
    <row r="549" spans="1:18" x14ac:dyDescent="0.25">
      <c r="A549" t="s">
        <v>1796</v>
      </c>
      <c r="B549" t="s">
        <v>1797</v>
      </c>
      <c r="C549" t="s">
        <v>1798</v>
      </c>
      <c r="D549" t="s">
        <v>1798</v>
      </c>
      <c r="E549" t="s">
        <v>1798</v>
      </c>
      <c r="F549" t="s">
        <v>21</v>
      </c>
      <c r="G549" t="s">
        <v>63</v>
      </c>
      <c r="H549" t="s">
        <v>34</v>
      </c>
      <c r="I549" t="s">
        <v>35</v>
      </c>
      <c r="J549">
        <v>2016</v>
      </c>
      <c r="K549">
        <v>43698.521897777777</v>
      </c>
      <c r="L549" t="s">
        <v>25</v>
      </c>
      <c r="M549" t="s">
        <v>42</v>
      </c>
      <c r="N549" t="s">
        <v>27</v>
      </c>
      <c r="O549">
        <v>87841</v>
      </c>
      <c r="P549">
        <v>42657.328703703701</v>
      </c>
      <c r="Q549">
        <v>42311.740072372682</v>
      </c>
      <c r="R549">
        <v>554</v>
      </c>
    </row>
    <row r="550" spans="1:18" x14ac:dyDescent="0.25">
      <c r="A550" t="s">
        <v>1799</v>
      </c>
      <c r="B550" t="s">
        <v>1800</v>
      </c>
      <c r="C550" t="s">
        <v>1801</v>
      </c>
      <c r="D550" t="s">
        <v>1801</v>
      </c>
      <c r="E550" t="s">
        <v>1801</v>
      </c>
      <c r="F550" t="s">
        <v>21</v>
      </c>
      <c r="G550" t="s">
        <v>63</v>
      </c>
      <c r="H550" t="s">
        <v>34</v>
      </c>
      <c r="I550" t="s">
        <v>35</v>
      </c>
      <c r="J550">
        <v>2016</v>
      </c>
      <c r="K550">
        <v>43698.521897777777</v>
      </c>
      <c r="L550" t="s">
        <v>25</v>
      </c>
      <c r="M550" t="s">
        <v>42</v>
      </c>
      <c r="N550" t="s">
        <v>27</v>
      </c>
      <c r="O550">
        <v>66039</v>
      </c>
      <c r="P550">
        <v>42374.961354166669</v>
      </c>
      <c r="Q550">
        <v>42311.741919328706</v>
      </c>
      <c r="R550">
        <v>555</v>
      </c>
    </row>
    <row r="551" spans="1:18" x14ac:dyDescent="0.25">
      <c r="A551" t="s">
        <v>1802</v>
      </c>
      <c r="B551" t="s">
        <v>1803</v>
      </c>
      <c r="C551" t="s">
        <v>1804</v>
      </c>
      <c r="D551" t="s">
        <v>1804</v>
      </c>
      <c r="E551" t="s">
        <v>1804</v>
      </c>
      <c r="F551" t="s">
        <v>21</v>
      </c>
      <c r="G551" t="s">
        <v>63</v>
      </c>
      <c r="H551" t="s">
        <v>34</v>
      </c>
      <c r="I551" t="s">
        <v>35</v>
      </c>
      <c r="J551">
        <v>2016</v>
      </c>
      <c r="K551">
        <v>43698.521897777777</v>
      </c>
      <c r="L551" t="s">
        <v>92</v>
      </c>
      <c r="M551" t="s">
        <v>42</v>
      </c>
      <c r="N551" t="s">
        <v>27</v>
      </c>
      <c r="O551">
        <v>187497</v>
      </c>
      <c r="P551">
        <v>43253.441666666666</v>
      </c>
      <c r="Q551">
        <v>42314.72230277778</v>
      </c>
      <c r="R551">
        <v>556</v>
      </c>
    </row>
    <row r="552" spans="1:18" x14ac:dyDescent="0.25">
      <c r="A552" t="s">
        <v>1805</v>
      </c>
      <c r="B552" t="s">
        <v>1806</v>
      </c>
      <c r="C552" t="s">
        <v>1807</v>
      </c>
      <c r="D552" t="s">
        <v>1807</v>
      </c>
      <c r="E552" t="s">
        <v>1808</v>
      </c>
      <c r="F552" t="s">
        <v>91</v>
      </c>
      <c r="G552" t="s">
        <v>22</v>
      </c>
      <c r="H552" t="s">
        <v>520</v>
      </c>
      <c r="I552" t="s">
        <v>521</v>
      </c>
      <c r="J552">
        <v>2011</v>
      </c>
      <c r="K552">
        <v>43698.521897777777</v>
      </c>
      <c r="L552" t="s">
        <v>1809</v>
      </c>
      <c r="M552" t="s">
        <v>154</v>
      </c>
      <c r="N552" t="s">
        <v>1305</v>
      </c>
      <c r="Q552">
        <v>42317.559215937501</v>
      </c>
      <c r="R552">
        <v>557</v>
      </c>
    </row>
    <row r="553" spans="1:18" x14ac:dyDescent="0.25">
      <c r="A553" t="s">
        <v>1810</v>
      </c>
      <c r="B553" t="s">
        <v>291</v>
      </c>
      <c r="C553" t="s">
        <v>1811</v>
      </c>
      <c r="D553" t="s">
        <v>1811</v>
      </c>
      <c r="E553" t="s">
        <v>1811</v>
      </c>
      <c r="F553" t="s">
        <v>21</v>
      </c>
      <c r="G553" t="s">
        <v>22</v>
      </c>
      <c r="H553" t="s">
        <v>53</v>
      </c>
      <c r="I553" t="s">
        <v>282</v>
      </c>
      <c r="J553">
        <v>2007</v>
      </c>
      <c r="K553">
        <v>43698.521897777777</v>
      </c>
      <c r="L553" t="s">
        <v>25</v>
      </c>
      <c r="M553" t="s">
        <v>37</v>
      </c>
      <c r="N553" t="s">
        <v>27</v>
      </c>
      <c r="O553">
        <v>184024</v>
      </c>
      <c r="P553">
        <v>43236.523611111108</v>
      </c>
      <c r="Q553">
        <v>42317.706688113423</v>
      </c>
      <c r="R553">
        <v>558</v>
      </c>
    </row>
    <row r="554" spans="1:18" x14ac:dyDescent="0.25">
      <c r="A554" t="s">
        <v>1812</v>
      </c>
      <c r="B554" t="s">
        <v>303</v>
      </c>
      <c r="C554" t="s">
        <v>1813</v>
      </c>
      <c r="D554" t="s">
        <v>1813</v>
      </c>
      <c r="E554" t="s">
        <v>1813</v>
      </c>
      <c r="F554" t="s">
        <v>21</v>
      </c>
      <c r="G554" t="s">
        <v>22</v>
      </c>
      <c r="H554" t="s">
        <v>53</v>
      </c>
      <c r="I554" t="s">
        <v>282</v>
      </c>
      <c r="J554">
        <v>2007</v>
      </c>
      <c r="K554">
        <v>43698.521897777777</v>
      </c>
      <c r="L554" t="s">
        <v>25</v>
      </c>
      <c r="M554" t="s">
        <v>37</v>
      </c>
      <c r="N554" t="s">
        <v>27</v>
      </c>
      <c r="O554">
        <v>117433</v>
      </c>
      <c r="P554">
        <v>42903.010416666664</v>
      </c>
      <c r="Q554">
        <v>42317.707018634261</v>
      </c>
      <c r="R554">
        <v>559</v>
      </c>
    </row>
    <row r="555" spans="1:18" x14ac:dyDescent="0.25">
      <c r="A555" t="s">
        <v>1814</v>
      </c>
      <c r="B555" t="s">
        <v>1815</v>
      </c>
      <c r="C555" t="s">
        <v>1816</v>
      </c>
      <c r="D555" t="s">
        <v>1816</v>
      </c>
      <c r="E555" t="s">
        <v>1816</v>
      </c>
      <c r="F555" t="s">
        <v>91</v>
      </c>
      <c r="G555" t="s">
        <v>63</v>
      </c>
      <c r="H555" t="s">
        <v>53</v>
      </c>
      <c r="I555" t="s">
        <v>810</v>
      </c>
      <c r="J555">
        <v>2016</v>
      </c>
      <c r="K555">
        <v>43698.521897777777</v>
      </c>
      <c r="L555" t="s">
        <v>193</v>
      </c>
      <c r="M555" t="s">
        <v>42</v>
      </c>
      <c r="N555" t="s">
        <v>93</v>
      </c>
      <c r="O555">
        <v>347136</v>
      </c>
      <c r="P555">
        <v>43698.521897777777</v>
      </c>
      <c r="Q555">
        <v>42320.707150578703</v>
      </c>
      <c r="R555">
        <v>560</v>
      </c>
    </row>
    <row r="556" spans="1:18" x14ac:dyDescent="0.25">
      <c r="A556" t="s">
        <v>1817</v>
      </c>
      <c r="B556" t="s">
        <v>1818</v>
      </c>
      <c r="C556" t="s">
        <v>1819</v>
      </c>
      <c r="D556" t="s">
        <v>1819</v>
      </c>
      <c r="E556" t="s">
        <v>1819</v>
      </c>
      <c r="F556" t="s">
        <v>21</v>
      </c>
      <c r="G556" t="s">
        <v>63</v>
      </c>
      <c r="H556" t="s">
        <v>34</v>
      </c>
      <c r="I556" t="s">
        <v>35</v>
      </c>
      <c r="J556">
        <v>2015</v>
      </c>
      <c r="K556">
        <v>43698.521897777777</v>
      </c>
      <c r="L556" t="s">
        <v>25</v>
      </c>
      <c r="M556" t="s">
        <v>42</v>
      </c>
      <c r="N556" t="s">
        <v>27</v>
      </c>
      <c r="O556">
        <v>168479</v>
      </c>
      <c r="P556">
        <v>43179.92428240741</v>
      </c>
      <c r="Q556">
        <v>42322.476175925927</v>
      </c>
      <c r="R556">
        <v>561</v>
      </c>
    </row>
    <row r="557" spans="1:18" x14ac:dyDescent="0.25">
      <c r="A557" t="s">
        <v>1820</v>
      </c>
      <c r="B557" t="s">
        <v>1821</v>
      </c>
      <c r="C557" t="s">
        <v>1822</v>
      </c>
      <c r="D557" t="s">
        <v>1822</v>
      </c>
      <c r="E557" t="s">
        <v>1822</v>
      </c>
      <c r="F557" t="s">
        <v>21</v>
      </c>
      <c r="G557" t="s">
        <v>63</v>
      </c>
      <c r="H557" t="s">
        <v>34</v>
      </c>
      <c r="I557" t="s">
        <v>35</v>
      </c>
      <c r="J557">
        <v>2007</v>
      </c>
      <c r="K557">
        <v>43698.521897777777</v>
      </c>
      <c r="L557" t="s">
        <v>193</v>
      </c>
      <c r="M557" t="s">
        <v>42</v>
      </c>
      <c r="N557" t="s">
        <v>27</v>
      </c>
      <c r="O557">
        <v>290319</v>
      </c>
      <c r="P557">
        <v>43559.042141203703</v>
      </c>
      <c r="Q557">
        <v>42322.483845451388</v>
      </c>
      <c r="R557">
        <v>562</v>
      </c>
    </row>
    <row r="558" spans="1:18" x14ac:dyDescent="0.25">
      <c r="A558" t="s">
        <v>1823</v>
      </c>
      <c r="B558" t="s">
        <v>1824</v>
      </c>
      <c r="C558" t="s">
        <v>1825</v>
      </c>
      <c r="D558" t="s">
        <v>1825</v>
      </c>
      <c r="E558" t="s">
        <v>1825</v>
      </c>
      <c r="F558" t="s">
        <v>21</v>
      </c>
      <c r="G558" t="s">
        <v>63</v>
      </c>
      <c r="H558" t="s">
        <v>23</v>
      </c>
      <c r="I558" t="s">
        <v>24</v>
      </c>
      <c r="J558">
        <v>2007</v>
      </c>
      <c r="K558">
        <v>43698.521897777777</v>
      </c>
      <c r="L558" t="s">
        <v>25</v>
      </c>
      <c r="M558" t="s">
        <v>42</v>
      </c>
      <c r="N558" t="s">
        <v>27</v>
      </c>
      <c r="O558">
        <v>168647</v>
      </c>
      <c r="P558">
        <v>43180.709722222222</v>
      </c>
      <c r="Q558">
        <v>42326.732266932871</v>
      </c>
      <c r="R558">
        <v>563</v>
      </c>
    </row>
    <row r="559" spans="1:18" x14ac:dyDescent="0.25">
      <c r="A559" t="s">
        <v>1826</v>
      </c>
      <c r="B559" t="s">
        <v>1827</v>
      </c>
      <c r="C559" t="s">
        <v>1828</v>
      </c>
      <c r="D559" t="s">
        <v>1828</v>
      </c>
      <c r="E559" t="s">
        <v>1828</v>
      </c>
      <c r="F559" t="s">
        <v>253</v>
      </c>
      <c r="G559" t="s">
        <v>63</v>
      </c>
      <c r="H559" t="s">
        <v>53</v>
      </c>
      <c r="I559" t="s">
        <v>25</v>
      </c>
      <c r="J559">
        <v>2011</v>
      </c>
      <c r="K559">
        <v>43698.521897777777</v>
      </c>
      <c r="L559" t="s">
        <v>466</v>
      </c>
      <c r="M559" t="s">
        <v>154</v>
      </c>
      <c r="N559" t="s">
        <v>467</v>
      </c>
      <c r="O559">
        <v>286910</v>
      </c>
      <c r="P559">
        <v>43557.316400462965</v>
      </c>
      <c r="Q559">
        <v>42331.655113622684</v>
      </c>
      <c r="R559">
        <v>564</v>
      </c>
    </row>
    <row r="560" spans="1:18" x14ac:dyDescent="0.25">
      <c r="A560" t="s">
        <v>1829</v>
      </c>
      <c r="B560" t="s">
        <v>1830</v>
      </c>
      <c r="C560" t="s">
        <v>1831</v>
      </c>
      <c r="D560" t="s">
        <v>1831</v>
      </c>
      <c r="E560" t="s">
        <v>1831</v>
      </c>
      <c r="F560" t="s">
        <v>21</v>
      </c>
      <c r="G560" t="s">
        <v>63</v>
      </c>
      <c r="H560" t="s">
        <v>34</v>
      </c>
      <c r="I560" t="s">
        <v>25</v>
      </c>
      <c r="J560">
        <v>2003</v>
      </c>
      <c r="K560">
        <v>43698.521897777777</v>
      </c>
      <c r="L560" t="s">
        <v>25</v>
      </c>
      <c r="M560" t="s">
        <v>1733</v>
      </c>
      <c r="N560" t="s">
        <v>27</v>
      </c>
      <c r="O560">
        <v>66172</v>
      </c>
      <c r="P560">
        <v>42367.546932870369</v>
      </c>
      <c r="Q560">
        <v>42338.555559178239</v>
      </c>
      <c r="R560">
        <v>565</v>
      </c>
    </row>
    <row r="561" spans="1:18" x14ac:dyDescent="0.25">
      <c r="A561" t="s">
        <v>1832</v>
      </c>
      <c r="B561" t="s">
        <v>1211</v>
      </c>
      <c r="C561" t="s">
        <v>1833</v>
      </c>
      <c r="D561" t="s">
        <v>1833</v>
      </c>
      <c r="E561" t="s">
        <v>1833</v>
      </c>
      <c r="F561" t="s">
        <v>21</v>
      </c>
      <c r="G561" t="s">
        <v>63</v>
      </c>
      <c r="H561" t="s">
        <v>23</v>
      </c>
      <c r="I561" t="s">
        <v>25</v>
      </c>
      <c r="J561">
        <v>2007</v>
      </c>
      <c r="K561">
        <v>43698.521897777777</v>
      </c>
      <c r="L561" t="s">
        <v>466</v>
      </c>
      <c r="M561" t="s">
        <v>154</v>
      </c>
      <c r="N561" t="s">
        <v>27</v>
      </c>
      <c r="O561">
        <v>228269</v>
      </c>
      <c r="P561">
        <v>43387.720833333333</v>
      </c>
      <c r="Q561">
        <v>42338.610376770834</v>
      </c>
      <c r="R561">
        <v>566</v>
      </c>
    </row>
    <row r="562" spans="1:18" x14ac:dyDescent="0.25">
      <c r="A562" t="s">
        <v>1834</v>
      </c>
      <c r="B562" t="s">
        <v>1835</v>
      </c>
      <c r="C562" t="s">
        <v>1836</v>
      </c>
      <c r="D562" t="s">
        <v>1836</v>
      </c>
      <c r="E562" t="s">
        <v>1836</v>
      </c>
      <c r="F562" t="s">
        <v>21</v>
      </c>
      <c r="G562" t="s">
        <v>63</v>
      </c>
      <c r="H562" t="s">
        <v>34</v>
      </c>
      <c r="I562" t="s">
        <v>703</v>
      </c>
      <c r="J562">
        <v>2007</v>
      </c>
      <c r="K562">
        <v>43698.521897777777</v>
      </c>
      <c r="L562" t="s">
        <v>25</v>
      </c>
      <c r="M562" t="s">
        <v>37</v>
      </c>
      <c r="N562" t="s">
        <v>27</v>
      </c>
      <c r="O562">
        <v>71822</v>
      </c>
      <c r="P562">
        <v>42459.425324074073</v>
      </c>
      <c r="Q562">
        <v>42340.65701574074</v>
      </c>
      <c r="R562">
        <v>567</v>
      </c>
    </row>
    <row r="563" spans="1:18" x14ac:dyDescent="0.25">
      <c r="A563" t="s">
        <v>1837</v>
      </c>
      <c r="B563" t="s">
        <v>608</v>
      </c>
      <c r="C563" t="s">
        <v>1838</v>
      </c>
      <c r="D563" t="s">
        <v>1838</v>
      </c>
      <c r="E563" t="s">
        <v>1838</v>
      </c>
      <c r="F563" t="s">
        <v>21</v>
      </c>
      <c r="G563" t="s">
        <v>63</v>
      </c>
      <c r="H563" t="s">
        <v>34</v>
      </c>
      <c r="I563" t="s">
        <v>610</v>
      </c>
      <c r="J563">
        <v>2014</v>
      </c>
      <c r="K563">
        <v>43698.521897777777</v>
      </c>
      <c r="L563" t="s">
        <v>899</v>
      </c>
      <c r="M563" t="s">
        <v>154</v>
      </c>
      <c r="N563" t="s">
        <v>27</v>
      </c>
      <c r="O563">
        <v>233070</v>
      </c>
      <c r="P563">
        <v>43396.817349537036</v>
      </c>
      <c r="Q563">
        <v>42342.834128159724</v>
      </c>
      <c r="R563">
        <v>568</v>
      </c>
    </row>
    <row r="564" spans="1:18" x14ac:dyDescent="0.25">
      <c r="A564" t="s">
        <v>1839</v>
      </c>
      <c r="B564" t="s">
        <v>1840</v>
      </c>
      <c r="C564" t="s">
        <v>1841</v>
      </c>
      <c r="D564" t="s">
        <v>1841</v>
      </c>
      <c r="E564" t="s">
        <v>1841</v>
      </c>
      <c r="F564" t="s">
        <v>21</v>
      </c>
      <c r="G564" t="s">
        <v>63</v>
      </c>
      <c r="H564" t="s">
        <v>53</v>
      </c>
      <c r="I564" t="s">
        <v>810</v>
      </c>
      <c r="J564">
        <v>2012</v>
      </c>
      <c r="K564">
        <v>43698.521897777777</v>
      </c>
      <c r="L564" t="s">
        <v>193</v>
      </c>
      <c r="M564" t="s">
        <v>42</v>
      </c>
      <c r="N564" t="s">
        <v>27</v>
      </c>
      <c r="O564">
        <v>338598</v>
      </c>
      <c r="P564">
        <v>43679.896550925929</v>
      </c>
      <c r="Q564">
        <v>42347.570153703702</v>
      </c>
      <c r="R564">
        <v>569</v>
      </c>
    </row>
    <row r="565" spans="1:18" x14ac:dyDescent="0.25">
      <c r="A565" t="s">
        <v>1842</v>
      </c>
      <c r="B565" t="s">
        <v>1843</v>
      </c>
      <c r="C565" t="s">
        <v>1844</v>
      </c>
      <c r="D565" t="s">
        <v>1844</v>
      </c>
      <c r="E565" t="s">
        <v>1844</v>
      </c>
      <c r="F565" t="s">
        <v>21</v>
      </c>
      <c r="G565" t="s">
        <v>63</v>
      </c>
      <c r="H565" t="s">
        <v>53</v>
      </c>
      <c r="I565" t="s">
        <v>810</v>
      </c>
      <c r="J565">
        <v>2016</v>
      </c>
      <c r="K565">
        <v>43698.521897777777</v>
      </c>
      <c r="L565" t="s">
        <v>25</v>
      </c>
      <c r="M565" t="s">
        <v>42</v>
      </c>
      <c r="N565" t="s">
        <v>27</v>
      </c>
      <c r="O565">
        <v>87525</v>
      </c>
      <c r="P565">
        <v>42649.607557870368</v>
      </c>
      <c r="Q565">
        <v>42349.764508877313</v>
      </c>
      <c r="R565">
        <v>570</v>
      </c>
    </row>
    <row r="566" spans="1:18" x14ac:dyDescent="0.25">
      <c r="A566" t="s">
        <v>1845</v>
      </c>
      <c r="B566" t="s">
        <v>1846</v>
      </c>
      <c r="C566" t="s">
        <v>1847</v>
      </c>
      <c r="D566" t="s">
        <v>1847</v>
      </c>
      <c r="E566" t="s">
        <v>1847</v>
      </c>
      <c r="F566" t="s">
        <v>21</v>
      </c>
      <c r="G566" t="s">
        <v>63</v>
      </c>
      <c r="H566" t="s">
        <v>34</v>
      </c>
      <c r="I566" t="s">
        <v>35</v>
      </c>
      <c r="J566">
        <v>2012</v>
      </c>
      <c r="K566">
        <v>43698.521897777777</v>
      </c>
      <c r="L566" t="s">
        <v>25</v>
      </c>
      <c r="M566" t="s">
        <v>42</v>
      </c>
      <c r="N566" t="s">
        <v>27</v>
      </c>
      <c r="O566">
        <v>72306</v>
      </c>
      <c r="P566">
        <v>42466.826701388891</v>
      </c>
      <c r="Q566">
        <v>42349.766181597224</v>
      </c>
      <c r="R566">
        <v>571</v>
      </c>
    </row>
    <row r="567" spans="1:18" x14ac:dyDescent="0.25">
      <c r="A567" t="s">
        <v>1848</v>
      </c>
      <c r="B567" t="s">
        <v>503</v>
      </c>
      <c r="C567" t="s">
        <v>1849</v>
      </c>
      <c r="D567" t="s">
        <v>1849</v>
      </c>
      <c r="E567" t="s">
        <v>1849</v>
      </c>
      <c r="F567" t="s">
        <v>21</v>
      </c>
      <c r="G567" t="s">
        <v>63</v>
      </c>
      <c r="H567" t="s">
        <v>53</v>
      </c>
      <c r="I567" t="s">
        <v>41</v>
      </c>
      <c r="J567">
        <v>2004</v>
      </c>
      <c r="K567">
        <v>43698.521897777777</v>
      </c>
      <c r="L567" t="s">
        <v>25</v>
      </c>
      <c r="M567" t="s">
        <v>42</v>
      </c>
      <c r="N567" t="s">
        <v>27</v>
      </c>
      <c r="O567">
        <v>85614</v>
      </c>
      <c r="P567">
        <v>42630.765798611108</v>
      </c>
      <c r="Q567">
        <v>42376.702259988429</v>
      </c>
      <c r="R567">
        <v>572</v>
      </c>
    </row>
    <row r="568" spans="1:18" x14ac:dyDescent="0.25">
      <c r="A568" t="s">
        <v>1850</v>
      </c>
      <c r="B568" t="s">
        <v>1851</v>
      </c>
      <c r="C568" t="s">
        <v>1852</v>
      </c>
      <c r="D568" t="s">
        <v>1852</v>
      </c>
      <c r="E568" t="s">
        <v>1852</v>
      </c>
      <c r="F568" t="s">
        <v>21</v>
      </c>
      <c r="G568" t="s">
        <v>63</v>
      </c>
      <c r="H568" t="s">
        <v>34</v>
      </c>
      <c r="I568" t="s">
        <v>703</v>
      </c>
      <c r="J568">
        <v>2007</v>
      </c>
      <c r="K568">
        <v>43698.521897777777</v>
      </c>
      <c r="L568" t="s">
        <v>25</v>
      </c>
      <c r="M568" t="s">
        <v>37</v>
      </c>
      <c r="N568" t="s">
        <v>27</v>
      </c>
      <c r="O568">
        <v>78218</v>
      </c>
      <c r="P568">
        <v>42542.922685185185</v>
      </c>
      <c r="Q568">
        <v>42377.893772303243</v>
      </c>
      <c r="R568">
        <v>573</v>
      </c>
    </row>
    <row r="569" spans="1:18" x14ac:dyDescent="0.25">
      <c r="A569" t="s">
        <v>1853</v>
      </c>
      <c r="B569" t="s">
        <v>1854</v>
      </c>
      <c r="C569" t="s">
        <v>1855</v>
      </c>
      <c r="D569" t="s">
        <v>1855</v>
      </c>
      <c r="E569" t="s">
        <v>1855</v>
      </c>
      <c r="F569" t="s">
        <v>21</v>
      </c>
      <c r="G569" t="s">
        <v>63</v>
      </c>
      <c r="H569" t="s">
        <v>80</v>
      </c>
      <c r="I569" t="s">
        <v>1856</v>
      </c>
      <c r="J569">
        <v>2012</v>
      </c>
      <c r="K569">
        <v>43698.521897777777</v>
      </c>
      <c r="L569" t="s">
        <v>25</v>
      </c>
      <c r="M569" t="s">
        <v>37</v>
      </c>
      <c r="N569" t="s">
        <v>27</v>
      </c>
      <c r="O569">
        <v>105569</v>
      </c>
      <c r="P569">
        <v>42816.574305555558</v>
      </c>
      <c r="Q569">
        <v>42389.659106597224</v>
      </c>
      <c r="R569">
        <v>574</v>
      </c>
    </row>
    <row r="570" spans="1:18" x14ac:dyDescent="0.25">
      <c r="A570" t="s">
        <v>1857</v>
      </c>
      <c r="B570" t="s">
        <v>1858</v>
      </c>
      <c r="C570" t="s">
        <v>1859</v>
      </c>
      <c r="D570" t="s">
        <v>1859</v>
      </c>
      <c r="E570" t="s">
        <v>1859</v>
      </c>
      <c r="F570" t="s">
        <v>21</v>
      </c>
      <c r="G570" t="s">
        <v>63</v>
      </c>
      <c r="H570" t="s">
        <v>53</v>
      </c>
      <c r="I570" t="s">
        <v>471</v>
      </c>
      <c r="J570">
        <v>2012</v>
      </c>
      <c r="K570">
        <v>43698.521897777777</v>
      </c>
      <c r="L570" t="s">
        <v>1264</v>
      </c>
      <c r="M570" t="s">
        <v>154</v>
      </c>
      <c r="N570" t="s">
        <v>27</v>
      </c>
      <c r="O570">
        <v>146950</v>
      </c>
      <c r="P570">
        <v>43071.499305555553</v>
      </c>
      <c r="Q570">
        <v>42403.634652858796</v>
      </c>
      <c r="R570">
        <v>575</v>
      </c>
    </row>
    <row r="571" spans="1:18" x14ac:dyDescent="0.25">
      <c r="A571" t="s">
        <v>1860</v>
      </c>
      <c r="B571" t="s">
        <v>1861</v>
      </c>
      <c r="C571" t="s">
        <v>1862</v>
      </c>
      <c r="D571" t="s">
        <v>1862</v>
      </c>
      <c r="E571" t="s">
        <v>1863</v>
      </c>
      <c r="F571" t="s">
        <v>21</v>
      </c>
      <c r="G571" t="s">
        <v>22</v>
      </c>
      <c r="H571" t="s">
        <v>53</v>
      </c>
      <c r="I571" t="s">
        <v>471</v>
      </c>
      <c r="J571">
        <v>2016</v>
      </c>
      <c r="K571">
        <v>43698.521897777777</v>
      </c>
      <c r="L571" t="s">
        <v>578</v>
      </c>
      <c r="M571" t="s">
        <v>42</v>
      </c>
      <c r="N571" t="s">
        <v>27</v>
      </c>
      <c r="O571">
        <v>181882</v>
      </c>
      <c r="P571">
        <v>43229.947916666664</v>
      </c>
      <c r="Q571">
        <v>42404.579112731481</v>
      </c>
      <c r="R571">
        <v>576</v>
      </c>
    </row>
    <row r="572" spans="1:18" x14ac:dyDescent="0.25">
      <c r="A572" t="s">
        <v>1864</v>
      </c>
      <c r="B572" t="s">
        <v>1865</v>
      </c>
      <c r="C572" t="s">
        <v>1866</v>
      </c>
      <c r="D572" t="s">
        <v>1866</v>
      </c>
      <c r="E572" t="s">
        <v>1867</v>
      </c>
      <c r="F572" t="s">
        <v>21</v>
      </c>
      <c r="G572" t="s">
        <v>22</v>
      </c>
      <c r="H572" t="s">
        <v>53</v>
      </c>
      <c r="I572" t="s">
        <v>471</v>
      </c>
      <c r="J572">
        <v>2016</v>
      </c>
      <c r="K572">
        <v>43698.521897777777</v>
      </c>
      <c r="L572" t="s">
        <v>193</v>
      </c>
      <c r="M572" t="s">
        <v>42</v>
      </c>
      <c r="N572" t="s">
        <v>27</v>
      </c>
      <c r="O572">
        <v>186847</v>
      </c>
      <c r="P572">
        <v>43247.850694444445</v>
      </c>
      <c r="Q572">
        <v>42404.581026770837</v>
      </c>
      <c r="R572">
        <v>577</v>
      </c>
    </row>
    <row r="573" spans="1:18" x14ac:dyDescent="0.25">
      <c r="A573" t="s">
        <v>1868</v>
      </c>
      <c r="B573" t="s">
        <v>1869</v>
      </c>
      <c r="C573" t="s">
        <v>1870</v>
      </c>
      <c r="D573" t="s">
        <v>1870</v>
      </c>
      <c r="E573" t="s">
        <v>1871</v>
      </c>
      <c r="F573" t="s">
        <v>21</v>
      </c>
      <c r="G573" t="s">
        <v>22</v>
      </c>
      <c r="H573" t="s">
        <v>53</v>
      </c>
      <c r="I573" t="s">
        <v>471</v>
      </c>
      <c r="J573">
        <v>2016</v>
      </c>
      <c r="K573">
        <v>43698.521897777777</v>
      </c>
      <c r="L573" t="s">
        <v>193</v>
      </c>
      <c r="M573" t="s">
        <v>42</v>
      </c>
      <c r="N573" t="s">
        <v>27</v>
      </c>
      <c r="O573">
        <v>183526</v>
      </c>
      <c r="P573">
        <v>43235.86446759259</v>
      </c>
      <c r="Q573">
        <v>42404.581863344909</v>
      </c>
      <c r="R573">
        <v>578</v>
      </c>
    </row>
    <row r="574" spans="1:18" x14ac:dyDescent="0.25">
      <c r="A574" t="s">
        <v>1872</v>
      </c>
      <c r="B574" t="s">
        <v>1873</v>
      </c>
      <c r="C574" t="s">
        <v>1874</v>
      </c>
      <c r="D574" t="s">
        <v>1874</v>
      </c>
      <c r="E574" t="s">
        <v>1875</v>
      </c>
      <c r="F574" t="s">
        <v>21</v>
      </c>
      <c r="G574" t="s">
        <v>22</v>
      </c>
      <c r="H574" t="s">
        <v>53</v>
      </c>
      <c r="I574" t="s">
        <v>471</v>
      </c>
      <c r="J574">
        <v>2016</v>
      </c>
      <c r="K574">
        <v>43698.521897777777</v>
      </c>
      <c r="L574" t="s">
        <v>193</v>
      </c>
      <c r="M574" t="s">
        <v>42</v>
      </c>
      <c r="N574" t="s">
        <v>27</v>
      </c>
      <c r="O574">
        <v>181837</v>
      </c>
      <c r="P574">
        <v>43229.508043981485</v>
      </c>
      <c r="Q574">
        <v>42404.582701967593</v>
      </c>
      <c r="R574">
        <v>579</v>
      </c>
    </row>
    <row r="575" spans="1:18" x14ac:dyDescent="0.25">
      <c r="A575" t="s">
        <v>1876</v>
      </c>
      <c r="B575" t="s">
        <v>1877</v>
      </c>
      <c r="C575" t="s">
        <v>1878</v>
      </c>
      <c r="D575" t="s">
        <v>1878</v>
      </c>
      <c r="E575" t="s">
        <v>1879</v>
      </c>
      <c r="F575" t="s">
        <v>21</v>
      </c>
      <c r="G575" t="s">
        <v>22</v>
      </c>
      <c r="H575" t="s">
        <v>53</v>
      </c>
      <c r="I575" t="s">
        <v>471</v>
      </c>
      <c r="J575">
        <v>2016</v>
      </c>
      <c r="K575">
        <v>43698.521897777777</v>
      </c>
      <c r="L575" t="s">
        <v>578</v>
      </c>
      <c r="M575" t="s">
        <v>42</v>
      </c>
      <c r="N575" t="s">
        <v>27</v>
      </c>
      <c r="O575">
        <v>184511</v>
      </c>
      <c r="P575">
        <v>43238.817199074074</v>
      </c>
      <c r="Q575">
        <v>42404.583346493055</v>
      </c>
      <c r="R575">
        <v>580</v>
      </c>
    </row>
    <row r="576" spans="1:18" x14ac:dyDescent="0.25">
      <c r="A576" t="s">
        <v>1880</v>
      </c>
      <c r="B576" t="s">
        <v>1881</v>
      </c>
      <c r="C576" t="s">
        <v>1882</v>
      </c>
      <c r="D576" t="s">
        <v>1882</v>
      </c>
      <c r="E576" t="s">
        <v>1883</v>
      </c>
      <c r="F576" t="s">
        <v>21</v>
      </c>
      <c r="G576" t="s">
        <v>22</v>
      </c>
      <c r="H576" t="s">
        <v>53</v>
      </c>
      <c r="I576" t="s">
        <v>471</v>
      </c>
      <c r="J576">
        <v>2016</v>
      </c>
      <c r="K576">
        <v>43698.521897777777</v>
      </c>
      <c r="L576" t="s">
        <v>1660</v>
      </c>
      <c r="M576" t="s">
        <v>37</v>
      </c>
      <c r="N576" t="s">
        <v>27</v>
      </c>
      <c r="O576">
        <v>181020</v>
      </c>
      <c r="P576">
        <v>43227.603472222225</v>
      </c>
      <c r="Q576">
        <v>42409.786348067129</v>
      </c>
      <c r="R576">
        <v>581</v>
      </c>
    </row>
    <row r="577" spans="1:18" x14ac:dyDescent="0.25">
      <c r="A577" t="s">
        <v>1884</v>
      </c>
      <c r="B577" t="s">
        <v>1885</v>
      </c>
      <c r="C577" t="s">
        <v>1886</v>
      </c>
      <c r="D577" t="s">
        <v>1886</v>
      </c>
      <c r="E577" t="s">
        <v>1887</v>
      </c>
      <c r="F577" t="s">
        <v>21</v>
      </c>
      <c r="G577" t="s">
        <v>22</v>
      </c>
      <c r="H577" t="s">
        <v>53</v>
      </c>
      <c r="I577" t="s">
        <v>471</v>
      </c>
      <c r="J577">
        <v>2016</v>
      </c>
      <c r="K577">
        <v>43698.521897777777</v>
      </c>
      <c r="L577" t="s">
        <v>1660</v>
      </c>
      <c r="M577" t="s">
        <v>37</v>
      </c>
      <c r="N577" t="s">
        <v>27</v>
      </c>
      <c r="O577">
        <v>181668</v>
      </c>
      <c r="P577">
        <v>43228.956944444442</v>
      </c>
      <c r="Q577">
        <v>42409.788227349534</v>
      </c>
      <c r="R577">
        <v>582</v>
      </c>
    </row>
    <row r="578" spans="1:18" x14ac:dyDescent="0.25">
      <c r="A578" t="s">
        <v>1888</v>
      </c>
      <c r="B578" t="s">
        <v>1889</v>
      </c>
      <c r="C578" t="s">
        <v>1890</v>
      </c>
      <c r="D578" t="s">
        <v>1890</v>
      </c>
      <c r="E578" t="s">
        <v>1891</v>
      </c>
      <c r="F578" t="s">
        <v>21</v>
      </c>
      <c r="G578" t="s">
        <v>22</v>
      </c>
      <c r="H578" t="s">
        <v>53</v>
      </c>
      <c r="I578" t="s">
        <v>471</v>
      </c>
      <c r="J578">
        <v>2016</v>
      </c>
      <c r="K578">
        <v>43698.521897777777</v>
      </c>
      <c r="L578" t="s">
        <v>1660</v>
      </c>
      <c r="M578" t="s">
        <v>37</v>
      </c>
      <c r="N578" t="s">
        <v>27</v>
      </c>
      <c r="O578">
        <v>196394</v>
      </c>
      <c r="P578">
        <v>43281.033333333333</v>
      </c>
      <c r="Q578">
        <v>42409.789568136577</v>
      </c>
      <c r="R578">
        <v>583</v>
      </c>
    </row>
    <row r="579" spans="1:18" x14ac:dyDescent="0.25">
      <c r="A579" t="s">
        <v>1892</v>
      </c>
      <c r="B579" t="s">
        <v>1893</v>
      </c>
      <c r="C579" t="s">
        <v>1894</v>
      </c>
      <c r="D579" t="s">
        <v>1894</v>
      </c>
      <c r="E579" t="s">
        <v>1895</v>
      </c>
      <c r="F579" t="s">
        <v>21</v>
      </c>
      <c r="G579" t="s">
        <v>22</v>
      </c>
      <c r="H579" t="s">
        <v>53</v>
      </c>
      <c r="I579" t="s">
        <v>471</v>
      </c>
      <c r="J579">
        <v>2016</v>
      </c>
      <c r="K579">
        <v>43698.521897777777</v>
      </c>
      <c r="L579" t="s">
        <v>1660</v>
      </c>
      <c r="M579" t="s">
        <v>37</v>
      </c>
      <c r="N579" t="s">
        <v>27</v>
      </c>
      <c r="O579">
        <v>181532</v>
      </c>
      <c r="P579">
        <v>43228.612500000003</v>
      </c>
      <c r="Q579">
        <v>42409.790203738426</v>
      </c>
      <c r="R579">
        <v>584</v>
      </c>
    </row>
    <row r="580" spans="1:18" x14ac:dyDescent="0.25">
      <c r="A580" t="s">
        <v>1896</v>
      </c>
      <c r="B580" t="s">
        <v>1897</v>
      </c>
      <c r="C580" t="s">
        <v>1898</v>
      </c>
      <c r="D580" t="s">
        <v>1898</v>
      </c>
      <c r="E580" t="s">
        <v>1899</v>
      </c>
      <c r="F580" t="s">
        <v>21</v>
      </c>
      <c r="G580" t="s">
        <v>22</v>
      </c>
      <c r="H580" t="s">
        <v>53</v>
      </c>
      <c r="I580" t="s">
        <v>471</v>
      </c>
      <c r="J580">
        <v>2016</v>
      </c>
      <c r="K580">
        <v>43698.521897777777</v>
      </c>
      <c r="L580" t="s">
        <v>1660</v>
      </c>
      <c r="M580" t="s">
        <v>37</v>
      </c>
      <c r="N580" t="s">
        <v>27</v>
      </c>
      <c r="O580">
        <v>179924</v>
      </c>
      <c r="P580">
        <v>43222.038888888892</v>
      </c>
      <c r="Q580">
        <v>42409.790944479166</v>
      </c>
      <c r="R580">
        <v>585</v>
      </c>
    </row>
    <row r="581" spans="1:18" x14ac:dyDescent="0.25">
      <c r="A581" t="s">
        <v>1900</v>
      </c>
      <c r="B581" t="s">
        <v>363</v>
      </c>
      <c r="C581" t="s">
        <v>1901</v>
      </c>
      <c r="D581" t="s">
        <v>1901</v>
      </c>
      <c r="E581" t="s">
        <v>1901</v>
      </c>
      <c r="F581" t="s">
        <v>91</v>
      </c>
      <c r="G581" t="s">
        <v>63</v>
      </c>
      <c r="H581" t="s">
        <v>34</v>
      </c>
      <c r="I581" t="s">
        <v>35</v>
      </c>
      <c r="J581">
        <v>2007</v>
      </c>
      <c r="K581">
        <v>43698.521897777777</v>
      </c>
      <c r="L581" t="s">
        <v>193</v>
      </c>
      <c r="M581" t="s">
        <v>37</v>
      </c>
      <c r="N581" t="s">
        <v>415</v>
      </c>
      <c r="O581">
        <v>345993</v>
      </c>
      <c r="P581">
        <v>43698.521897777777</v>
      </c>
      <c r="Q581">
        <v>42409.792499189818</v>
      </c>
      <c r="R581">
        <v>586</v>
      </c>
    </row>
    <row r="582" spans="1:18" x14ac:dyDescent="0.25">
      <c r="A582" t="s">
        <v>1902</v>
      </c>
      <c r="B582" t="s">
        <v>1903</v>
      </c>
      <c r="C582" t="s">
        <v>1904</v>
      </c>
      <c r="D582" t="s">
        <v>1904</v>
      </c>
      <c r="E582" t="s">
        <v>1904</v>
      </c>
      <c r="F582" t="s">
        <v>21</v>
      </c>
      <c r="G582" t="s">
        <v>63</v>
      </c>
      <c r="H582" t="s">
        <v>34</v>
      </c>
      <c r="I582" t="s">
        <v>703</v>
      </c>
      <c r="J582">
        <v>2012</v>
      </c>
      <c r="K582">
        <v>43698.521897777777</v>
      </c>
      <c r="L582" t="s">
        <v>25</v>
      </c>
      <c r="M582" t="s">
        <v>37</v>
      </c>
      <c r="N582" t="s">
        <v>27</v>
      </c>
      <c r="O582">
        <v>76158</v>
      </c>
      <c r="P582">
        <v>42518.297048611108</v>
      </c>
      <c r="Q582">
        <v>42409.794052546298</v>
      </c>
      <c r="R582">
        <v>587</v>
      </c>
    </row>
    <row r="583" spans="1:18" x14ac:dyDescent="0.25">
      <c r="A583" t="s">
        <v>1905</v>
      </c>
      <c r="B583" t="s">
        <v>1906</v>
      </c>
      <c r="C583" t="s">
        <v>1907</v>
      </c>
      <c r="D583" t="s">
        <v>1907</v>
      </c>
      <c r="E583" t="s">
        <v>1907</v>
      </c>
      <c r="F583" t="s">
        <v>21</v>
      </c>
      <c r="G583" t="s">
        <v>63</v>
      </c>
      <c r="H583" t="s">
        <v>23</v>
      </c>
      <c r="I583" t="s">
        <v>41</v>
      </c>
      <c r="J583">
        <v>2006</v>
      </c>
      <c r="K583">
        <v>43698.521897777777</v>
      </c>
      <c r="L583" t="s">
        <v>25</v>
      </c>
      <c r="M583" t="s">
        <v>37</v>
      </c>
      <c r="N583" t="s">
        <v>27</v>
      </c>
      <c r="O583">
        <v>74783</v>
      </c>
      <c r="P583">
        <v>42500.401585648149</v>
      </c>
      <c r="Q583">
        <v>42415.648973645832</v>
      </c>
      <c r="R583">
        <v>588</v>
      </c>
    </row>
    <row r="584" spans="1:18" x14ac:dyDescent="0.25">
      <c r="A584" t="s">
        <v>1908</v>
      </c>
      <c r="B584" t="s">
        <v>1909</v>
      </c>
      <c r="C584" t="s">
        <v>1910</v>
      </c>
      <c r="D584" t="s">
        <v>1910</v>
      </c>
      <c r="E584" t="s">
        <v>1911</v>
      </c>
      <c r="F584" t="s">
        <v>21</v>
      </c>
      <c r="G584" t="s">
        <v>22</v>
      </c>
      <c r="H584" t="s">
        <v>53</v>
      </c>
      <c r="I584" t="s">
        <v>471</v>
      </c>
      <c r="J584">
        <v>2016</v>
      </c>
      <c r="K584">
        <v>43698.521897777777</v>
      </c>
      <c r="L584" t="s">
        <v>25</v>
      </c>
      <c r="M584" t="s">
        <v>37</v>
      </c>
      <c r="N584" t="s">
        <v>27</v>
      </c>
      <c r="O584">
        <v>80600</v>
      </c>
      <c r="P584">
        <v>42574.439583333333</v>
      </c>
      <c r="Q584">
        <v>42417.593650578703</v>
      </c>
      <c r="R584">
        <v>589</v>
      </c>
    </row>
    <row r="585" spans="1:18" x14ac:dyDescent="0.25">
      <c r="A585" t="s">
        <v>1912</v>
      </c>
      <c r="B585" t="s">
        <v>1913</v>
      </c>
      <c r="C585" t="s">
        <v>1914</v>
      </c>
      <c r="D585" t="s">
        <v>1914</v>
      </c>
      <c r="E585" t="s">
        <v>1915</v>
      </c>
      <c r="F585" t="s">
        <v>21</v>
      </c>
      <c r="G585" t="s">
        <v>22</v>
      </c>
      <c r="H585" t="s">
        <v>53</v>
      </c>
      <c r="I585" t="s">
        <v>471</v>
      </c>
      <c r="J585">
        <v>2016</v>
      </c>
      <c r="K585">
        <v>43698.521897777777</v>
      </c>
      <c r="L585" t="s">
        <v>1916</v>
      </c>
      <c r="M585" t="s">
        <v>37</v>
      </c>
      <c r="N585" t="s">
        <v>27</v>
      </c>
      <c r="O585">
        <v>174954</v>
      </c>
      <c r="P585">
        <v>43205.04210648148</v>
      </c>
      <c r="Q585">
        <v>42417.596316585645</v>
      </c>
      <c r="R585">
        <v>590</v>
      </c>
    </row>
    <row r="586" spans="1:18" x14ac:dyDescent="0.25">
      <c r="A586" t="s">
        <v>1917</v>
      </c>
      <c r="B586" t="s">
        <v>1918</v>
      </c>
      <c r="C586" t="s">
        <v>1919</v>
      </c>
      <c r="D586" t="s">
        <v>1919</v>
      </c>
      <c r="E586" t="s">
        <v>1920</v>
      </c>
      <c r="F586" t="s">
        <v>21</v>
      </c>
      <c r="G586" t="s">
        <v>22</v>
      </c>
      <c r="H586" t="s">
        <v>53</v>
      </c>
      <c r="I586" t="s">
        <v>471</v>
      </c>
      <c r="J586">
        <v>2016</v>
      </c>
      <c r="K586">
        <v>43698.521897777777</v>
      </c>
      <c r="L586" t="s">
        <v>1660</v>
      </c>
      <c r="M586" t="s">
        <v>37</v>
      </c>
      <c r="N586" t="s">
        <v>27</v>
      </c>
      <c r="O586">
        <v>181705</v>
      </c>
      <c r="P586">
        <v>43229.609027777777</v>
      </c>
      <c r="Q586">
        <v>42417.59681628472</v>
      </c>
      <c r="R586">
        <v>591</v>
      </c>
    </row>
    <row r="587" spans="1:18" x14ac:dyDescent="0.25">
      <c r="A587" t="s">
        <v>1921</v>
      </c>
      <c r="B587" t="s">
        <v>1922</v>
      </c>
      <c r="C587" t="s">
        <v>1923</v>
      </c>
      <c r="D587" t="s">
        <v>1923</v>
      </c>
      <c r="E587" t="s">
        <v>1924</v>
      </c>
      <c r="F587" t="s">
        <v>21</v>
      </c>
      <c r="G587" t="s">
        <v>22</v>
      </c>
      <c r="H587" t="s">
        <v>53</v>
      </c>
      <c r="I587" t="s">
        <v>471</v>
      </c>
      <c r="J587">
        <v>2016</v>
      </c>
      <c r="K587">
        <v>43698.521897777777</v>
      </c>
      <c r="L587" t="s">
        <v>1660</v>
      </c>
      <c r="M587" t="s">
        <v>37</v>
      </c>
      <c r="N587" t="s">
        <v>27</v>
      </c>
      <c r="O587">
        <v>181463</v>
      </c>
      <c r="P587">
        <v>43228.68472222222</v>
      </c>
      <c r="Q587">
        <v>42417.597164965278</v>
      </c>
      <c r="R587">
        <v>592</v>
      </c>
    </row>
    <row r="588" spans="1:18" x14ac:dyDescent="0.25">
      <c r="A588" t="s">
        <v>1925</v>
      </c>
      <c r="B588" t="s">
        <v>1926</v>
      </c>
      <c r="C588" t="s">
        <v>1927</v>
      </c>
      <c r="D588" t="s">
        <v>1927</v>
      </c>
      <c r="E588" t="s">
        <v>1928</v>
      </c>
      <c r="F588" t="s">
        <v>21</v>
      </c>
      <c r="G588" t="s">
        <v>22</v>
      </c>
      <c r="H588" t="s">
        <v>53</v>
      </c>
      <c r="I588" t="s">
        <v>471</v>
      </c>
      <c r="J588">
        <v>2016</v>
      </c>
      <c r="K588">
        <v>43698.521897777777</v>
      </c>
      <c r="L588" t="s">
        <v>1660</v>
      </c>
      <c r="M588" t="s">
        <v>37</v>
      </c>
      <c r="N588" t="s">
        <v>27</v>
      </c>
      <c r="O588">
        <v>180556</v>
      </c>
      <c r="P588">
        <v>43224.611111111109</v>
      </c>
      <c r="Q588">
        <v>42417.597529363426</v>
      </c>
      <c r="R588">
        <v>593</v>
      </c>
    </row>
    <row r="589" spans="1:18" x14ac:dyDescent="0.25">
      <c r="A589" t="s">
        <v>1929</v>
      </c>
      <c r="B589" t="s">
        <v>1930</v>
      </c>
      <c r="C589" t="s">
        <v>1931</v>
      </c>
      <c r="D589" t="s">
        <v>1931</v>
      </c>
      <c r="E589" t="s">
        <v>1931</v>
      </c>
      <c r="F589" t="s">
        <v>91</v>
      </c>
      <c r="G589" t="s">
        <v>63</v>
      </c>
      <c r="H589" t="s">
        <v>34</v>
      </c>
      <c r="I589" t="s">
        <v>35</v>
      </c>
      <c r="J589">
        <v>2012</v>
      </c>
      <c r="K589">
        <v>43698.521897777777</v>
      </c>
      <c r="L589" t="s">
        <v>193</v>
      </c>
      <c r="M589" t="s">
        <v>37</v>
      </c>
      <c r="N589" t="s">
        <v>415</v>
      </c>
      <c r="O589">
        <v>346938</v>
      </c>
      <c r="P589">
        <v>43698.521897777777</v>
      </c>
      <c r="Q589">
        <v>42417.600701967589</v>
      </c>
      <c r="R589">
        <v>594</v>
      </c>
    </row>
    <row r="590" spans="1:18" x14ac:dyDescent="0.25">
      <c r="A590" t="s">
        <v>1932</v>
      </c>
      <c r="B590" t="s">
        <v>1933</v>
      </c>
      <c r="C590" t="s">
        <v>1934</v>
      </c>
      <c r="D590" t="s">
        <v>1934</v>
      </c>
      <c r="E590" t="s">
        <v>1934</v>
      </c>
      <c r="F590" t="s">
        <v>91</v>
      </c>
      <c r="G590" t="s">
        <v>63</v>
      </c>
      <c r="H590" t="s">
        <v>53</v>
      </c>
      <c r="I590" t="s">
        <v>471</v>
      </c>
      <c r="J590">
        <v>2016</v>
      </c>
      <c r="K590">
        <v>43698.521897777777</v>
      </c>
      <c r="L590" t="s">
        <v>1005</v>
      </c>
      <c r="M590" t="s">
        <v>37</v>
      </c>
      <c r="N590" t="s">
        <v>415</v>
      </c>
      <c r="O590">
        <v>346587</v>
      </c>
      <c r="P590">
        <v>43698.521897777777</v>
      </c>
      <c r="Q590">
        <v>42419.678595451391</v>
      </c>
      <c r="R590">
        <v>595</v>
      </c>
    </row>
    <row r="591" spans="1:18" x14ac:dyDescent="0.25">
      <c r="A591" t="s">
        <v>25</v>
      </c>
      <c r="B591" t="s">
        <v>25</v>
      </c>
      <c r="C591" t="s">
        <v>1935</v>
      </c>
      <c r="D591" t="s">
        <v>1935</v>
      </c>
      <c r="E591" t="s">
        <v>1935</v>
      </c>
      <c r="F591" t="s">
        <v>21</v>
      </c>
      <c r="G591" t="s">
        <v>63</v>
      </c>
      <c r="H591" t="s">
        <v>25</v>
      </c>
      <c r="I591" t="s">
        <v>25</v>
      </c>
      <c r="K591">
        <v>43698.521897777777</v>
      </c>
      <c r="L591" t="s">
        <v>25</v>
      </c>
      <c r="M591" t="s">
        <v>154</v>
      </c>
      <c r="N591" t="s">
        <v>27</v>
      </c>
      <c r="Q591">
        <v>42429.575094328706</v>
      </c>
      <c r="R591">
        <v>596</v>
      </c>
    </row>
    <row r="592" spans="1:18" x14ac:dyDescent="0.25">
      <c r="A592" t="s">
        <v>25</v>
      </c>
      <c r="B592" t="s">
        <v>25</v>
      </c>
      <c r="C592" t="s">
        <v>1936</v>
      </c>
      <c r="D592" t="s">
        <v>1936</v>
      </c>
      <c r="E592" t="s">
        <v>1937</v>
      </c>
      <c r="F592" t="s">
        <v>21</v>
      </c>
      <c r="G592" t="s">
        <v>106</v>
      </c>
      <c r="H592" t="s">
        <v>25</v>
      </c>
      <c r="I592" t="s">
        <v>25</v>
      </c>
      <c r="K592">
        <v>43698.521897777777</v>
      </c>
      <c r="L592" t="s">
        <v>25</v>
      </c>
      <c r="M592" t="s">
        <v>42</v>
      </c>
      <c r="N592" t="s">
        <v>27</v>
      </c>
      <c r="Q592">
        <v>42430.470041354165</v>
      </c>
      <c r="R592">
        <v>597</v>
      </c>
    </row>
    <row r="593" spans="1:18" x14ac:dyDescent="0.25">
      <c r="A593" t="s">
        <v>1938</v>
      </c>
      <c r="B593" t="s">
        <v>914</v>
      </c>
      <c r="C593" t="s">
        <v>1939</v>
      </c>
      <c r="D593" t="s">
        <v>1939</v>
      </c>
      <c r="E593" t="s">
        <v>1939</v>
      </c>
      <c r="F593" t="s">
        <v>91</v>
      </c>
      <c r="G593" t="s">
        <v>63</v>
      </c>
      <c r="H593" t="s">
        <v>34</v>
      </c>
      <c r="I593" t="s">
        <v>35</v>
      </c>
      <c r="J593">
        <v>2008</v>
      </c>
      <c r="K593">
        <v>43698.521897777777</v>
      </c>
      <c r="L593" t="s">
        <v>1940</v>
      </c>
      <c r="M593" t="s">
        <v>1941</v>
      </c>
      <c r="N593" t="s">
        <v>27</v>
      </c>
      <c r="O593">
        <v>346939</v>
      </c>
      <c r="P593">
        <v>43698.521897777777</v>
      </c>
      <c r="Q593">
        <v>42430.561450775465</v>
      </c>
      <c r="R593">
        <v>598</v>
      </c>
    </row>
    <row r="594" spans="1:18" x14ac:dyDescent="0.25">
      <c r="A594" t="s">
        <v>1942</v>
      </c>
      <c r="B594" t="s">
        <v>1943</v>
      </c>
      <c r="C594" t="s">
        <v>1944</v>
      </c>
      <c r="D594" t="s">
        <v>1944</v>
      </c>
      <c r="E594" t="s">
        <v>1944</v>
      </c>
      <c r="F594" t="s">
        <v>21</v>
      </c>
      <c r="G594" t="s">
        <v>63</v>
      </c>
      <c r="H594" t="s">
        <v>34</v>
      </c>
      <c r="I594" t="s">
        <v>35</v>
      </c>
      <c r="J594">
        <v>2012</v>
      </c>
      <c r="K594">
        <v>43698.521897777777</v>
      </c>
      <c r="L594" t="s">
        <v>25</v>
      </c>
      <c r="M594" t="s">
        <v>37</v>
      </c>
      <c r="N594" t="s">
        <v>27</v>
      </c>
      <c r="O594">
        <v>112554</v>
      </c>
      <c r="P594">
        <v>42871.140740740739</v>
      </c>
      <c r="Q594">
        <v>42430.619276886573</v>
      </c>
      <c r="R594">
        <v>599</v>
      </c>
    </row>
    <row r="595" spans="1:18" x14ac:dyDescent="0.25">
      <c r="A595" t="s">
        <v>1945</v>
      </c>
      <c r="B595" t="s">
        <v>1946</v>
      </c>
      <c r="C595" t="s">
        <v>1947</v>
      </c>
      <c r="D595" t="s">
        <v>1947</v>
      </c>
      <c r="E595" t="s">
        <v>1947</v>
      </c>
      <c r="F595" t="s">
        <v>21</v>
      </c>
      <c r="G595" t="s">
        <v>63</v>
      </c>
      <c r="H595" t="s">
        <v>34</v>
      </c>
      <c r="I595" t="s">
        <v>35</v>
      </c>
      <c r="J595">
        <v>2005</v>
      </c>
      <c r="K595">
        <v>43698.521897777777</v>
      </c>
      <c r="L595" t="s">
        <v>193</v>
      </c>
      <c r="M595" t="s">
        <v>37</v>
      </c>
      <c r="N595" t="s">
        <v>27</v>
      </c>
      <c r="O595">
        <v>189750</v>
      </c>
      <c r="P595">
        <v>43264.023611111108</v>
      </c>
      <c r="Q595">
        <v>42431.515458449074</v>
      </c>
      <c r="R595">
        <v>600</v>
      </c>
    </row>
    <row r="596" spans="1:18" x14ac:dyDescent="0.25">
      <c r="A596" t="s">
        <v>1948</v>
      </c>
      <c r="B596" t="s">
        <v>195</v>
      </c>
      <c r="C596" t="s">
        <v>1949</v>
      </c>
      <c r="D596" t="s">
        <v>1949</v>
      </c>
      <c r="E596" t="s">
        <v>1949</v>
      </c>
      <c r="F596" t="s">
        <v>21</v>
      </c>
      <c r="G596" t="s">
        <v>63</v>
      </c>
      <c r="H596" t="s">
        <v>23</v>
      </c>
      <c r="I596" t="s">
        <v>59</v>
      </c>
      <c r="J596">
        <v>2006</v>
      </c>
      <c r="K596">
        <v>43698.521897777777</v>
      </c>
      <c r="L596" t="s">
        <v>1264</v>
      </c>
      <c r="M596" t="s">
        <v>154</v>
      </c>
      <c r="N596" t="s">
        <v>27</v>
      </c>
      <c r="O596">
        <v>159001</v>
      </c>
      <c r="P596">
        <v>43142.635671296295</v>
      </c>
      <c r="Q596">
        <v>42433.720071064818</v>
      </c>
      <c r="R596">
        <v>601</v>
      </c>
    </row>
    <row r="597" spans="1:18" x14ac:dyDescent="0.25">
      <c r="A597" t="s">
        <v>1950</v>
      </c>
      <c r="B597" t="s">
        <v>1951</v>
      </c>
      <c r="C597" t="s">
        <v>1952</v>
      </c>
      <c r="D597" t="s">
        <v>1952</v>
      </c>
      <c r="E597" t="s">
        <v>1953</v>
      </c>
      <c r="F597" t="s">
        <v>21</v>
      </c>
      <c r="G597" t="s">
        <v>22</v>
      </c>
      <c r="H597" t="s">
        <v>53</v>
      </c>
      <c r="I597" t="s">
        <v>471</v>
      </c>
      <c r="J597">
        <v>2016</v>
      </c>
      <c r="K597">
        <v>43698.521897777777</v>
      </c>
      <c r="L597" t="s">
        <v>25</v>
      </c>
      <c r="M597" t="s">
        <v>1738</v>
      </c>
      <c r="N597" t="s">
        <v>27</v>
      </c>
      <c r="O597">
        <v>141702</v>
      </c>
      <c r="P597">
        <v>43051.876643518517</v>
      </c>
      <c r="Q597">
        <v>42434.638222534719</v>
      </c>
      <c r="R597">
        <v>602</v>
      </c>
    </row>
    <row r="598" spans="1:18" x14ac:dyDescent="0.25">
      <c r="A598" t="s">
        <v>1954</v>
      </c>
      <c r="B598" t="s">
        <v>1955</v>
      </c>
      <c r="C598" t="s">
        <v>1956</v>
      </c>
      <c r="D598" t="s">
        <v>1956</v>
      </c>
      <c r="E598" t="s">
        <v>1957</v>
      </c>
      <c r="F598" t="s">
        <v>21</v>
      </c>
      <c r="G598" t="s">
        <v>22</v>
      </c>
      <c r="H598" t="s">
        <v>53</v>
      </c>
      <c r="I598" t="s">
        <v>471</v>
      </c>
      <c r="J598">
        <v>2016</v>
      </c>
      <c r="K598">
        <v>43698.521897777777</v>
      </c>
      <c r="L598" t="s">
        <v>1604</v>
      </c>
      <c r="M598" t="s">
        <v>1738</v>
      </c>
      <c r="N598" t="s">
        <v>27</v>
      </c>
      <c r="Q598">
        <v>42434.639115543985</v>
      </c>
      <c r="R598">
        <v>603</v>
      </c>
    </row>
    <row r="599" spans="1:18" x14ac:dyDescent="0.25">
      <c r="A599" t="s">
        <v>1958</v>
      </c>
      <c r="B599" t="s">
        <v>1959</v>
      </c>
      <c r="C599" t="s">
        <v>1960</v>
      </c>
      <c r="D599" t="s">
        <v>1960</v>
      </c>
      <c r="E599" t="s">
        <v>1961</v>
      </c>
      <c r="F599" t="s">
        <v>21</v>
      </c>
      <c r="G599" t="s">
        <v>22</v>
      </c>
      <c r="H599" t="s">
        <v>53</v>
      </c>
      <c r="I599" t="s">
        <v>471</v>
      </c>
      <c r="J599">
        <v>2016</v>
      </c>
      <c r="K599">
        <v>43698.521897777777</v>
      </c>
      <c r="L599" t="s">
        <v>25</v>
      </c>
      <c r="M599" t="s">
        <v>1738</v>
      </c>
      <c r="N599" t="s">
        <v>27</v>
      </c>
      <c r="O599">
        <v>137103</v>
      </c>
      <c r="P599">
        <v>43023.427083333336</v>
      </c>
      <c r="Q599">
        <v>42434.649416898152</v>
      </c>
      <c r="R599">
        <v>604</v>
      </c>
    </row>
    <row r="600" spans="1:18" x14ac:dyDescent="0.25">
      <c r="A600" t="s">
        <v>1962</v>
      </c>
      <c r="B600" t="s">
        <v>1963</v>
      </c>
      <c r="C600" t="s">
        <v>1964</v>
      </c>
      <c r="D600" t="s">
        <v>1964</v>
      </c>
      <c r="E600" t="s">
        <v>1965</v>
      </c>
      <c r="F600" t="s">
        <v>21</v>
      </c>
      <c r="G600" t="s">
        <v>22</v>
      </c>
      <c r="H600" t="s">
        <v>53</v>
      </c>
      <c r="I600" t="s">
        <v>471</v>
      </c>
      <c r="J600">
        <v>2016</v>
      </c>
      <c r="K600">
        <v>43698.521897777777</v>
      </c>
      <c r="L600" t="s">
        <v>25</v>
      </c>
      <c r="M600" t="s">
        <v>1738</v>
      </c>
      <c r="N600" t="s">
        <v>27</v>
      </c>
      <c r="O600">
        <v>137094</v>
      </c>
      <c r="P600">
        <v>43024.415972222225</v>
      </c>
      <c r="Q600">
        <v>42434.65070204861</v>
      </c>
      <c r="R600">
        <v>605</v>
      </c>
    </row>
    <row r="601" spans="1:18" x14ac:dyDescent="0.25">
      <c r="A601" t="s">
        <v>1966</v>
      </c>
      <c r="B601" t="s">
        <v>1967</v>
      </c>
      <c r="C601" t="s">
        <v>1968</v>
      </c>
      <c r="D601" t="s">
        <v>1968</v>
      </c>
      <c r="E601" t="s">
        <v>1969</v>
      </c>
      <c r="F601" t="s">
        <v>21</v>
      </c>
      <c r="G601" t="s">
        <v>22</v>
      </c>
      <c r="H601" t="s">
        <v>53</v>
      </c>
      <c r="I601" t="s">
        <v>471</v>
      </c>
      <c r="J601">
        <v>2016</v>
      </c>
      <c r="K601">
        <v>43698.521897777777</v>
      </c>
      <c r="L601" t="s">
        <v>25</v>
      </c>
      <c r="M601" t="s">
        <v>1738</v>
      </c>
      <c r="N601" t="s">
        <v>27</v>
      </c>
      <c r="O601">
        <v>140923</v>
      </c>
      <c r="P601">
        <v>43041.573391203703</v>
      </c>
      <c r="Q601">
        <v>42434.65171917824</v>
      </c>
      <c r="R601">
        <v>606</v>
      </c>
    </row>
    <row r="602" spans="1:18" x14ac:dyDescent="0.25">
      <c r="A602" t="s">
        <v>1970</v>
      </c>
      <c r="B602" t="s">
        <v>1971</v>
      </c>
      <c r="C602" t="s">
        <v>1972</v>
      </c>
      <c r="D602" t="s">
        <v>1972</v>
      </c>
      <c r="E602" t="s">
        <v>1973</v>
      </c>
      <c r="F602" t="s">
        <v>21</v>
      </c>
      <c r="G602" t="s">
        <v>22</v>
      </c>
      <c r="H602" t="s">
        <v>53</v>
      </c>
      <c r="I602" t="s">
        <v>471</v>
      </c>
      <c r="J602">
        <v>2016</v>
      </c>
      <c r="K602">
        <v>43698.521897777777</v>
      </c>
      <c r="L602" t="s">
        <v>466</v>
      </c>
      <c r="M602" t="s">
        <v>1738</v>
      </c>
      <c r="N602" t="s">
        <v>27</v>
      </c>
      <c r="O602">
        <v>184623</v>
      </c>
      <c r="P602">
        <v>43240.847546296296</v>
      </c>
      <c r="Q602">
        <v>42436.791583761573</v>
      </c>
      <c r="R602">
        <v>607</v>
      </c>
    </row>
    <row r="603" spans="1:18" x14ac:dyDescent="0.25">
      <c r="A603" t="s">
        <v>1974</v>
      </c>
      <c r="B603" t="s">
        <v>1975</v>
      </c>
      <c r="C603" t="s">
        <v>1976</v>
      </c>
      <c r="D603" t="s">
        <v>1976</v>
      </c>
      <c r="E603" t="s">
        <v>1977</v>
      </c>
      <c r="F603" t="s">
        <v>91</v>
      </c>
      <c r="G603" t="s">
        <v>63</v>
      </c>
      <c r="H603" t="s">
        <v>53</v>
      </c>
      <c r="I603" t="s">
        <v>471</v>
      </c>
      <c r="J603">
        <v>2016</v>
      </c>
      <c r="K603">
        <v>43698.521897777777</v>
      </c>
      <c r="L603" t="s">
        <v>1978</v>
      </c>
      <c r="M603" t="s">
        <v>1738</v>
      </c>
      <c r="N603" t="s">
        <v>523</v>
      </c>
      <c r="O603">
        <v>339597</v>
      </c>
      <c r="P603">
        <v>43688.446527777778</v>
      </c>
      <c r="Q603">
        <v>42437.697557951389</v>
      </c>
      <c r="R603">
        <v>608</v>
      </c>
    </row>
    <row r="604" spans="1:18" x14ac:dyDescent="0.25">
      <c r="A604" t="s">
        <v>1979</v>
      </c>
      <c r="B604" t="s">
        <v>1980</v>
      </c>
      <c r="C604" t="s">
        <v>1981</v>
      </c>
      <c r="D604" t="s">
        <v>1981</v>
      </c>
      <c r="E604" t="s">
        <v>1982</v>
      </c>
      <c r="F604" t="s">
        <v>21</v>
      </c>
      <c r="G604" t="s">
        <v>22</v>
      </c>
      <c r="H604" t="s">
        <v>53</v>
      </c>
      <c r="I604" t="s">
        <v>471</v>
      </c>
      <c r="J604">
        <v>2016</v>
      </c>
      <c r="K604">
        <v>43698.521897777777</v>
      </c>
      <c r="L604" t="s">
        <v>1978</v>
      </c>
      <c r="M604" t="s">
        <v>1738</v>
      </c>
      <c r="N604" t="s">
        <v>27</v>
      </c>
      <c r="O604">
        <v>170516</v>
      </c>
      <c r="P604">
        <v>43190.575578703705</v>
      </c>
      <c r="Q604">
        <v>42437.698521180559</v>
      </c>
      <c r="R604">
        <v>609</v>
      </c>
    </row>
    <row r="605" spans="1:18" x14ac:dyDescent="0.25">
      <c r="A605" t="s">
        <v>1983</v>
      </c>
      <c r="B605" t="s">
        <v>1984</v>
      </c>
      <c r="C605" t="s">
        <v>1985</v>
      </c>
      <c r="D605" t="s">
        <v>1985</v>
      </c>
      <c r="E605" t="s">
        <v>1986</v>
      </c>
      <c r="F605" t="s">
        <v>21</v>
      </c>
      <c r="G605" t="s">
        <v>22</v>
      </c>
      <c r="H605" t="s">
        <v>53</v>
      </c>
      <c r="I605" t="s">
        <v>471</v>
      </c>
      <c r="J605">
        <v>2016</v>
      </c>
      <c r="K605">
        <v>43698.521897777777</v>
      </c>
      <c r="L605" t="s">
        <v>1987</v>
      </c>
      <c r="M605" t="s">
        <v>1738</v>
      </c>
      <c r="N605" t="s">
        <v>27</v>
      </c>
      <c r="O605">
        <v>183101</v>
      </c>
      <c r="P605">
        <v>43238.662465277775</v>
      </c>
      <c r="Q605">
        <v>42437.699065590277</v>
      </c>
      <c r="R605">
        <v>610</v>
      </c>
    </row>
    <row r="606" spans="1:18" x14ac:dyDescent="0.25">
      <c r="A606" t="s">
        <v>1988</v>
      </c>
      <c r="B606" t="s">
        <v>1989</v>
      </c>
      <c r="C606" t="s">
        <v>1990</v>
      </c>
      <c r="D606" t="s">
        <v>1990</v>
      </c>
      <c r="E606" t="s">
        <v>1991</v>
      </c>
      <c r="F606" t="s">
        <v>21</v>
      </c>
      <c r="G606" t="s">
        <v>22</v>
      </c>
      <c r="H606" t="s">
        <v>53</v>
      </c>
      <c r="I606" t="s">
        <v>471</v>
      </c>
      <c r="J606">
        <v>2016</v>
      </c>
      <c r="K606">
        <v>43698.521897777777</v>
      </c>
      <c r="L606" t="s">
        <v>466</v>
      </c>
      <c r="M606" t="s">
        <v>1738</v>
      </c>
      <c r="N606" t="s">
        <v>27</v>
      </c>
      <c r="O606">
        <v>182057</v>
      </c>
      <c r="P606">
        <v>43229.770833333336</v>
      </c>
      <c r="Q606">
        <v>42437.6995459838</v>
      </c>
      <c r="R606">
        <v>611</v>
      </c>
    </row>
    <row r="607" spans="1:18" x14ac:dyDescent="0.25">
      <c r="A607" t="s">
        <v>1992</v>
      </c>
      <c r="B607" t="s">
        <v>1993</v>
      </c>
      <c r="C607" t="s">
        <v>1994</v>
      </c>
      <c r="D607" t="s">
        <v>1994</v>
      </c>
      <c r="E607" t="s">
        <v>1995</v>
      </c>
      <c r="F607" t="s">
        <v>21</v>
      </c>
      <c r="G607" t="s">
        <v>22</v>
      </c>
      <c r="H607" t="s">
        <v>53</v>
      </c>
      <c r="I607" t="s">
        <v>471</v>
      </c>
      <c r="J607">
        <v>2016</v>
      </c>
      <c r="K607">
        <v>43698.521897777777</v>
      </c>
      <c r="L607" t="s">
        <v>25</v>
      </c>
      <c r="M607" t="s">
        <v>1738</v>
      </c>
      <c r="N607" t="s">
        <v>27</v>
      </c>
      <c r="O607">
        <v>151487</v>
      </c>
      <c r="P607">
        <v>43098.63958333333</v>
      </c>
      <c r="Q607">
        <v>42437.700099421294</v>
      </c>
      <c r="R607">
        <v>612</v>
      </c>
    </row>
    <row r="608" spans="1:18" x14ac:dyDescent="0.25">
      <c r="A608" t="s">
        <v>1996</v>
      </c>
      <c r="B608" t="s">
        <v>1997</v>
      </c>
      <c r="C608" t="s">
        <v>1998</v>
      </c>
      <c r="D608" t="s">
        <v>1998</v>
      </c>
      <c r="E608" t="s">
        <v>1999</v>
      </c>
      <c r="F608" t="s">
        <v>21</v>
      </c>
      <c r="G608" t="s">
        <v>22</v>
      </c>
      <c r="H608" t="s">
        <v>53</v>
      </c>
      <c r="I608" t="s">
        <v>471</v>
      </c>
      <c r="J608">
        <v>2016</v>
      </c>
      <c r="K608">
        <v>43698.521897777777</v>
      </c>
      <c r="L608" t="s">
        <v>1604</v>
      </c>
      <c r="M608" t="s">
        <v>1738</v>
      </c>
      <c r="N608" t="s">
        <v>27</v>
      </c>
      <c r="Q608">
        <v>42437.700452858793</v>
      </c>
      <c r="R608">
        <v>613</v>
      </c>
    </row>
    <row r="609" spans="1:18" x14ac:dyDescent="0.25">
      <c r="A609" t="s">
        <v>2000</v>
      </c>
      <c r="B609" t="s">
        <v>2001</v>
      </c>
      <c r="C609" t="s">
        <v>2002</v>
      </c>
      <c r="D609" t="s">
        <v>2002</v>
      </c>
      <c r="E609" t="s">
        <v>2003</v>
      </c>
      <c r="F609" t="s">
        <v>21</v>
      </c>
      <c r="G609" t="s">
        <v>22</v>
      </c>
      <c r="H609" t="s">
        <v>53</v>
      </c>
      <c r="I609" t="s">
        <v>471</v>
      </c>
      <c r="J609">
        <v>2016</v>
      </c>
      <c r="K609">
        <v>43698.521897777777</v>
      </c>
      <c r="L609" t="s">
        <v>466</v>
      </c>
      <c r="M609" t="s">
        <v>1738</v>
      </c>
      <c r="N609" t="s">
        <v>27</v>
      </c>
      <c r="O609">
        <v>182054</v>
      </c>
      <c r="P609">
        <v>43229.736111111109</v>
      </c>
      <c r="Q609">
        <v>42437.70073394676</v>
      </c>
      <c r="R609">
        <v>614</v>
      </c>
    </row>
    <row r="610" spans="1:18" x14ac:dyDescent="0.25">
      <c r="A610" t="s">
        <v>2004</v>
      </c>
      <c r="B610" t="s">
        <v>2005</v>
      </c>
      <c r="C610" t="s">
        <v>2006</v>
      </c>
      <c r="D610" t="s">
        <v>2006</v>
      </c>
      <c r="E610" t="s">
        <v>2007</v>
      </c>
      <c r="F610" t="s">
        <v>91</v>
      </c>
      <c r="G610" t="s">
        <v>63</v>
      </c>
      <c r="H610" t="s">
        <v>53</v>
      </c>
      <c r="I610" t="s">
        <v>471</v>
      </c>
      <c r="J610">
        <v>2016</v>
      </c>
      <c r="K610">
        <v>43698.521897777777</v>
      </c>
      <c r="L610" t="s">
        <v>466</v>
      </c>
      <c r="M610" t="s">
        <v>1738</v>
      </c>
      <c r="N610" t="s">
        <v>467</v>
      </c>
      <c r="O610">
        <v>343737</v>
      </c>
      <c r="P610">
        <v>43694.425000000003</v>
      </c>
      <c r="Q610">
        <v>42437.701068668983</v>
      </c>
      <c r="R610">
        <v>615</v>
      </c>
    </row>
    <row r="611" spans="1:18" x14ac:dyDescent="0.25">
      <c r="A611" t="s">
        <v>2008</v>
      </c>
      <c r="B611" t="s">
        <v>2009</v>
      </c>
      <c r="C611" t="s">
        <v>2010</v>
      </c>
      <c r="D611" t="s">
        <v>2010</v>
      </c>
      <c r="E611" t="s">
        <v>2011</v>
      </c>
      <c r="F611" t="s">
        <v>21</v>
      </c>
      <c r="G611" t="s">
        <v>22</v>
      </c>
      <c r="H611" t="s">
        <v>53</v>
      </c>
      <c r="I611" t="s">
        <v>471</v>
      </c>
      <c r="J611">
        <v>2016</v>
      </c>
      <c r="K611">
        <v>43698.521897777777</v>
      </c>
      <c r="L611" t="s">
        <v>1987</v>
      </c>
      <c r="M611" t="s">
        <v>1738</v>
      </c>
      <c r="N611" t="s">
        <v>27</v>
      </c>
      <c r="O611">
        <v>183850</v>
      </c>
      <c r="P611">
        <v>43237.527719907404</v>
      </c>
      <c r="Q611">
        <v>42437.701422453705</v>
      </c>
      <c r="R611">
        <v>616</v>
      </c>
    </row>
    <row r="612" spans="1:18" x14ac:dyDescent="0.25">
      <c r="A612" t="s">
        <v>2012</v>
      </c>
      <c r="B612" t="s">
        <v>2013</v>
      </c>
      <c r="C612" t="s">
        <v>2014</v>
      </c>
      <c r="D612" t="s">
        <v>2014</v>
      </c>
      <c r="E612" t="s">
        <v>2014</v>
      </c>
      <c r="F612" t="s">
        <v>91</v>
      </c>
      <c r="G612" t="s">
        <v>63</v>
      </c>
      <c r="H612" t="s">
        <v>23</v>
      </c>
      <c r="I612" t="s">
        <v>41</v>
      </c>
      <c r="J612">
        <v>2012</v>
      </c>
      <c r="K612">
        <v>43698.521897777777</v>
      </c>
      <c r="L612" t="s">
        <v>1005</v>
      </c>
      <c r="M612" t="s">
        <v>37</v>
      </c>
      <c r="N612" t="s">
        <v>415</v>
      </c>
      <c r="O612">
        <v>345079</v>
      </c>
      <c r="P612">
        <v>43697.086805555555</v>
      </c>
      <c r="Q612">
        <v>42437.74093078704</v>
      </c>
      <c r="R612">
        <v>618</v>
      </c>
    </row>
    <row r="613" spans="1:18" x14ac:dyDescent="0.25">
      <c r="A613" t="s">
        <v>2015</v>
      </c>
      <c r="B613" t="s">
        <v>2016</v>
      </c>
      <c r="C613" t="s">
        <v>2017</v>
      </c>
      <c r="D613" t="s">
        <v>2017</v>
      </c>
      <c r="E613" t="s">
        <v>2017</v>
      </c>
      <c r="F613" t="s">
        <v>21</v>
      </c>
      <c r="G613" t="s">
        <v>63</v>
      </c>
      <c r="H613" t="s">
        <v>53</v>
      </c>
      <c r="I613" t="s">
        <v>25</v>
      </c>
      <c r="J613">
        <v>2012</v>
      </c>
      <c r="K613">
        <v>43698.521897777777</v>
      </c>
      <c r="L613" t="s">
        <v>466</v>
      </c>
      <c r="M613" t="s">
        <v>154</v>
      </c>
      <c r="N613" t="s">
        <v>27</v>
      </c>
      <c r="O613">
        <v>238113</v>
      </c>
      <c r="P613">
        <v>43411.581817129627</v>
      </c>
      <c r="Q613">
        <v>42443.721137349537</v>
      </c>
      <c r="R613">
        <v>619</v>
      </c>
    </row>
    <row r="614" spans="1:18" x14ac:dyDescent="0.25">
      <c r="A614" t="s">
        <v>2018</v>
      </c>
      <c r="B614" t="s">
        <v>564</v>
      </c>
      <c r="C614" t="s">
        <v>2019</v>
      </c>
      <c r="D614" t="s">
        <v>2019</v>
      </c>
      <c r="E614" t="s">
        <v>2019</v>
      </c>
      <c r="F614" t="s">
        <v>21</v>
      </c>
      <c r="G614" t="s">
        <v>63</v>
      </c>
      <c r="H614" t="s">
        <v>53</v>
      </c>
      <c r="I614" t="s">
        <v>41</v>
      </c>
      <c r="J614">
        <v>2007</v>
      </c>
      <c r="K614">
        <v>43698.521897777777</v>
      </c>
      <c r="L614" t="s">
        <v>25</v>
      </c>
      <c r="M614" t="s">
        <v>37</v>
      </c>
      <c r="N614" t="s">
        <v>27</v>
      </c>
      <c r="O614">
        <v>73263</v>
      </c>
      <c r="P614">
        <v>42477.719444444447</v>
      </c>
      <c r="Q614">
        <v>42451.621198229164</v>
      </c>
      <c r="R614">
        <v>620</v>
      </c>
    </row>
    <row r="615" spans="1:18" x14ac:dyDescent="0.25">
      <c r="A615" t="s">
        <v>2020</v>
      </c>
      <c r="B615" t="s">
        <v>1067</v>
      </c>
      <c r="C615" t="s">
        <v>2021</v>
      </c>
      <c r="D615" t="s">
        <v>2021</v>
      </c>
      <c r="E615" t="s">
        <v>2021</v>
      </c>
      <c r="F615" t="s">
        <v>21</v>
      </c>
      <c r="G615" t="s">
        <v>63</v>
      </c>
      <c r="H615" t="s">
        <v>23</v>
      </c>
      <c r="I615" t="s">
        <v>41</v>
      </c>
      <c r="J615">
        <v>2007</v>
      </c>
      <c r="K615">
        <v>43698.521897777777</v>
      </c>
      <c r="L615" t="s">
        <v>25</v>
      </c>
      <c r="M615" t="s">
        <v>37</v>
      </c>
      <c r="N615" t="s">
        <v>27</v>
      </c>
      <c r="O615">
        <v>103226</v>
      </c>
      <c r="P615">
        <v>42795.123807870368</v>
      </c>
      <c r="Q615">
        <v>42451.621872187498</v>
      </c>
      <c r="R615">
        <v>621</v>
      </c>
    </row>
    <row r="616" spans="1:18" x14ac:dyDescent="0.25">
      <c r="A616" t="s">
        <v>2022</v>
      </c>
      <c r="B616" t="s">
        <v>2023</v>
      </c>
      <c r="C616" t="s">
        <v>2024</v>
      </c>
      <c r="D616" t="s">
        <v>2024</v>
      </c>
      <c r="E616" t="s">
        <v>2024</v>
      </c>
      <c r="F616" t="s">
        <v>21</v>
      </c>
      <c r="G616" t="s">
        <v>63</v>
      </c>
      <c r="H616" t="s">
        <v>23</v>
      </c>
      <c r="I616" t="s">
        <v>25</v>
      </c>
      <c r="J616">
        <v>2006</v>
      </c>
      <c r="K616">
        <v>43698.521897777777</v>
      </c>
      <c r="L616" t="s">
        <v>25</v>
      </c>
      <c r="M616" t="s">
        <v>154</v>
      </c>
      <c r="N616" t="s">
        <v>27</v>
      </c>
      <c r="O616">
        <v>81314</v>
      </c>
      <c r="P616">
        <v>42590.930694444447</v>
      </c>
      <c r="Q616">
        <v>42452.70445193287</v>
      </c>
      <c r="R616">
        <v>622</v>
      </c>
    </row>
    <row r="617" spans="1:18" x14ac:dyDescent="0.25">
      <c r="A617" t="s">
        <v>2025</v>
      </c>
      <c r="B617" t="s">
        <v>602</v>
      </c>
      <c r="C617" t="s">
        <v>2026</v>
      </c>
      <c r="D617" t="s">
        <v>2026</v>
      </c>
      <c r="E617" t="s">
        <v>2027</v>
      </c>
      <c r="F617" t="s">
        <v>21</v>
      </c>
      <c r="G617" t="s">
        <v>22</v>
      </c>
      <c r="H617" t="s">
        <v>236</v>
      </c>
      <c r="I617" t="s">
        <v>556</v>
      </c>
      <c r="J617">
        <v>2014</v>
      </c>
      <c r="K617">
        <v>43698.521897777777</v>
      </c>
      <c r="L617" t="s">
        <v>25</v>
      </c>
      <c r="M617" t="s">
        <v>42</v>
      </c>
      <c r="N617" t="s">
        <v>27</v>
      </c>
      <c r="O617">
        <v>108724</v>
      </c>
      <c r="P617">
        <v>42846.521932870368</v>
      </c>
      <c r="Q617">
        <v>42452.770339733797</v>
      </c>
      <c r="R617">
        <v>623</v>
      </c>
    </row>
    <row r="618" spans="1:18" x14ac:dyDescent="0.25">
      <c r="A618" t="s">
        <v>2028</v>
      </c>
      <c r="B618" t="s">
        <v>605</v>
      </c>
      <c r="C618" t="s">
        <v>2029</v>
      </c>
      <c r="D618" t="s">
        <v>2029</v>
      </c>
      <c r="E618" t="s">
        <v>2030</v>
      </c>
      <c r="F618" t="s">
        <v>21</v>
      </c>
      <c r="G618" t="s">
        <v>22</v>
      </c>
      <c r="H618" t="s">
        <v>236</v>
      </c>
      <c r="I618" t="s">
        <v>556</v>
      </c>
      <c r="J618">
        <v>2014</v>
      </c>
      <c r="K618">
        <v>43698.521897777777</v>
      </c>
      <c r="L618" t="s">
        <v>25</v>
      </c>
      <c r="M618" t="s">
        <v>42</v>
      </c>
      <c r="N618" t="s">
        <v>27</v>
      </c>
      <c r="O618">
        <v>142492</v>
      </c>
      <c r="P618">
        <v>43049.490648148145</v>
      </c>
      <c r="Q618">
        <v>42452.771410416666</v>
      </c>
      <c r="R618">
        <v>624</v>
      </c>
    </row>
    <row r="619" spans="1:18" x14ac:dyDescent="0.25">
      <c r="A619" t="s">
        <v>2031</v>
      </c>
      <c r="B619" t="s">
        <v>599</v>
      </c>
      <c r="C619" t="s">
        <v>2032</v>
      </c>
      <c r="D619" t="s">
        <v>2032</v>
      </c>
      <c r="E619" t="s">
        <v>2033</v>
      </c>
      <c r="F619" t="s">
        <v>21</v>
      </c>
      <c r="G619" t="s">
        <v>22</v>
      </c>
      <c r="H619" t="s">
        <v>236</v>
      </c>
      <c r="I619" t="s">
        <v>556</v>
      </c>
      <c r="J619">
        <v>2014</v>
      </c>
      <c r="K619">
        <v>43698.521897777777</v>
      </c>
      <c r="L619" t="s">
        <v>25</v>
      </c>
      <c r="M619" t="s">
        <v>42</v>
      </c>
      <c r="N619" t="s">
        <v>27</v>
      </c>
      <c r="Q619">
        <v>42452.77224510417</v>
      </c>
      <c r="R619">
        <v>625</v>
      </c>
    </row>
    <row r="620" spans="1:18" x14ac:dyDescent="0.25">
      <c r="A620" t="s">
        <v>2034</v>
      </c>
      <c r="B620" t="s">
        <v>646</v>
      </c>
      <c r="C620" t="s">
        <v>2035</v>
      </c>
      <c r="D620" t="s">
        <v>2035</v>
      </c>
      <c r="E620" t="s">
        <v>2036</v>
      </c>
      <c r="F620" t="s">
        <v>21</v>
      </c>
      <c r="G620" t="s">
        <v>22</v>
      </c>
      <c r="H620" t="s">
        <v>236</v>
      </c>
      <c r="I620" t="s">
        <v>556</v>
      </c>
      <c r="J620">
        <v>2014</v>
      </c>
      <c r="K620">
        <v>43698.521897777777</v>
      </c>
      <c r="L620" t="s">
        <v>25</v>
      </c>
      <c r="M620" t="s">
        <v>42</v>
      </c>
      <c r="N620" t="s">
        <v>27</v>
      </c>
      <c r="O620">
        <v>142407</v>
      </c>
      <c r="P620">
        <v>43048.628472222219</v>
      </c>
      <c r="Q620">
        <v>42452.772618206021</v>
      </c>
      <c r="R620">
        <v>626</v>
      </c>
    </row>
    <row r="621" spans="1:18" x14ac:dyDescent="0.25">
      <c r="A621" t="s">
        <v>2037</v>
      </c>
      <c r="B621" t="s">
        <v>675</v>
      </c>
      <c r="C621" t="s">
        <v>2038</v>
      </c>
      <c r="D621" t="s">
        <v>2038</v>
      </c>
      <c r="E621" t="s">
        <v>2038</v>
      </c>
      <c r="F621" t="s">
        <v>21</v>
      </c>
      <c r="G621" t="s">
        <v>63</v>
      </c>
      <c r="H621" t="s">
        <v>236</v>
      </c>
      <c r="I621" t="s">
        <v>556</v>
      </c>
      <c r="J621">
        <v>2014</v>
      </c>
      <c r="K621">
        <v>43698.521897777777</v>
      </c>
      <c r="L621" t="s">
        <v>1660</v>
      </c>
      <c r="M621" t="s">
        <v>42</v>
      </c>
      <c r="N621" t="s">
        <v>415</v>
      </c>
      <c r="O621">
        <v>223676</v>
      </c>
      <c r="P621">
        <v>43368.755995370368</v>
      </c>
      <c r="Q621">
        <v>42452.772906481485</v>
      </c>
      <c r="R621">
        <v>627</v>
      </c>
    </row>
    <row r="622" spans="1:18" x14ac:dyDescent="0.25">
      <c r="A622" t="s">
        <v>2039</v>
      </c>
      <c r="B622" t="s">
        <v>678</v>
      </c>
      <c r="C622" t="s">
        <v>2040</v>
      </c>
      <c r="D622" t="s">
        <v>2040</v>
      </c>
      <c r="E622" t="s">
        <v>2041</v>
      </c>
      <c r="F622" t="s">
        <v>21</v>
      </c>
      <c r="G622" t="s">
        <v>22</v>
      </c>
      <c r="H622" t="s">
        <v>236</v>
      </c>
      <c r="I622" t="s">
        <v>556</v>
      </c>
      <c r="J622">
        <v>2014</v>
      </c>
      <c r="K622">
        <v>43698.521897777777</v>
      </c>
      <c r="L622" t="s">
        <v>1716</v>
      </c>
      <c r="M622" t="s">
        <v>42</v>
      </c>
      <c r="N622" t="s">
        <v>27</v>
      </c>
      <c r="Q622">
        <v>42452.773497881943</v>
      </c>
      <c r="R622">
        <v>628</v>
      </c>
    </row>
    <row r="623" spans="1:18" x14ac:dyDescent="0.25">
      <c r="A623" t="s">
        <v>2042</v>
      </c>
      <c r="B623" t="s">
        <v>681</v>
      </c>
      <c r="C623" t="s">
        <v>2043</v>
      </c>
      <c r="D623" t="s">
        <v>2043</v>
      </c>
      <c r="E623" t="s">
        <v>2044</v>
      </c>
      <c r="F623" t="s">
        <v>21</v>
      </c>
      <c r="G623" t="s">
        <v>22</v>
      </c>
      <c r="H623" t="s">
        <v>236</v>
      </c>
      <c r="I623" t="s">
        <v>556</v>
      </c>
      <c r="J623">
        <v>2014</v>
      </c>
      <c r="K623">
        <v>43698.521897777777</v>
      </c>
      <c r="L623" t="s">
        <v>25</v>
      </c>
      <c r="M623" t="s">
        <v>42</v>
      </c>
      <c r="N623" t="s">
        <v>27</v>
      </c>
      <c r="O623">
        <v>146436</v>
      </c>
      <c r="P623">
        <v>43069.434652777774</v>
      </c>
      <c r="Q623">
        <v>42452.773957557867</v>
      </c>
      <c r="R623">
        <v>629</v>
      </c>
    </row>
    <row r="624" spans="1:18" x14ac:dyDescent="0.25">
      <c r="A624" t="s">
        <v>2045</v>
      </c>
      <c r="B624" t="s">
        <v>684</v>
      </c>
      <c r="C624" t="s">
        <v>2046</v>
      </c>
      <c r="D624" t="s">
        <v>2046</v>
      </c>
      <c r="E624" t="s">
        <v>2046</v>
      </c>
      <c r="F624" t="s">
        <v>253</v>
      </c>
      <c r="G624" t="s">
        <v>63</v>
      </c>
      <c r="H624" t="s">
        <v>236</v>
      </c>
      <c r="I624" t="s">
        <v>556</v>
      </c>
      <c r="J624">
        <v>2014</v>
      </c>
      <c r="K624">
        <v>43698.521897777777</v>
      </c>
      <c r="L624" t="s">
        <v>193</v>
      </c>
      <c r="M624" t="s">
        <v>42</v>
      </c>
      <c r="N624" t="s">
        <v>27</v>
      </c>
      <c r="O624">
        <v>244005</v>
      </c>
      <c r="P624">
        <v>43426.043749999997</v>
      </c>
      <c r="Q624">
        <v>42452.774397835645</v>
      </c>
      <c r="R624">
        <v>630</v>
      </c>
    </row>
    <row r="625" spans="1:18" x14ac:dyDescent="0.25">
      <c r="A625" t="s">
        <v>2047</v>
      </c>
      <c r="B625" t="s">
        <v>593</v>
      </c>
      <c r="C625" t="s">
        <v>2048</v>
      </c>
      <c r="D625" t="s">
        <v>2048</v>
      </c>
      <c r="E625" t="s">
        <v>2049</v>
      </c>
      <c r="F625" t="s">
        <v>21</v>
      </c>
      <c r="G625" t="s">
        <v>22</v>
      </c>
      <c r="H625" t="s">
        <v>236</v>
      </c>
      <c r="I625" t="s">
        <v>556</v>
      </c>
      <c r="J625">
        <v>2014</v>
      </c>
      <c r="K625">
        <v>43698.521897777777</v>
      </c>
      <c r="L625" t="s">
        <v>193</v>
      </c>
      <c r="M625" t="s">
        <v>42</v>
      </c>
      <c r="N625" t="s">
        <v>27</v>
      </c>
      <c r="O625">
        <v>220072</v>
      </c>
      <c r="P625">
        <v>43358.847222222219</v>
      </c>
      <c r="Q625">
        <v>42452.774736192128</v>
      </c>
      <c r="R625">
        <v>631</v>
      </c>
    </row>
    <row r="626" spans="1:18" x14ac:dyDescent="0.25">
      <c r="A626" t="s">
        <v>2050</v>
      </c>
      <c r="B626" t="s">
        <v>2051</v>
      </c>
      <c r="C626" t="s">
        <v>2052</v>
      </c>
      <c r="D626" t="s">
        <v>2052</v>
      </c>
      <c r="E626" t="s">
        <v>2052</v>
      </c>
      <c r="F626" t="s">
        <v>21</v>
      </c>
      <c r="G626" t="s">
        <v>63</v>
      </c>
      <c r="H626" t="s">
        <v>53</v>
      </c>
      <c r="I626" t="s">
        <v>471</v>
      </c>
      <c r="J626">
        <v>2017</v>
      </c>
      <c r="K626">
        <v>43698.521897777777</v>
      </c>
      <c r="L626" t="s">
        <v>25</v>
      </c>
      <c r="M626" t="s">
        <v>37</v>
      </c>
      <c r="N626" t="s">
        <v>27</v>
      </c>
      <c r="O626">
        <v>74242</v>
      </c>
      <c r="P626">
        <v>42493.134027777778</v>
      </c>
      <c r="Q626">
        <v>42460.541593553244</v>
      </c>
      <c r="R626">
        <v>632</v>
      </c>
    </row>
    <row r="627" spans="1:18" x14ac:dyDescent="0.25">
      <c r="A627" t="s">
        <v>2053</v>
      </c>
      <c r="B627" t="s">
        <v>2054</v>
      </c>
      <c r="C627" t="s">
        <v>2055</v>
      </c>
      <c r="D627" t="s">
        <v>2055</v>
      </c>
      <c r="E627" t="s">
        <v>2055</v>
      </c>
      <c r="F627" t="s">
        <v>21</v>
      </c>
      <c r="G627" t="s">
        <v>63</v>
      </c>
      <c r="H627" t="s">
        <v>80</v>
      </c>
      <c r="I627" t="s">
        <v>1027</v>
      </c>
      <c r="J627">
        <v>2005</v>
      </c>
      <c r="K627">
        <v>43698.521897777777</v>
      </c>
      <c r="L627" t="s">
        <v>25</v>
      </c>
      <c r="M627" t="s">
        <v>37</v>
      </c>
      <c r="N627" t="s">
        <v>27</v>
      </c>
      <c r="O627">
        <v>147913</v>
      </c>
      <c r="P627">
        <v>43077.758032407408</v>
      </c>
      <c r="Q627">
        <v>42460.591002199071</v>
      </c>
      <c r="R627">
        <v>633</v>
      </c>
    </row>
    <row r="628" spans="1:18" x14ac:dyDescent="0.25">
      <c r="A628" t="s">
        <v>2056</v>
      </c>
      <c r="B628" t="s">
        <v>2057</v>
      </c>
      <c r="C628" t="s">
        <v>2058</v>
      </c>
      <c r="D628" t="s">
        <v>2058</v>
      </c>
      <c r="E628" t="s">
        <v>2058</v>
      </c>
      <c r="F628" t="s">
        <v>91</v>
      </c>
      <c r="G628" t="s">
        <v>63</v>
      </c>
      <c r="H628" t="s">
        <v>53</v>
      </c>
      <c r="I628" t="s">
        <v>471</v>
      </c>
      <c r="J628">
        <v>2014</v>
      </c>
      <c r="K628">
        <v>43698.521897777777</v>
      </c>
      <c r="L628" t="s">
        <v>193</v>
      </c>
      <c r="M628" t="s">
        <v>37</v>
      </c>
      <c r="N628" t="s">
        <v>1439</v>
      </c>
      <c r="O628">
        <v>347132</v>
      </c>
      <c r="P628">
        <v>43698.521897777777</v>
      </c>
      <c r="Q628">
        <v>42460.594242557869</v>
      </c>
      <c r="R628">
        <v>634</v>
      </c>
    </row>
    <row r="629" spans="1:18" x14ac:dyDescent="0.25">
      <c r="A629" t="s">
        <v>2059</v>
      </c>
      <c r="B629" t="s">
        <v>1076</v>
      </c>
      <c r="C629" t="s">
        <v>2060</v>
      </c>
      <c r="D629" t="s">
        <v>2060</v>
      </c>
      <c r="E629" t="s">
        <v>2061</v>
      </c>
      <c r="F629" t="s">
        <v>21</v>
      </c>
      <c r="G629" t="s">
        <v>22</v>
      </c>
      <c r="H629" t="s">
        <v>23</v>
      </c>
      <c r="I629" t="s">
        <v>24</v>
      </c>
      <c r="J629">
        <v>2007</v>
      </c>
      <c r="K629">
        <v>43698.521897777777</v>
      </c>
      <c r="L629" t="s">
        <v>25</v>
      </c>
      <c r="M629" t="s">
        <v>37</v>
      </c>
      <c r="N629" t="s">
        <v>27</v>
      </c>
      <c r="O629">
        <v>129925</v>
      </c>
      <c r="P629">
        <v>42984.663958333331</v>
      </c>
      <c r="Q629">
        <v>42460.595929282405</v>
      </c>
      <c r="R629">
        <v>635</v>
      </c>
    </row>
    <row r="630" spans="1:18" x14ac:dyDescent="0.25">
      <c r="A630" t="s">
        <v>2062</v>
      </c>
      <c r="B630" t="s">
        <v>1070</v>
      </c>
      <c r="C630" t="s">
        <v>2063</v>
      </c>
      <c r="D630" t="s">
        <v>2063</v>
      </c>
      <c r="E630" t="s">
        <v>2064</v>
      </c>
      <c r="F630" t="s">
        <v>21</v>
      </c>
      <c r="G630" t="s">
        <v>22</v>
      </c>
      <c r="H630" t="s">
        <v>23</v>
      </c>
      <c r="I630" t="s">
        <v>24</v>
      </c>
      <c r="J630">
        <v>2007</v>
      </c>
      <c r="K630">
        <v>43698.521897777777</v>
      </c>
      <c r="L630" t="s">
        <v>25</v>
      </c>
      <c r="M630" t="s">
        <v>37</v>
      </c>
      <c r="N630" t="s">
        <v>27</v>
      </c>
      <c r="O630">
        <v>129685</v>
      </c>
      <c r="P630">
        <v>42982.897222222222</v>
      </c>
      <c r="Q630">
        <v>42460.597675694444</v>
      </c>
      <c r="R630">
        <v>636</v>
      </c>
    </row>
    <row r="631" spans="1:18" x14ac:dyDescent="0.25">
      <c r="A631" t="s">
        <v>2065</v>
      </c>
      <c r="B631" t="s">
        <v>1126</v>
      </c>
      <c r="C631" t="s">
        <v>2066</v>
      </c>
      <c r="D631" t="s">
        <v>2066</v>
      </c>
      <c r="E631" t="s">
        <v>2067</v>
      </c>
      <c r="F631" t="s">
        <v>21</v>
      </c>
      <c r="G631" t="s">
        <v>22</v>
      </c>
      <c r="H631" t="s">
        <v>23</v>
      </c>
      <c r="I631" t="s">
        <v>24</v>
      </c>
      <c r="J631">
        <v>2007</v>
      </c>
      <c r="K631">
        <v>43698.521897777777</v>
      </c>
      <c r="L631" t="s">
        <v>25</v>
      </c>
      <c r="M631" t="s">
        <v>37</v>
      </c>
      <c r="N631" t="s">
        <v>27</v>
      </c>
      <c r="O631">
        <v>129942</v>
      </c>
      <c r="P631">
        <v>42984.938194444447</v>
      </c>
      <c r="Q631">
        <v>42461.720299074077</v>
      </c>
      <c r="R631">
        <v>637</v>
      </c>
    </row>
    <row r="632" spans="1:18" x14ac:dyDescent="0.25">
      <c r="A632" t="s">
        <v>2068</v>
      </c>
      <c r="B632" t="s">
        <v>2069</v>
      </c>
      <c r="C632" t="s">
        <v>2070</v>
      </c>
      <c r="D632" t="s">
        <v>2070</v>
      </c>
      <c r="E632" t="s">
        <v>2070</v>
      </c>
      <c r="F632" t="s">
        <v>91</v>
      </c>
      <c r="G632" t="s">
        <v>63</v>
      </c>
      <c r="H632" t="s">
        <v>53</v>
      </c>
      <c r="I632" t="s">
        <v>471</v>
      </c>
      <c r="J632">
        <v>2017</v>
      </c>
      <c r="K632">
        <v>43698.521897777777</v>
      </c>
      <c r="L632" t="s">
        <v>1005</v>
      </c>
      <c r="M632" t="s">
        <v>37</v>
      </c>
      <c r="N632" t="s">
        <v>415</v>
      </c>
      <c r="O632">
        <v>346049</v>
      </c>
      <c r="P632">
        <v>43698.521897777777</v>
      </c>
      <c r="Q632">
        <v>42461.721012418981</v>
      </c>
      <c r="R632">
        <v>638</v>
      </c>
    </row>
    <row r="633" spans="1:18" x14ac:dyDescent="0.25">
      <c r="A633" t="s">
        <v>2071</v>
      </c>
      <c r="B633" t="s">
        <v>2072</v>
      </c>
      <c r="C633" t="s">
        <v>2073</v>
      </c>
      <c r="D633" t="s">
        <v>2073</v>
      </c>
      <c r="E633" t="s">
        <v>2073</v>
      </c>
      <c r="F633" t="s">
        <v>21</v>
      </c>
      <c r="G633" t="s">
        <v>63</v>
      </c>
      <c r="H633" t="s">
        <v>53</v>
      </c>
      <c r="I633" t="s">
        <v>471</v>
      </c>
      <c r="J633">
        <v>2017</v>
      </c>
      <c r="K633">
        <v>43698.521897777777</v>
      </c>
      <c r="L633" t="s">
        <v>25</v>
      </c>
      <c r="M633" t="s">
        <v>37</v>
      </c>
      <c r="N633" t="s">
        <v>27</v>
      </c>
      <c r="O633">
        <v>169582</v>
      </c>
      <c r="P633">
        <v>43183.831516203703</v>
      </c>
      <c r="Q633">
        <v>42465.623018599537</v>
      </c>
      <c r="R633">
        <v>639</v>
      </c>
    </row>
    <row r="634" spans="1:18" x14ac:dyDescent="0.25">
      <c r="A634" t="s">
        <v>2074</v>
      </c>
      <c r="B634" t="s">
        <v>2075</v>
      </c>
      <c r="C634" t="s">
        <v>2076</v>
      </c>
      <c r="D634" t="s">
        <v>2076</v>
      </c>
      <c r="E634" t="s">
        <v>2077</v>
      </c>
      <c r="F634" t="s">
        <v>91</v>
      </c>
      <c r="G634" t="s">
        <v>22</v>
      </c>
      <c r="H634" t="s">
        <v>520</v>
      </c>
      <c r="I634" t="s">
        <v>521</v>
      </c>
      <c r="J634">
        <v>2016</v>
      </c>
      <c r="K634">
        <v>43698.521897777777</v>
      </c>
      <c r="L634" t="s">
        <v>1809</v>
      </c>
      <c r="M634" t="s">
        <v>154</v>
      </c>
      <c r="N634" t="s">
        <v>1305</v>
      </c>
      <c r="O634">
        <v>339224</v>
      </c>
      <c r="P634">
        <v>43679.78125</v>
      </c>
      <c r="Q634">
        <v>42467.415467326391</v>
      </c>
      <c r="R634">
        <v>640</v>
      </c>
    </row>
    <row r="635" spans="1:18" x14ac:dyDescent="0.25">
      <c r="A635" t="s">
        <v>2078</v>
      </c>
      <c r="B635" t="s">
        <v>297</v>
      </c>
      <c r="C635" t="s">
        <v>2079</v>
      </c>
      <c r="D635" t="s">
        <v>2079</v>
      </c>
      <c r="E635" t="s">
        <v>2079</v>
      </c>
      <c r="F635" t="s">
        <v>21</v>
      </c>
      <c r="G635" t="s">
        <v>63</v>
      </c>
      <c r="H635" t="s">
        <v>53</v>
      </c>
      <c r="I635" t="s">
        <v>25</v>
      </c>
      <c r="J635">
        <v>2006</v>
      </c>
      <c r="K635">
        <v>43698.521897777777</v>
      </c>
      <c r="L635" t="s">
        <v>25</v>
      </c>
      <c r="M635" t="s">
        <v>154</v>
      </c>
      <c r="N635" t="s">
        <v>27</v>
      </c>
      <c r="O635">
        <v>78027</v>
      </c>
      <c r="P635">
        <v>42546.669988425929</v>
      </c>
      <c r="Q635">
        <v>42469.455716435186</v>
      </c>
      <c r="R635">
        <v>641</v>
      </c>
    </row>
    <row r="636" spans="1:18" x14ac:dyDescent="0.25">
      <c r="A636" t="s">
        <v>2080</v>
      </c>
      <c r="B636" t="s">
        <v>309</v>
      </c>
      <c r="C636" t="s">
        <v>2081</v>
      </c>
      <c r="D636" t="s">
        <v>2081</v>
      </c>
      <c r="E636" t="s">
        <v>2081</v>
      </c>
      <c r="F636" t="s">
        <v>21</v>
      </c>
      <c r="G636" t="s">
        <v>63</v>
      </c>
      <c r="H636" t="s">
        <v>53</v>
      </c>
      <c r="I636" t="s">
        <v>25</v>
      </c>
      <c r="J636">
        <v>2006</v>
      </c>
      <c r="K636">
        <v>43698.521897777777</v>
      </c>
      <c r="L636" t="s">
        <v>25</v>
      </c>
      <c r="M636" t="s">
        <v>154</v>
      </c>
      <c r="N636" t="s">
        <v>27</v>
      </c>
      <c r="O636">
        <v>123670</v>
      </c>
      <c r="P636">
        <v>42950.574363425927</v>
      </c>
      <c r="Q636">
        <v>42469.465817476848</v>
      </c>
      <c r="R636">
        <v>642</v>
      </c>
    </row>
    <row r="637" spans="1:18" x14ac:dyDescent="0.25">
      <c r="A637" t="s">
        <v>2082</v>
      </c>
      <c r="B637" t="s">
        <v>2083</v>
      </c>
      <c r="C637" t="s">
        <v>2084</v>
      </c>
      <c r="D637" t="s">
        <v>2084</v>
      </c>
      <c r="E637" t="s">
        <v>2084</v>
      </c>
      <c r="F637" t="s">
        <v>21</v>
      </c>
      <c r="G637" t="s">
        <v>63</v>
      </c>
      <c r="H637" t="s">
        <v>53</v>
      </c>
      <c r="I637" t="s">
        <v>471</v>
      </c>
      <c r="J637">
        <v>2017</v>
      </c>
      <c r="K637">
        <v>43698.521897777777</v>
      </c>
      <c r="L637" t="s">
        <v>1005</v>
      </c>
      <c r="M637" t="s">
        <v>37</v>
      </c>
      <c r="N637" t="s">
        <v>27</v>
      </c>
      <c r="O637">
        <v>279777</v>
      </c>
      <c r="P637">
        <v>43532.155555555553</v>
      </c>
      <c r="Q637">
        <v>42473.63730667824</v>
      </c>
      <c r="R637">
        <v>643</v>
      </c>
    </row>
    <row r="638" spans="1:18" x14ac:dyDescent="0.25">
      <c r="A638" t="s">
        <v>2085</v>
      </c>
      <c r="B638" t="s">
        <v>1381</v>
      </c>
      <c r="C638" t="s">
        <v>2086</v>
      </c>
      <c r="D638" t="s">
        <v>2086</v>
      </c>
      <c r="E638" t="s">
        <v>2087</v>
      </c>
      <c r="F638" t="s">
        <v>21</v>
      </c>
      <c r="G638" t="s">
        <v>63</v>
      </c>
      <c r="H638" t="s">
        <v>23</v>
      </c>
      <c r="I638" t="s">
        <v>24</v>
      </c>
      <c r="J638">
        <v>2007</v>
      </c>
      <c r="K638">
        <v>43698.521897777777</v>
      </c>
      <c r="L638" t="s">
        <v>25</v>
      </c>
      <c r="M638" t="s">
        <v>37</v>
      </c>
      <c r="N638" t="s">
        <v>27</v>
      </c>
      <c r="O638">
        <v>126582</v>
      </c>
      <c r="P638">
        <v>42964.25</v>
      </c>
      <c r="Q638">
        <v>42473.637756562501</v>
      </c>
      <c r="R638">
        <v>644</v>
      </c>
    </row>
    <row r="639" spans="1:18" x14ac:dyDescent="0.25">
      <c r="A639" t="s">
        <v>2088</v>
      </c>
      <c r="B639" t="s">
        <v>2089</v>
      </c>
      <c r="C639" t="s">
        <v>2090</v>
      </c>
      <c r="D639" t="s">
        <v>2090</v>
      </c>
      <c r="E639" t="s">
        <v>2090</v>
      </c>
      <c r="F639" t="s">
        <v>21</v>
      </c>
      <c r="G639" t="s">
        <v>63</v>
      </c>
      <c r="H639" t="s">
        <v>53</v>
      </c>
      <c r="I639" t="s">
        <v>471</v>
      </c>
      <c r="J639">
        <v>2011</v>
      </c>
      <c r="K639">
        <v>43698.521897777777</v>
      </c>
      <c r="L639" t="s">
        <v>25</v>
      </c>
      <c r="M639" t="s">
        <v>37</v>
      </c>
      <c r="N639" t="s">
        <v>27</v>
      </c>
      <c r="O639">
        <v>76224</v>
      </c>
      <c r="P639">
        <v>42518.153969907406</v>
      </c>
      <c r="Q639">
        <v>42473.638642789352</v>
      </c>
      <c r="R639">
        <v>645</v>
      </c>
    </row>
    <row r="640" spans="1:18" x14ac:dyDescent="0.25">
      <c r="A640" t="s">
        <v>2091</v>
      </c>
      <c r="B640" t="s">
        <v>2092</v>
      </c>
      <c r="C640" t="s">
        <v>2093</v>
      </c>
      <c r="D640" t="s">
        <v>2093</v>
      </c>
      <c r="E640" t="s">
        <v>2093</v>
      </c>
      <c r="F640" t="s">
        <v>21</v>
      </c>
      <c r="G640" t="s">
        <v>63</v>
      </c>
      <c r="H640" t="s">
        <v>53</v>
      </c>
      <c r="I640" t="s">
        <v>471</v>
      </c>
      <c r="J640">
        <v>2017</v>
      </c>
      <c r="K640">
        <v>43698.521897777777</v>
      </c>
      <c r="L640" t="s">
        <v>1005</v>
      </c>
      <c r="M640" t="s">
        <v>37</v>
      </c>
      <c r="N640" t="s">
        <v>27</v>
      </c>
      <c r="O640">
        <v>335894</v>
      </c>
      <c r="P640">
        <v>43673.732858796298</v>
      </c>
      <c r="Q640">
        <v>42473.639391319448</v>
      </c>
      <c r="R640">
        <v>646</v>
      </c>
    </row>
    <row r="641" spans="1:18" x14ac:dyDescent="0.25">
      <c r="A641" t="s">
        <v>2094</v>
      </c>
      <c r="B641" t="s">
        <v>833</v>
      </c>
      <c r="C641" t="s">
        <v>2095</v>
      </c>
      <c r="D641" t="s">
        <v>2095</v>
      </c>
      <c r="E641" t="s">
        <v>2095</v>
      </c>
      <c r="F641" t="s">
        <v>21</v>
      </c>
      <c r="G641" t="s">
        <v>63</v>
      </c>
      <c r="H641" t="s">
        <v>236</v>
      </c>
      <c r="I641" t="s">
        <v>25</v>
      </c>
      <c r="J641">
        <v>2007</v>
      </c>
      <c r="K641">
        <v>43698.521897777777</v>
      </c>
      <c r="L641" t="s">
        <v>25</v>
      </c>
      <c r="M641" t="s">
        <v>154</v>
      </c>
      <c r="N641" t="s">
        <v>27</v>
      </c>
      <c r="O641">
        <v>98147</v>
      </c>
      <c r="P641">
        <v>42754.581018518518</v>
      </c>
      <c r="Q641">
        <v>42473.730464814813</v>
      </c>
      <c r="R641">
        <v>647</v>
      </c>
    </row>
    <row r="642" spans="1:18" x14ac:dyDescent="0.25">
      <c r="A642" t="s">
        <v>2096</v>
      </c>
      <c r="B642" t="s">
        <v>2097</v>
      </c>
      <c r="C642" t="s">
        <v>2098</v>
      </c>
      <c r="D642" t="s">
        <v>2098</v>
      </c>
      <c r="E642" t="s">
        <v>2098</v>
      </c>
      <c r="F642" t="s">
        <v>91</v>
      </c>
      <c r="G642" t="s">
        <v>63</v>
      </c>
      <c r="H642" t="s">
        <v>53</v>
      </c>
      <c r="I642" t="s">
        <v>25</v>
      </c>
      <c r="J642">
        <v>2011</v>
      </c>
      <c r="K642">
        <v>43698.521897777777</v>
      </c>
      <c r="L642" t="s">
        <v>466</v>
      </c>
      <c r="M642" t="s">
        <v>154</v>
      </c>
      <c r="N642" t="s">
        <v>467</v>
      </c>
      <c r="O642">
        <v>345869</v>
      </c>
      <c r="P642">
        <v>43698.521897777777</v>
      </c>
      <c r="Q642">
        <v>42473.736745567126</v>
      </c>
      <c r="R642">
        <v>648</v>
      </c>
    </row>
    <row r="643" spans="1:18" x14ac:dyDescent="0.25">
      <c r="A643" t="s">
        <v>2099</v>
      </c>
      <c r="B643" t="s">
        <v>2100</v>
      </c>
      <c r="C643" t="s">
        <v>2101</v>
      </c>
      <c r="D643" t="s">
        <v>2101</v>
      </c>
      <c r="E643" t="s">
        <v>2101</v>
      </c>
      <c r="F643" t="s">
        <v>21</v>
      </c>
      <c r="G643" t="s">
        <v>63</v>
      </c>
      <c r="H643" t="s">
        <v>53</v>
      </c>
      <c r="I643" t="s">
        <v>471</v>
      </c>
      <c r="J643">
        <v>2016</v>
      </c>
      <c r="K643">
        <v>43698.521897777777</v>
      </c>
      <c r="L643" t="s">
        <v>25</v>
      </c>
      <c r="M643" t="s">
        <v>37</v>
      </c>
      <c r="N643" t="s">
        <v>27</v>
      </c>
      <c r="O643">
        <v>112174</v>
      </c>
      <c r="P643">
        <v>42867.511273148149</v>
      </c>
      <c r="Q643">
        <v>42479.56653989583</v>
      </c>
      <c r="R643">
        <v>649</v>
      </c>
    </row>
    <row r="644" spans="1:18" x14ac:dyDescent="0.25">
      <c r="A644" t="s">
        <v>2102</v>
      </c>
      <c r="B644" t="s">
        <v>628</v>
      </c>
      <c r="C644" t="s">
        <v>2103</v>
      </c>
      <c r="D644" t="s">
        <v>2103</v>
      </c>
      <c r="E644" t="s">
        <v>2103</v>
      </c>
      <c r="F644" t="s">
        <v>21</v>
      </c>
      <c r="G644" t="s">
        <v>63</v>
      </c>
      <c r="H644" t="s">
        <v>34</v>
      </c>
      <c r="I644" t="s">
        <v>25</v>
      </c>
      <c r="J644">
        <v>2014</v>
      </c>
      <c r="K644">
        <v>43698.521897777777</v>
      </c>
      <c r="L644" t="s">
        <v>1264</v>
      </c>
      <c r="M644" t="s">
        <v>154</v>
      </c>
      <c r="N644" t="s">
        <v>27</v>
      </c>
      <c r="O644">
        <v>105406</v>
      </c>
      <c r="P644">
        <v>42813.642847222225</v>
      </c>
      <c r="Q644">
        <v>42479.695734456021</v>
      </c>
      <c r="R644">
        <v>650</v>
      </c>
    </row>
    <row r="645" spans="1:18" x14ac:dyDescent="0.25">
      <c r="A645" t="s">
        <v>2104</v>
      </c>
      <c r="B645" t="s">
        <v>2105</v>
      </c>
      <c r="C645" t="s">
        <v>2106</v>
      </c>
      <c r="D645" t="s">
        <v>2106</v>
      </c>
      <c r="E645" t="s">
        <v>2106</v>
      </c>
      <c r="F645" t="s">
        <v>21</v>
      </c>
      <c r="G645" t="s">
        <v>63</v>
      </c>
      <c r="H645" t="s">
        <v>53</v>
      </c>
      <c r="I645" t="s">
        <v>25</v>
      </c>
      <c r="J645">
        <v>2007</v>
      </c>
      <c r="K645">
        <v>43698.521897777777</v>
      </c>
      <c r="L645" t="s">
        <v>25</v>
      </c>
      <c r="M645" t="s">
        <v>154</v>
      </c>
      <c r="N645" t="s">
        <v>27</v>
      </c>
      <c r="O645">
        <v>85077</v>
      </c>
      <c r="P645">
        <v>42635.532361111109</v>
      </c>
      <c r="Q645">
        <v>42479.698276967596</v>
      </c>
      <c r="R645">
        <v>651</v>
      </c>
    </row>
    <row r="646" spans="1:18" x14ac:dyDescent="0.25">
      <c r="A646" t="s">
        <v>2107</v>
      </c>
      <c r="B646" t="s">
        <v>1293</v>
      </c>
      <c r="C646" t="s">
        <v>2108</v>
      </c>
      <c r="D646" t="s">
        <v>2108</v>
      </c>
      <c r="E646" t="s">
        <v>2108</v>
      </c>
      <c r="F646" t="s">
        <v>21</v>
      </c>
      <c r="G646" t="s">
        <v>63</v>
      </c>
      <c r="H646" t="s">
        <v>23</v>
      </c>
      <c r="I646" t="s">
        <v>25</v>
      </c>
      <c r="J646">
        <v>2007</v>
      </c>
      <c r="K646">
        <v>43698.521897777777</v>
      </c>
      <c r="L646" t="s">
        <v>1264</v>
      </c>
      <c r="M646" t="s">
        <v>154</v>
      </c>
      <c r="N646" t="s">
        <v>27</v>
      </c>
      <c r="O646">
        <v>155288</v>
      </c>
      <c r="P646">
        <v>43122.417025462964</v>
      </c>
      <c r="Q646">
        <v>42479.716584374997</v>
      </c>
      <c r="R646">
        <v>655</v>
      </c>
    </row>
    <row r="647" spans="1:18" x14ac:dyDescent="0.25">
      <c r="A647" t="s">
        <v>2109</v>
      </c>
      <c r="B647" t="s">
        <v>2110</v>
      </c>
      <c r="C647" t="s">
        <v>2111</v>
      </c>
      <c r="D647" t="s">
        <v>2111</v>
      </c>
      <c r="E647" t="s">
        <v>2111</v>
      </c>
      <c r="F647" t="s">
        <v>21</v>
      </c>
      <c r="G647" t="s">
        <v>63</v>
      </c>
      <c r="H647" t="s">
        <v>53</v>
      </c>
      <c r="I647" t="s">
        <v>471</v>
      </c>
      <c r="J647">
        <v>2010</v>
      </c>
      <c r="K647">
        <v>43698.521897777777</v>
      </c>
      <c r="L647" t="s">
        <v>466</v>
      </c>
      <c r="M647" t="s">
        <v>154</v>
      </c>
      <c r="N647" t="s">
        <v>27</v>
      </c>
      <c r="O647">
        <v>251268</v>
      </c>
      <c r="P647">
        <v>43445.54791666667</v>
      </c>
      <c r="Q647">
        <v>42480.491466631946</v>
      </c>
      <c r="R647">
        <v>656</v>
      </c>
    </row>
    <row r="648" spans="1:18" x14ac:dyDescent="0.25">
      <c r="A648" t="s">
        <v>2112</v>
      </c>
      <c r="B648" t="s">
        <v>175</v>
      </c>
      <c r="C648" t="s">
        <v>2113</v>
      </c>
      <c r="D648" t="s">
        <v>2113</v>
      </c>
      <c r="E648" t="s">
        <v>2113</v>
      </c>
      <c r="F648" t="s">
        <v>21</v>
      </c>
      <c r="G648" t="s">
        <v>63</v>
      </c>
      <c r="H648" t="s">
        <v>23</v>
      </c>
      <c r="I648" t="s">
        <v>25</v>
      </c>
      <c r="J648">
        <v>2007</v>
      </c>
      <c r="K648">
        <v>43698.521897777777</v>
      </c>
      <c r="L648" t="s">
        <v>1264</v>
      </c>
      <c r="M648" t="s">
        <v>154</v>
      </c>
      <c r="N648" t="s">
        <v>27</v>
      </c>
      <c r="O648">
        <v>88696</v>
      </c>
      <c r="P648">
        <v>42660.406886574077</v>
      </c>
      <c r="Q648">
        <v>42480.491839155089</v>
      </c>
      <c r="R648">
        <v>657</v>
      </c>
    </row>
    <row r="649" spans="1:18" x14ac:dyDescent="0.25">
      <c r="A649" t="s">
        <v>2114</v>
      </c>
      <c r="B649" t="s">
        <v>1129</v>
      </c>
      <c r="C649" t="s">
        <v>2115</v>
      </c>
      <c r="D649" t="s">
        <v>2115</v>
      </c>
      <c r="E649" t="s">
        <v>2115</v>
      </c>
      <c r="F649" t="s">
        <v>21</v>
      </c>
      <c r="G649" t="s">
        <v>63</v>
      </c>
      <c r="H649" t="s">
        <v>23</v>
      </c>
      <c r="I649" t="s">
        <v>25</v>
      </c>
      <c r="J649">
        <v>2006</v>
      </c>
      <c r="K649">
        <v>43698.521897777777</v>
      </c>
      <c r="L649" t="s">
        <v>1264</v>
      </c>
      <c r="M649" t="s">
        <v>154</v>
      </c>
      <c r="N649" t="s">
        <v>27</v>
      </c>
      <c r="O649">
        <v>170539</v>
      </c>
      <c r="P649">
        <v>43191.671296296299</v>
      </c>
      <c r="Q649">
        <v>42480.492212118057</v>
      </c>
      <c r="R649">
        <v>658</v>
      </c>
    </row>
    <row r="650" spans="1:18" x14ac:dyDescent="0.25">
      <c r="A650" t="s">
        <v>2116</v>
      </c>
      <c r="B650" t="s">
        <v>406</v>
      </c>
      <c r="C650" t="s">
        <v>2117</v>
      </c>
      <c r="D650" t="s">
        <v>2117</v>
      </c>
      <c r="E650" t="s">
        <v>2118</v>
      </c>
      <c r="F650" t="s">
        <v>21</v>
      </c>
      <c r="G650" t="s">
        <v>22</v>
      </c>
      <c r="H650" t="s">
        <v>53</v>
      </c>
      <c r="I650" t="s">
        <v>54</v>
      </c>
      <c r="J650">
        <v>2007</v>
      </c>
      <c r="K650">
        <v>43698.521897777777</v>
      </c>
      <c r="L650" t="s">
        <v>422</v>
      </c>
      <c r="M650" t="s">
        <v>42</v>
      </c>
      <c r="N650" t="s">
        <v>27</v>
      </c>
      <c r="O650">
        <v>182655</v>
      </c>
      <c r="P650">
        <v>43231.702777777777</v>
      </c>
      <c r="Q650">
        <v>42487.642125196762</v>
      </c>
      <c r="R650">
        <v>659</v>
      </c>
    </row>
    <row r="651" spans="1:18" x14ac:dyDescent="0.25">
      <c r="A651" t="s">
        <v>2119</v>
      </c>
      <c r="B651" t="s">
        <v>285</v>
      </c>
      <c r="C651" t="s">
        <v>2120</v>
      </c>
      <c r="D651" t="s">
        <v>2120</v>
      </c>
      <c r="E651" t="s">
        <v>2121</v>
      </c>
      <c r="F651" t="s">
        <v>21</v>
      </c>
      <c r="G651" t="s">
        <v>22</v>
      </c>
      <c r="H651" t="s">
        <v>53</v>
      </c>
      <c r="I651" t="s">
        <v>282</v>
      </c>
      <c r="J651">
        <v>2007</v>
      </c>
      <c r="K651">
        <v>43698.521897777777</v>
      </c>
      <c r="L651" t="s">
        <v>25</v>
      </c>
      <c r="M651" t="s">
        <v>37</v>
      </c>
      <c r="N651" t="s">
        <v>27</v>
      </c>
      <c r="O651">
        <v>167753</v>
      </c>
      <c r="P651">
        <v>43173.669444444444</v>
      </c>
      <c r="Q651">
        <v>42487.657816238425</v>
      </c>
      <c r="R651">
        <v>660</v>
      </c>
    </row>
    <row r="652" spans="1:18" x14ac:dyDescent="0.25">
      <c r="A652" t="s">
        <v>2122</v>
      </c>
      <c r="B652" t="s">
        <v>1377</v>
      </c>
      <c r="C652" t="s">
        <v>2123</v>
      </c>
      <c r="D652" t="s">
        <v>2123</v>
      </c>
      <c r="E652" t="s">
        <v>2124</v>
      </c>
      <c r="F652" t="s">
        <v>21</v>
      </c>
      <c r="G652" t="s">
        <v>22</v>
      </c>
      <c r="H652" t="s">
        <v>23</v>
      </c>
      <c r="I652" t="s">
        <v>24</v>
      </c>
      <c r="J652">
        <v>2007</v>
      </c>
      <c r="K652">
        <v>43698.521897777777</v>
      </c>
      <c r="L652" t="s">
        <v>25</v>
      </c>
      <c r="M652" t="s">
        <v>37</v>
      </c>
      <c r="N652" t="s">
        <v>27</v>
      </c>
      <c r="O652">
        <v>129921</v>
      </c>
      <c r="P652">
        <v>42984.495138888888</v>
      </c>
      <c r="Q652">
        <v>42487.658460104169</v>
      </c>
      <c r="R652">
        <v>661</v>
      </c>
    </row>
    <row r="653" spans="1:18" x14ac:dyDescent="0.25">
      <c r="A653" t="s">
        <v>2125</v>
      </c>
      <c r="B653" t="s">
        <v>2126</v>
      </c>
      <c r="C653" t="s">
        <v>2127</v>
      </c>
      <c r="D653" t="s">
        <v>2127</v>
      </c>
      <c r="E653" t="s">
        <v>2127</v>
      </c>
      <c r="F653" t="s">
        <v>21</v>
      </c>
      <c r="G653" t="s">
        <v>63</v>
      </c>
      <c r="H653" t="s">
        <v>34</v>
      </c>
      <c r="I653" t="s">
        <v>35</v>
      </c>
      <c r="J653">
        <v>2013</v>
      </c>
      <c r="K653">
        <v>43698.521897777777</v>
      </c>
      <c r="L653" t="s">
        <v>25</v>
      </c>
      <c r="M653" t="s">
        <v>37</v>
      </c>
      <c r="N653" t="s">
        <v>27</v>
      </c>
      <c r="O653">
        <v>95288</v>
      </c>
      <c r="P653">
        <v>42719.226388888892</v>
      </c>
      <c r="Q653">
        <v>42487.659082094906</v>
      </c>
      <c r="R653">
        <v>662</v>
      </c>
    </row>
    <row r="654" spans="1:18" x14ac:dyDescent="0.25">
      <c r="A654" t="s">
        <v>2128</v>
      </c>
      <c r="B654" t="s">
        <v>2129</v>
      </c>
      <c r="C654" t="s">
        <v>2130</v>
      </c>
      <c r="D654" t="s">
        <v>2130</v>
      </c>
      <c r="E654" t="s">
        <v>2130</v>
      </c>
      <c r="F654" t="s">
        <v>21</v>
      </c>
      <c r="G654" t="s">
        <v>63</v>
      </c>
      <c r="H654" t="s">
        <v>53</v>
      </c>
      <c r="I654" t="s">
        <v>25</v>
      </c>
      <c r="J654">
        <v>2012</v>
      </c>
      <c r="K654">
        <v>43698.521897777777</v>
      </c>
      <c r="L654" t="s">
        <v>25</v>
      </c>
      <c r="M654" t="s">
        <v>154</v>
      </c>
      <c r="N654" t="s">
        <v>27</v>
      </c>
      <c r="O654">
        <v>150115</v>
      </c>
      <c r="P654">
        <v>43088.573472222219</v>
      </c>
      <c r="Q654">
        <v>42488.749578437499</v>
      </c>
      <c r="R654">
        <v>663</v>
      </c>
    </row>
    <row r="655" spans="1:18" x14ac:dyDescent="0.25">
      <c r="A655" t="s">
        <v>2131</v>
      </c>
      <c r="B655" t="s">
        <v>2132</v>
      </c>
      <c r="C655" t="s">
        <v>2133</v>
      </c>
      <c r="D655" t="s">
        <v>2133</v>
      </c>
      <c r="E655" t="s">
        <v>2133</v>
      </c>
      <c r="F655" t="s">
        <v>21</v>
      </c>
      <c r="G655" t="s">
        <v>63</v>
      </c>
      <c r="H655" t="s">
        <v>53</v>
      </c>
      <c r="I655" t="s">
        <v>1162</v>
      </c>
      <c r="J655">
        <v>2012</v>
      </c>
      <c r="K655">
        <v>43698.521897777777</v>
      </c>
      <c r="L655" t="s">
        <v>25</v>
      </c>
      <c r="M655" t="s">
        <v>154</v>
      </c>
      <c r="N655" t="s">
        <v>27</v>
      </c>
      <c r="O655">
        <v>94197</v>
      </c>
      <c r="P655">
        <v>42721.97152777778</v>
      </c>
      <c r="Q655">
        <v>42496.667638159721</v>
      </c>
      <c r="R655">
        <v>664</v>
      </c>
    </row>
    <row r="656" spans="1:18" x14ac:dyDescent="0.25">
      <c r="A656" t="s">
        <v>2134</v>
      </c>
      <c r="B656" t="s">
        <v>2135</v>
      </c>
      <c r="C656" t="s">
        <v>2136</v>
      </c>
      <c r="D656" t="s">
        <v>2136</v>
      </c>
      <c r="E656" t="s">
        <v>2136</v>
      </c>
      <c r="F656" t="s">
        <v>21</v>
      </c>
      <c r="G656" t="s">
        <v>63</v>
      </c>
      <c r="H656" t="s">
        <v>34</v>
      </c>
      <c r="I656" t="s">
        <v>703</v>
      </c>
      <c r="J656">
        <v>2014</v>
      </c>
      <c r="K656">
        <v>43698.521897777777</v>
      </c>
      <c r="L656" t="s">
        <v>25</v>
      </c>
      <c r="M656" t="s">
        <v>37</v>
      </c>
      <c r="N656" t="s">
        <v>27</v>
      </c>
      <c r="O656">
        <v>83951</v>
      </c>
      <c r="P656">
        <v>42613.354166666664</v>
      </c>
      <c r="Q656">
        <v>42497.683461689812</v>
      </c>
      <c r="R656">
        <v>665</v>
      </c>
    </row>
    <row r="657" spans="1:18" x14ac:dyDescent="0.25">
      <c r="A657" t="s">
        <v>2137</v>
      </c>
      <c r="B657" t="s">
        <v>2138</v>
      </c>
      <c r="C657" t="s">
        <v>2139</v>
      </c>
      <c r="D657" t="s">
        <v>2139</v>
      </c>
      <c r="E657" t="s">
        <v>2139</v>
      </c>
      <c r="F657" t="s">
        <v>21</v>
      </c>
      <c r="G657" t="s">
        <v>63</v>
      </c>
      <c r="H657" t="s">
        <v>34</v>
      </c>
      <c r="I657" t="s">
        <v>703</v>
      </c>
      <c r="J657">
        <v>2012</v>
      </c>
      <c r="K657">
        <v>43698.521897777777</v>
      </c>
      <c r="L657" t="s">
        <v>25</v>
      </c>
      <c r="M657" t="s">
        <v>37</v>
      </c>
      <c r="N657" t="s">
        <v>27</v>
      </c>
      <c r="O657">
        <v>79905</v>
      </c>
      <c r="P657">
        <v>42565.309027777781</v>
      </c>
      <c r="Q657">
        <v>42499.589922372688</v>
      </c>
      <c r="R657">
        <v>666</v>
      </c>
    </row>
    <row r="658" spans="1:18" x14ac:dyDescent="0.25">
      <c r="A658" t="s">
        <v>2140</v>
      </c>
      <c r="B658" t="s">
        <v>2141</v>
      </c>
      <c r="C658" t="s">
        <v>2142</v>
      </c>
      <c r="D658" t="s">
        <v>2142</v>
      </c>
      <c r="E658" t="s">
        <v>2142</v>
      </c>
      <c r="F658" t="s">
        <v>21</v>
      </c>
      <c r="G658" t="s">
        <v>63</v>
      </c>
      <c r="H658" t="s">
        <v>53</v>
      </c>
      <c r="I658" t="s">
        <v>471</v>
      </c>
      <c r="J658">
        <v>2015</v>
      </c>
      <c r="K658">
        <v>43698.521897777777</v>
      </c>
      <c r="L658" t="s">
        <v>25</v>
      </c>
      <c r="M658" t="s">
        <v>37</v>
      </c>
      <c r="N658" t="s">
        <v>27</v>
      </c>
      <c r="O658">
        <v>175668</v>
      </c>
      <c r="P658">
        <v>43208.591238425928</v>
      </c>
      <c r="Q658">
        <v>42507.601663657406</v>
      </c>
      <c r="R658">
        <v>667</v>
      </c>
    </row>
    <row r="659" spans="1:18" x14ac:dyDescent="0.25">
      <c r="A659" t="s">
        <v>2143</v>
      </c>
      <c r="B659" t="s">
        <v>2144</v>
      </c>
      <c r="C659" t="s">
        <v>2145</v>
      </c>
      <c r="D659" t="s">
        <v>2145</v>
      </c>
      <c r="E659" t="s">
        <v>2145</v>
      </c>
      <c r="F659" t="s">
        <v>21</v>
      </c>
      <c r="G659" t="s">
        <v>63</v>
      </c>
      <c r="H659" t="s">
        <v>34</v>
      </c>
      <c r="I659" t="s">
        <v>35</v>
      </c>
      <c r="J659">
        <v>2005</v>
      </c>
      <c r="K659">
        <v>43698.521897777777</v>
      </c>
      <c r="L659" t="s">
        <v>25</v>
      </c>
      <c r="M659" t="s">
        <v>37</v>
      </c>
      <c r="N659" t="s">
        <v>27</v>
      </c>
      <c r="O659">
        <v>89952</v>
      </c>
      <c r="P659">
        <v>42672.006388888891</v>
      </c>
      <c r="Q659">
        <v>42507.621992905093</v>
      </c>
      <c r="R659">
        <v>668</v>
      </c>
    </row>
    <row r="660" spans="1:18" x14ac:dyDescent="0.25">
      <c r="A660" t="s">
        <v>2146</v>
      </c>
      <c r="B660" t="s">
        <v>2147</v>
      </c>
      <c r="C660" t="s">
        <v>2148</v>
      </c>
      <c r="D660" t="s">
        <v>2148</v>
      </c>
      <c r="E660" t="s">
        <v>2149</v>
      </c>
      <c r="F660" t="s">
        <v>91</v>
      </c>
      <c r="G660" t="s">
        <v>63</v>
      </c>
      <c r="H660" t="s">
        <v>53</v>
      </c>
      <c r="I660" t="s">
        <v>471</v>
      </c>
      <c r="J660">
        <v>2017</v>
      </c>
      <c r="K660">
        <v>43698.521897777777</v>
      </c>
      <c r="L660" t="s">
        <v>466</v>
      </c>
      <c r="M660" t="s">
        <v>154</v>
      </c>
      <c r="N660" t="s">
        <v>467</v>
      </c>
      <c r="O660">
        <v>334091</v>
      </c>
      <c r="P660">
        <v>43668.557974537034</v>
      </c>
      <c r="Q660">
        <v>42508.756771840279</v>
      </c>
      <c r="R660">
        <v>669</v>
      </c>
    </row>
    <row r="661" spans="1:18" x14ac:dyDescent="0.25">
      <c r="A661" t="s">
        <v>2150</v>
      </c>
      <c r="B661" t="s">
        <v>2151</v>
      </c>
      <c r="C661" t="s">
        <v>2152</v>
      </c>
      <c r="D661" t="s">
        <v>2152</v>
      </c>
      <c r="E661" t="s">
        <v>2153</v>
      </c>
      <c r="F661" t="s">
        <v>91</v>
      </c>
      <c r="G661" t="s">
        <v>63</v>
      </c>
      <c r="H661" t="s">
        <v>53</v>
      </c>
      <c r="I661" t="s">
        <v>471</v>
      </c>
      <c r="J661">
        <v>2017</v>
      </c>
      <c r="K661">
        <v>43698.521897777777</v>
      </c>
      <c r="L661" t="s">
        <v>466</v>
      </c>
      <c r="M661" t="s">
        <v>154</v>
      </c>
      <c r="N661" t="s">
        <v>467</v>
      </c>
      <c r="O661">
        <v>345377</v>
      </c>
      <c r="P661">
        <v>43698.521897777777</v>
      </c>
      <c r="Q661">
        <v>42508.758267094905</v>
      </c>
      <c r="R661">
        <v>670</v>
      </c>
    </row>
    <row r="662" spans="1:18" x14ac:dyDescent="0.25">
      <c r="A662" t="s">
        <v>2154</v>
      </c>
      <c r="B662" t="s">
        <v>2155</v>
      </c>
      <c r="C662" t="s">
        <v>2156</v>
      </c>
      <c r="D662" t="s">
        <v>2156</v>
      </c>
      <c r="E662" t="s">
        <v>2157</v>
      </c>
      <c r="F662" t="s">
        <v>91</v>
      </c>
      <c r="G662" t="s">
        <v>63</v>
      </c>
      <c r="H662" t="s">
        <v>53</v>
      </c>
      <c r="I662" t="s">
        <v>471</v>
      </c>
      <c r="J662">
        <v>2017</v>
      </c>
      <c r="K662">
        <v>43698.521897777777</v>
      </c>
      <c r="L662" t="s">
        <v>466</v>
      </c>
      <c r="M662" t="s">
        <v>154</v>
      </c>
      <c r="N662" t="s">
        <v>467</v>
      </c>
      <c r="O662">
        <v>345498</v>
      </c>
      <c r="P662">
        <v>43698.521897777777</v>
      </c>
      <c r="Q662">
        <v>42508.759317245371</v>
      </c>
      <c r="R662">
        <v>671</v>
      </c>
    </row>
    <row r="663" spans="1:18" x14ac:dyDescent="0.25">
      <c r="A663" t="s">
        <v>2158</v>
      </c>
      <c r="B663" t="s">
        <v>2159</v>
      </c>
      <c r="C663" t="s">
        <v>2160</v>
      </c>
      <c r="D663" t="s">
        <v>2160</v>
      </c>
      <c r="E663" t="s">
        <v>2161</v>
      </c>
      <c r="F663" t="s">
        <v>91</v>
      </c>
      <c r="G663" t="s">
        <v>63</v>
      </c>
      <c r="H663" t="s">
        <v>53</v>
      </c>
      <c r="I663" t="s">
        <v>471</v>
      </c>
      <c r="J663">
        <v>2017</v>
      </c>
      <c r="K663">
        <v>43698.521897777777</v>
      </c>
      <c r="L663" t="s">
        <v>466</v>
      </c>
      <c r="M663" t="s">
        <v>154</v>
      </c>
      <c r="N663" t="s">
        <v>467</v>
      </c>
      <c r="O663">
        <v>346955</v>
      </c>
      <c r="P663">
        <v>43698.521897777777</v>
      </c>
      <c r="Q663">
        <v>42508.760398379629</v>
      </c>
      <c r="R663">
        <v>672</v>
      </c>
    </row>
    <row r="664" spans="1:18" x14ac:dyDescent="0.25">
      <c r="A664" t="s">
        <v>2162</v>
      </c>
      <c r="B664" t="s">
        <v>2163</v>
      </c>
      <c r="C664" t="s">
        <v>2164</v>
      </c>
      <c r="D664" t="s">
        <v>2164</v>
      </c>
      <c r="E664" t="s">
        <v>2165</v>
      </c>
      <c r="F664" t="s">
        <v>91</v>
      </c>
      <c r="G664" t="s">
        <v>63</v>
      </c>
      <c r="H664" t="s">
        <v>53</v>
      </c>
      <c r="I664" t="s">
        <v>471</v>
      </c>
      <c r="J664">
        <v>2017</v>
      </c>
      <c r="K664">
        <v>43698.521897777777</v>
      </c>
      <c r="L664" t="s">
        <v>466</v>
      </c>
      <c r="M664" t="s">
        <v>154</v>
      </c>
      <c r="N664" t="s">
        <v>467</v>
      </c>
      <c r="O664">
        <v>345841</v>
      </c>
      <c r="P664">
        <v>43698.521897777777</v>
      </c>
      <c r="Q664">
        <v>42508.761748842589</v>
      </c>
      <c r="R664">
        <v>673</v>
      </c>
    </row>
    <row r="665" spans="1:18" x14ac:dyDescent="0.25">
      <c r="A665" t="s">
        <v>2166</v>
      </c>
      <c r="B665" t="s">
        <v>2167</v>
      </c>
      <c r="C665" t="s">
        <v>2168</v>
      </c>
      <c r="D665" t="s">
        <v>2168</v>
      </c>
      <c r="E665" t="s">
        <v>2169</v>
      </c>
      <c r="F665" t="s">
        <v>253</v>
      </c>
      <c r="G665" t="s">
        <v>63</v>
      </c>
      <c r="H665" t="s">
        <v>53</v>
      </c>
      <c r="I665" t="s">
        <v>471</v>
      </c>
      <c r="J665">
        <v>2017</v>
      </c>
      <c r="K665">
        <v>43698.521897777777</v>
      </c>
      <c r="L665" t="s">
        <v>466</v>
      </c>
      <c r="M665" t="s">
        <v>1738</v>
      </c>
      <c r="N665" t="s">
        <v>467</v>
      </c>
      <c r="O665">
        <v>345860</v>
      </c>
      <c r="P665">
        <v>43698.521897777777</v>
      </c>
      <c r="Q665">
        <v>42516.708425115743</v>
      </c>
      <c r="R665">
        <v>674</v>
      </c>
    </row>
    <row r="666" spans="1:18" x14ac:dyDescent="0.25">
      <c r="A666" t="s">
        <v>2170</v>
      </c>
      <c r="B666" t="s">
        <v>2171</v>
      </c>
      <c r="C666" t="s">
        <v>2172</v>
      </c>
      <c r="D666" t="s">
        <v>2172</v>
      </c>
      <c r="E666" t="s">
        <v>2173</v>
      </c>
      <c r="F666" t="s">
        <v>91</v>
      </c>
      <c r="G666" t="s">
        <v>63</v>
      </c>
      <c r="H666" t="s">
        <v>53</v>
      </c>
      <c r="I666" t="s">
        <v>471</v>
      </c>
      <c r="J666">
        <v>2017</v>
      </c>
      <c r="K666">
        <v>43698.521897777777</v>
      </c>
      <c r="L666" t="s">
        <v>466</v>
      </c>
      <c r="M666" t="s">
        <v>1738</v>
      </c>
      <c r="N666" t="s">
        <v>467</v>
      </c>
      <c r="O666">
        <v>345528</v>
      </c>
      <c r="P666">
        <v>43698.521897777777</v>
      </c>
      <c r="Q666">
        <v>42516.712152395834</v>
      </c>
      <c r="R666">
        <v>675</v>
      </c>
    </row>
    <row r="667" spans="1:18" x14ac:dyDescent="0.25">
      <c r="A667" t="s">
        <v>2174</v>
      </c>
      <c r="B667" t="s">
        <v>2175</v>
      </c>
      <c r="C667" t="s">
        <v>2176</v>
      </c>
      <c r="D667" t="s">
        <v>2176</v>
      </c>
      <c r="E667" t="s">
        <v>2177</v>
      </c>
      <c r="F667" t="s">
        <v>91</v>
      </c>
      <c r="G667" t="s">
        <v>63</v>
      </c>
      <c r="H667" t="s">
        <v>53</v>
      </c>
      <c r="I667" t="s">
        <v>471</v>
      </c>
      <c r="J667">
        <v>2017</v>
      </c>
      <c r="K667">
        <v>43698.521897777777</v>
      </c>
      <c r="L667" t="s">
        <v>466</v>
      </c>
      <c r="M667" t="s">
        <v>1738</v>
      </c>
      <c r="N667" t="s">
        <v>523</v>
      </c>
      <c r="O667">
        <v>346123</v>
      </c>
      <c r="P667">
        <v>43698.521897777777</v>
      </c>
      <c r="Q667">
        <v>42516.71521952546</v>
      </c>
      <c r="R667">
        <v>676</v>
      </c>
    </row>
    <row r="668" spans="1:18" x14ac:dyDescent="0.25">
      <c r="A668" t="s">
        <v>2178</v>
      </c>
      <c r="B668" t="s">
        <v>2179</v>
      </c>
      <c r="C668" t="s">
        <v>2180</v>
      </c>
      <c r="D668" t="s">
        <v>2180</v>
      </c>
      <c r="E668" t="s">
        <v>2181</v>
      </c>
      <c r="F668" t="s">
        <v>91</v>
      </c>
      <c r="G668" t="s">
        <v>63</v>
      </c>
      <c r="H668" t="s">
        <v>53</v>
      </c>
      <c r="I668" t="s">
        <v>471</v>
      </c>
      <c r="J668">
        <v>2017</v>
      </c>
      <c r="K668">
        <v>43698.521897777777</v>
      </c>
      <c r="L668" t="s">
        <v>466</v>
      </c>
      <c r="M668" t="s">
        <v>1738</v>
      </c>
      <c r="N668" t="s">
        <v>467</v>
      </c>
      <c r="O668">
        <v>345742</v>
      </c>
      <c r="P668">
        <v>43698.521897777777</v>
      </c>
      <c r="Q668">
        <v>42516.718333449076</v>
      </c>
      <c r="R668">
        <v>677</v>
      </c>
    </row>
    <row r="669" spans="1:18" x14ac:dyDescent="0.25">
      <c r="A669" t="s">
        <v>2182</v>
      </c>
      <c r="B669" t="s">
        <v>2183</v>
      </c>
      <c r="C669" t="s">
        <v>2184</v>
      </c>
      <c r="D669" t="s">
        <v>2184</v>
      </c>
      <c r="E669" t="s">
        <v>2185</v>
      </c>
      <c r="F669" t="s">
        <v>91</v>
      </c>
      <c r="G669" t="s">
        <v>63</v>
      </c>
      <c r="H669" t="s">
        <v>53</v>
      </c>
      <c r="I669" t="s">
        <v>471</v>
      </c>
      <c r="J669">
        <v>2017</v>
      </c>
      <c r="K669">
        <v>43698.521897777777</v>
      </c>
      <c r="L669" t="s">
        <v>466</v>
      </c>
      <c r="M669" t="s">
        <v>1738</v>
      </c>
      <c r="N669" t="s">
        <v>467</v>
      </c>
      <c r="O669">
        <v>346666</v>
      </c>
      <c r="P669">
        <v>43698.521897777777</v>
      </c>
      <c r="Q669">
        <v>42516.720226041667</v>
      </c>
      <c r="R669">
        <v>678</v>
      </c>
    </row>
    <row r="670" spans="1:18" x14ac:dyDescent="0.25">
      <c r="A670" t="s">
        <v>2186</v>
      </c>
      <c r="B670" t="s">
        <v>2187</v>
      </c>
      <c r="C670" t="s">
        <v>2188</v>
      </c>
      <c r="D670" t="s">
        <v>2188</v>
      </c>
      <c r="E670" t="s">
        <v>2189</v>
      </c>
      <c r="F670" t="s">
        <v>91</v>
      </c>
      <c r="G670" t="s">
        <v>63</v>
      </c>
      <c r="H670" t="s">
        <v>53</v>
      </c>
      <c r="I670" t="s">
        <v>471</v>
      </c>
      <c r="J670">
        <v>2017</v>
      </c>
      <c r="K670">
        <v>43698.521897777777</v>
      </c>
      <c r="L670" t="s">
        <v>466</v>
      </c>
      <c r="M670" t="s">
        <v>1738</v>
      </c>
      <c r="N670" t="s">
        <v>467</v>
      </c>
      <c r="O670">
        <v>345923</v>
      </c>
      <c r="P670">
        <v>43698.521897777777</v>
      </c>
      <c r="Q670">
        <v>42517.702141354166</v>
      </c>
      <c r="R670">
        <v>679</v>
      </c>
    </row>
    <row r="671" spans="1:18" x14ac:dyDescent="0.25">
      <c r="A671" t="s">
        <v>2190</v>
      </c>
      <c r="B671" t="s">
        <v>2191</v>
      </c>
      <c r="C671" t="s">
        <v>2192</v>
      </c>
      <c r="D671" t="s">
        <v>2192</v>
      </c>
      <c r="E671" t="s">
        <v>2193</v>
      </c>
      <c r="F671" t="s">
        <v>91</v>
      </c>
      <c r="G671" t="s">
        <v>63</v>
      </c>
      <c r="H671" t="s">
        <v>53</v>
      </c>
      <c r="I671" t="s">
        <v>471</v>
      </c>
      <c r="J671">
        <v>2017</v>
      </c>
      <c r="K671">
        <v>43698.521897777777</v>
      </c>
      <c r="L671" t="s">
        <v>466</v>
      </c>
      <c r="M671" t="s">
        <v>1738</v>
      </c>
      <c r="N671" t="s">
        <v>467</v>
      </c>
      <c r="O671">
        <v>346218</v>
      </c>
      <c r="P671">
        <v>43698.521897777777</v>
      </c>
      <c r="Q671">
        <v>42517.703040856482</v>
      </c>
      <c r="R671">
        <v>680</v>
      </c>
    </row>
    <row r="672" spans="1:18" x14ac:dyDescent="0.25">
      <c r="A672" t="s">
        <v>2194</v>
      </c>
      <c r="B672" t="s">
        <v>2195</v>
      </c>
      <c r="C672" t="s">
        <v>2196</v>
      </c>
      <c r="D672" t="s">
        <v>2196</v>
      </c>
      <c r="E672" t="s">
        <v>2197</v>
      </c>
      <c r="F672" t="s">
        <v>91</v>
      </c>
      <c r="G672" t="s">
        <v>63</v>
      </c>
      <c r="H672" t="s">
        <v>53</v>
      </c>
      <c r="I672" t="s">
        <v>471</v>
      </c>
      <c r="J672">
        <v>2017</v>
      </c>
      <c r="K672">
        <v>43698.521897777777</v>
      </c>
      <c r="L672" t="s">
        <v>466</v>
      </c>
      <c r="M672" t="s">
        <v>1738</v>
      </c>
      <c r="N672" t="s">
        <v>467</v>
      </c>
      <c r="O672">
        <v>345857</v>
      </c>
      <c r="P672">
        <v>43698.521897777777</v>
      </c>
      <c r="Q672">
        <v>42517.703706747685</v>
      </c>
      <c r="R672">
        <v>681</v>
      </c>
    </row>
    <row r="673" spans="1:18" x14ac:dyDescent="0.25">
      <c r="A673" t="s">
        <v>2198</v>
      </c>
      <c r="B673" t="s">
        <v>2199</v>
      </c>
      <c r="C673" t="s">
        <v>2200</v>
      </c>
      <c r="D673" t="s">
        <v>2200</v>
      </c>
      <c r="E673" t="s">
        <v>2201</v>
      </c>
      <c r="F673" t="s">
        <v>91</v>
      </c>
      <c r="G673" t="s">
        <v>63</v>
      </c>
      <c r="H673" t="s">
        <v>53</v>
      </c>
      <c r="I673" t="s">
        <v>471</v>
      </c>
      <c r="J673">
        <v>2017</v>
      </c>
      <c r="K673">
        <v>43698.521897777777</v>
      </c>
      <c r="L673" t="s">
        <v>1978</v>
      </c>
      <c r="M673" t="s">
        <v>1738</v>
      </c>
      <c r="N673" t="s">
        <v>523</v>
      </c>
      <c r="O673">
        <v>344337</v>
      </c>
      <c r="P673">
        <v>43695.810173611113</v>
      </c>
      <c r="Q673">
        <v>42517.705212499997</v>
      </c>
      <c r="R673">
        <v>682</v>
      </c>
    </row>
    <row r="674" spans="1:18" x14ac:dyDescent="0.25">
      <c r="A674" t="s">
        <v>2202</v>
      </c>
      <c r="B674" t="s">
        <v>2203</v>
      </c>
      <c r="C674" t="s">
        <v>2204</v>
      </c>
      <c r="D674" t="s">
        <v>2204</v>
      </c>
      <c r="E674" t="s">
        <v>2205</v>
      </c>
      <c r="F674" t="s">
        <v>91</v>
      </c>
      <c r="G674" t="s">
        <v>63</v>
      </c>
      <c r="H674" t="s">
        <v>53</v>
      </c>
      <c r="I674" t="s">
        <v>471</v>
      </c>
      <c r="J674">
        <v>2017</v>
      </c>
      <c r="K674">
        <v>43698.521897777777</v>
      </c>
      <c r="L674" t="s">
        <v>466</v>
      </c>
      <c r="M674" t="s">
        <v>1738</v>
      </c>
      <c r="N674" t="s">
        <v>467</v>
      </c>
      <c r="O674">
        <v>345540</v>
      </c>
      <c r="P674">
        <v>43698.521897777777</v>
      </c>
      <c r="Q674">
        <v>42517.706505243055</v>
      </c>
      <c r="R674">
        <v>683</v>
      </c>
    </row>
    <row r="675" spans="1:18" x14ac:dyDescent="0.25">
      <c r="A675" t="s">
        <v>2206</v>
      </c>
      <c r="B675" t="s">
        <v>2207</v>
      </c>
      <c r="C675" t="s">
        <v>2208</v>
      </c>
      <c r="D675" t="s">
        <v>2208</v>
      </c>
      <c r="E675" t="s">
        <v>2208</v>
      </c>
      <c r="F675" t="s">
        <v>21</v>
      </c>
      <c r="G675" t="s">
        <v>63</v>
      </c>
      <c r="H675" t="s">
        <v>53</v>
      </c>
      <c r="I675" t="s">
        <v>471</v>
      </c>
      <c r="J675">
        <v>2017</v>
      </c>
      <c r="K675">
        <v>43698.521897777777</v>
      </c>
      <c r="L675" t="s">
        <v>1005</v>
      </c>
      <c r="M675" t="s">
        <v>37</v>
      </c>
      <c r="N675" t="s">
        <v>27</v>
      </c>
      <c r="O675">
        <v>195815</v>
      </c>
      <c r="P675">
        <v>43281.246076388888</v>
      </c>
      <c r="Q675">
        <v>42528.721015856485</v>
      </c>
      <c r="R675">
        <v>684</v>
      </c>
    </row>
    <row r="676" spans="1:18" x14ac:dyDescent="0.25">
      <c r="A676" t="s">
        <v>2209</v>
      </c>
      <c r="B676" t="s">
        <v>2210</v>
      </c>
      <c r="C676" t="s">
        <v>2211</v>
      </c>
      <c r="D676" t="s">
        <v>2211</v>
      </c>
      <c r="E676" t="s">
        <v>2211</v>
      </c>
      <c r="F676" t="s">
        <v>21</v>
      </c>
      <c r="G676" t="s">
        <v>63</v>
      </c>
      <c r="H676" t="s">
        <v>53</v>
      </c>
      <c r="I676" t="s">
        <v>471</v>
      </c>
      <c r="J676">
        <v>2017</v>
      </c>
      <c r="K676">
        <v>43698.521897777777</v>
      </c>
      <c r="L676" t="s">
        <v>1005</v>
      </c>
      <c r="M676" t="s">
        <v>37</v>
      </c>
      <c r="N676" t="s">
        <v>27</v>
      </c>
      <c r="O676">
        <v>172858</v>
      </c>
      <c r="P676">
        <v>43197.667361111111</v>
      </c>
      <c r="Q676">
        <v>42528.722372187498</v>
      </c>
      <c r="R676">
        <v>685</v>
      </c>
    </row>
    <row r="677" spans="1:18" x14ac:dyDescent="0.25">
      <c r="A677" t="s">
        <v>2212</v>
      </c>
      <c r="B677" t="s">
        <v>2213</v>
      </c>
      <c r="C677" t="s">
        <v>2214</v>
      </c>
      <c r="D677" t="s">
        <v>2214</v>
      </c>
      <c r="E677" t="s">
        <v>2214</v>
      </c>
      <c r="F677" t="s">
        <v>21</v>
      </c>
      <c r="G677" t="s">
        <v>63</v>
      </c>
      <c r="H677" t="s">
        <v>53</v>
      </c>
      <c r="I677" t="s">
        <v>471</v>
      </c>
      <c r="J677">
        <v>2017</v>
      </c>
      <c r="K677">
        <v>43698.521897777777</v>
      </c>
      <c r="L677" t="s">
        <v>1056</v>
      </c>
      <c r="M677" t="s">
        <v>37</v>
      </c>
      <c r="N677" t="s">
        <v>27</v>
      </c>
      <c r="O677">
        <v>187225</v>
      </c>
      <c r="P677">
        <v>43252.20208333333</v>
      </c>
      <c r="Q677">
        <v>42528.733840162036</v>
      </c>
      <c r="R677">
        <v>686</v>
      </c>
    </row>
    <row r="678" spans="1:18" x14ac:dyDescent="0.25">
      <c r="A678" t="s">
        <v>2215</v>
      </c>
      <c r="B678" t="s">
        <v>2216</v>
      </c>
      <c r="C678" t="s">
        <v>2217</v>
      </c>
      <c r="D678" t="s">
        <v>2217</v>
      </c>
      <c r="E678" t="s">
        <v>2217</v>
      </c>
      <c r="F678" t="s">
        <v>21</v>
      </c>
      <c r="G678" t="s">
        <v>63</v>
      </c>
      <c r="H678" t="s">
        <v>53</v>
      </c>
      <c r="I678" t="s">
        <v>471</v>
      </c>
      <c r="J678">
        <v>2013</v>
      </c>
      <c r="K678">
        <v>43698.521897777777</v>
      </c>
      <c r="L678" t="s">
        <v>92</v>
      </c>
      <c r="M678" t="s">
        <v>37</v>
      </c>
      <c r="N678" t="s">
        <v>27</v>
      </c>
      <c r="O678">
        <v>247186</v>
      </c>
      <c r="P678">
        <v>43440.040590277778</v>
      </c>
      <c r="Q678">
        <v>42528.771155671297</v>
      </c>
      <c r="R678">
        <v>687</v>
      </c>
    </row>
    <row r="679" spans="1:18" x14ac:dyDescent="0.25">
      <c r="A679" t="s">
        <v>2218</v>
      </c>
      <c r="B679" t="s">
        <v>2219</v>
      </c>
      <c r="C679" t="s">
        <v>2220</v>
      </c>
      <c r="D679" t="s">
        <v>2220</v>
      </c>
      <c r="E679" t="s">
        <v>2220</v>
      </c>
      <c r="F679" t="s">
        <v>91</v>
      </c>
      <c r="G679" t="s">
        <v>63</v>
      </c>
      <c r="H679" t="s">
        <v>23</v>
      </c>
      <c r="I679" t="s">
        <v>41</v>
      </c>
      <c r="J679">
        <v>2017</v>
      </c>
      <c r="K679">
        <v>43698.521897777777</v>
      </c>
      <c r="L679" t="s">
        <v>1005</v>
      </c>
      <c r="M679" t="s">
        <v>37</v>
      </c>
      <c r="N679" t="s">
        <v>415</v>
      </c>
      <c r="O679">
        <v>345337</v>
      </c>
      <c r="P679">
        <v>43698.256215277775</v>
      </c>
      <c r="Q679">
        <v>42528.772475729165</v>
      </c>
      <c r="R679">
        <v>688</v>
      </c>
    </row>
    <row r="680" spans="1:18" x14ac:dyDescent="0.25">
      <c r="A680" t="s">
        <v>2221</v>
      </c>
      <c r="B680" t="s">
        <v>2222</v>
      </c>
      <c r="C680" t="s">
        <v>2223</v>
      </c>
      <c r="D680" t="s">
        <v>2223</v>
      </c>
      <c r="E680" t="s">
        <v>2223</v>
      </c>
      <c r="F680" t="s">
        <v>21</v>
      </c>
      <c r="G680" t="s">
        <v>63</v>
      </c>
      <c r="H680" t="s">
        <v>53</v>
      </c>
      <c r="I680" t="s">
        <v>25</v>
      </c>
      <c r="J680">
        <v>2007</v>
      </c>
      <c r="K680">
        <v>43698.521897777777</v>
      </c>
      <c r="L680" t="s">
        <v>25</v>
      </c>
      <c r="M680" t="s">
        <v>154</v>
      </c>
      <c r="N680" t="s">
        <v>27</v>
      </c>
      <c r="O680">
        <v>110861</v>
      </c>
      <c r="P680">
        <v>42860.151967592596</v>
      </c>
      <c r="Q680">
        <v>42545.647396643515</v>
      </c>
      <c r="R680">
        <v>689</v>
      </c>
    </row>
    <row r="681" spans="1:18" x14ac:dyDescent="0.25">
      <c r="A681" t="s">
        <v>2224</v>
      </c>
      <c r="B681" t="s">
        <v>901</v>
      </c>
      <c r="C681" t="s">
        <v>2225</v>
      </c>
      <c r="D681" t="s">
        <v>2225</v>
      </c>
      <c r="E681" t="s">
        <v>2226</v>
      </c>
      <c r="F681" t="s">
        <v>21</v>
      </c>
      <c r="G681" t="s">
        <v>22</v>
      </c>
      <c r="H681" t="s">
        <v>80</v>
      </c>
      <c r="I681" t="s">
        <v>1027</v>
      </c>
      <c r="J681">
        <v>2007</v>
      </c>
      <c r="K681">
        <v>43698.521897777777</v>
      </c>
      <c r="L681" t="s">
        <v>25</v>
      </c>
      <c r="M681" t="s">
        <v>37</v>
      </c>
      <c r="N681" t="s">
        <v>27</v>
      </c>
      <c r="O681">
        <v>121990</v>
      </c>
      <c r="P681">
        <v>42934.947916666664</v>
      </c>
      <c r="Q681">
        <v>42550.484057141206</v>
      </c>
      <c r="R681">
        <v>690</v>
      </c>
    </row>
    <row r="682" spans="1:18" x14ac:dyDescent="0.25">
      <c r="A682" t="s">
        <v>2227</v>
      </c>
      <c r="B682" t="s">
        <v>2228</v>
      </c>
      <c r="C682" t="s">
        <v>2229</v>
      </c>
      <c r="D682" t="s">
        <v>2229</v>
      </c>
      <c r="E682" t="s">
        <v>2230</v>
      </c>
      <c r="F682" t="s">
        <v>21</v>
      </c>
      <c r="G682" t="s">
        <v>63</v>
      </c>
      <c r="H682" t="s">
        <v>80</v>
      </c>
      <c r="I682" t="s">
        <v>2231</v>
      </c>
      <c r="J682">
        <v>2011</v>
      </c>
      <c r="K682">
        <v>43698.521897777777</v>
      </c>
      <c r="L682" t="s">
        <v>25</v>
      </c>
      <c r="M682" t="s">
        <v>154</v>
      </c>
      <c r="N682" t="s">
        <v>27</v>
      </c>
      <c r="O682">
        <v>101333</v>
      </c>
      <c r="P682">
        <v>42783.168749999997</v>
      </c>
      <c r="Q682">
        <v>42557.553931747687</v>
      </c>
      <c r="R682">
        <v>691</v>
      </c>
    </row>
    <row r="683" spans="1:18" x14ac:dyDescent="0.25">
      <c r="A683" t="s">
        <v>2232</v>
      </c>
      <c r="B683" t="s">
        <v>2233</v>
      </c>
      <c r="C683" t="s">
        <v>2234</v>
      </c>
      <c r="D683" t="s">
        <v>2234</v>
      </c>
      <c r="E683" t="s">
        <v>2234</v>
      </c>
      <c r="F683" t="s">
        <v>21</v>
      </c>
      <c r="G683" t="s">
        <v>63</v>
      </c>
      <c r="H683" t="s">
        <v>34</v>
      </c>
      <c r="I683" t="s">
        <v>35</v>
      </c>
      <c r="J683">
        <v>2016</v>
      </c>
      <c r="K683">
        <v>43698.521897777777</v>
      </c>
      <c r="L683" t="s">
        <v>25</v>
      </c>
      <c r="M683" t="s">
        <v>37</v>
      </c>
      <c r="N683" t="s">
        <v>27</v>
      </c>
      <c r="O683">
        <v>121822</v>
      </c>
      <c r="P683">
        <v>42939.083333333336</v>
      </c>
      <c r="Q683">
        <v>42566.641867210645</v>
      </c>
      <c r="R683">
        <v>692</v>
      </c>
    </row>
    <row r="684" spans="1:18" x14ac:dyDescent="0.25">
      <c r="A684" t="s">
        <v>2235</v>
      </c>
      <c r="B684" t="s">
        <v>2236</v>
      </c>
      <c r="C684" t="s">
        <v>2237</v>
      </c>
      <c r="D684" t="s">
        <v>2237</v>
      </c>
      <c r="E684" t="s">
        <v>2238</v>
      </c>
      <c r="F684" t="s">
        <v>91</v>
      </c>
      <c r="G684" t="s">
        <v>106</v>
      </c>
      <c r="H684" t="s">
        <v>80</v>
      </c>
      <c r="I684" t="s">
        <v>2231</v>
      </c>
      <c r="J684">
        <v>2017</v>
      </c>
      <c r="K684">
        <v>43698.521897777777</v>
      </c>
      <c r="L684" t="s">
        <v>466</v>
      </c>
      <c r="M684" t="s">
        <v>154</v>
      </c>
      <c r="N684" t="s">
        <v>467</v>
      </c>
      <c r="O684">
        <v>299087</v>
      </c>
      <c r="P684">
        <v>43584.109826388885</v>
      </c>
      <c r="Q684">
        <v>42571.804990428238</v>
      </c>
      <c r="R684">
        <v>693</v>
      </c>
    </row>
    <row r="685" spans="1:18" x14ac:dyDescent="0.25">
      <c r="A685" t="s">
        <v>2239</v>
      </c>
      <c r="B685" t="s">
        <v>2240</v>
      </c>
      <c r="C685" t="s">
        <v>2241</v>
      </c>
      <c r="D685" t="s">
        <v>2241</v>
      </c>
      <c r="E685" t="s">
        <v>2241</v>
      </c>
      <c r="F685" t="s">
        <v>21</v>
      </c>
      <c r="G685" t="s">
        <v>63</v>
      </c>
      <c r="H685" t="s">
        <v>34</v>
      </c>
      <c r="I685" t="s">
        <v>35</v>
      </c>
      <c r="J685">
        <v>2007</v>
      </c>
      <c r="K685">
        <v>43698.521897777777</v>
      </c>
      <c r="L685" t="s">
        <v>25</v>
      </c>
      <c r="M685" t="s">
        <v>37</v>
      </c>
      <c r="N685" t="s">
        <v>27</v>
      </c>
      <c r="O685">
        <v>99678</v>
      </c>
      <c r="P685">
        <v>42767.547222222223</v>
      </c>
      <c r="Q685">
        <v>42571.854068831017</v>
      </c>
      <c r="R685">
        <v>694</v>
      </c>
    </row>
    <row r="686" spans="1:18" x14ac:dyDescent="0.25">
      <c r="A686" t="s">
        <v>2242</v>
      </c>
      <c r="B686" t="s">
        <v>2243</v>
      </c>
      <c r="C686" t="s">
        <v>2244</v>
      </c>
      <c r="D686" t="s">
        <v>2244</v>
      </c>
      <c r="E686" t="s">
        <v>2244</v>
      </c>
      <c r="F686" t="s">
        <v>21</v>
      </c>
      <c r="G686" t="s">
        <v>63</v>
      </c>
      <c r="H686" t="s">
        <v>53</v>
      </c>
      <c r="I686" t="s">
        <v>25</v>
      </c>
      <c r="J686">
        <v>2016</v>
      </c>
      <c r="K686">
        <v>43698.521897777777</v>
      </c>
      <c r="L686" t="s">
        <v>25</v>
      </c>
      <c r="M686" t="s">
        <v>37</v>
      </c>
      <c r="N686" t="s">
        <v>27</v>
      </c>
      <c r="O686">
        <v>122276</v>
      </c>
      <c r="P686">
        <v>42938.093969907408</v>
      </c>
      <c r="Q686">
        <v>42572.875084143518</v>
      </c>
      <c r="R686">
        <v>695</v>
      </c>
    </row>
    <row r="687" spans="1:18" x14ac:dyDescent="0.25">
      <c r="A687" t="s">
        <v>2245</v>
      </c>
      <c r="B687" t="s">
        <v>1278</v>
      </c>
      <c r="C687" t="s">
        <v>2246</v>
      </c>
      <c r="D687" t="s">
        <v>2246</v>
      </c>
      <c r="E687" t="s">
        <v>2247</v>
      </c>
      <c r="F687" t="s">
        <v>21</v>
      </c>
      <c r="G687" t="s">
        <v>22</v>
      </c>
      <c r="H687" t="s">
        <v>23</v>
      </c>
      <c r="I687" t="s">
        <v>24</v>
      </c>
      <c r="J687">
        <v>2007</v>
      </c>
      <c r="K687">
        <v>43698.521897777777</v>
      </c>
      <c r="L687" t="s">
        <v>25</v>
      </c>
      <c r="M687" t="s">
        <v>37</v>
      </c>
      <c r="N687" t="s">
        <v>27</v>
      </c>
      <c r="O687">
        <v>125285</v>
      </c>
      <c r="P687">
        <v>42956.553657407407</v>
      </c>
      <c r="Q687">
        <v>42576.677926273151</v>
      </c>
      <c r="R687">
        <v>696</v>
      </c>
    </row>
    <row r="688" spans="1:18" x14ac:dyDescent="0.25">
      <c r="A688" t="s">
        <v>2248</v>
      </c>
      <c r="B688" t="s">
        <v>1289</v>
      </c>
      <c r="C688" t="s">
        <v>2249</v>
      </c>
      <c r="D688" t="s">
        <v>2249</v>
      </c>
      <c r="E688" t="s">
        <v>2250</v>
      </c>
      <c r="F688" t="s">
        <v>21</v>
      </c>
      <c r="G688" t="s">
        <v>22</v>
      </c>
      <c r="H688" t="s">
        <v>23</v>
      </c>
      <c r="I688" t="s">
        <v>24</v>
      </c>
      <c r="J688">
        <v>2007</v>
      </c>
      <c r="K688">
        <v>43698.521897777777</v>
      </c>
      <c r="L688" t="s">
        <v>25</v>
      </c>
      <c r="M688" t="s">
        <v>37</v>
      </c>
      <c r="N688" t="s">
        <v>27</v>
      </c>
      <c r="O688">
        <v>118969</v>
      </c>
      <c r="P688">
        <v>42914.400694444441</v>
      </c>
      <c r="Q688">
        <v>42576.698096527776</v>
      </c>
      <c r="R688">
        <v>697</v>
      </c>
    </row>
    <row r="689" spans="1:18" x14ac:dyDescent="0.25">
      <c r="A689" t="s">
        <v>2251</v>
      </c>
      <c r="B689" t="s">
        <v>1367</v>
      </c>
      <c r="C689" t="s">
        <v>2252</v>
      </c>
      <c r="D689" t="s">
        <v>2252</v>
      </c>
      <c r="E689" t="s">
        <v>2253</v>
      </c>
      <c r="F689" t="s">
        <v>21</v>
      </c>
      <c r="G689" t="s">
        <v>22</v>
      </c>
      <c r="H689" t="s">
        <v>23</v>
      </c>
      <c r="I689" t="s">
        <v>24</v>
      </c>
      <c r="J689">
        <v>2007</v>
      </c>
      <c r="K689">
        <v>43698.521897777777</v>
      </c>
      <c r="L689" t="s">
        <v>25</v>
      </c>
      <c r="M689" t="s">
        <v>37</v>
      </c>
      <c r="N689" t="s">
        <v>27</v>
      </c>
      <c r="O689">
        <v>118234</v>
      </c>
      <c r="P689">
        <v>42913.774305555555</v>
      </c>
      <c r="Q689">
        <v>42576.710134837966</v>
      </c>
      <c r="R689">
        <v>698</v>
      </c>
    </row>
    <row r="690" spans="1:18" x14ac:dyDescent="0.25">
      <c r="A690" t="s">
        <v>2254</v>
      </c>
      <c r="B690" t="s">
        <v>2255</v>
      </c>
      <c r="C690" t="s">
        <v>2256</v>
      </c>
      <c r="D690" t="s">
        <v>2256</v>
      </c>
      <c r="E690" t="s">
        <v>2256</v>
      </c>
      <c r="F690" t="s">
        <v>21</v>
      </c>
      <c r="G690" t="s">
        <v>63</v>
      </c>
      <c r="H690" t="s">
        <v>53</v>
      </c>
      <c r="I690" t="s">
        <v>41</v>
      </c>
      <c r="J690">
        <v>2007</v>
      </c>
      <c r="K690">
        <v>43698.521897777777</v>
      </c>
      <c r="L690" t="s">
        <v>1660</v>
      </c>
      <c r="M690" t="s">
        <v>37</v>
      </c>
      <c r="N690" t="s">
        <v>27</v>
      </c>
      <c r="O690">
        <v>307907</v>
      </c>
      <c r="P690">
        <v>43601.729166666664</v>
      </c>
      <c r="Q690">
        <v>42576.713499224534</v>
      </c>
      <c r="R690">
        <v>699</v>
      </c>
    </row>
    <row r="691" spans="1:18" x14ac:dyDescent="0.25">
      <c r="A691" t="s">
        <v>2257</v>
      </c>
      <c r="B691" t="s">
        <v>1073</v>
      </c>
      <c r="C691" t="s">
        <v>2258</v>
      </c>
      <c r="D691" t="s">
        <v>2258</v>
      </c>
      <c r="E691" t="s">
        <v>2259</v>
      </c>
      <c r="F691" t="s">
        <v>21</v>
      </c>
      <c r="G691" t="s">
        <v>22</v>
      </c>
      <c r="H691" t="s">
        <v>23</v>
      </c>
      <c r="I691" t="s">
        <v>24</v>
      </c>
      <c r="J691">
        <v>2007</v>
      </c>
      <c r="K691">
        <v>43698.521897777777</v>
      </c>
      <c r="L691" t="s">
        <v>25</v>
      </c>
      <c r="M691" t="s">
        <v>37</v>
      </c>
      <c r="N691" t="s">
        <v>27</v>
      </c>
      <c r="O691">
        <v>128765</v>
      </c>
      <c r="P691">
        <v>42976.7</v>
      </c>
      <c r="Q691">
        <v>42576.71522283565</v>
      </c>
      <c r="R691">
        <v>700</v>
      </c>
    </row>
    <row r="692" spans="1:18" x14ac:dyDescent="0.25">
      <c r="A692" t="s">
        <v>2260</v>
      </c>
      <c r="B692" t="s">
        <v>1494</v>
      </c>
      <c r="C692" t="s">
        <v>2261</v>
      </c>
      <c r="D692" t="s">
        <v>2261</v>
      </c>
      <c r="E692" t="s">
        <v>2262</v>
      </c>
      <c r="F692" t="s">
        <v>21</v>
      </c>
      <c r="G692" t="s">
        <v>22</v>
      </c>
      <c r="H692" t="s">
        <v>998</v>
      </c>
      <c r="I692" t="s">
        <v>471</v>
      </c>
      <c r="J692">
        <v>2016</v>
      </c>
      <c r="K692">
        <v>43698.521897777777</v>
      </c>
      <c r="L692" t="s">
        <v>422</v>
      </c>
      <c r="M692" t="s">
        <v>42</v>
      </c>
      <c r="N692" t="s">
        <v>27</v>
      </c>
      <c r="O692">
        <v>205811</v>
      </c>
      <c r="P692">
        <v>43313.354166666664</v>
      </c>
      <c r="Q692">
        <v>42580.650614618055</v>
      </c>
      <c r="R692">
        <v>701</v>
      </c>
    </row>
    <row r="693" spans="1:18" x14ac:dyDescent="0.25">
      <c r="A693" t="s">
        <v>2263</v>
      </c>
      <c r="B693" t="s">
        <v>1253</v>
      </c>
      <c r="C693" t="s">
        <v>2264</v>
      </c>
      <c r="D693" t="s">
        <v>2264</v>
      </c>
      <c r="E693" t="s">
        <v>2264</v>
      </c>
      <c r="F693" t="s">
        <v>21</v>
      </c>
      <c r="G693" t="s">
        <v>63</v>
      </c>
      <c r="H693" t="s">
        <v>34</v>
      </c>
      <c r="I693" t="s">
        <v>149</v>
      </c>
      <c r="J693">
        <v>2006</v>
      </c>
      <c r="K693">
        <v>43698.521897777777</v>
      </c>
      <c r="L693" t="s">
        <v>466</v>
      </c>
      <c r="M693" t="s">
        <v>154</v>
      </c>
      <c r="N693" t="s">
        <v>27</v>
      </c>
      <c r="O693">
        <v>221004</v>
      </c>
      <c r="P693">
        <v>43361.161111111112</v>
      </c>
      <c r="Q693">
        <v>42586.85397758102</v>
      </c>
      <c r="R693">
        <v>702</v>
      </c>
    </row>
    <row r="694" spans="1:18" x14ac:dyDescent="0.25">
      <c r="A694" t="s">
        <v>2265</v>
      </c>
      <c r="B694" t="s">
        <v>2266</v>
      </c>
      <c r="C694" t="s">
        <v>2267</v>
      </c>
      <c r="D694" t="s">
        <v>2267</v>
      </c>
      <c r="E694" t="s">
        <v>2267</v>
      </c>
      <c r="F694" t="s">
        <v>21</v>
      </c>
      <c r="G694" t="s">
        <v>63</v>
      </c>
      <c r="H694" t="s">
        <v>80</v>
      </c>
      <c r="I694" t="s">
        <v>2268</v>
      </c>
      <c r="J694">
        <v>2007</v>
      </c>
      <c r="K694">
        <v>43698.521897777777</v>
      </c>
      <c r="L694" t="s">
        <v>25</v>
      </c>
      <c r="M694" t="s">
        <v>154</v>
      </c>
      <c r="N694" t="s">
        <v>27</v>
      </c>
      <c r="O694">
        <v>95028</v>
      </c>
      <c r="P694">
        <v>42718.390763888892</v>
      </c>
      <c r="Q694">
        <v>42586.854387268519</v>
      </c>
      <c r="R694">
        <v>703</v>
      </c>
    </row>
    <row r="695" spans="1:18" x14ac:dyDescent="0.25">
      <c r="A695" t="s">
        <v>2269</v>
      </c>
      <c r="B695" t="s">
        <v>297</v>
      </c>
      <c r="C695" t="s">
        <v>2270</v>
      </c>
      <c r="D695" t="s">
        <v>2270</v>
      </c>
      <c r="E695" t="s">
        <v>2270</v>
      </c>
      <c r="F695" t="s">
        <v>21</v>
      </c>
      <c r="G695" t="s">
        <v>63</v>
      </c>
      <c r="H695" t="s">
        <v>53</v>
      </c>
      <c r="I695" t="s">
        <v>1539</v>
      </c>
      <c r="J695">
        <v>2006</v>
      </c>
      <c r="K695">
        <v>43698.521897777777</v>
      </c>
      <c r="L695" t="s">
        <v>466</v>
      </c>
      <c r="M695" t="s">
        <v>154</v>
      </c>
      <c r="N695" t="s">
        <v>27</v>
      </c>
      <c r="O695">
        <v>179077</v>
      </c>
      <c r="P695">
        <v>43226.836701388886</v>
      </c>
      <c r="Q695">
        <v>42586.854601770836</v>
      </c>
      <c r="R695">
        <v>704</v>
      </c>
    </row>
    <row r="696" spans="1:18" x14ac:dyDescent="0.25">
      <c r="A696" t="s">
        <v>2271</v>
      </c>
      <c r="B696" t="s">
        <v>1498</v>
      </c>
      <c r="C696" t="s">
        <v>2272</v>
      </c>
      <c r="D696" t="s">
        <v>2272</v>
      </c>
      <c r="E696" t="s">
        <v>2273</v>
      </c>
      <c r="F696" t="s">
        <v>21</v>
      </c>
      <c r="G696" t="s">
        <v>22</v>
      </c>
      <c r="H696" t="s">
        <v>998</v>
      </c>
      <c r="I696" t="s">
        <v>471</v>
      </c>
      <c r="J696">
        <v>2016</v>
      </c>
      <c r="K696">
        <v>43698.521897777777</v>
      </c>
      <c r="L696" t="s">
        <v>578</v>
      </c>
      <c r="M696" t="s">
        <v>42</v>
      </c>
      <c r="N696" t="s">
        <v>27</v>
      </c>
      <c r="O696">
        <v>199127</v>
      </c>
      <c r="P696">
        <v>43292.913888888892</v>
      </c>
      <c r="Q696">
        <v>42586.872989699077</v>
      </c>
      <c r="R696">
        <v>705</v>
      </c>
    </row>
    <row r="697" spans="1:18" x14ac:dyDescent="0.25">
      <c r="A697" t="s">
        <v>2274</v>
      </c>
      <c r="B697" t="s">
        <v>1502</v>
      </c>
      <c r="C697" t="s">
        <v>2275</v>
      </c>
      <c r="D697" t="s">
        <v>2275</v>
      </c>
      <c r="E697" t="s">
        <v>2276</v>
      </c>
      <c r="F697" t="s">
        <v>21</v>
      </c>
      <c r="G697" t="s">
        <v>22</v>
      </c>
      <c r="H697" t="s">
        <v>53</v>
      </c>
      <c r="I697" t="s">
        <v>471</v>
      </c>
      <c r="J697">
        <v>2016</v>
      </c>
      <c r="K697">
        <v>43698.521897777777</v>
      </c>
      <c r="L697" t="s">
        <v>193</v>
      </c>
      <c r="M697" t="s">
        <v>42</v>
      </c>
      <c r="N697" t="s">
        <v>27</v>
      </c>
      <c r="O697">
        <v>207761</v>
      </c>
      <c r="P697">
        <v>43321.967465277776</v>
      </c>
      <c r="Q697">
        <v>42586.874779976853</v>
      </c>
      <c r="R697">
        <v>706</v>
      </c>
    </row>
    <row r="698" spans="1:18" x14ac:dyDescent="0.25">
      <c r="A698" t="s">
        <v>2277</v>
      </c>
      <c r="B698" t="s">
        <v>2278</v>
      </c>
      <c r="C698" t="s">
        <v>2279</v>
      </c>
      <c r="D698" t="s">
        <v>2279</v>
      </c>
      <c r="E698" t="s">
        <v>2279</v>
      </c>
      <c r="F698" t="s">
        <v>91</v>
      </c>
      <c r="G698" t="s">
        <v>63</v>
      </c>
      <c r="H698" t="s">
        <v>34</v>
      </c>
      <c r="I698" t="s">
        <v>703</v>
      </c>
      <c r="J698">
        <v>2013</v>
      </c>
      <c r="K698">
        <v>43698.521897777777</v>
      </c>
      <c r="L698" t="s">
        <v>193</v>
      </c>
      <c r="M698" t="s">
        <v>37</v>
      </c>
      <c r="N698" t="s">
        <v>415</v>
      </c>
      <c r="O698">
        <v>347007</v>
      </c>
      <c r="P698">
        <v>43698.521897777777</v>
      </c>
      <c r="Q698">
        <v>42590.491116087964</v>
      </c>
      <c r="R698">
        <v>707</v>
      </c>
    </row>
    <row r="699" spans="1:18" x14ac:dyDescent="0.25">
      <c r="A699" t="s">
        <v>2280</v>
      </c>
      <c r="B699" t="s">
        <v>1285</v>
      </c>
      <c r="C699" t="s">
        <v>2281</v>
      </c>
      <c r="D699" t="s">
        <v>2281</v>
      </c>
      <c r="E699" t="s">
        <v>2282</v>
      </c>
      <c r="F699" t="s">
        <v>21</v>
      </c>
      <c r="G699" t="s">
        <v>22</v>
      </c>
      <c r="H699" t="s">
        <v>23</v>
      </c>
      <c r="I699" t="s">
        <v>24</v>
      </c>
      <c r="J699">
        <v>2007</v>
      </c>
      <c r="K699">
        <v>43698.521897777777</v>
      </c>
      <c r="L699" t="s">
        <v>25</v>
      </c>
      <c r="M699" t="s">
        <v>37</v>
      </c>
      <c r="N699" t="s">
        <v>27</v>
      </c>
      <c r="O699">
        <v>115630</v>
      </c>
      <c r="P699">
        <v>42891.854166666664</v>
      </c>
      <c r="Q699">
        <v>42590.762123229164</v>
      </c>
      <c r="R699">
        <v>708</v>
      </c>
    </row>
    <row r="700" spans="1:18" x14ac:dyDescent="0.25">
      <c r="A700" t="s">
        <v>2283</v>
      </c>
      <c r="B700" t="s">
        <v>2284</v>
      </c>
      <c r="C700" t="s">
        <v>2285</v>
      </c>
      <c r="D700" t="s">
        <v>2285</v>
      </c>
      <c r="E700" t="s">
        <v>2285</v>
      </c>
      <c r="F700" t="s">
        <v>21</v>
      </c>
      <c r="G700" t="s">
        <v>63</v>
      </c>
      <c r="H700" t="s">
        <v>34</v>
      </c>
      <c r="I700" t="s">
        <v>149</v>
      </c>
      <c r="J700">
        <v>2009</v>
      </c>
      <c r="K700">
        <v>43698.521897777777</v>
      </c>
      <c r="L700" t="s">
        <v>25</v>
      </c>
      <c r="M700" t="s">
        <v>37</v>
      </c>
      <c r="N700" t="s">
        <v>27</v>
      </c>
      <c r="O700">
        <v>145858</v>
      </c>
      <c r="P700">
        <v>43068.638888888891</v>
      </c>
      <c r="Q700">
        <v>42599.590373379629</v>
      </c>
      <c r="R700">
        <v>709</v>
      </c>
    </row>
    <row r="701" spans="1:18" x14ac:dyDescent="0.25">
      <c r="A701" t="s">
        <v>2286</v>
      </c>
      <c r="B701" t="s">
        <v>2287</v>
      </c>
      <c r="C701" t="s">
        <v>2288</v>
      </c>
      <c r="D701" t="s">
        <v>2288</v>
      </c>
      <c r="E701" t="s">
        <v>2288</v>
      </c>
      <c r="F701" t="s">
        <v>21</v>
      </c>
      <c r="G701" t="s">
        <v>63</v>
      </c>
      <c r="H701" t="s">
        <v>34</v>
      </c>
      <c r="I701" t="s">
        <v>35</v>
      </c>
      <c r="J701">
        <v>2010</v>
      </c>
      <c r="K701">
        <v>43698.521897777777</v>
      </c>
      <c r="L701" t="s">
        <v>193</v>
      </c>
      <c r="M701" t="s">
        <v>37</v>
      </c>
      <c r="N701" t="s">
        <v>27</v>
      </c>
      <c r="O701">
        <v>189176</v>
      </c>
      <c r="P701">
        <v>43258.17083333333</v>
      </c>
      <c r="Q701">
        <v>42599.602530208336</v>
      </c>
      <c r="R701">
        <v>710</v>
      </c>
    </row>
    <row r="702" spans="1:18" x14ac:dyDescent="0.25">
      <c r="A702" t="s">
        <v>2289</v>
      </c>
      <c r="B702" t="s">
        <v>2290</v>
      </c>
      <c r="C702" t="s">
        <v>2291</v>
      </c>
      <c r="D702" t="s">
        <v>2291</v>
      </c>
      <c r="E702" t="s">
        <v>2291</v>
      </c>
      <c r="F702" t="s">
        <v>21</v>
      </c>
      <c r="G702" t="s">
        <v>63</v>
      </c>
      <c r="H702" t="s">
        <v>34</v>
      </c>
      <c r="I702" t="s">
        <v>35</v>
      </c>
      <c r="J702">
        <v>2007</v>
      </c>
      <c r="K702">
        <v>43698.521897777777</v>
      </c>
      <c r="L702" t="s">
        <v>25</v>
      </c>
      <c r="M702" t="s">
        <v>37</v>
      </c>
      <c r="N702" t="s">
        <v>27</v>
      </c>
      <c r="O702">
        <v>151233</v>
      </c>
      <c r="P702">
        <v>43091.879641203705</v>
      </c>
      <c r="Q702">
        <v>42599.612600266206</v>
      </c>
      <c r="R702">
        <v>711</v>
      </c>
    </row>
    <row r="703" spans="1:18" x14ac:dyDescent="0.25">
      <c r="A703" t="s">
        <v>2292</v>
      </c>
      <c r="B703" t="s">
        <v>867</v>
      </c>
      <c r="C703" t="s">
        <v>2293</v>
      </c>
      <c r="D703" t="s">
        <v>2293</v>
      </c>
      <c r="E703" t="s">
        <v>2293</v>
      </c>
      <c r="F703" t="s">
        <v>91</v>
      </c>
      <c r="G703" t="s">
        <v>63</v>
      </c>
      <c r="H703" t="s">
        <v>34</v>
      </c>
      <c r="I703" t="s">
        <v>35</v>
      </c>
      <c r="J703">
        <v>2011</v>
      </c>
      <c r="K703">
        <v>43698.521897777777</v>
      </c>
      <c r="L703" t="s">
        <v>1660</v>
      </c>
      <c r="M703" t="s">
        <v>37</v>
      </c>
      <c r="N703" t="s">
        <v>415</v>
      </c>
      <c r="Q703">
        <v>42599.66565289352</v>
      </c>
      <c r="R703">
        <v>712</v>
      </c>
    </row>
    <row r="704" spans="1:18" x14ac:dyDescent="0.25">
      <c r="A704" t="s">
        <v>2294</v>
      </c>
      <c r="B704" t="s">
        <v>227</v>
      </c>
      <c r="C704" t="s">
        <v>2295</v>
      </c>
      <c r="D704" t="s">
        <v>2295</v>
      </c>
      <c r="E704" t="s">
        <v>2295</v>
      </c>
      <c r="F704" t="s">
        <v>91</v>
      </c>
      <c r="G704" t="s">
        <v>63</v>
      </c>
      <c r="H704" t="s">
        <v>23</v>
      </c>
      <c r="I704" t="s">
        <v>229</v>
      </c>
      <c r="J704">
        <v>2004</v>
      </c>
      <c r="K704">
        <v>43698.521897777777</v>
      </c>
      <c r="L704" t="s">
        <v>193</v>
      </c>
      <c r="M704" t="s">
        <v>37</v>
      </c>
      <c r="N704" t="s">
        <v>93</v>
      </c>
      <c r="O704">
        <v>345304</v>
      </c>
      <c r="P704">
        <v>43698.392361111109</v>
      </c>
      <c r="Q704">
        <v>42599.695221608796</v>
      </c>
      <c r="R704">
        <v>713</v>
      </c>
    </row>
    <row r="705" spans="1:18" x14ac:dyDescent="0.25">
      <c r="A705" t="s">
        <v>25</v>
      </c>
      <c r="B705" t="s">
        <v>25</v>
      </c>
      <c r="C705" t="s">
        <v>2296</v>
      </c>
      <c r="D705" t="s">
        <v>2296</v>
      </c>
      <c r="E705" t="s">
        <v>2297</v>
      </c>
      <c r="F705" t="s">
        <v>21</v>
      </c>
      <c r="G705" t="s">
        <v>22</v>
      </c>
      <c r="H705" t="s">
        <v>25</v>
      </c>
      <c r="I705" t="s">
        <v>25</v>
      </c>
      <c r="K705">
        <v>43698.521897777777</v>
      </c>
      <c r="L705" t="s">
        <v>25</v>
      </c>
      <c r="M705" t="s">
        <v>42</v>
      </c>
      <c r="N705" t="s">
        <v>27</v>
      </c>
      <c r="Q705">
        <v>42604.527462268517</v>
      </c>
      <c r="R705">
        <v>714</v>
      </c>
    </row>
    <row r="706" spans="1:18" x14ac:dyDescent="0.25">
      <c r="A706" t="s">
        <v>25</v>
      </c>
      <c r="B706" t="s">
        <v>25</v>
      </c>
      <c r="C706" t="s">
        <v>2298</v>
      </c>
      <c r="D706" t="s">
        <v>2298</v>
      </c>
      <c r="E706" t="s">
        <v>2299</v>
      </c>
      <c r="F706" t="s">
        <v>21</v>
      </c>
      <c r="G706" t="s">
        <v>22</v>
      </c>
      <c r="H706" t="s">
        <v>25</v>
      </c>
      <c r="I706" t="s">
        <v>25</v>
      </c>
      <c r="K706">
        <v>43698.521897777777</v>
      </c>
      <c r="L706" t="s">
        <v>25</v>
      </c>
      <c r="M706" t="s">
        <v>42</v>
      </c>
      <c r="N706" t="s">
        <v>27</v>
      </c>
      <c r="Q706">
        <v>42604.527826307873</v>
      </c>
      <c r="R706">
        <v>715</v>
      </c>
    </row>
    <row r="707" spans="1:18" x14ac:dyDescent="0.25">
      <c r="A707" t="s">
        <v>2300</v>
      </c>
      <c r="B707" t="s">
        <v>2301</v>
      </c>
      <c r="C707" t="s">
        <v>2302</v>
      </c>
      <c r="D707" t="s">
        <v>2302</v>
      </c>
      <c r="E707" t="s">
        <v>2303</v>
      </c>
      <c r="F707" t="s">
        <v>21</v>
      </c>
      <c r="G707" t="s">
        <v>22</v>
      </c>
      <c r="H707" t="s">
        <v>53</v>
      </c>
      <c r="I707" t="s">
        <v>471</v>
      </c>
      <c r="J707">
        <v>2017</v>
      </c>
      <c r="K707">
        <v>43698.521897777777</v>
      </c>
      <c r="L707" t="s">
        <v>1716</v>
      </c>
      <c r="M707" t="s">
        <v>42</v>
      </c>
      <c r="N707" t="s">
        <v>27</v>
      </c>
      <c r="O707">
        <v>211195</v>
      </c>
      <c r="P707">
        <v>43330.375</v>
      </c>
      <c r="Q707">
        <v>42606.597465312501</v>
      </c>
      <c r="R707">
        <v>716</v>
      </c>
    </row>
    <row r="708" spans="1:18" x14ac:dyDescent="0.25">
      <c r="A708" t="s">
        <v>2304</v>
      </c>
      <c r="B708" t="s">
        <v>2305</v>
      </c>
      <c r="C708" t="s">
        <v>2306</v>
      </c>
      <c r="D708" t="s">
        <v>2306</v>
      </c>
      <c r="E708" t="s">
        <v>2307</v>
      </c>
      <c r="F708" t="s">
        <v>21</v>
      </c>
      <c r="G708" t="s">
        <v>22</v>
      </c>
      <c r="H708" t="s">
        <v>53</v>
      </c>
      <c r="I708" t="s">
        <v>471</v>
      </c>
      <c r="J708">
        <v>2017</v>
      </c>
      <c r="K708">
        <v>43698.521897777777</v>
      </c>
      <c r="L708" t="s">
        <v>578</v>
      </c>
      <c r="M708" t="s">
        <v>42</v>
      </c>
      <c r="N708" t="s">
        <v>27</v>
      </c>
      <c r="O708">
        <v>211139</v>
      </c>
      <c r="P708">
        <v>43331.279861111114</v>
      </c>
      <c r="Q708">
        <v>42606.598404976852</v>
      </c>
      <c r="R708">
        <v>717</v>
      </c>
    </row>
    <row r="709" spans="1:18" x14ac:dyDescent="0.25">
      <c r="A709" t="s">
        <v>2308</v>
      </c>
      <c r="B709" t="s">
        <v>2309</v>
      </c>
      <c r="C709" t="s">
        <v>2310</v>
      </c>
      <c r="D709" t="s">
        <v>2310</v>
      </c>
      <c r="E709" t="s">
        <v>2311</v>
      </c>
      <c r="F709" t="s">
        <v>21</v>
      </c>
      <c r="G709" t="s">
        <v>22</v>
      </c>
      <c r="H709" t="s">
        <v>53</v>
      </c>
      <c r="I709" t="s">
        <v>471</v>
      </c>
      <c r="J709">
        <v>2017</v>
      </c>
      <c r="K709">
        <v>43698.521897777777</v>
      </c>
      <c r="L709" t="s">
        <v>578</v>
      </c>
      <c r="M709" t="s">
        <v>42</v>
      </c>
      <c r="N709" t="s">
        <v>27</v>
      </c>
      <c r="O709">
        <v>183248</v>
      </c>
      <c r="P709">
        <v>43234.854166666664</v>
      </c>
      <c r="Q709">
        <v>42606.599288923608</v>
      </c>
      <c r="R709">
        <v>718</v>
      </c>
    </row>
    <row r="710" spans="1:18" x14ac:dyDescent="0.25">
      <c r="A710" t="s">
        <v>2312</v>
      </c>
      <c r="B710" t="s">
        <v>2313</v>
      </c>
      <c r="C710" t="s">
        <v>2314</v>
      </c>
      <c r="D710" t="s">
        <v>2314</v>
      </c>
      <c r="E710" t="s">
        <v>2315</v>
      </c>
      <c r="F710" t="s">
        <v>21</v>
      </c>
      <c r="G710" t="s">
        <v>22</v>
      </c>
      <c r="H710" t="s">
        <v>53</v>
      </c>
      <c r="I710" t="s">
        <v>471</v>
      </c>
      <c r="J710">
        <v>2017</v>
      </c>
      <c r="K710">
        <v>43698.521897777777</v>
      </c>
      <c r="L710" t="s">
        <v>1640</v>
      </c>
      <c r="M710" t="s">
        <v>42</v>
      </c>
      <c r="N710" t="s">
        <v>27</v>
      </c>
      <c r="O710">
        <v>204428</v>
      </c>
      <c r="P710">
        <v>43309.603379629632</v>
      </c>
      <c r="Q710">
        <v>42606.600082372686</v>
      </c>
      <c r="R710">
        <v>719</v>
      </c>
    </row>
    <row r="711" spans="1:18" x14ac:dyDescent="0.25">
      <c r="A711" t="s">
        <v>2316</v>
      </c>
      <c r="B711" t="s">
        <v>2317</v>
      </c>
      <c r="C711" t="s">
        <v>2318</v>
      </c>
      <c r="D711" t="s">
        <v>2318</v>
      </c>
      <c r="E711" t="s">
        <v>2319</v>
      </c>
      <c r="F711" t="s">
        <v>21</v>
      </c>
      <c r="G711" t="s">
        <v>22</v>
      </c>
      <c r="H711" t="s">
        <v>53</v>
      </c>
      <c r="I711" t="s">
        <v>471</v>
      </c>
      <c r="J711">
        <v>2017</v>
      </c>
      <c r="K711">
        <v>43698.521897777777</v>
      </c>
      <c r="L711" t="s">
        <v>578</v>
      </c>
      <c r="M711" t="s">
        <v>42</v>
      </c>
      <c r="N711" t="s">
        <v>27</v>
      </c>
      <c r="O711">
        <v>197921</v>
      </c>
      <c r="P711">
        <v>43287.943055555559</v>
      </c>
      <c r="Q711">
        <v>42606.600946759259</v>
      </c>
      <c r="R711">
        <v>720</v>
      </c>
    </row>
    <row r="712" spans="1:18" x14ac:dyDescent="0.25">
      <c r="A712" t="s">
        <v>2320</v>
      </c>
      <c r="B712" t="s">
        <v>1150</v>
      </c>
      <c r="C712" t="s">
        <v>2321</v>
      </c>
      <c r="D712" t="s">
        <v>2321</v>
      </c>
      <c r="E712" t="s">
        <v>2322</v>
      </c>
      <c r="F712" t="s">
        <v>21</v>
      </c>
      <c r="G712" t="s">
        <v>22</v>
      </c>
      <c r="H712" t="s">
        <v>23</v>
      </c>
      <c r="I712" t="s">
        <v>24</v>
      </c>
      <c r="J712">
        <v>2007</v>
      </c>
      <c r="K712">
        <v>43698.521897777777</v>
      </c>
      <c r="L712" t="s">
        <v>25</v>
      </c>
      <c r="M712" t="s">
        <v>37</v>
      </c>
      <c r="N712" t="s">
        <v>27</v>
      </c>
      <c r="O712">
        <v>122118</v>
      </c>
      <c r="P712">
        <v>42935.498217592591</v>
      </c>
      <c r="Q712">
        <v>42607.617448032404</v>
      </c>
      <c r="R712">
        <v>721</v>
      </c>
    </row>
    <row r="713" spans="1:18" x14ac:dyDescent="0.25">
      <c r="A713" t="s">
        <v>2323</v>
      </c>
      <c r="B713" t="s">
        <v>2324</v>
      </c>
      <c r="C713" t="s">
        <v>2325</v>
      </c>
      <c r="D713" t="s">
        <v>2325</v>
      </c>
      <c r="E713" t="s">
        <v>2325</v>
      </c>
      <c r="F713" t="s">
        <v>21</v>
      </c>
      <c r="G713" t="s">
        <v>63</v>
      </c>
      <c r="H713" t="s">
        <v>53</v>
      </c>
      <c r="I713" t="s">
        <v>471</v>
      </c>
      <c r="J713">
        <v>2017</v>
      </c>
      <c r="K713">
        <v>43698.521897777777</v>
      </c>
      <c r="L713" t="s">
        <v>25</v>
      </c>
      <c r="M713" t="s">
        <v>37</v>
      </c>
      <c r="N713" t="s">
        <v>27</v>
      </c>
      <c r="O713">
        <v>104431</v>
      </c>
      <c r="P713">
        <v>42808.279861111114</v>
      </c>
      <c r="Q713">
        <v>42611.611756018516</v>
      </c>
      <c r="R713">
        <v>722</v>
      </c>
    </row>
    <row r="714" spans="1:18" x14ac:dyDescent="0.25">
      <c r="A714" t="s">
        <v>2326</v>
      </c>
      <c r="B714" t="s">
        <v>2327</v>
      </c>
      <c r="C714" t="s">
        <v>2328</v>
      </c>
      <c r="D714" t="s">
        <v>2328</v>
      </c>
      <c r="E714" t="s">
        <v>2328</v>
      </c>
      <c r="F714" t="s">
        <v>21</v>
      </c>
      <c r="G714" t="s">
        <v>63</v>
      </c>
      <c r="H714" t="s">
        <v>34</v>
      </c>
      <c r="I714" t="s">
        <v>35</v>
      </c>
      <c r="J714">
        <v>2010</v>
      </c>
      <c r="K714">
        <v>43698.521897777777</v>
      </c>
      <c r="L714" t="s">
        <v>25</v>
      </c>
      <c r="M714" t="s">
        <v>37</v>
      </c>
      <c r="N714" t="s">
        <v>27</v>
      </c>
      <c r="O714">
        <v>124685</v>
      </c>
      <c r="P714">
        <v>42955.69195601852</v>
      </c>
      <c r="Q714">
        <v>42611.61218128472</v>
      </c>
      <c r="R714">
        <v>723</v>
      </c>
    </row>
    <row r="715" spans="1:18" x14ac:dyDescent="0.25">
      <c r="A715" t="s">
        <v>2329</v>
      </c>
      <c r="B715" t="s">
        <v>2330</v>
      </c>
      <c r="C715" t="s">
        <v>2331</v>
      </c>
      <c r="D715" t="s">
        <v>2331</v>
      </c>
      <c r="E715" t="s">
        <v>2332</v>
      </c>
      <c r="F715" t="s">
        <v>21</v>
      </c>
      <c r="G715" t="s">
        <v>22</v>
      </c>
      <c r="H715" t="s">
        <v>236</v>
      </c>
      <c r="I715" t="s">
        <v>556</v>
      </c>
      <c r="J715">
        <v>2015</v>
      </c>
      <c r="K715">
        <v>43698.521897777777</v>
      </c>
      <c r="L715" t="s">
        <v>25</v>
      </c>
      <c r="M715" t="s">
        <v>42</v>
      </c>
      <c r="N715" t="s">
        <v>27</v>
      </c>
      <c r="O715">
        <v>85855</v>
      </c>
      <c r="P715">
        <v>42634.416666666664</v>
      </c>
      <c r="Q715">
        <v>42615.553226701391</v>
      </c>
      <c r="R715">
        <v>724</v>
      </c>
    </row>
    <row r="716" spans="1:18" x14ac:dyDescent="0.25">
      <c r="A716" t="s">
        <v>2333</v>
      </c>
      <c r="B716" t="s">
        <v>2334</v>
      </c>
      <c r="C716" t="s">
        <v>2335</v>
      </c>
      <c r="D716" t="s">
        <v>2335</v>
      </c>
      <c r="E716" t="s">
        <v>2335</v>
      </c>
      <c r="F716" t="s">
        <v>21</v>
      </c>
      <c r="G716" t="s">
        <v>22</v>
      </c>
      <c r="H716" t="s">
        <v>53</v>
      </c>
      <c r="I716" t="s">
        <v>471</v>
      </c>
      <c r="J716">
        <v>2011</v>
      </c>
      <c r="K716">
        <v>43698.521897777777</v>
      </c>
      <c r="L716" t="s">
        <v>25</v>
      </c>
      <c r="M716" t="s">
        <v>42</v>
      </c>
      <c r="N716" t="s">
        <v>27</v>
      </c>
      <c r="O716">
        <v>91177</v>
      </c>
      <c r="P716">
        <v>42681.999305555553</v>
      </c>
      <c r="Q716">
        <v>42616.519184027777</v>
      </c>
      <c r="R716">
        <v>725</v>
      </c>
    </row>
    <row r="717" spans="1:18" x14ac:dyDescent="0.25">
      <c r="A717" t="s">
        <v>2336</v>
      </c>
      <c r="B717" t="s">
        <v>2337</v>
      </c>
      <c r="C717" t="s">
        <v>2338</v>
      </c>
      <c r="D717" t="s">
        <v>2338</v>
      </c>
      <c r="E717" t="s">
        <v>2338</v>
      </c>
      <c r="F717" t="s">
        <v>21</v>
      </c>
      <c r="G717" t="s">
        <v>22</v>
      </c>
      <c r="H717" t="s">
        <v>53</v>
      </c>
      <c r="I717" t="s">
        <v>471</v>
      </c>
      <c r="J717">
        <v>2011</v>
      </c>
      <c r="K717">
        <v>43698.521897777777</v>
      </c>
      <c r="L717" t="s">
        <v>25</v>
      </c>
      <c r="M717" t="s">
        <v>42</v>
      </c>
      <c r="N717" t="s">
        <v>27</v>
      </c>
      <c r="O717">
        <v>84589</v>
      </c>
      <c r="P717">
        <v>42619.75</v>
      </c>
      <c r="Q717">
        <v>42616.519900347223</v>
      </c>
      <c r="R717">
        <v>726</v>
      </c>
    </row>
    <row r="718" spans="1:18" x14ac:dyDescent="0.25">
      <c r="A718" t="s">
        <v>2339</v>
      </c>
      <c r="B718" t="s">
        <v>2340</v>
      </c>
      <c r="C718" t="s">
        <v>2341</v>
      </c>
      <c r="D718" t="s">
        <v>2341</v>
      </c>
      <c r="E718" t="s">
        <v>2341</v>
      </c>
      <c r="F718" t="s">
        <v>21</v>
      </c>
      <c r="G718" t="s">
        <v>22</v>
      </c>
      <c r="H718" t="s">
        <v>53</v>
      </c>
      <c r="I718" t="s">
        <v>471</v>
      </c>
      <c r="J718">
        <v>2011</v>
      </c>
      <c r="K718">
        <v>43698.521897777777</v>
      </c>
      <c r="L718" t="s">
        <v>25</v>
      </c>
      <c r="M718" t="s">
        <v>42</v>
      </c>
      <c r="N718" t="s">
        <v>27</v>
      </c>
      <c r="O718">
        <v>84710</v>
      </c>
      <c r="P718">
        <v>42621.052083333336</v>
      </c>
      <c r="Q718">
        <v>42619.857801817132</v>
      </c>
      <c r="R718">
        <v>727</v>
      </c>
    </row>
    <row r="719" spans="1:18" x14ac:dyDescent="0.25">
      <c r="A719" t="s">
        <v>2342</v>
      </c>
      <c r="B719" t="s">
        <v>2343</v>
      </c>
      <c r="C719" t="s">
        <v>2344</v>
      </c>
      <c r="D719" t="s">
        <v>2344</v>
      </c>
      <c r="E719" t="s">
        <v>2344</v>
      </c>
      <c r="F719" t="s">
        <v>21</v>
      </c>
      <c r="G719" t="s">
        <v>22</v>
      </c>
      <c r="H719" t="s">
        <v>53</v>
      </c>
      <c r="I719" t="s">
        <v>471</v>
      </c>
      <c r="J719">
        <v>2011</v>
      </c>
      <c r="K719">
        <v>43698.521897777777</v>
      </c>
      <c r="L719" t="s">
        <v>25</v>
      </c>
      <c r="M719" t="s">
        <v>42</v>
      </c>
      <c r="N719" t="s">
        <v>27</v>
      </c>
      <c r="O719">
        <v>96547</v>
      </c>
      <c r="P719">
        <v>42731.71875</v>
      </c>
      <c r="Q719">
        <v>42622.518505439817</v>
      </c>
      <c r="R719">
        <v>728</v>
      </c>
    </row>
    <row r="720" spans="1:18" x14ac:dyDescent="0.25">
      <c r="A720" t="s">
        <v>2345</v>
      </c>
      <c r="B720" t="s">
        <v>2346</v>
      </c>
      <c r="C720" t="s">
        <v>2347</v>
      </c>
      <c r="D720" t="s">
        <v>2347</v>
      </c>
      <c r="E720" t="s">
        <v>2347</v>
      </c>
      <c r="F720" t="s">
        <v>21</v>
      </c>
      <c r="G720" t="s">
        <v>63</v>
      </c>
      <c r="H720" t="s">
        <v>34</v>
      </c>
      <c r="I720" t="s">
        <v>703</v>
      </c>
      <c r="J720">
        <v>2013</v>
      </c>
      <c r="K720">
        <v>43698.521897777777</v>
      </c>
      <c r="L720" t="s">
        <v>1005</v>
      </c>
      <c r="M720" t="s">
        <v>37</v>
      </c>
      <c r="N720" t="s">
        <v>27</v>
      </c>
      <c r="O720">
        <v>245876</v>
      </c>
      <c r="P720">
        <v>43435.799305555556</v>
      </c>
      <c r="Q720">
        <v>42623.545852002317</v>
      </c>
      <c r="R720">
        <v>729</v>
      </c>
    </row>
    <row r="721" spans="1:18" x14ac:dyDescent="0.25">
      <c r="A721" t="s">
        <v>2348</v>
      </c>
      <c r="B721" t="s">
        <v>2349</v>
      </c>
      <c r="C721" t="s">
        <v>2350</v>
      </c>
      <c r="D721" t="s">
        <v>2350</v>
      </c>
      <c r="E721" t="s">
        <v>2350</v>
      </c>
      <c r="F721" t="s">
        <v>21</v>
      </c>
      <c r="G721" t="s">
        <v>63</v>
      </c>
      <c r="H721" t="s">
        <v>34</v>
      </c>
      <c r="I721" t="s">
        <v>703</v>
      </c>
      <c r="J721">
        <v>2013</v>
      </c>
      <c r="K721">
        <v>43698.521897777777</v>
      </c>
      <c r="L721" t="s">
        <v>1660</v>
      </c>
      <c r="M721" t="s">
        <v>37</v>
      </c>
      <c r="N721" t="s">
        <v>27</v>
      </c>
      <c r="O721">
        <v>173545</v>
      </c>
      <c r="P721">
        <v>43198.418055555558</v>
      </c>
      <c r="Q721">
        <v>42623.547482442133</v>
      </c>
      <c r="R721">
        <v>730</v>
      </c>
    </row>
    <row r="722" spans="1:18" x14ac:dyDescent="0.25">
      <c r="A722" t="s">
        <v>2351</v>
      </c>
      <c r="B722" t="s">
        <v>1297</v>
      </c>
      <c r="C722" t="s">
        <v>2352</v>
      </c>
      <c r="D722" t="s">
        <v>2352</v>
      </c>
      <c r="E722" t="s">
        <v>2353</v>
      </c>
      <c r="F722" t="s">
        <v>21</v>
      </c>
      <c r="G722" t="s">
        <v>22</v>
      </c>
      <c r="H722" t="s">
        <v>23</v>
      </c>
      <c r="I722" t="s">
        <v>24</v>
      </c>
      <c r="J722">
        <v>2007</v>
      </c>
      <c r="K722">
        <v>43698.521897777777</v>
      </c>
      <c r="L722" t="s">
        <v>25</v>
      </c>
      <c r="M722" t="s">
        <v>37</v>
      </c>
      <c r="N722" t="s">
        <v>27</v>
      </c>
      <c r="O722">
        <v>128852</v>
      </c>
      <c r="P722">
        <v>42977.708333333336</v>
      </c>
      <c r="Q722">
        <v>42626.705302465278</v>
      </c>
      <c r="R722">
        <v>731</v>
      </c>
    </row>
    <row r="723" spans="1:18" x14ac:dyDescent="0.25">
      <c r="A723" t="s">
        <v>2354</v>
      </c>
      <c r="B723" t="s">
        <v>1359</v>
      </c>
      <c r="C723" t="s">
        <v>2355</v>
      </c>
      <c r="D723" t="s">
        <v>2355</v>
      </c>
      <c r="E723" t="s">
        <v>2356</v>
      </c>
      <c r="F723" t="s">
        <v>21</v>
      </c>
      <c r="G723" t="s">
        <v>22</v>
      </c>
      <c r="H723" t="s">
        <v>23</v>
      </c>
      <c r="I723" t="s">
        <v>24</v>
      </c>
      <c r="J723">
        <v>2007</v>
      </c>
      <c r="K723">
        <v>43698.521897777777</v>
      </c>
      <c r="L723" t="s">
        <v>25</v>
      </c>
      <c r="M723" t="s">
        <v>37</v>
      </c>
      <c r="N723" t="s">
        <v>27</v>
      </c>
      <c r="O723">
        <v>119212</v>
      </c>
      <c r="P723">
        <v>42915.16611111111</v>
      </c>
      <c r="Q723">
        <v>42626.707252974535</v>
      </c>
      <c r="R723">
        <v>732</v>
      </c>
    </row>
    <row r="724" spans="1:18" x14ac:dyDescent="0.25">
      <c r="A724" t="s">
        <v>2357</v>
      </c>
      <c r="B724" t="s">
        <v>2358</v>
      </c>
      <c r="C724" t="s">
        <v>2359</v>
      </c>
      <c r="D724" t="s">
        <v>2359</v>
      </c>
      <c r="E724" t="s">
        <v>2359</v>
      </c>
      <c r="F724" t="s">
        <v>21</v>
      </c>
      <c r="G724" t="s">
        <v>63</v>
      </c>
      <c r="H724" t="s">
        <v>53</v>
      </c>
      <c r="I724" t="s">
        <v>471</v>
      </c>
      <c r="J724">
        <v>2013</v>
      </c>
      <c r="K724">
        <v>43698.521897777777</v>
      </c>
      <c r="L724" t="s">
        <v>466</v>
      </c>
      <c r="M724" t="s">
        <v>154</v>
      </c>
      <c r="N724" t="s">
        <v>27</v>
      </c>
      <c r="O724">
        <v>116563</v>
      </c>
      <c r="P724">
        <v>42899.738356481481</v>
      </c>
      <c r="Q724">
        <v>42627.526191979166</v>
      </c>
      <c r="R724">
        <v>733</v>
      </c>
    </row>
    <row r="725" spans="1:18" x14ac:dyDescent="0.25">
      <c r="A725" t="s">
        <v>2360</v>
      </c>
      <c r="B725" t="s">
        <v>198</v>
      </c>
      <c r="C725" t="s">
        <v>2361</v>
      </c>
      <c r="D725" t="s">
        <v>2361</v>
      </c>
      <c r="E725" t="s">
        <v>2362</v>
      </c>
      <c r="F725" t="s">
        <v>21</v>
      </c>
      <c r="G725" t="s">
        <v>22</v>
      </c>
      <c r="H725" t="s">
        <v>23</v>
      </c>
      <c r="I725" t="s">
        <v>59</v>
      </c>
      <c r="J725">
        <v>2006</v>
      </c>
      <c r="K725">
        <v>43698.521897777777</v>
      </c>
      <c r="L725" t="s">
        <v>25</v>
      </c>
      <c r="M725" t="s">
        <v>37</v>
      </c>
      <c r="N725" t="s">
        <v>27</v>
      </c>
      <c r="O725">
        <v>130151</v>
      </c>
      <c r="P725">
        <v>42985.46802083333</v>
      </c>
      <c r="Q725">
        <v>42628.571301076387</v>
      </c>
      <c r="R725">
        <v>734</v>
      </c>
    </row>
    <row r="726" spans="1:18" x14ac:dyDescent="0.25">
      <c r="A726" t="s">
        <v>2363</v>
      </c>
      <c r="B726" t="s">
        <v>908</v>
      </c>
      <c r="C726" t="s">
        <v>2364</v>
      </c>
      <c r="D726" t="s">
        <v>2364</v>
      </c>
      <c r="E726" t="s">
        <v>2365</v>
      </c>
      <c r="F726" t="s">
        <v>21</v>
      </c>
      <c r="G726" t="s">
        <v>22</v>
      </c>
      <c r="H726" t="s">
        <v>23</v>
      </c>
      <c r="I726" t="s">
        <v>59</v>
      </c>
      <c r="J726">
        <v>2007</v>
      </c>
      <c r="K726">
        <v>43698.521897777777</v>
      </c>
      <c r="L726" t="s">
        <v>25</v>
      </c>
      <c r="M726" t="s">
        <v>37</v>
      </c>
      <c r="N726" t="s">
        <v>27</v>
      </c>
      <c r="O726">
        <v>126391</v>
      </c>
      <c r="P726">
        <v>42963.414583333331</v>
      </c>
      <c r="Q726">
        <v>42628.572562696761</v>
      </c>
      <c r="R726">
        <v>735</v>
      </c>
    </row>
    <row r="727" spans="1:18" x14ac:dyDescent="0.25">
      <c r="A727" t="s">
        <v>2366</v>
      </c>
      <c r="B727" t="s">
        <v>2367</v>
      </c>
      <c r="C727" t="s">
        <v>2368</v>
      </c>
      <c r="D727" t="s">
        <v>2368</v>
      </c>
      <c r="E727" t="s">
        <v>2368</v>
      </c>
      <c r="F727" t="s">
        <v>21</v>
      </c>
      <c r="G727" t="s">
        <v>63</v>
      </c>
      <c r="H727" t="s">
        <v>34</v>
      </c>
      <c r="I727" t="s">
        <v>703</v>
      </c>
      <c r="J727">
        <v>2009</v>
      </c>
      <c r="K727">
        <v>43698.521897777777</v>
      </c>
      <c r="L727" t="s">
        <v>25</v>
      </c>
      <c r="M727" t="s">
        <v>37</v>
      </c>
      <c r="N727" t="s">
        <v>27</v>
      </c>
      <c r="O727">
        <v>104254</v>
      </c>
      <c r="P727">
        <v>42806.790138888886</v>
      </c>
      <c r="Q727">
        <v>42628.739235844907</v>
      </c>
      <c r="R727">
        <v>736</v>
      </c>
    </row>
    <row r="728" spans="1:18" x14ac:dyDescent="0.25">
      <c r="A728" t="s">
        <v>2369</v>
      </c>
      <c r="B728" t="s">
        <v>172</v>
      </c>
      <c r="C728" t="s">
        <v>2370</v>
      </c>
      <c r="D728" t="s">
        <v>2370</v>
      </c>
      <c r="E728" t="s">
        <v>2371</v>
      </c>
      <c r="F728" t="s">
        <v>21</v>
      </c>
      <c r="G728" t="s">
        <v>22</v>
      </c>
      <c r="H728" t="s">
        <v>23</v>
      </c>
      <c r="I728" t="s">
        <v>59</v>
      </c>
      <c r="J728">
        <v>2007</v>
      </c>
      <c r="K728">
        <v>43698.521897777777</v>
      </c>
      <c r="L728" t="s">
        <v>25</v>
      </c>
      <c r="M728" t="s">
        <v>37</v>
      </c>
      <c r="N728" t="s">
        <v>27</v>
      </c>
      <c r="O728">
        <v>128992</v>
      </c>
      <c r="P728">
        <v>42979.779166666667</v>
      </c>
      <c r="Q728">
        <v>42628.746157488429</v>
      </c>
      <c r="R728">
        <v>737</v>
      </c>
    </row>
    <row r="729" spans="1:18" x14ac:dyDescent="0.25">
      <c r="A729" t="s">
        <v>2372</v>
      </c>
      <c r="B729" t="s">
        <v>2373</v>
      </c>
      <c r="C729" t="s">
        <v>2374</v>
      </c>
      <c r="D729" t="s">
        <v>2374</v>
      </c>
      <c r="E729" t="s">
        <v>2375</v>
      </c>
      <c r="F729" t="s">
        <v>91</v>
      </c>
      <c r="G729" t="s">
        <v>22</v>
      </c>
      <c r="H729" t="s">
        <v>53</v>
      </c>
      <c r="I729" t="s">
        <v>471</v>
      </c>
      <c r="J729">
        <v>2017</v>
      </c>
      <c r="K729">
        <v>43698.521897777777</v>
      </c>
      <c r="L729" t="s">
        <v>1809</v>
      </c>
      <c r="M729" t="s">
        <v>154</v>
      </c>
      <c r="N729" t="s">
        <v>523</v>
      </c>
      <c r="O729">
        <v>346839</v>
      </c>
      <c r="P729">
        <v>43698.521897777777</v>
      </c>
      <c r="Q729">
        <v>42632.5560778125</v>
      </c>
      <c r="R729">
        <v>738</v>
      </c>
    </row>
    <row r="730" spans="1:18" x14ac:dyDescent="0.25">
      <c r="A730" t="s">
        <v>2376</v>
      </c>
      <c r="B730" t="s">
        <v>2377</v>
      </c>
      <c r="C730" t="s">
        <v>2378</v>
      </c>
      <c r="D730" t="s">
        <v>2378</v>
      </c>
      <c r="E730" t="s">
        <v>2379</v>
      </c>
      <c r="F730" t="s">
        <v>91</v>
      </c>
      <c r="G730" t="s">
        <v>22</v>
      </c>
      <c r="H730" t="s">
        <v>53</v>
      </c>
      <c r="I730" t="s">
        <v>471</v>
      </c>
      <c r="J730">
        <v>2017</v>
      </c>
      <c r="K730">
        <v>43698.521897777777</v>
      </c>
      <c r="L730" t="s">
        <v>522</v>
      </c>
      <c r="M730" t="s">
        <v>154</v>
      </c>
      <c r="N730" t="s">
        <v>523</v>
      </c>
      <c r="O730">
        <v>347100</v>
      </c>
      <c r="P730">
        <v>43698.521897777777</v>
      </c>
      <c r="Q730">
        <v>42632.556780208331</v>
      </c>
      <c r="R730">
        <v>739</v>
      </c>
    </row>
    <row r="731" spans="1:18" x14ac:dyDescent="0.25">
      <c r="A731" t="s">
        <v>2380</v>
      </c>
      <c r="B731" t="s">
        <v>2381</v>
      </c>
      <c r="C731" t="s">
        <v>2382</v>
      </c>
      <c r="D731" t="s">
        <v>2382</v>
      </c>
      <c r="E731" t="s">
        <v>2383</v>
      </c>
      <c r="F731" t="s">
        <v>21</v>
      </c>
      <c r="G731" t="s">
        <v>22</v>
      </c>
      <c r="H731" t="s">
        <v>53</v>
      </c>
      <c r="I731" t="s">
        <v>471</v>
      </c>
      <c r="J731">
        <v>2017</v>
      </c>
      <c r="K731">
        <v>43698.521897777777</v>
      </c>
      <c r="L731" t="s">
        <v>578</v>
      </c>
      <c r="M731" t="s">
        <v>37</v>
      </c>
      <c r="N731" t="s">
        <v>27</v>
      </c>
      <c r="O731">
        <v>272700</v>
      </c>
      <c r="P731">
        <v>43514.344444444447</v>
      </c>
      <c r="Q731">
        <v>42632.55939771991</v>
      </c>
      <c r="R731">
        <v>740</v>
      </c>
    </row>
    <row r="732" spans="1:18" x14ac:dyDescent="0.25">
      <c r="A732" t="s">
        <v>2384</v>
      </c>
      <c r="B732" t="s">
        <v>2385</v>
      </c>
      <c r="C732" t="s">
        <v>2386</v>
      </c>
      <c r="D732" t="s">
        <v>2386</v>
      </c>
      <c r="E732" t="s">
        <v>2387</v>
      </c>
      <c r="F732" t="s">
        <v>91</v>
      </c>
      <c r="G732" t="s">
        <v>22</v>
      </c>
      <c r="H732" t="s">
        <v>53</v>
      </c>
      <c r="I732" t="s">
        <v>471</v>
      </c>
      <c r="J732">
        <v>2017</v>
      </c>
      <c r="K732">
        <v>43698.521897777777</v>
      </c>
      <c r="L732" t="s">
        <v>422</v>
      </c>
      <c r="M732" t="s">
        <v>37</v>
      </c>
      <c r="N732" t="s">
        <v>415</v>
      </c>
      <c r="O732">
        <v>346677</v>
      </c>
      <c r="P732">
        <v>43697.915277777778</v>
      </c>
      <c r="Q732">
        <v>42632.560729513891</v>
      </c>
      <c r="R732">
        <v>741</v>
      </c>
    </row>
    <row r="733" spans="1:18" x14ac:dyDescent="0.25">
      <c r="A733" t="s">
        <v>2388</v>
      </c>
      <c r="B733" t="s">
        <v>2389</v>
      </c>
      <c r="C733" t="s">
        <v>2390</v>
      </c>
      <c r="D733" t="s">
        <v>2390</v>
      </c>
      <c r="E733" t="s">
        <v>2391</v>
      </c>
      <c r="F733" t="s">
        <v>91</v>
      </c>
      <c r="G733" t="s">
        <v>22</v>
      </c>
      <c r="H733" t="s">
        <v>53</v>
      </c>
      <c r="I733" t="s">
        <v>471</v>
      </c>
      <c r="J733">
        <v>2017</v>
      </c>
      <c r="K733">
        <v>43698.521897777777</v>
      </c>
      <c r="L733" t="s">
        <v>422</v>
      </c>
      <c r="M733" t="s">
        <v>37</v>
      </c>
      <c r="N733" t="s">
        <v>415</v>
      </c>
      <c r="O733">
        <v>346987</v>
      </c>
      <c r="P733">
        <v>43698.521897777777</v>
      </c>
      <c r="Q733">
        <v>42632.562208599535</v>
      </c>
      <c r="R733">
        <v>742</v>
      </c>
    </row>
    <row r="734" spans="1:18" x14ac:dyDescent="0.25">
      <c r="A734" t="s">
        <v>2392</v>
      </c>
      <c r="B734" t="s">
        <v>2393</v>
      </c>
      <c r="C734" t="s">
        <v>2394</v>
      </c>
      <c r="D734" t="s">
        <v>2394</v>
      </c>
      <c r="E734" t="s">
        <v>2395</v>
      </c>
      <c r="F734" t="s">
        <v>21</v>
      </c>
      <c r="G734" t="s">
        <v>22</v>
      </c>
      <c r="H734" t="s">
        <v>53</v>
      </c>
      <c r="I734" t="s">
        <v>471</v>
      </c>
      <c r="J734">
        <v>2017</v>
      </c>
      <c r="K734">
        <v>43698.521897777777</v>
      </c>
      <c r="L734" t="s">
        <v>422</v>
      </c>
      <c r="M734" t="s">
        <v>37</v>
      </c>
      <c r="N734" t="s">
        <v>27</v>
      </c>
      <c r="O734">
        <v>245949</v>
      </c>
      <c r="P734">
        <v>43431.331944444442</v>
      </c>
      <c r="Q734">
        <v>42632.563262997683</v>
      </c>
      <c r="R734">
        <v>743</v>
      </c>
    </row>
    <row r="735" spans="1:18" x14ac:dyDescent="0.25">
      <c r="A735" t="s">
        <v>2396</v>
      </c>
      <c r="B735" t="s">
        <v>2397</v>
      </c>
      <c r="C735" t="s">
        <v>2398</v>
      </c>
      <c r="D735" t="s">
        <v>2398</v>
      </c>
      <c r="E735" t="s">
        <v>2399</v>
      </c>
      <c r="F735" t="s">
        <v>21</v>
      </c>
      <c r="G735" t="s">
        <v>22</v>
      </c>
      <c r="H735" t="s">
        <v>53</v>
      </c>
      <c r="I735" t="s">
        <v>471</v>
      </c>
      <c r="J735">
        <v>2017</v>
      </c>
      <c r="K735">
        <v>43698.521897777777</v>
      </c>
      <c r="L735" t="s">
        <v>25</v>
      </c>
      <c r="M735" t="s">
        <v>42</v>
      </c>
      <c r="N735" t="s">
        <v>27</v>
      </c>
      <c r="O735">
        <v>87056</v>
      </c>
      <c r="P735">
        <v>42643.854166666664</v>
      </c>
      <c r="Q735">
        <v>42632.567418900464</v>
      </c>
      <c r="R735">
        <v>744</v>
      </c>
    </row>
    <row r="736" spans="1:18" x14ac:dyDescent="0.25">
      <c r="A736" t="s">
        <v>2400</v>
      </c>
      <c r="B736" t="s">
        <v>2401</v>
      </c>
      <c r="C736" t="s">
        <v>2402</v>
      </c>
      <c r="D736" t="s">
        <v>2402</v>
      </c>
      <c r="E736" t="s">
        <v>2402</v>
      </c>
      <c r="F736" t="s">
        <v>21</v>
      </c>
      <c r="G736" t="s">
        <v>63</v>
      </c>
      <c r="H736" t="s">
        <v>53</v>
      </c>
      <c r="I736" t="s">
        <v>25</v>
      </c>
      <c r="J736">
        <v>2011</v>
      </c>
      <c r="K736">
        <v>43698.521897777777</v>
      </c>
      <c r="L736" t="s">
        <v>466</v>
      </c>
      <c r="M736" t="s">
        <v>154</v>
      </c>
      <c r="N736" t="s">
        <v>27</v>
      </c>
      <c r="O736">
        <v>179544</v>
      </c>
      <c r="P736">
        <v>43224.811689814815</v>
      </c>
      <c r="Q736">
        <v>42636.551998576389</v>
      </c>
      <c r="R736">
        <v>745</v>
      </c>
    </row>
    <row r="737" spans="1:18" x14ac:dyDescent="0.25">
      <c r="A737" t="s">
        <v>2403</v>
      </c>
      <c r="B737" t="s">
        <v>1710</v>
      </c>
      <c r="C737" t="s">
        <v>2404</v>
      </c>
      <c r="D737" t="s">
        <v>2404</v>
      </c>
      <c r="E737" t="s">
        <v>2404</v>
      </c>
      <c r="F737" t="s">
        <v>21</v>
      </c>
      <c r="G737" t="s">
        <v>63</v>
      </c>
      <c r="H737" t="s">
        <v>53</v>
      </c>
      <c r="I737" t="s">
        <v>1248</v>
      </c>
      <c r="J737">
        <v>2005</v>
      </c>
      <c r="K737">
        <v>43698.521897777777</v>
      </c>
      <c r="L737" t="s">
        <v>25</v>
      </c>
      <c r="M737" t="s">
        <v>154</v>
      </c>
      <c r="N737" t="s">
        <v>27</v>
      </c>
      <c r="O737">
        <v>97444</v>
      </c>
      <c r="P737">
        <v>42745.826192129629</v>
      </c>
      <c r="Q737">
        <v>42636.658322569441</v>
      </c>
      <c r="R737">
        <v>746</v>
      </c>
    </row>
    <row r="738" spans="1:18" x14ac:dyDescent="0.25">
      <c r="A738" t="s">
        <v>2405</v>
      </c>
      <c r="B738" t="s">
        <v>1537</v>
      </c>
      <c r="C738" t="s">
        <v>2406</v>
      </c>
      <c r="D738" t="s">
        <v>2406</v>
      </c>
      <c r="E738" t="s">
        <v>2406</v>
      </c>
      <c r="F738" t="s">
        <v>91</v>
      </c>
      <c r="G738" t="s">
        <v>63</v>
      </c>
      <c r="H738" t="s">
        <v>53</v>
      </c>
      <c r="I738" t="s">
        <v>1539</v>
      </c>
      <c r="J738">
        <v>2005</v>
      </c>
      <c r="K738">
        <v>43698.521897777777</v>
      </c>
      <c r="L738" t="s">
        <v>466</v>
      </c>
      <c r="M738" t="s">
        <v>154</v>
      </c>
      <c r="N738" t="s">
        <v>467</v>
      </c>
      <c r="O738">
        <v>345866</v>
      </c>
      <c r="P738">
        <v>43698.521897777777</v>
      </c>
      <c r="Q738">
        <v>42636.658921527778</v>
      </c>
      <c r="R738">
        <v>747</v>
      </c>
    </row>
    <row r="739" spans="1:18" x14ac:dyDescent="0.25">
      <c r="A739" t="s">
        <v>2407</v>
      </c>
      <c r="B739" t="s">
        <v>2408</v>
      </c>
      <c r="C739" t="s">
        <v>2409</v>
      </c>
      <c r="D739" t="s">
        <v>2409</v>
      </c>
      <c r="E739" t="s">
        <v>2409</v>
      </c>
      <c r="F739" t="s">
        <v>21</v>
      </c>
      <c r="G739" t="s">
        <v>63</v>
      </c>
      <c r="H739" t="s">
        <v>53</v>
      </c>
      <c r="I739" t="s">
        <v>25</v>
      </c>
      <c r="J739">
        <v>2011</v>
      </c>
      <c r="K739">
        <v>43698.521897777777</v>
      </c>
      <c r="L739" t="s">
        <v>466</v>
      </c>
      <c r="M739" t="s">
        <v>154</v>
      </c>
      <c r="N739" t="s">
        <v>27</v>
      </c>
      <c r="O739">
        <v>264912</v>
      </c>
      <c r="P739">
        <v>43491.617465277777</v>
      </c>
      <c r="Q739">
        <v>42636.659520833331</v>
      </c>
      <c r="R739">
        <v>748</v>
      </c>
    </row>
    <row r="740" spans="1:18" x14ac:dyDescent="0.25">
      <c r="A740" t="s">
        <v>2410</v>
      </c>
      <c r="B740" t="s">
        <v>2411</v>
      </c>
      <c r="C740" t="s">
        <v>2412</v>
      </c>
      <c r="D740" t="s">
        <v>2412</v>
      </c>
      <c r="E740" t="s">
        <v>2412</v>
      </c>
      <c r="F740" t="s">
        <v>21</v>
      </c>
      <c r="G740" t="s">
        <v>63</v>
      </c>
      <c r="H740" t="s">
        <v>53</v>
      </c>
      <c r="I740" t="s">
        <v>471</v>
      </c>
      <c r="J740">
        <v>2012</v>
      </c>
      <c r="K740">
        <v>43698.521897777777</v>
      </c>
      <c r="L740" t="s">
        <v>25</v>
      </c>
      <c r="M740" t="s">
        <v>37</v>
      </c>
      <c r="N740" t="s">
        <v>27</v>
      </c>
      <c r="O740">
        <v>96035</v>
      </c>
      <c r="P740">
        <v>42726.425046296295</v>
      </c>
      <c r="Q740">
        <v>42637.725009872687</v>
      </c>
      <c r="R740">
        <v>749</v>
      </c>
    </row>
    <row r="741" spans="1:18" x14ac:dyDescent="0.25">
      <c r="A741" t="s">
        <v>2413</v>
      </c>
      <c r="B741" t="s">
        <v>2414</v>
      </c>
      <c r="C741" t="s">
        <v>2415</v>
      </c>
      <c r="D741" t="s">
        <v>2415</v>
      </c>
      <c r="E741" t="s">
        <v>2415</v>
      </c>
      <c r="F741" t="s">
        <v>21</v>
      </c>
      <c r="G741" t="s">
        <v>63</v>
      </c>
      <c r="H741" t="s">
        <v>34</v>
      </c>
      <c r="I741" t="s">
        <v>25</v>
      </c>
      <c r="J741">
        <v>2012</v>
      </c>
      <c r="K741">
        <v>43698.521897777777</v>
      </c>
      <c r="L741" t="s">
        <v>25</v>
      </c>
      <c r="M741" t="s">
        <v>154</v>
      </c>
      <c r="N741" t="s">
        <v>27</v>
      </c>
      <c r="O741">
        <v>112627</v>
      </c>
      <c r="P741">
        <v>42872.468946759262</v>
      </c>
      <c r="Q741">
        <v>42639.506211493055</v>
      </c>
      <c r="R741">
        <v>750</v>
      </c>
    </row>
    <row r="742" spans="1:18" x14ac:dyDescent="0.25">
      <c r="A742" t="s">
        <v>2416</v>
      </c>
      <c r="B742" t="s">
        <v>2417</v>
      </c>
      <c r="C742" t="s">
        <v>2418</v>
      </c>
      <c r="D742" t="s">
        <v>2418</v>
      </c>
      <c r="E742" t="s">
        <v>2419</v>
      </c>
      <c r="F742" t="s">
        <v>21</v>
      </c>
      <c r="G742" t="s">
        <v>22</v>
      </c>
      <c r="H742" t="s">
        <v>520</v>
      </c>
      <c r="I742" t="s">
        <v>521</v>
      </c>
      <c r="J742">
        <v>2011</v>
      </c>
      <c r="K742">
        <v>43698.521897777777</v>
      </c>
      <c r="L742" t="s">
        <v>25</v>
      </c>
      <c r="M742" t="s">
        <v>42</v>
      </c>
      <c r="N742" t="s">
        <v>415</v>
      </c>
      <c r="Q742">
        <v>42641.916234722223</v>
      </c>
      <c r="R742">
        <v>751</v>
      </c>
    </row>
    <row r="743" spans="1:18" x14ac:dyDescent="0.25">
      <c r="A743" t="s">
        <v>2420</v>
      </c>
      <c r="B743" t="s">
        <v>2421</v>
      </c>
      <c r="C743" t="s">
        <v>2422</v>
      </c>
      <c r="D743" t="s">
        <v>2422</v>
      </c>
      <c r="E743" t="s">
        <v>2423</v>
      </c>
      <c r="F743" t="s">
        <v>21</v>
      </c>
      <c r="G743" t="s">
        <v>22</v>
      </c>
      <c r="H743" t="s">
        <v>520</v>
      </c>
      <c r="I743" t="s">
        <v>521</v>
      </c>
      <c r="J743">
        <v>2011</v>
      </c>
      <c r="K743">
        <v>43698.521897777777</v>
      </c>
      <c r="L743" t="s">
        <v>422</v>
      </c>
      <c r="M743" t="s">
        <v>42</v>
      </c>
      <c r="N743" t="s">
        <v>27</v>
      </c>
      <c r="O743">
        <v>168429</v>
      </c>
      <c r="P743">
        <v>43176.003472222219</v>
      </c>
      <c r="Q743">
        <v>42641.917365590278</v>
      </c>
      <c r="R743">
        <v>752</v>
      </c>
    </row>
    <row r="744" spans="1:18" x14ac:dyDescent="0.25">
      <c r="A744" t="s">
        <v>2424</v>
      </c>
      <c r="B744" t="s">
        <v>2425</v>
      </c>
      <c r="C744" t="s">
        <v>2426</v>
      </c>
      <c r="D744" t="s">
        <v>2426</v>
      </c>
      <c r="E744" t="s">
        <v>2426</v>
      </c>
      <c r="F744" t="s">
        <v>21</v>
      </c>
      <c r="G744" t="s">
        <v>63</v>
      </c>
      <c r="H744" t="s">
        <v>80</v>
      </c>
      <c r="I744" t="s">
        <v>2231</v>
      </c>
      <c r="J744">
        <v>2012</v>
      </c>
      <c r="K744">
        <v>43698.521897777777</v>
      </c>
      <c r="L744" t="s">
        <v>25</v>
      </c>
      <c r="M744" t="s">
        <v>37</v>
      </c>
      <c r="N744" t="s">
        <v>27</v>
      </c>
      <c r="O744">
        <v>110038</v>
      </c>
      <c r="P744">
        <v>42854.359027777777</v>
      </c>
      <c r="Q744">
        <v>42643.491140428239</v>
      </c>
      <c r="R744">
        <v>753</v>
      </c>
    </row>
    <row r="745" spans="1:18" x14ac:dyDescent="0.25">
      <c r="A745" t="s">
        <v>2427</v>
      </c>
      <c r="B745" t="s">
        <v>2428</v>
      </c>
      <c r="C745" t="s">
        <v>2429</v>
      </c>
      <c r="D745" t="s">
        <v>2429</v>
      </c>
      <c r="E745" t="s">
        <v>2429</v>
      </c>
      <c r="F745" t="s">
        <v>21</v>
      </c>
      <c r="G745" t="s">
        <v>63</v>
      </c>
      <c r="H745" t="s">
        <v>53</v>
      </c>
      <c r="I745" t="s">
        <v>2430</v>
      </c>
      <c r="J745">
        <v>2016</v>
      </c>
      <c r="K745">
        <v>43698.521897777777</v>
      </c>
      <c r="L745" t="s">
        <v>25</v>
      </c>
      <c r="M745" t="s">
        <v>37</v>
      </c>
      <c r="N745" t="s">
        <v>27</v>
      </c>
      <c r="O745">
        <v>133142</v>
      </c>
      <c r="P745">
        <v>43007.743055555555</v>
      </c>
      <c r="Q745">
        <v>42643.499030289349</v>
      </c>
      <c r="R745">
        <v>754</v>
      </c>
    </row>
    <row r="746" spans="1:18" x14ac:dyDescent="0.25">
      <c r="A746" t="s">
        <v>2431</v>
      </c>
      <c r="B746" t="s">
        <v>2432</v>
      </c>
      <c r="C746" t="s">
        <v>2433</v>
      </c>
      <c r="D746" t="s">
        <v>2433</v>
      </c>
      <c r="E746" t="s">
        <v>2433</v>
      </c>
      <c r="F746" t="s">
        <v>21</v>
      </c>
      <c r="G746" t="s">
        <v>63</v>
      </c>
      <c r="H746" t="s">
        <v>34</v>
      </c>
      <c r="I746" t="s">
        <v>703</v>
      </c>
      <c r="J746">
        <v>2007</v>
      </c>
      <c r="K746">
        <v>43698.521897777777</v>
      </c>
      <c r="L746" t="s">
        <v>25</v>
      </c>
      <c r="M746" t="s">
        <v>37</v>
      </c>
      <c r="N746" t="s">
        <v>27</v>
      </c>
      <c r="O746">
        <v>109454</v>
      </c>
      <c r="P746">
        <v>42847.016712962963</v>
      </c>
      <c r="Q746">
        <v>42643.507309687498</v>
      </c>
      <c r="R746">
        <v>755</v>
      </c>
    </row>
    <row r="747" spans="1:18" x14ac:dyDescent="0.25">
      <c r="A747" t="s">
        <v>2434</v>
      </c>
      <c r="B747" t="s">
        <v>2435</v>
      </c>
      <c r="C747" t="s">
        <v>2436</v>
      </c>
      <c r="D747" t="s">
        <v>2436</v>
      </c>
      <c r="E747" t="s">
        <v>2436</v>
      </c>
      <c r="F747" t="s">
        <v>21</v>
      </c>
      <c r="G747" t="s">
        <v>63</v>
      </c>
      <c r="H747" t="s">
        <v>53</v>
      </c>
      <c r="I747" t="s">
        <v>25</v>
      </c>
      <c r="J747">
        <v>2006</v>
      </c>
      <c r="K747">
        <v>43698.521897777777</v>
      </c>
      <c r="L747" t="s">
        <v>466</v>
      </c>
      <c r="M747" t="s">
        <v>154</v>
      </c>
      <c r="N747" t="s">
        <v>27</v>
      </c>
      <c r="O747">
        <v>247167</v>
      </c>
      <c r="P747">
        <v>43436.909004629626</v>
      </c>
      <c r="Q747">
        <v>42643.537822534723</v>
      </c>
      <c r="R747">
        <v>756</v>
      </c>
    </row>
    <row r="748" spans="1:18" x14ac:dyDescent="0.25">
      <c r="A748" t="s">
        <v>2437</v>
      </c>
      <c r="B748" t="s">
        <v>2438</v>
      </c>
      <c r="C748" t="s">
        <v>2439</v>
      </c>
      <c r="D748" t="s">
        <v>2439</v>
      </c>
      <c r="E748" t="s">
        <v>2439</v>
      </c>
      <c r="F748" t="s">
        <v>253</v>
      </c>
      <c r="G748" t="s">
        <v>63</v>
      </c>
      <c r="H748" t="s">
        <v>53</v>
      </c>
      <c r="I748" t="s">
        <v>25</v>
      </c>
      <c r="J748">
        <v>2012</v>
      </c>
      <c r="K748">
        <v>43698.521897777777</v>
      </c>
      <c r="L748" t="s">
        <v>466</v>
      </c>
      <c r="M748" t="s">
        <v>154</v>
      </c>
      <c r="N748" t="s">
        <v>467</v>
      </c>
      <c r="O748">
        <v>302982</v>
      </c>
      <c r="P748">
        <v>43600.787499999999</v>
      </c>
      <c r="Q748">
        <v>42644.702562071761</v>
      </c>
      <c r="R748">
        <v>757</v>
      </c>
    </row>
    <row r="749" spans="1:18" x14ac:dyDescent="0.25">
      <c r="A749" t="s">
        <v>2440</v>
      </c>
      <c r="B749" t="s">
        <v>2441</v>
      </c>
      <c r="C749" t="s">
        <v>2442</v>
      </c>
      <c r="D749" t="s">
        <v>2442</v>
      </c>
      <c r="E749" t="s">
        <v>2442</v>
      </c>
      <c r="F749" t="s">
        <v>21</v>
      </c>
      <c r="G749" t="s">
        <v>63</v>
      </c>
      <c r="H749" t="s">
        <v>53</v>
      </c>
      <c r="I749" t="s">
        <v>25</v>
      </c>
      <c r="J749">
        <v>2012</v>
      </c>
      <c r="K749">
        <v>43698.521897777777</v>
      </c>
      <c r="L749" t="s">
        <v>25</v>
      </c>
      <c r="M749" t="s">
        <v>154</v>
      </c>
      <c r="N749" t="s">
        <v>27</v>
      </c>
      <c r="O749">
        <v>97405</v>
      </c>
      <c r="P749">
        <v>42747.619375000002</v>
      </c>
      <c r="Q749">
        <v>42644.703252233798</v>
      </c>
      <c r="R749">
        <v>758</v>
      </c>
    </row>
    <row r="750" spans="1:18" x14ac:dyDescent="0.25">
      <c r="A750" t="s">
        <v>2443</v>
      </c>
      <c r="B750" t="s">
        <v>2444</v>
      </c>
      <c r="C750" t="s">
        <v>2445</v>
      </c>
      <c r="D750" t="s">
        <v>2445</v>
      </c>
      <c r="E750" t="s">
        <v>2445</v>
      </c>
      <c r="F750" t="s">
        <v>21</v>
      </c>
      <c r="G750" t="s">
        <v>63</v>
      </c>
      <c r="H750" t="s">
        <v>53</v>
      </c>
      <c r="I750" t="s">
        <v>25</v>
      </c>
      <c r="J750">
        <v>2012</v>
      </c>
      <c r="K750">
        <v>43698.521897777777</v>
      </c>
      <c r="L750" t="s">
        <v>25</v>
      </c>
      <c r="M750" t="s">
        <v>154</v>
      </c>
      <c r="N750" t="s">
        <v>1305</v>
      </c>
      <c r="O750">
        <v>165529</v>
      </c>
      <c r="P750">
        <v>43170.877476851849</v>
      </c>
      <c r="Q750">
        <v>42644.703926655093</v>
      </c>
      <c r="R750">
        <v>759</v>
      </c>
    </row>
    <row r="751" spans="1:18" x14ac:dyDescent="0.25">
      <c r="A751" t="s">
        <v>2446</v>
      </c>
      <c r="B751" t="s">
        <v>2447</v>
      </c>
      <c r="C751" t="s">
        <v>2448</v>
      </c>
      <c r="D751" t="s">
        <v>2448</v>
      </c>
      <c r="E751" t="s">
        <v>2448</v>
      </c>
      <c r="F751" t="s">
        <v>21</v>
      </c>
      <c r="G751" t="s">
        <v>63</v>
      </c>
      <c r="H751" t="s">
        <v>53</v>
      </c>
      <c r="I751" t="s">
        <v>25</v>
      </c>
      <c r="J751">
        <v>2012</v>
      </c>
      <c r="K751">
        <v>43698.521897777777</v>
      </c>
      <c r="L751" t="s">
        <v>25</v>
      </c>
      <c r="M751" t="s">
        <v>154</v>
      </c>
      <c r="N751" t="s">
        <v>27</v>
      </c>
      <c r="O751">
        <v>170455</v>
      </c>
      <c r="P751">
        <v>43190.503703703704</v>
      </c>
      <c r="Q751">
        <v>42644.704246377318</v>
      </c>
      <c r="R751">
        <v>760</v>
      </c>
    </row>
    <row r="752" spans="1:18" x14ac:dyDescent="0.25">
      <c r="A752" t="s">
        <v>2449</v>
      </c>
      <c r="B752" t="s">
        <v>2397</v>
      </c>
      <c r="C752" t="s">
        <v>2450</v>
      </c>
      <c r="D752" t="s">
        <v>2450</v>
      </c>
      <c r="E752" t="s">
        <v>2451</v>
      </c>
      <c r="F752" t="s">
        <v>91</v>
      </c>
      <c r="G752" t="s">
        <v>22</v>
      </c>
      <c r="H752" t="s">
        <v>53</v>
      </c>
      <c r="I752" t="s">
        <v>471</v>
      </c>
      <c r="J752">
        <v>2017</v>
      </c>
      <c r="K752">
        <v>43698.521897777777</v>
      </c>
      <c r="L752" t="s">
        <v>1809</v>
      </c>
      <c r="M752" t="s">
        <v>154</v>
      </c>
      <c r="N752" t="s">
        <v>467</v>
      </c>
      <c r="O752">
        <v>346812</v>
      </c>
      <c r="P752">
        <v>43698.521897777777</v>
      </c>
      <c r="Q752">
        <v>42644.70698815972</v>
      </c>
      <c r="R752">
        <v>761</v>
      </c>
    </row>
    <row r="753" spans="1:18" x14ac:dyDescent="0.25">
      <c r="A753" t="s">
        <v>2452</v>
      </c>
      <c r="B753" t="s">
        <v>2453</v>
      </c>
      <c r="C753" t="s">
        <v>2454</v>
      </c>
      <c r="D753" t="s">
        <v>2454</v>
      </c>
      <c r="E753" t="s">
        <v>2455</v>
      </c>
      <c r="F753" t="s">
        <v>21</v>
      </c>
      <c r="G753" t="s">
        <v>22</v>
      </c>
      <c r="H753" t="s">
        <v>236</v>
      </c>
      <c r="I753" t="s">
        <v>556</v>
      </c>
      <c r="J753">
        <v>2017</v>
      </c>
      <c r="K753">
        <v>43698.521897777777</v>
      </c>
      <c r="L753" t="s">
        <v>422</v>
      </c>
      <c r="M753" t="s">
        <v>1941</v>
      </c>
      <c r="N753" t="s">
        <v>27</v>
      </c>
      <c r="O753">
        <v>318254</v>
      </c>
      <c r="P753">
        <v>43627.658460648148</v>
      </c>
      <c r="Q753">
        <v>42649.662333715278</v>
      </c>
      <c r="R753">
        <v>762</v>
      </c>
    </row>
    <row r="754" spans="1:18" x14ac:dyDescent="0.25">
      <c r="A754" t="s">
        <v>2456</v>
      </c>
      <c r="B754" t="s">
        <v>2457</v>
      </c>
      <c r="C754" t="s">
        <v>2458</v>
      </c>
      <c r="D754" t="s">
        <v>2458</v>
      </c>
      <c r="E754" t="s">
        <v>2459</v>
      </c>
      <c r="F754" t="s">
        <v>21</v>
      </c>
      <c r="G754" t="s">
        <v>22</v>
      </c>
      <c r="H754" t="s">
        <v>236</v>
      </c>
      <c r="I754" t="s">
        <v>556</v>
      </c>
      <c r="J754">
        <v>2017</v>
      </c>
      <c r="K754">
        <v>43698.521897777777</v>
      </c>
      <c r="L754" t="s">
        <v>422</v>
      </c>
      <c r="M754" t="s">
        <v>1941</v>
      </c>
      <c r="N754" t="s">
        <v>27</v>
      </c>
      <c r="O754">
        <v>329601</v>
      </c>
      <c r="P754">
        <v>43656.792361111111</v>
      </c>
      <c r="Q754">
        <v>42649.662984178241</v>
      </c>
      <c r="R754">
        <v>763</v>
      </c>
    </row>
    <row r="755" spans="1:18" x14ac:dyDescent="0.25">
      <c r="A755" t="s">
        <v>2460</v>
      </c>
      <c r="B755" t="s">
        <v>2461</v>
      </c>
      <c r="C755" t="s">
        <v>2462</v>
      </c>
      <c r="D755" t="s">
        <v>2462</v>
      </c>
      <c r="E755" t="s">
        <v>2463</v>
      </c>
      <c r="F755" t="s">
        <v>21</v>
      </c>
      <c r="G755" t="s">
        <v>22</v>
      </c>
      <c r="H755" t="s">
        <v>236</v>
      </c>
      <c r="I755" t="s">
        <v>556</v>
      </c>
      <c r="J755">
        <v>2017</v>
      </c>
      <c r="K755">
        <v>43698.521897777777</v>
      </c>
      <c r="L755" t="s">
        <v>422</v>
      </c>
      <c r="M755" t="s">
        <v>1941</v>
      </c>
      <c r="N755" t="s">
        <v>27</v>
      </c>
      <c r="O755">
        <v>319327</v>
      </c>
      <c r="P755">
        <v>43629.658333333333</v>
      </c>
      <c r="Q755">
        <v>42649.663312615739</v>
      </c>
      <c r="R755">
        <v>764</v>
      </c>
    </row>
    <row r="756" spans="1:18" x14ac:dyDescent="0.25">
      <c r="A756" t="s">
        <v>2464</v>
      </c>
      <c r="B756" t="s">
        <v>2465</v>
      </c>
      <c r="C756" t="s">
        <v>2466</v>
      </c>
      <c r="D756" t="s">
        <v>2466</v>
      </c>
      <c r="E756" t="s">
        <v>2467</v>
      </c>
      <c r="F756" t="s">
        <v>21</v>
      </c>
      <c r="G756" t="s">
        <v>22</v>
      </c>
      <c r="H756" t="s">
        <v>236</v>
      </c>
      <c r="I756" t="s">
        <v>556</v>
      </c>
      <c r="J756">
        <v>2017</v>
      </c>
      <c r="K756">
        <v>43698.521897777777</v>
      </c>
      <c r="L756" t="s">
        <v>422</v>
      </c>
      <c r="M756" t="s">
        <v>1941</v>
      </c>
      <c r="N756" t="s">
        <v>27</v>
      </c>
      <c r="O756">
        <v>328896</v>
      </c>
      <c r="P756">
        <v>43655.260891203703</v>
      </c>
      <c r="Q756">
        <v>42649.663679664351</v>
      </c>
      <c r="R756">
        <v>765</v>
      </c>
    </row>
    <row r="757" spans="1:18" x14ac:dyDescent="0.25">
      <c r="A757" t="s">
        <v>2468</v>
      </c>
      <c r="B757" t="s">
        <v>2469</v>
      </c>
      <c r="C757" t="s">
        <v>2470</v>
      </c>
      <c r="D757" t="s">
        <v>2470</v>
      </c>
      <c r="E757" t="s">
        <v>2471</v>
      </c>
      <c r="F757" t="s">
        <v>21</v>
      </c>
      <c r="G757" t="s">
        <v>22</v>
      </c>
      <c r="H757" t="s">
        <v>236</v>
      </c>
      <c r="I757" t="s">
        <v>556</v>
      </c>
      <c r="J757">
        <v>2017</v>
      </c>
      <c r="K757">
        <v>43698.521897777777</v>
      </c>
      <c r="L757" t="s">
        <v>422</v>
      </c>
      <c r="M757" t="s">
        <v>1941</v>
      </c>
      <c r="N757" t="s">
        <v>27</v>
      </c>
      <c r="O757">
        <v>250913</v>
      </c>
      <c r="P757">
        <v>43444.260416666664</v>
      </c>
      <c r="Q757">
        <v>42649.664660104165</v>
      </c>
      <c r="R757">
        <v>766</v>
      </c>
    </row>
    <row r="758" spans="1:18" x14ac:dyDescent="0.25">
      <c r="A758" t="s">
        <v>2472</v>
      </c>
      <c r="B758" t="s">
        <v>2473</v>
      </c>
      <c r="C758" t="s">
        <v>2474</v>
      </c>
      <c r="D758" t="s">
        <v>2474</v>
      </c>
      <c r="E758" t="s">
        <v>2475</v>
      </c>
      <c r="F758" t="s">
        <v>21</v>
      </c>
      <c r="G758" t="s">
        <v>22</v>
      </c>
      <c r="H758" t="s">
        <v>53</v>
      </c>
      <c r="I758" t="s">
        <v>471</v>
      </c>
      <c r="J758">
        <v>2017</v>
      </c>
      <c r="K758">
        <v>43698.521897777777</v>
      </c>
      <c r="L758" t="s">
        <v>25</v>
      </c>
      <c r="M758" t="s">
        <v>154</v>
      </c>
      <c r="N758" t="s">
        <v>27</v>
      </c>
      <c r="O758">
        <v>136423</v>
      </c>
      <c r="P758">
        <v>43019.780104166668</v>
      </c>
      <c r="Q758">
        <v>42651.449294791666</v>
      </c>
      <c r="R758">
        <v>767</v>
      </c>
    </row>
    <row r="759" spans="1:18" x14ac:dyDescent="0.25">
      <c r="A759" t="s">
        <v>2476</v>
      </c>
      <c r="B759" t="s">
        <v>2477</v>
      </c>
      <c r="C759" t="s">
        <v>2478</v>
      </c>
      <c r="D759" t="s">
        <v>2478</v>
      </c>
      <c r="E759" t="s">
        <v>2479</v>
      </c>
      <c r="F759" t="s">
        <v>21</v>
      </c>
      <c r="G759" t="s">
        <v>22</v>
      </c>
      <c r="H759" t="s">
        <v>53</v>
      </c>
      <c r="I759" t="s">
        <v>471</v>
      </c>
      <c r="J759">
        <v>2017</v>
      </c>
      <c r="K759">
        <v>43698.521897777777</v>
      </c>
      <c r="L759" t="s">
        <v>25</v>
      </c>
      <c r="M759" t="s">
        <v>154</v>
      </c>
      <c r="N759" t="s">
        <v>27</v>
      </c>
      <c r="O759">
        <v>134592</v>
      </c>
      <c r="P759">
        <v>43013.47452546296</v>
      </c>
      <c r="Q759">
        <v>42651.450880555552</v>
      </c>
      <c r="R759">
        <v>768</v>
      </c>
    </row>
    <row r="760" spans="1:18" x14ac:dyDescent="0.25">
      <c r="A760" t="s">
        <v>2480</v>
      </c>
      <c r="B760" t="s">
        <v>2481</v>
      </c>
      <c r="C760" t="s">
        <v>2482</v>
      </c>
      <c r="D760" t="s">
        <v>2482</v>
      </c>
      <c r="E760" t="s">
        <v>2483</v>
      </c>
      <c r="F760" t="s">
        <v>21</v>
      </c>
      <c r="G760" t="s">
        <v>22</v>
      </c>
      <c r="H760" t="s">
        <v>53</v>
      </c>
      <c r="I760" t="s">
        <v>471</v>
      </c>
      <c r="J760">
        <v>2017</v>
      </c>
      <c r="K760">
        <v>43698.521897777777</v>
      </c>
      <c r="L760" t="s">
        <v>25</v>
      </c>
      <c r="M760" t="s">
        <v>154</v>
      </c>
      <c r="N760" t="s">
        <v>27</v>
      </c>
      <c r="O760">
        <v>133942</v>
      </c>
      <c r="P760">
        <v>43008.436979166669</v>
      </c>
      <c r="Q760">
        <v>42651.464208368059</v>
      </c>
      <c r="R760">
        <v>769</v>
      </c>
    </row>
    <row r="761" spans="1:18" x14ac:dyDescent="0.25">
      <c r="A761" t="s">
        <v>2484</v>
      </c>
      <c r="B761" t="s">
        <v>2485</v>
      </c>
      <c r="C761" t="s">
        <v>2486</v>
      </c>
      <c r="D761" t="s">
        <v>2486</v>
      </c>
      <c r="E761" t="s">
        <v>2487</v>
      </c>
      <c r="F761" t="s">
        <v>21</v>
      </c>
      <c r="G761" t="s">
        <v>22</v>
      </c>
      <c r="H761" t="s">
        <v>53</v>
      </c>
      <c r="I761" t="s">
        <v>471</v>
      </c>
      <c r="J761">
        <v>2017</v>
      </c>
      <c r="K761">
        <v>43698.521897777777</v>
      </c>
      <c r="L761" t="s">
        <v>25</v>
      </c>
      <c r="M761" t="s">
        <v>154</v>
      </c>
      <c r="N761" t="s">
        <v>27</v>
      </c>
      <c r="O761">
        <v>144396</v>
      </c>
      <c r="P761">
        <v>43064.572835648149</v>
      </c>
      <c r="Q761">
        <v>42651.466841053239</v>
      </c>
      <c r="R761">
        <v>770</v>
      </c>
    </row>
    <row r="762" spans="1:18" x14ac:dyDescent="0.25">
      <c r="A762" t="s">
        <v>2488</v>
      </c>
      <c r="B762" t="s">
        <v>2489</v>
      </c>
      <c r="C762" t="s">
        <v>2490</v>
      </c>
      <c r="D762" t="s">
        <v>2490</v>
      </c>
      <c r="E762" t="s">
        <v>2491</v>
      </c>
      <c r="F762" t="s">
        <v>91</v>
      </c>
      <c r="G762" t="s">
        <v>63</v>
      </c>
      <c r="H762" t="s">
        <v>53</v>
      </c>
      <c r="I762" t="s">
        <v>471</v>
      </c>
      <c r="J762">
        <v>2017</v>
      </c>
      <c r="K762">
        <v>43698.521897777777</v>
      </c>
      <c r="L762" t="s">
        <v>466</v>
      </c>
      <c r="M762" t="s">
        <v>154</v>
      </c>
      <c r="N762" t="s">
        <v>467</v>
      </c>
      <c r="O762">
        <v>346672</v>
      </c>
      <c r="P762">
        <v>43698.521897777777</v>
      </c>
      <c r="Q762">
        <v>42651.468815624998</v>
      </c>
      <c r="R762">
        <v>771</v>
      </c>
    </row>
    <row r="763" spans="1:18" x14ac:dyDescent="0.25">
      <c r="A763" t="s">
        <v>2492</v>
      </c>
      <c r="B763" t="s">
        <v>2493</v>
      </c>
      <c r="C763" t="s">
        <v>2494</v>
      </c>
      <c r="D763" t="s">
        <v>2494</v>
      </c>
      <c r="E763" t="s">
        <v>2495</v>
      </c>
      <c r="F763" t="s">
        <v>21</v>
      </c>
      <c r="G763" t="s">
        <v>22</v>
      </c>
      <c r="H763" t="s">
        <v>53</v>
      </c>
      <c r="I763" t="s">
        <v>471</v>
      </c>
      <c r="J763">
        <v>2017</v>
      </c>
      <c r="K763">
        <v>43698.521897777777</v>
      </c>
      <c r="L763" t="s">
        <v>25</v>
      </c>
      <c r="M763" t="s">
        <v>154</v>
      </c>
      <c r="N763" t="s">
        <v>27</v>
      </c>
      <c r="O763">
        <v>136183</v>
      </c>
      <c r="P763">
        <v>43018.409722222219</v>
      </c>
      <c r="Q763">
        <v>42651.470116168981</v>
      </c>
      <c r="R763">
        <v>772</v>
      </c>
    </row>
    <row r="764" spans="1:18" x14ac:dyDescent="0.25">
      <c r="A764" t="s">
        <v>2496</v>
      </c>
      <c r="B764" t="s">
        <v>1510</v>
      </c>
      <c r="C764" t="s">
        <v>2497</v>
      </c>
      <c r="D764" t="s">
        <v>2497</v>
      </c>
      <c r="E764" t="s">
        <v>2497</v>
      </c>
      <c r="F764" t="s">
        <v>21</v>
      </c>
      <c r="G764" t="s">
        <v>63</v>
      </c>
      <c r="H764" t="s">
        <v>34</v>
      </c>
      <c r="I764" t="s">
        <v>35</v>
      </c>
      <c r="J764">
        <v>2007</v>
      </c>
      <c r="K764">
        <v>43698.521897777777</v>
      </c>
      <c r="L764" t="s">
        <v>25</v>
      </c>
      <c r="M764" t="s">
        <v>37</v>
      </c>
      <c r="N764" t="s">
        <v>27</v>
      </c>
      <c r="O764">
        <v>141188</v>
      </c>
      <c r="P764">
        <v>43049.87222222222</v>
      </c>
      <c r="Q764">
        <v>42654.51887994213</v>
      </c>
      <c r="R764">
        <v>773</v>
      </c>
    </row>
    <row r="765" spans="1:18" x14ac:dyDescent="0.25">
      <c r="A765" t="s">
        <v>2498</v>
      </c>
      <c r="B765" t="s">
        <v>2499</v>
      </c>
      <c r="C765" t="s">
        <v>2500</v>
      </c>
      <c r="D765" t="s">
        <v>2500</v>
      </c>
      <c r="E765" t="s">
        <v>2501</v>
      </c>
      <c r="F765" t="s">
        <v>21</v>
      </c>
      <c r="G765" t="s">
        <v>22</v>
      </c>
      <c r="H765" t="s">
        <v>53</v>
      </c>
      <c r="I765" t="s">
        <v>471</v>
      </c>
      <c r="J765">
        <v>2017</v>
      </c>
      <c r="K765">
        <v>43698.521897777777</v>
      </c>
      <c r="L765" t="s">
        <v>25</v>
      </c>
      <c r="M765" t="s">
        <v>1738</v>
      </c>
      <c r="N765" t="s">
        <v>27</v>
      </c>
      <c r="O765">
        <v>132277</v>
      </c>
      <c r="P765">
        <v>42997.597222222219</v>
      </c>
      <c r="Q765">
        <v>42655.660089814817</v>
      </c>
      <c r="R765">
        <v>774</v>
      </c>
    </row>
    <row r="766" spans="1:18" x14ac:dyDescent="0.25">
      <c r="A766" t="s">
        <v>2502</v>
      </c>
      <c r="B766" t="s">
        <v>2503</v>
      </c>
      <c r="C766" t="s">
        <v>2504</v>
      </c>
      <c r="D766" t="s">
        <v>2504</v>
      </c>
      <c r="E766" t="s">
        <v>2505</v>
      </c>
      <c r="F766" t="s">
        <v>21</v>
      </c>
      <c r="G766" t="s">
        <v>22</v>
      </c>
      <c r="H766" t="s">
        <v>53</v>
      </c>
      <c r="I766" t="s">
        <v>471</v>
      </c>
      <c r="J766">
        <v>2017</v>
      </c>
      <c r="K766">
        <v>43698.521897777777</v>
      </c>
      <c r="L766" t="s">
        <v>25</v>
      </c>
      <c r="M766" t="s">
        <v>1738</v>
      </c>
      <c r="N766" t="s">
        <v>27</v>
      </c>
      <c r="O766">
        <v>132130</v>
      </c>
      <c r="P766">
        <v>42997.545682870368</v>
      </c>
      <c r="Q766">
        <v>42655.660716469909</v>
      </c>
      <c r="R766">
        <v>775</v>
      </c>
    </row>
    <row r="767" spans="1:18" x14ac:dyDescent="0.25">
      <c r="A767" t="s">
        <v>2506</v>
      </c>
      <c r="B767" t="s">
        <v>2507</v>
      </c>
      <c r="C767" t="s">
        <v>2508</v>
      </c>
      <c r="D767" t="s">
        <v>2508</v>
      </c>
      <c r="E767" t="s">
        <v>2509</v>
      </c>
      <c r="F767" t="s">
        <v>21</v>
      </c>
      <c r="G767" t="s">
        <v>22</v>
      </c>
      <c r="H767" t="s">
        <v>53</v>
      </c>
      <c r="I767" t="s">
        <v>471</v>
      </c>
      <c r="J767">
        <v>2017</v>
      </c>
      <c r="K767">
        <v>43698.521897777777</v>
      </c>
      <c r="L767" t="s">
        <v>25</v>
      </c>
      <c r="M767" t="s">
        <v>1738</v>
      </c>
      <c r="N767" t="s">
        <v>27</v>
      </c>
      <c r="O767">
        <v>131924</v>
      </c>
      <c r="P767">
        <v>43002.783206018517</v>
      </c>
      <c r="Q767">
        <v>42655.661277465275</v>
      </c>
      <c r="R767">
        <v>776</v>
      </c>
    </row>
    <row r="768" spans="1:18" x14ac:dyDescent="0.25">
      <c r="A768" t="s">
        <v>2510</v>
      </c>
      <c r="B768" t="s">
        <v>2511</v>
      </c>
      <c r="C768" t="s">
        <v>2512</v>
      </c>
      <c r="D768" t="s">
        <v>2512</v>
      </c>
      <c r="E768" t="s">
        <v>2513</v>
      </c>
      <c r="F768" t="s">
        <v>21</v>
      </c>
      <c r="G768" t="s">
        <v>22</v>
      </c>
      <c r="H768" t="s">
        <v>53</v>
      </c>
      <c r="I768" t="s">
        <v>471</v>
      </c>
      <c r="J768">
        <v>2017</v>
      </c>
      <c r="K768">
        <v>43698.521897777777</v>
      </c>
      <c r="L768" t="s">
        <v>25</v>
      </c>
      <c r="M768" t="s">
        <v>1738</v>
      </c>
      <c r="N768" t="s">
        <v>27</v>
      </c>
      <c r="O768">
        <v>133202</v>
      </c>
      <c r="P768">
        <v>43003.765289351853</v>
      </c>
      <c r="Q768">
        <v>42655.662150891207</v>
      </c>
      <c r="R768">
        <v>777</v>
      </c>
    </row>
    <row r="769" spans="1:18" x14ac:dyDescent="0.25">
      <c r="A769" t="s">
        <v>2514</v>
      </c>
      <c r="B769" t="s">
        <v>2515</v>
      </c>
      <c r="C769" t="s">
        <v>2516</v>
      </c>
      <c r="D769" t="s">
        <v>2516</v>
      </c>
      <c r="E769" t="s">
        <v>2516</v>
      </c>
      <c r="F769" t="s">
        <v>21</v>
      </c>
      <c r="G769" t="s">
        <v>63</v>
      </c>
      <c r="H769" t="s">
        <v>34</v>
      </c>
      <c r="I769" t="s">
        <v>25</v>
      </c>
      <c r="J769">
        <v>2009</v>
      </c>
      <c r="K769">
        <v>43698.521897777777</v>
      </c>
      <c r="L769" t="s">
        <v>25</v>
      </c>
      <c r="M769" t="s">
        <v>154</v>
      </c>
      <c r="N769" t="s">
        <v>27</v>
      </c>
      <c r="O769">
        <v>169286</v>
      </c>
      <c r="P769">
        <v>43184.875300925924</v>
      </c>
      <c r="Q769">
        <v>42656.731036458332</v>
      </c>
      <c r="R769">
        <v>778</v>
      </c>
    </row>
    <row r="770" spans="1:18" x14ac:dyDescent="0.25">
      <c r="A770" t="s">
        <v>25</v>
      </c>
      <c r="B770" t="s">
        <v>25</v>
      </c>
      <c r="C770" t="s">
        <v>2517</v>
      </c>
      <c r="D770" t="s">
        <v>2517</v>
      </c>
      <c r="E770" t="s">
        <v>2518</v>
      </c>
      <c r="F770" t="s">
        <v>21</v>
      </c>
      <c r="G770" t="s">
        <v>106</v>
      </c>
      <c r="H770" t="s">
        <v>25</v>
      </c>
      <c r="I770" t="s">
        <v>25</v>
      </c>
      <c r="K770">
        <v>43698.521897777777</v>
      </c>
      <c r="L770" t="s">
        <v>25</v>
      </c>
      <c r="M770" t="s">
        <v>42</v>
      </c>
      <c r="N770" t="s">
        <v>27</v>
      </c>
      <c r="Q770">
        <v>42657.706550960647</v>
      </c>
      <c r="R770">
        <v>779</v>
      </c>
    </row>
    <row r="771" spans="1:18" x14ac:dyDescent="0.25">
      <c r="A771" t="s">
        <v>2519</v>
      </c>
      <c r="B771" t="s">
        <v>2520</v>
      </c>
      <c r="C771" t="s">
        <v>2521</v>
      </c>
      <c r="D771" t="s">
        <v>2521</v>
      </c>
      <c r="E771" t="s">
        <v>2522</v>
      </c>
      <c r="F771" t="s">
        <v>21</v>
      </c>
      <c r="G771" t="s">
        <v>63</v>
      </c>
      <c r="H771" t="s">
        <v>53</v>
      </c>
      <c r="I771" t="s">
        <v>471</v>
      </c>
      <c r="J771">
        <v>2017</v>
      </c>
      <c r="K771">
        <v>43698.521897777777</v>
      </c>
      <c r="L771" t="s">
        <v>466</v>
      </c>
      <c r="M771" t="s">
        <v>154</v>
      </c>
      <c r="N771" t="s">
        <v>27</v>
      </c>
      <c r="O771">
        <v>294691</v>
      </c>
      <c r="P771">
        <v>43567.688888888886</v>
      </c>
      <c r="Q771">
        <v>42658.485808912039</v>
      </c>
      <c r="R771">
        <v>780</v>
      </c>
    </row>
    <row r="772" spans="1:18" x14ac:dyDescent="0.25">
      <c r="A772" t="s">
        <v>2523</v>
      </c>
      <c r="B772" t="s">
        <v>2524</v>
      </c>
      <c r="C772" t="s">
        <v>2525</v>
      </c>
      <c r="D772" t="s">
        <v>2525</v>
      </c>
      <c r="E772" t="s">
        <v>2526</v>
      </c>
      <c r="F772" t="s">
        <v>91</v>
      </c>
      <c r="G772" t="s">
        <v>63</v>
      </c>
      <c r="H772" t="s">
        <v>53</v>
      </c>
      <c r="I772" t="s">
        <v>471</v>
      </c>
      <c r="J772">
        <v>2017</v>
      </c>
      <c r="K772">
        <v>43698.521897777777</v>
      </c>
      <c r="L772" t="s">
        <v>466</v>
      </c>
      <c r="M772" t="s">
        <v>154</v>
      </c>
      <c r="N772" t="s">
        <v>467</v>
      </c>
      <c r="O772">
        <v>344705</v>
      </c>
      <c r="P772">
        <v>43698.521897777777</v>
      </c>
      <c r="Q772">
        <v>42658.487254282409</v>
      </c>
      <c r="R772">
        <v>781</v>
      </c>
    </row>
    <row r="773" spans="1:18" x14ac:dyDescent="0.25">
      <c r="A773" t="s">
        <v>2527</v>
      </c>
      <c r="B773" t="s">
        <v>2528</v>
      </c>
      <c r="C773" t="s">
        <v>2529</v>
      </c>
      <c r="D773" t="s">
        <v>2529</v>
      </c>
      <c r="E773" t="s">
        <v>2530</v>
      </c>
      <c r="F773" t="s">
        <v>91</v>
      </c>
      <c r="G773" t="s">
        <v>63</v>
      </c>
      <c r="H773" t="s">
        <v>53</v>
      </c>
      <c r="I773" t="s">
        <v>471</v>
      </c>
      <c r="J773">
        <v>2017</v>
      </c>
      <c r="K773">
        <v>43698.521897777777</v>
      </c>
      <c r="L773" t="s">
        <v>466</v>
      </c>
      <c r="M773" t="s">
        <v>154</v>
      </c>
      <c r="N773" t="s">
        <v>467</v>
      </c>
      <c r="O773">
        <v>345722</v>
      </c>
      <c r="P773">
        <v>43698.521897777777</v>
      </c>
      <c r="Q773">
        <v>42658.48898603009</v>
      </c>
      <c r="R773">
        <v>782</v>
      </c>
    </row>
    <row r="774" spans="1:18" x14ac:dyDescent="0.25">
      <c r="A774" t="s">
        <v>2531</v>
      </c>
      <c r="B774" t="s">
        <v>2532</v>
      </c>
      <c r="C774" t="s">
        <v>2533</v>
      </c>
      <c r="D774" t="s">
        <v>2533</v>
      </c>
      <c r="E774" t="s">
        <v>2534</v>
      </c>
      <c r="F774" t="s">
        <v>91</v>
      </c>
      <c r="G774" t="s">
        <v>63</v>
      </c>
      <c r="H774" t="s">
        <v>53</v>
      </c>
      <c r="I774" t="s">
        <v>471</v>
      </c>
      <c r="J774">
        <v>2017</v>
      </c>
      <c r="K774">
        <v>43698.521897777777</v>
      </c>
      <c r="L774" t="s">
        <v>466</v>
      </c>
      <c r="M774" t="s">
        <v>154</v>
      </c>
      <c r="N774" t="s">
        <v>467</v>
      </c>
      <c r="O774">
        <v>345741</v>
      </c>
      <c r="P774">
        <v>43698.521897777777</v>
      </c>
      <c r="Q774">
        <v>42658.490139201385</v>
      </c>
      <c r="R774">
        <v>783</v>
      </c>
    </row>
    <row r="775" spans="1:18" x14ac:dyDescent="0.25">
      <c r="A775" t="s">
        <v>2535</v>
      </c>
      <c r="B775" t="s">
        <v>2536</v>
      </c>
      <c r="C775" t="s">
        <v>2537</v>
      </c>
      <c r="D775" t="s">
        <v>2537</v>
      </c>
      <c r="E775" t="s">
        <v>2538</v>
      </c>
      <c r="F775" t="s">
        <v>91</v>
      </c>
      <c r="G775" t="s">
        <v>22</v>
      </c>
      <c r="H775" t="s">
        <v>53</v>
      </c>
      <c r="I775" t="s">
        <v>471</v>
      </c>
      <c r="J775">
        <v>2017</v>
      </c>
      <c r="K775">
        <v>43698.521897777777</v>
      </c>
      <c r="L775" t="s">
        <v>466</v>
      </c>
      <c r="M775" t="s">
        <v>154</v>
      </c>
      <c r="N775" t="s">
        <v>467</v>
      </c>
      <c r="O775">
        <v>340782</v>
      </c>
      <c r="P775">
        <v>43688.568055555559</v>
      </c>
      <c r="Q775">
        <v>42658.491517557872</v>
      </c>
      <c r="R775">
        <v>784</v>
      </c>
    </row>
    <row r="776" spans="1:18" x14ac:dyDescent="0.25">
      <c r="A776" t="s">
        <v>2539</v>
      </c>
      <c r="B776" t="s">
        <v>2540</v>
      </c>
      <c r="C776" t="s">
        <v>2541</v>
      </c>
      <c r="D776" t="s">
        <v>2541</v>
      </c>
      <c r="E776" t="s">
        <v>2542</v>
      </c>
      <c r="F776" t="s">
        <v>91</v>
      </c>
      <c r="G776" t="s">
        <v>63</v>
      </c>
      <c r="H776" t="s">
        <v>53</v>
      </c>
      <c r="I776" t="s">
        <v>471</v>
      </c>
      <c r="J776">
        <v>2017</v>
      </c>
      <c r="K776">
        <v>43698.521897777777</v>
      </c>
      <c r="L776" t="s">
        <v>466</v>
      </c>
      <c r="M776" t="s">
        <v>154</v>
      </c>
      <c r="N776" t="s">
        <v>467</v>
      </c>
      <c r="O776">
        <v>345852</v>
      </c>
      <c r="P776">
        <v>43698.521897777777</v>
      </c>
      <c r="Q776">
        <v>42658.492713425927</v>
      </c>
      <c r="R776">
        <v>785</v>
      </c>
    </row>
    <row r="777" spans="1:18" x14ac:dyDescent="0.25">
      <c r="A777" t="s">
        <v>2543</v>
      </c>
      <c r="B777" t="s">
        <v>2544</v>
      </c>
      <c r="C777" t="s">
        <v>2545</v>
      </c>
      <c r="D777" t="s">
        <v>2545</v>
      </c>
      <c r="E777" t="s">
        <v>2546</v>
      </c>
      <c r="F777" t="s">
        <v>21</v>
      </c>
      <c r="G777" t="s">
        <v>22</v>
      </c>
      <c r="H777" t="s">
        <v>53</v>
      </c>
      <c r="I777" t="s">
        <v>471</v>
      </c>
      <c r="J777">
        <v>2017</v>
      </c>
      <c r="K777">
        <v>43698.521897777777</v>
      </c>
      <c r="L777" t="s">
        <v>1660</v>
      </c>
      <c r="M777" t="s">
        <v>37</v>
      </c>
      <c r="N777" t="s">
        <v>27</v>
      </c>
      <c r="O777">
        <v>219277</v>
      </c>
      <c r="P777">
        <v>43356.407118055555</v>
      </c>
      <c r="Q777">
        <v>42661.491798067131</v>
      </c>
      <c r="R777">
        <v>786</v>
      </c>
    </row>
    <row r="778" spans="1:18" x14ac:dyDescent="0.25">
      <c r="A778" t="s">
        <v>2547</v>
      </c>
      <c r="B778" t="s">
        <v>2548</v>
      </c>
      <c r="C778" t="s">
        <v>2549</v>
      </c>
      <c r="D778" t="s">
        <v>2549</v>
      </c>
      <c r="E778" t="s">
        <v>2550</v>
      </c>
      <c r="F778" t="s">
        <v>21</v>
      </c>
      <c r="G778" t="s">
        <v>22</v>
      </c>
      <c r="H778" t="s">
        <v>53</v>
      </c>
      <c r="I778" t="s">
        <v>471</v>
      </c>
      <c r="J778">
        <v>2017</v>
      </c>
      <c r="K778">
        <v>43698.521897777777</v>
      </c>
      <c r="L778" t="s">
        <v>193</v>
      </c>
      <c r="M778" t="s">
        <v>37</v>
      </c>
      <c r="N778" t="s">
        <v>27</v>
      </c>
      <c r="O778">
        <v>213556</v>
      </c>
      <c r="P778">
        <v>43341.511805555558</v>
      </c>
      <c r="Q778">
        <v>42661.492268981485</v>
      </c>
      <c r="R778">
        <v>787</v>
      </c>
    </row>
    <row r="779" spans="1:18" x14ac:dyDescent="0.25">
      <c r="A779" t="s">
        <v>2551</v>
      </c>
      <c r="B779" t="s">
        <v>2552</v>
      </c>
      <c r="C779" t="s">
        <v>2553</v>
      </c>
      <c r="D779" t="s">
        <v>2553</v>
      </c>
      <c r="E779" t="s">
        <v>2554</v>
      </c>
      <c r="F779" t="s">
        <v>21</v>
      </c>
      <c r="G779" t="s">
        <v>22</v>
      </c>
      <c r="H779" t="s">
        <v>53</v>
      </c>
      <c r="I779" t="s">
        <v>471</v>
      </c>
      <c r="J779">
        <v>2017</v>
      </c>
      <c r="K779">
        <v>43698.521897777777</v>
      </c>
      <c r="L779" t="s">
        <v>1660</v>
      </c>
      <c r="M779" t="s">
        <v>37</v>
      </c>
      <c r="N779" t="s">
        <v>27</v>
      </c>
      <c r="O779">
        <v>216844</v>
      </c>
      <c r="P779">
        <v>43348.746527777781</v>
      </c>
      <c r="Q779">
        <v>42661.492858715275</v>
      </c>
      <c r="R779">
        <v>788</v>
      </c>
    </row>
    <row r="780" spans="1:18" x14ac:dyDescent="0.25">
      <c r="A780" t="s">
        <v>2555</v>
      </c>
      <c r="B780" t="s">
        <v>2556</v>
      </c>
      <c r="C780" t="s">
        <v>2557</v>
      </c>
      <c r="D780" t="s">
        <v>2557</v>
      </c>
      <c r="E780" t="s">
        <v>2558</v>
      </c>
      <c r="F780" t="s">
        <v>21</v>
      </c>
      <c r="G780" t="s">
        <v>22</v>
      </c>
      <c r="H780" t="s">
        <v>53</v>
      </c>
      <c r="I780" t="s">
        <v>471</v>
      </c>
      <c r="J780">
        <v>2017</v>
      </c>
      <c r="K780">
        <v>43698.521897777777</v>
      </c>
      <c r="L780" t="s">
        <v>193</v>
      </c>
      <c r="M780" t="s">
        <v>37</v>
      </c>
      <c r="N780" t="s">
        <v>27</v>
      </c>
      <c r="O780">
        <v>186899</v>
      </c>
      <c r="P780">
        <v>43250.983078703706</v>
      </c>
      <c r="Q780">
        <v>42661.493246759259</v>
      </c>
      <c r="R780">
        <v>789</v>
      </c>
    </row>
    <row r="781" spans="1:18" x14ac:dyDescent="0.25">
      <c r="A781" t="s">
        <v>2559</v>
      </c>
      <c r="B781" t="s">
        <v>2560</v>
      </c>
      <c r="C781" t="s">
        <v>2561</v>
      </c>
      <c r="D781" t="s">
        <v>2561</v>
      </c>
      <c r="E781" t="s">
        <v>2561</v>
      </c>
      <c r="F781" t="s">
        <v>21</v>
      </c>
      <c r="G781" t="s">
        <v>63</v>
      </c>
      <c r="H781" t="s">
        <v>34</v>
      </c>
      <c r="I781" t="s">
        <v>703</v>
      </c>
      <c r="J781">
        <v>2013</v>
      </c>
      <c r="K781">
        <v>43698.521897777777</v>
      </c>
      <c r="L781" t="s">
        <v>25</v>
      </c>
      <c r="M781" t="s">
        <v>37</v>
      </c>
      <c r="N781" t="s">
        <v>27</v>
      </c>
      <c r="O781">
        <v>165822</v>
      </c>
      <c r="P781">
        <v>43170.94189814815</v>
      </c>
      <c r="Q781">
        <v>42661.493734178242</v>
      </c>
      <c r="R781">
        <v>790</v>
      </c>
    </row>
    <row r="782" spans="1:18" x14ac:dyDescent="0.25">
      <c r="A782" t="s">
        <v>2562</v>
      </c>
      <c r="B782" t="s">
        <v>2563</v>
      </c>
      <c r="C782" t="s">
        <v>2564</v>
      </c>
      <c r="D782" t="s">
        <v>2564</v>
      </c>
      <c r="E782" t="s">
        <v>2564</v>
      </c>
      <c r="F782" t="s">
        <v>21</v>
      </c>
      <c r="G782" t="s">
        <v>63</v>
      </c>
      <c r="H782" t="s">
        <v>34</v>
      </c>
      <c r="I782" t="s">
        <v>703</v>
      </c>
      <c r="J782">
        <v>2013</v>
      </c>
      <c r="K782">
        <v>43698.521897777777</v>
      </c>
      <c r="L782" t="s">
        <v>25</v>
      </c>
      <c r="M782" t="s">
        <v>37</v>
      </c>
      <c r="N782" t="s">
        <v>27</v>
      </c>
      <c r="O782">
        <v>99377</v>
      </c>
      <c r="P782">
        <v>42761.972395833334</v>
      </c>
      <c r="Q782">
        <v>42661.494078124997</v>
      </c>
      <c r="R782">
        <v>791</v>
      </c>
    </row>
    <row r="783" spans="1:18" x14ac:dyDescent="0.25">
      <c r="A783" t="s">
        <v>2565</v>
      </c>
      <c r="B783" t="s">
        <v>2566</v>
      </c>
      <c r="C783" t="s">
        <v>2567</v>
      </c>
      <c r="D783" t="s">
        <v>2567</v>
      </c>
      <c r="E783" t="s">
        <v>2567</v>
      </c>
      <c r="F783" t="s">
        <v>21</v>
      </c>
      <c r="G783" t="s">
        <v>63</v>
      </c>
      <c r="H783" t="s">
        <v>53</v>
      </c>
      <c r="I783" t="s">
        <v>471</v>
      </c>
      <c r="J783">
        <v>2016</v>
      </c>
      <c r="K783">
        <v>43698.521897777777</v>
      </c>
      <c r="L783" t="s">
        <v>25</v>
      </c>
      <c r="M783" t="s">
        <v>37</v>
      </c>
      <c r="N783" t="s">
        <v>27</v>
      </c>
      <c r="O783">
        <v>168653</v>
      </c>
      <c r="P783">
        <v>43180.734884259262</v>
      </c>
      <c r="Q783">
        <v>42661.494333680559</v>
      </c>
      <c r="R783">
        <v>792</v>
      </c>
    </row>
    <row r="784" spans="1:18" x14ac:dyDescent="0.25">
      <c r="A784" t="s">
        <v>2568</v>
      </c>
      <c r="B784" t="s">
        <v>1556</v>
      </c>
      <c r="C784" t="s">
        <v>2569</v>
      </c>
      <c r="D784" t="s">
        <v>2569</v>
      </c>
      <c r="E784" t="s">
        <v>2569</v>
      </c>
      <c r="F784" t="s">
        <v>21</v>
      </c>
      <c r="G784" t="s">
        <v>63</v>
      </c>
      <c r="H784" t="s">
        <v>34</v>
      </c>
      <c r="I784" t="s">
        <v>703</v>
      </c>
      <c r="J784">
        <v>2012</v>
      </c>
      <c r="K784">
        <v>43698.521897777777</v>
      </c>
      <c r="L784" t="s">
        <v>25</v>
      </c>
      <c r="M784" t="s">
        <v>37</v>
      </c>
      <c r="N784" t="s">
        <v>27</v>
      </c>
      <c r="O784">
        <v>142476</v>
      </c>
      <c r="P784">
        <v>43051.742418981485</v>
      </c>
      <c r="Q784">
        <v>42661.49490972222</v>
      </c>
      <c r="R784">
        <v>793</v>
      </c>
    </row>
    <row r="785" spans="1:18" x14ac:dyDescent="0.25">
      <c r="A785" t="s">
        <v>2570</v>
      </c>
      <c r="B785" t="s">
        <v>2571</v>
      </c>
      <c r="C785" t="s">
        <v>2572</v>
      </c>
      <c r="D785" t="s">
        <v>2572</v>
      </c>
      <c r="E785" t="s">
        <v>2572</v>
      </c>
      <c r="F785" t="s">
        <v>21</v>
      </c>
      <c r="G785" t="s">
        <v>63</v>
      </c>
      <c r="H785" t="s">
        <v>236</v>
      </c>
      <c r="I785" t="s">
        <v>728</v>
      </c>
      <c r="J785">
        <v>2007</v>
      </c>
      <c r="K785">
        <v>43698.521897777777</v>
      </c>
      <c r="L785" t="s">
        <v>25</v>
      </c>
      <c r="M785" t="s">
        <v>37</v>
      </c>
      <c r="N785" t="s">
        <v>27</v>
      </c>
      <c r="O785">
        <v>101245</v>
      </c>
      <c r="P785">
        <v>42780.705208333333</v>
      </c>
      <c r="Q785">
        <v>42661.495201041667</v>
      </c>
      <c r="R785">
        <v>794</v>
      </c>
    </row>
    <row r="786" spans="1:18" x14ac:dyDescent="0.25">
      <c r="A786" t="s">
        <v>2573</v>
      </c>
      <c r="B786" t="s">
        <v>2574</v>
      </c>
      <c r="C786" t="s">
        <v>2575</v>
      </c>
      <c r="D786" t="s">
        <v>2575</v>
      </c>
      <c r="E786" t="s">
        <v>2575</v>
      </c>
      <c r="F786" t="s">
        <v>21</v>
      </c>
      <c r="G786" t="s">
        <v>63</v>
      </c>
      <c r="H786" t="s">
        <v>34</v>
      </c>
      <c r="I786" t="s">
        <v>703</v>
      </c>
      <c r="J786">
        <v>2007</v>
      </c>
      <c r="K786">
        <v>43698.521897777777</v>
      </c>
      <c r="L786" t="s">
        <v>25</v>
      </c>
      <c r="M786" t="s">
        <v>37</v>
      </c>
      <c r="N786" t="s">
        <v>27</v>
      </c>
      <c r="O786">
        <v>99336</v>
      </c>
      <c r="P786">
        <v>42762.017928240741</v>
      </c>
      <c r="Q786">
        <v>42661.495480787038</v>
      </c>
      <c r="R786">
        <v>795</v>
      </c>
    </row>
    <row r="787" spans="1:18" x14ac:dyDescent="0.25">
      <c r="A787" t="s">
        <v>2576</v>
      </c>
      <c r="B787" t="s">
        <v>2577</v>
      </c>
      <c r="C787" t="s">
        <v>2578</v>
      </c>
      <c r="D787" t="s">
        <v>2578</v>
      </c>
      <c r="E787" t="s">
        <v>2578</v>
      </c>
      <c r="F787" t="s">
        <v>21</v>
      </c>
      <c r="G787" t="s">
        <v>63</v>
      </c>
      <c r="H787" t="s">
        <v>34</v>
      </c>
      <c r="I787" t="s">
        <v>35</v>
      </c>
      <c r="J787">
        <v>2009</v>
      </c>
      <c r="K787">
        <v>43698.521897777777</v>
      </c>
      <c r="L787" t="s">
        <v>25</v>
      </c>
      <c r="M787" t="s">
        <v>37</v>
      </c>
      <c r="N787" t="s">
        <v>27</v>
      </c>
      <c r="O787">
        <v>96184</v>
      </c>
      <c r="P787">
        <v>42727.186782407407</v>
      </c>
      <c r="Q787">
        <v>42668.82971273148</v>
      </c>
      <c r="R787">
        <v>796</v>
      </c>
    </row>
    <row r="788" spans="1:18" x14ac:dyDescent="0.25">
      <c r="A788" t="s">
        <v>2579</v>
      </c>
      <c r="B788" t="s">
        <v>2580</v>
      </c>
      <c r="C788" t="s">
        <v>2581</v>
      </c>
      <c r="D788" t="s">
        <v>2581</v>
      </c>
      <c r="E788" t="s">
        <v>2581</v>
      </c>
      <c r="F788" t="s">
        <v>21</v>
      </c>
      <c r="G788" t="s">
        <v>63</v>
      </c>
      <c r="H788" t="s">
        <v>23</v>
      </c>
      <c r="I788" t="s">
        <v>41</v>
      </c>
      <c r="J788">
        <v>2007</v>
      </c>
      <c r="K788">
        <v>43698.521897777777</v>
      </c>
      <c r="L788" t="s">
        <v>25</v>
      </c>
      <c r="M788" t="s">
        <v>37</v>
      </c>
      <c r="N788" t="s">
        <v>27</v>
      </c>
      <c r="O788">
        <v>95297</v>
      </c>
      <c r="P788">
        <v>42721.103761574072</v>
      </c>
      <c r="Q788">
        <v>42668.831186724536</v>
      </c>
      <c r="R788">
        <v>797</v>
      </c>
    </row>
    <row r="789" spans="1:18" x14ac:dyDescent="0.25">
      <c r="A789" t="s">
        <v>2582</v>
      </c>
      <c r="B789" t="s">
        <v>2583</v>
      </c>
      <c r="C789" t="s">
        <v>2584</v>
      </c>
      <c r="D789" t="s">
        <v>2584</v>
      </c>
      <c r="E789" t="s">
        <v>2584</v>
      </c>
      <c r="F789" t="s">
        <v>91</v>
      </c>
      <c r="G789" t="s">
        <v>63</v>
      </c>
      <c r="H789" t="s">
        <v>53</v>
      </c>
      <c r="I789" t="s">
        <v>471</v>
      </c>
      <c r="J789">
        <v>2014</v>
      </c>
      <c r="K789">
        <v>43698.521897777777</v>
      </c>
      <c r="L789" t="s">
        <v>193</v>
      </c>
      <c r="M789" t="s">
        <v>37</v>
      </c>
      <c r="N789" t="s">
        <v>415</v>
      </c>
      <c r="O789">
        <v>345347</v>
      </c>
      <c r="P789">
        <v>43698.521897777777</v>
      </c>
      <c r="Q789">
        <v>42668.832941006942</v>
      </c>
      <c r="R789">
        <v>798</v>
      </c>
    </row>
    <row r="790" spans="1:18" x14ac:dyDescent="0.25">
      <c r="A790" t="s">
        <v>2585</v>
      </c>
      <c r="B790" t="s">
        <v>2586</v>
      </c>
      <c r="C790" t="s">
        <v>2587</v>
      </c>
      <c r="D790" t="s">
        <v>2587</v>
      </c>
      <c r="E790" t="s">
        <v>2587</v>
      </c>
      <c r="F790" t="s">
        <v>21</v>
      </c>
      <c r="G790" t="s">
        <v>63</v>
      </c>
      <c r="H790" t="s">
        <v>53</v>
      </c>
      <c r="I790" t="s">
        <v>471</v>
      </c>
      <c r="J790">
        <v>2017</v>
      </c>
      <c r="K790">
        <v>43698.521897777777</v>
      </c>
      <c r="L790" t="s">
        <v>25</v>
      </c>
      <c r="M790" t="s">
        <v>37</v>
      </c>
      <c r="N790" t="s">
        <v>27</v>
      </c>
      <c r="O790">
        <v>155849</v>
      </c>
      <c r="P790">
        <v>43125.443749999999</v>
      </c>
      <c r="Q790">
        <v>42668.835197141205</v>
      </c>
      <c r="R790">
        <v>799</v>
      </c>
    </row>
    <row r="791" spans="1:18" x14ac:dyDescent="0.25">
      <c r="A791" t="s">
        <v>2588</v>
      </c>
      <c r="B791" t="s">
        <v>2589</v>
      </c>
      <c r="C791" t="s">
        <v>2590</v>
      </c>
      <c r="D791" t="s">
        <v>2590</v>
      </c>
      <c r="E791" t="s">
        <v>2590</v>
      </c>
      <c r="F791" t="s">
        <v>21</v>
      </c>
      <c r="G791" t="s">
        <v>63</v>
      </c>
      <c r="H791" t="s">
        <v>80</v>
      </c>
      <c r="I791" t="s">
        <v>2231</v>
      </c>
      <c r="J791">
        <v>2016</v>
      </c>
      <c r="K791">
        <v>43698.521897777777</v>
      </c>
      <c r="L791" t="s">
        <v>25</v>
      </c>
      <c r="M791" t="s">
        <v>37</v>
      </c>
      <c r="N791" t="s">
        <v>27</v>
      </c>
      <c r="O791">
        <v>98817</v>
      </c>
      <c r="P791">
        <v>42758.999305555553</v>
      </c>
      <c r="Q791">
        <v>42668.837512303238</v>
      </c>
      <c r="R791">
        <v>800</v>
      </c>
    </row>
    <row r="792" spans="1:18" x14ac:dyDescent="0.25">
      <c r="A792" t="s">
        <v>2591</v>
      </c>
      <c r="B792" t="s">
        <v>2592</v>
      </c>
      <c r="C792" t="s">
        <v>2593</v>
      </c>
      <c r="D792" t="s">
        <v>2593</v>
      </c>
      <c r="E792" t="s">
        <v>2594</v>
      </c>
      <c r="F792" t="s">
        <v>21</v>
      </c>
      <c r="G792" t="s">
        <v>22</v>
      </c>
      <c r="H792" t="s">
        <v>53</v>
      </c>
      <c r="I792" t="s">
        <v>471</v>
      </c>
      <c r="J792">
        <v>2017</v>
      </c>
      <c r="K792">
        <v>43698.521897777777</v>
      </c>
      <c r="L792" t="s">
        <v>578</v>
      </c>
      <c r="M792" t="s">
        <v>42</v>
      </c>
      <c r="N792" t="s">
        <v>27</v>
      </c>
      <c r="O792">
        <v>179470</v>
      </c>
      <c r="P792">
        <v>43220.942361111112</v>
      </c>
      <c r="Q792">
        <v>42669.835422719909</v>
      </c>
      <c r="R792">
        <v>801</v>
      </c>
    </row>
    <row r="793" spans="1:18" x14ac:dyDescent="0.25">
      <c r="A793" t="s">
        <v>2595</v>
      </c>
      <c r="B793" t="s">
        <v>2596</v>
      </c>
      <c r="C793" t="s">
        <v>2597</v>
      </c>
      <c r="D793" t="s">
        <v>2597</v>
      </c>
      <c r="E793" t="s">
        <v>2598</v>
      </c>
      <c r="F793" t="s">
        <v>21</v>
      </c>
      <c r="G793" t="s">
        <v>22</v>
      </c>
      <c r="H793" t="s">
        <v>53</v>
      </c>
      <c r="I793" t="s">
        <v>471</v>
      </c>
      <c r="J793">
        <v>2017</v>
      </c>
      <c r="K793">
        <v>43698.521897777777</v>
      </c>
      <c r="L793" t="s">
        <v>578</v>
      </c>
      <c r="M793" t="s">
        <v>42</v>
      </c>
      <c r="N793" t="s">
        <v>27</v>
      </c>
      <c r="O793">
        <v>213399</v>
      </c>
      <c r="P793">
        <v>43337.265277777777</v>
      </c>
      <c r="Q793">
        <v>42669.840590312502</v>
      </c>
      <c r="R793">
        <v>802</v>
      </c>
    </row>
    <row r="794" spans="1:18" x14ac:dyDescent="0.25">
      <c r="A794" t="s">
        <v>2599</v>
      </c>
      <c r="B794" t="s">
        <v>2600</v>
      </c>
      <c r="C794" t="s">
        <v>2601</v>
      </c>
      <c r="D794" t="s">
        <v>2601</v>
      </c>
      <c r="E794" t="s">
        <v>2602</v>
      </c>
      <c r="F794" t="s">
        <v>21</v>
      </c>
      <c r="G794" t="s">
        <v>22</v>
      </c>
      <c r="H794" t="s">
        <v>53</v>
      </c>
      <c r="I794" t="s">
        <v>471</v>
      </c>
      <c r="J794">
        <v>2017</v>
      </c>
      <c r="K794">
        <v>43698.521897777777</v>
      </c>
      <c r="L794" t="s">
        <v>578</v>
      </c>
      <c r="M794" t="s">
        <v>42</v>
      </c>
      <c r="N794" t="s">
        <v>27</v>
      </c>
      <c r="O794">
        <v>210547</v>
      </c>
      <c r="P794">
        <v>43329.488969907405</v>
      </c>
      <c r="Q794">
        <v>42669.842536458331</v>
      </c>
      <c r="R794">
        <v>803</v>
      </c>
    </row>
    <row r="795" spans="1:18" x14ac:dyDescent="0.25">
      <c r="A795" t="s">
        <v>2603</v>
      </c>
      <c r="B795" t="s">
        <v>2604</v>
      </c>
      <c r="C795" t="s">
        <v>2605</v>
      </c>
      <c r="D795" t="s">
        <v>2605</v>
      </c>
      <c r="E795" t="s">
        <v>2606</v>
      </c>
      <c r="F795" t="s">
        <v>21</v>
      </c>
      <c r="G795" t="s">
        <v>22</v>
      </c>
      <c r="H795" t="s">
        <v>53</v>
      </c>
      <c r="I795" t="s">
        <v>471</v>
      </c>
      <c r="J795">
        <v>2017</v>
      </c>
      <c r="K795">
        <v>43698.521897777777</v>
      </c>
      <c r="L795" t="s">
        <v>193</v>
      </c>
      <c r="M795" t="s">
        <v>42</v>
      </c>
      <c r="N795" t="s">
        <v>27</v>
      </c>
      <c r="O795">
        <v>214780</v>
      </c>
      <c r="P795">
        <v>43341.664340277777</v>
      </c>
      <c r="Q795">
        <v>42669.844011956018</v>
      </c>
      <c r="R795">
        <v>804</v>
      </c>
    </row>
    <row r="796" spans="1:18" x14ac:dyDescent="0.25">
      <c r="A796" t="s">
        <v>2607</v>
      </c>
      <c r="B796" t="s">
        <v>2608</v>
      </c>
      <c r="C796" t="s">
        <v>2609</v>
      </c>
      <c r="D796" t="s">
        <v>2609</v>
      </c>
      <c r="E796" t="s">
        <v>2610</v>
      </c>
      <c r="F796" t="s">
        <v>91</v>
      </c>
      <c r="G796" t="s">
        <v>22</v>
      </c>
      <c r="H796" t="s">
        <v>53</v>
      </c>
      <c r="I796" t="s">
        <v>471</v>
      </c>
      <c r="J796">
        <v>2017</v>
      </c>
      <c r="K796">
        <v>43698.521897777777</v>
      </c>
      <c r="L796" t="s">
        <v>1809</v>
      </c>
      <c r="M796" t="s">
        <v>154</v>
      </c>
      <c r="N796" t="s">
        <v>523</v>
      </c>
      <c r="O796">
        <v>346713</v>
      </c>
      <c r="P796">
        <v>43698.521897777777</v>
      </c>
      <c r="Q796">
        <v>42671.508034027778</v>
      </c>
      <c r="R796">
        <v>805</v>
      </c>
    </row>
    <row r="797" spans="1:18" x14ac:dyDescent="0.25">
      <c r="A797" t="s">
        <v>2611</v>
      </c>
      <c r="B797" t="s">
        <v>2612</v>
      </c>
      <c r="C797" t="s">
        <v>2613</v>
      </c>
      <c r="D797" t="s">
        <v>2613</v>
      </c>
      <c r="E797" t="s">
        <v>2614</v>
      </c>
      <c r="F797" t="s">
        <v>91</v>
      </c>
      <c r="G797" t="s">
        <v>22</v>
      </c>
      <c r="H797" t="s">
        <v>53</v>
      </c>
      <c r="I797" t="s">
        <v>471</v>
      </c>
      <c r="J797">
        <v>2017</v>
      </c>
      <c r="K797">
        <v>43698.521897777777</v>
      </c>
      <c r="L797" t="s">
        <v>522</v>
      </c>
      <c r="M797" t="s">
        <v>154</v>
      </c>
      <c r="N797" t="s">
        <v>523</v>
      </c>
      <c r="O797">
        <v>345536</v>
      </c>
      <c r="P797">
        <v>43696.4922337963</v>
      </c>
      <c r="Q797">
        <v>42671.515774768515</v>
      </c>
      <c r="R797">
        <v>806</v>
      </c>
    </row>
    <row r="798" spans="1:18" x14ac:dyDescent="0.25">
      <c r="A798" t="s">
        <v>2615</v>
      </c>
      <c r="B798" t="s">
        <v>2616</v>
      </c>
      <c r="C798" t="s">
        <v>2617</v>
      </c>
      <c r="D798" t="s">
        <v>2617</v>
      </c>
      <c r="E798" t="s">
        <v>2618</v>
      </c>
      <c r="F798" t="s">
        <v>21</v>
      </c>
      <c r="G798" t="s">
        <v>22</v>
      </c>
      <c r="H798" t="s">
        <v>53</v>
      </c>
      <c r="I798" t="s">
        <v>471</v>
      </c>
      <c r="J798">
        <v>2017</v>
      </c>
      <c r="K798">
        <v>43698.521897777777</v>
      </c>
      <c r="L798" t="s">
        <v>422</v>
      </c>
      <c r="M798" t="s">
        <v>37</v>
      </c>
      <c r="N798" t="s">
        <v>27</v>
      </c>
      <c r="O798">
        <v>246280</v>
      </c>
      <c r="P798">
        <v>43431.8125</v>
      </c>
      <c r="Q798">
        <v>42674.545947800929</v>
      </c>
      <c r="R798">
        <v>807</v>
      </c>
    </row>
    <row r="799" spans="1:18" x14ac:dyDescent="0.25">
      <c r="A799" t="s">
        <v>2619</v>
      </c>
      <c r="B799" t="s">
        <v>2620</v>
      </c>
      <c r="C799" t="s">
        <v>2621</v>
      </c>
      <c r="D799" t="s">
        <v>2621</v>
      </c>
      <c r="E799" t="s">
        <v>2622</v>
      </c>
      <c r="F799" t="s">
        <v>21</v>
      </c>
      <c r="G799" t="s">
        <v>22</v>
      </c>
      <c r="H799" t="s">
        <v>53</v>
      </c>
      <c r="I799" t="s">
        <v>471</v>
      </c>
      <c r="J799">
        <v>2017</v>
      </c>
      <c r="K799">
        <v>43698.521897777777</v>
      </c>
      <c r="L799" t="s">
        <v>422</v>
      </c>
      <c r="M799" t="s">
        <v>37</v>
      </c>
      <c r="N799" t="s">
        <v>27</v>
      </c>
      <c r="O799">
        <v>246097</v>
      </c>
      <c r="P799">
        <v>43431.75</v>
      </c>
      <c r="Q799">
        <v>42674.546638460648</v>
      </c>
      <c r="R799">
        <v>808</v>
      </c>
    </row>
    <row r="800" spans="1:18" x14ac:dyDescent="0.25">
      <c r="A800" t="s">
        <v>2623</v>
      </c>
      <c r="B800" t="s">
        <v>1307</v>
      </c>
      <c r="C800" t="s">
        <v>2624</v>
      </c>
      <c r="D800" t="s">
        <v>2624</v>
      </c>
      <c r="E800" t="s">
        <v>2624</v>
      </c>
      <c r="F800" t="s">
        <v>91</v>
      </c>
      <c r="G800" t="s">
        <v>63</v>
      </c>
      <c r="H800" t="s">
        <v>34</v>
      </c>
      <c r="I800" t="s">
        <v>25</v>
      </c>
      <c r="J800">
        <v>2007</v>
      </c>
      <c r="K800">
        <v>43698.521897777777</v>
      </c>
      <c r="L800" t="s">
        <v>466</v>
      </c>
      <c r="M800" t="s">
        <v>154</v>
      </c>
      <c r="N800" t="s">
        <v>467</v>
      </c>
      <c r="O800">
        <v>342811</v>
      </c>
      <c r="P800">
        <v>43695.828217592592</v>
      </c>
      <c r="Q800">
        <v>42674.595066932867</v>
      </c>
      <c r="R800">
        <v>809</v>
      </c>
    </row>
    <row r="801" spans="1:18" x14ac:dyDescent="0.25">
      <c r="A801" t="s">
        <v>2625</v>
      </c>
      <c r="B801" t="s">
        <v>2626</v>
      </c>
      <c r="C801" t="s">
        <v>2627</v>
      </c>
      <c r="D801" t="s">
        <v>2627</v>
      </c>
      <c r="E801" t="s">
        <v>2627</v>
      </c>
      <c r="F801" t="s">
        <v>21</v>
      </c>
      <c r="G801" t="s">
        <v>63</v>
      </c>
      <c r="H801" t="s">
        <v>34</v>
      </c>
      <c r="I801" t="s">
        <v>35</v>
      </c>
      <c r="J801">
        <v>2015</v>
      </c>
      <c r="K801">
        <v>43698.521897777777</v>
      </c>
      <c r="L801" t="s">
        <v>1005</v>
      </c>
      <c r="M801" t="s">
        <v>42</v>
      </c>
      <c r="N801" t="s">
        <v>27</v>
      </c>
      <c r="O801">
        <v>235136</v>
      </c>
      <c r="P801">
        <v>43400.698449074072</v>
      </c>
      <c r="Q801">
        <v>42676.586623611111</v>
      </c>
      <c r="R801">
        <v>810</v>
      </c>
    </row>
    <row r="802" spans="1:18" x14ac:dyDescent="0.25">
      <c r="A802" t="s">
        <v>2628</v>
      </c>
      <c r="B802" t="s">
        <v>1325</v>
      </c>
      <c r="C802" t="s">
        <v>2629</v>
      </c>
      <c r="D802" t="s">
        <v>2629</v>
      </c>
      <c r="E802" t="s">
        <v>2629</v>
      </c>
      <c r="F802" t="s">
        <v>21</v>
      </c>
      <c r="G802" t="s">
        <v>63</v>
      </c>
      <c r="H802" t="s">
        <v>80</v>
      </c>
      <c r="I802" t="s">
        <v>25</v>
      </c>
      <c r="J802">
        <v>2012</v>
      </c>
      <c r="K802">
        <v>43698.521897777777</v>
      </c>
      <c r="L802" t="s">
        <v>466</v>
      </c>
      <c r="M802" t="s">
        <v>154</v>
      </c>
      <c r="N802" t="s">
        <v>27</v>
      </c>
      <c r="O802">
        <v>253775</v>
      </c>
      <c r="P802">
        <v>43455.52616898148</v>
      </c>
      <c r="Q802">
        <v>42679.513916979166</v>
      </c>
      <c r="R802">
        <v>811</v>
      </c>
    </row>
    <row r="803" spans="1:18" x14ac:dyDescent="0.25">
      <c r="A803" t="s">
        <v>2630</v>
      </c>
      <c r="B803" t="s">
        <v>2631</v>
      </c>
      <c r="C803" t="s">
        <v>2632</v>
      </c>
      <c r="D803" t="s">
        <v>2632</v>
      </c>
      <c r="E803" t="s">
        <v>2632</v>
      </c>
      <c r="F803" t="s">
        <v>21</v>
      </c>
      <c r="G803" t="s">
        <v>63</v>
      </c>
      <c r="H803" t="s">
        <v>53</v>
      </c>
      <c r="I803" t="s">
        <v>25</v>
      </c>
      <c r="J803">
        <v>2009</v>
      </c>
      <c r="K803">
        <v>43698.521897777777</v>
      </c>
      <c r="L803" t="s">
        <v>466</v>
      </c>
      <c r="M803" t="s">
        <v>154</v>
      </c>
      <c r="N803" t="s">
        <v>27</v>
      </c>
      <c r="O803">
        <v>192693</v>
      </c>
      <c r="P803">
        <v>43271.016643518517</v>
      </c>
      <c r="Q803">
        <v>42679.520512812502</v>
      </c>
      <c r="R803">
        <v>812</v>
      </c>
    </row>
    <row r="804" spans="1:18" x14ac:dyDescent="0.25">
      <c r="A804" t="s">
        <v>2633</v>
      </c>
      <c r="B804" t="s">
        <v>2634</v>
      </c>
      <c r="C804" t="s">
        <v>2635</v>
      </c>
      <c r="D804" t="s">
        <v>2635</v>
      </c>
      <c r="E804" t="s">
        <v>2636</v>
      </c>
      <c r="F804" t="s">
        <v>21</v>
      </c>
      <c r="G804" t="s">
        <v>106</v>
      </c>
      <c r="H804" t="s">
        <v>25</v>
      </c>
      <c r="I804" t="s">
        <v>25</v>
      </c>
      <c r="K804">
        <v>43698.521897777777</v>
      </c>
      <c r="L804" t="s">
        <v>25</v>
      </c>
      <c r="M804" t="s">
        <v>42</v>
      </c>
      <c r="N804" t="s">
        <v>415</v>
      </c>
      <c r="O804">
        <v>210384</v>
      </c>
      <c r="P804">
        <v>43397.525752314818</v>
      </c>
      <c r="Q804">
        <v>42681.600059872682</v>
      </c>
      <c r="R804">
        <v>813</v>
      </c>
    </row>
    <row r="805" spans="1:18" x14ac:dyDescent="0.25">
      <c r="A805" t="s">
        <v>2637</v>
      </c>
      <c r="B805" t="s">
        <v>2638</v>
      </c>
      <c r="C805" t="s">
        <v>2639</v>
      </c>
      <c r="D805" t="s">
        <v>2639</v>
      </c>
      <c r="E805" t="s">
        <v>2639</v>
      </c>
      <c r="F805" t="s">
        <v>91</v>
      </c>
      <c r="G805" t="s">
        <v>63</v>
      </c>
      <c r="H805" t="s">
        <v>34</v>
      </c>
      <c r="I805" t="s">
        <v>703</v>
      </c>
      <c r="J805">
        <v>2006</v>
      </c>
      <c r="K805">
        <v>43698.521897777777</v>
      </c>
      <c r="L805" t="s">
        <v>1660</v>
      </c>
      <c r="M805" t="s">
        <v>37</v>
      </c>
      <c r="N805" t="s">
        <v>415</v>
      </c>
      <c r="O805">
        <v>346936</v>
      </c>
      <c r="P805">
        <v>43698.521897777777</v>
      </c>
      <c r="Q805">
        <v>42681.757239351849</v>
      </c>
      <c r="R805">
        <v>814</v>
      </c>
    </row>
    <row r="806" spans="1:18" x14ac:dyDescent="0.25">
      <c r="A806" t="s">
        <v>2640</v>
      </c>
      <c r="B806" t="s">
        <v>2641</v>
      </c>
      <c r="C806" t="s">
        <v>2642</v>
      </c>
      <c r="D806" t="s">
        <v>2642</v>
      </c>
      <c r="E806" t="s">
        <v>2642</v>
      </c>
      <c r="F806" t="s">
        <v>21</v>
      </c>
      <c r="G806" t="s">
        <v>63</v>
      </c>
      <c r="H806" t="s">
        <v>34</v>
      </c>
      <c r="I806" t="s">
        <v>703</v>
      </c>
      <c r="J806">
        <v>2007</v>
      </c>
      <c r="K806">
        <v>43698.521897777777</v>
      </c>
      <c r="L806" t="s">
        <v>25</v>
      </c>
      <c r="M806" t="s">
        <v>37</v>
      </c>
      <c r="N806" t="s">
        <v>27</v>
      </c>
      <c r="O806">
        <v>124386</v>
      </c>
      <c r="P806">
        <v>42951.779780092591</v>
      </c>
      <c r="Q806">
        <v>42681.764549803243</v>
      </c>
      <c r="R806">
        <v>815</v>
      </c>
    </row>
    <row r="807" spans="1:18" x14ac:dyDescent="0.25">
      <c r="A807" t="s">
        <v>2643</v>
      </c>
      <c r="B807" t="s">
        <v>2644</v>
      </c>
      <c r="C807" t="s">
        <v>2645</v>
      </c>
      <c r="D807" t="s">
        <v>2645</v>
      </c>
      <c r="E807" t="s">
        <v>2645</v>
      </c>
      <c r="F807" t="s">
        <v>91</v>
      </c>
      <c r="G807" t="s">
        <v>63</v>
      </c>
      <c r="H807" t="s">
        <v>34</v>
      </c>
      <c r="I807" t="s">
        <v>703</v>
      </c>
      <c r="J807">
        <v>2017</v>
      </c>
      <c r="K807">
        <v>43698.521897777777</v>
      </c>
      <c r="L807" t="s">
        <v>1940</v>
      </c>
      <c r="M807" t="s">
        <v>37</v>
      </c>
      <c r="N807" t="s">
        <v>93</v>
      </c>
      <c r="O807">
        <v>346942</v>
      </c>
      <c r="P807">
        <v>43698.521897777777</v>
      </c>
      <c r="Q807">
        <v>42681.806862881946</v>
      </c>
      <c r="R807">
        <v>816</v>
      </c>
    </row>
    <row r="808" spans="1:18" x14ac:dyDescent="0.25">
      <c r="A808" t="s">
        <v>2646</v>
      </c>
      <c r="B808" t="s">
        <v>201</v>
      </c>
      <c r="C808" t="s">
        <v>2647</v>
      </c>
      <c r="D808" t="s">
        <v>2647</v>
      </c>
      <c r="E808" t="s">
        <v>2648</v>
      </c>
      <c r="F808" t="s">
        <v>21</v>
      </c>
      <c r="G808" t="s">
        <v>22</v>
      </c>
      <c r="H808" t="s">
        <v>23</v>
      </c>
      <c r="I808" t="s">
        <v>59</v>
      </c>
      <c r="J808">
        <v>2006</v>
      </c>
      <c r="K808">
        <v>43698.521897777777</v>
      </c>
      <c r="L808" t="s">
        <v>25</v>
      </c>
      <c r="M808" t="s">
        <v>37</v>
      </c>
      <c r="N808" t="s">
        <v>27</v>
      </c>
      <c r="O808">
        <v>131856</v>
      </c>
      <c r="P808">
        <v>42996.870138888888</v>
      </c>
      <c r="Q808">
        <v>42681.809589930555</v>
      </c>
      <c r="R808">
        <v>817</v>
      </c>
    </row>
    <row r="809" spans="1:18" x14ac:dyDescent="0.25">
      <c r="A809" t="s">
        <v>2649</v>
      </c>
      <c r="B809" t="s">
        <v>204</v>
      </c>
      <c r="C809" t="s">
        <v>2650</v>
      </c>
      <c r="D809" t="s">
        <v>2650</v>
      </c>
      <c r="E809" t="s">
        <v>2651</v>
      </c>
      <c r="F809" t="s">
        <v>21</v>
      </c>
      <c r="G809" t="s">
        <v>22</v>
      </c>
      <c r="H809" t="s">
        <v>23</v>
      </c>
      <c r="I809" t="s">
        <v>59</v>
      </c>
      <c r="J809">
        <v>2006</v>
      </c>
      <c r="K809">
        <v>43698.521897777777</v>
      </c>
      <c r="L809" t="s">
        <v>25</v>
      </c>
      <c r="M809" t="s">
        <v>37</v>
      </c>
      <c r="N809" t="s">
        <v>27</v>
      </c>
      <c r="O809">
        <v>116191</v>
      </c>
      <c r="P809">
        <v>42894.854166666664</v>
      </c>
      <c r="Q809">
        <v>42681.811201469907</v>
      </c>
      <c r="R809">
        <v>818</v>
      </c>
    </row>
    <row r="810" spans="1:18" x14ac:dyDescent="0.25">
      <c r="A810" t="s">
        <v>2652</v>
      </c>
      <c r="B810" t="s">
        <v>2653</v>
      </c>
      <c r="C810" t="s">
        <v>2654</v>
      </c>
      <c r="D810" t="s">
        <v>2654</v>
      </c>
      <c r="E810" t="s">
        <v>2654</v>
      </c>
      <c r="F810" t="s">
        <v>21</v>
      </c>
      <c r="G810" t="s">
        <v>63</v>
      </c>
      <c r="H810" t="s">
        <v>34</v>
      </c>
      <c r="I810" t="s">
        <v>703</v>
      </c>
      <c r="J810">
        <v>2017</v>
      </c>
      <c r="K810">
        <v>43698.521897777777</v>
      </c>
      <c r="L810" t="s">
        <v>25</v>
      </c>
      <c r="M810" t="s">
        <v>37</v>
      </c>
      <c r="N810" t="s">
        <v>27</v>
      </c>
      <c r="O810">
        <v>114400</v>
      </c>
      <c r="P810">
        <v>42885.734212962961</v>
      </c>
      <c r="Q810">
        <v>42681.814043831022</v>
      </c>
      <c r="R810">
        <v>819</v>
      </c>
    </row>
    <row r="811" spans="1:18" x14ac:dyDescent="0.25">
      <c r="A811" t="s">
        <v>2655</v>
      </c>
      <c r="B811" t="s">
        <v>2656</v>
      </c>
      <c r="C811" t="s">
        <v>2657</v>
      </c>
      <c r="D811" t="s">
        <v>2657</v>
      </c>
      <c r="E811" t="s">
        <v>2657</v>
      </c>
      <c r="F811" t="s">
        <v>21</v>
      </c>
      <c r="G811" t="s">
        <v>63</v>
      </c>
      <c r="H811" t="s">
        <v>53</v>
      </c>
      <c r="I811" t="s">
        <v>471</v>
      </c>
      <c r="J811">
        <v>2016</v>
      </c>
      <c r="K811">
        <v>43698.521897777777</v>
      </c>
      <c r="L811" t="s">
        <v>25</v>
      </c>
      <c r="M811" t="s">
        <v>37</v>
      </c>
      <c r="N811" t="s">
        <v>27</v>
      </c>
      <c r="O811">
        <v>142779</v>
      </c>
      <c r="P811">
        <v>43054.831250000003</v>
      </c>
      <c r="Q811">
        <v>42681.815238888892</v>
      </c>
      <c r="R811">
        <v>820</v>
      </c>
    </row>
    <row r="812" spans="1:18" x14ac:dyDescent="0.25">
      <c r="A812" t="s">
        <v>2658</v>
      </c>
      <c r="B812" t="s">
        <v>2105</v>
      </c>
      <c r="C812" t="s">
        <v>2659</v>
      </c>
      <c r="D812" t="s">
        <v>2659</v>
      </c>
      <c r="E812" t="s">
        <v>2659</v>
      </c>
      <c r="F812" t="s">
        <v>21</v>
      </c>
      <c r="G812" t="s">
        <v>63</v>
      </c>
      <c r="H812" t="s">
        <v>53</v>
      </c>
      <c r="I812" t="s">
        <v>25</v>
      </c>
      <c r="J812">
        <v>2007</v>
      </c>
      <c r="K812">
        <v>43698.521897777777</v>
      </c>
      <c r="L812" t="s">
        <v>25</v>
      </c>
      <c r="M812" t="s">
        <v>154</v>
      </c>
      <c r="N812" t="s">
        <v>27</v>
      </c>
      <c r="O812">
        <v>97365</v>
      </c>
      <c r="P812">
        <v>42744.417974537035</v>
      </c>
      <c r="Q812">
        <v>42689.713712037039</v>
      </c>
      <c r="R812">
        <v>822</v>
      </c>
    </row>
    <row r="813" spans="1:18" x14ac:dyDescent="0.25">
      <c r="A813" t="s">
        <v>2660</v>
      </c>
      <c r="B813" t="s">
        <v>2661</v>
      </c>
      <c r="C813" t="s">
        <v>2662</v>
      </c>
      <c r="D813" t="s">
        <v>2662</v>
      </c>
      <c r="E813" t="s">
        <v>2662</v>
      </c>
      <c r="F813" t="s">
        <v>91</v>
      </c>
      <c r="G813" t="s">
        <v>63</v>
      </c>
      <c r="H813" t="s">
        <v>53</v>
      </c>
      <c r="I813" t="s">
        <v>25</v>
      </c>
      <c r="J813">
        <v>2007</v>
      </c>
      <c r="K813">
        <v>43698.521897777777</v>
      </c>
      <c r="L813" t="s">
        <v>466</v>
      </c>
      <c r="M813" t="s">
        <v>154</v>
      </c>
      <c r="N813" t="s">
        <v>467</v>
      </c>
      <c r="O813">
        <v>345646</v>
      </c>
      <c r="P813">
        <v>43698.521897777777</v>
      </c>
      <c r="Q813">
        <v>42689.71755775463</v>
      </c>
      <c r="R813">
        <v>824</v>
      </c>
    </row>
    <row r="814" spans="1:18" x14ac:dyDescent="0.25">
      <c r="A814" t="s">
        <v>2663</v>
      </c>
      <c r="B814" t="s">
        <v>2664</v>
      </c>
      <c r="C814" t="s">
        <v>2665</v>
      </c>
      <c r="D814" t="s">
        <v>2665</v>
      </c>
      <c r="E814" t="s">
        <v>2665</v>
      </c>
      <c r="F814" t="s">
        <v>21</v>
      </c>
      <c r="G814" t="s">
        <v>63</v>
      </c>
      <c r="H814" t="s">
        <v>23</v>
      </c>
      <c r="I814" t="s">
        <v>2666</v>
      </c>
      <c r="J814">
        <v>2009</v>
      </c>
      <c r="K814">
        <v>43698.521897777777</v>
      </c>
      <c r="L814" t="s">
        <v>25</v>
      </c>
      <c r="M814" t="s">
        <v>37</v>
      </c>
      <c r="N814" t="s">
        <v>27</v>
      </c>
      <c r="O814">
        <v>97042</v>
      </c>
      <c r="P814">
        <v>42742.85769675926</v>
      </c>
      <c r="Q814">
        <v>42691.70212962963</v>
      </c>
      <c r="R814">
        <v>825</v>
      </c>
    </row>
    <row r="815" spans="1:18" x14ac:dyDescent="0.25">
      <c r="A815" t="s">
        <v>2667</v>
      </c>
      <c r="B815" t="s">
        <v>2668</v>
      </c>
      <c r="C815" t="s">
        <v>2669</v>
      </c>
      <c r="D815" t="s">
        <v>2669</v>
      </c>
      <c r="E815" t="s">
        <v>2669</v>
      </c>
      <c r="F815" t="s">
        <v>21</v>
      </c>
      <c r="G815" t="s">
        <v>63</v>
      </c>
      <c r="H815" t="s">
        <v>34</v>
      </c>
      <c r="I815" t="s">
        <v>25</v>
      </c>
      <c r="J815">
        <v>2006</v>
      </c>
      <c r="K815">
        <v>43698.521897777777</v>
      </c>
      <c r="L815" t="s">
        <v>25</v>
      </c>
      <c r="M815" t="s">
        <v>37</v>
      </c>
      <c r="N815" t="s">
        <v>27</v>
      </c>
      <c r="O815">
        <v>100793</v>
      </c>
      <c r="P815">
        <v>42775.969444444447</v>
      </c>
      <c r="Q815">
        <v>42691.70518232639</v>
      </c>
      <c r="R815">
        <v>826</v>
      </c>
    </row>
    <row r="816" spans="1:18" x14ac:dyDescent="0.25">
      <c r="A816" t="s">
        <v>2670</v>
      </c>
      <c r="B816" t="s">
        <v>2671</v>
      </c>
      <c r="C816" t="s">
        <v>2672</v>
      </c>
      <c r="D816" t="s">
        <v>2672</v>
      </c>
      <c r="E816" t="s">
        <v>2673</v>
      </c>
      <c r="F816" t="s">
        <v>21</v>
      </c>
      <c r="G816" t="s">
        <v>22</v>
      </c>
      <c r="H816" t="s">
        <v>53</v>
      </c>
      <c r="I816" t="s">
        <v>471</v>
      </c>
      <c r="J816">
        <v>2017</v>
      </c>
      <c r="K816">
        <v>43698.521897777777</v>
      </c>
      <c r="L816" t="s">
        <v>1716</v>
      </c>
      <c r="M816" t="s">
        <v>42</v>
      </c>
      <c r="N816" t="s">
        <v>27</v>
      </c>
      <c r="O816">
        <v>212145</v>
      </c>
      <c r="P816">
        <v>43334.05972222222</v>
      </c>
      <c r="Q816">
        <v>42691.795330057874</v>
      </c>
      <c r="R816">
        <v>827</v>
      </c>
    </row>
    <row r="817" spans="1:18" x14ac:dyDescent="0.25">
      <c r="A817" t="s">
        <v>2674</v>
      </c>
      <c r="B817" t="s">
        <v>2675</v>
      </c>
      <c r="C817" t="s">
        <v>2676</v>
      </c>
      <c r="D817" t="s">
        <v>2676</v>
      </c>
      <c r="E817" t="s">
        <v>2677</v>
      </c>
      <c r="F817" t="s">
        <v>21</v>
      </c>
      <c r="G817" t="s">
        <v>22</v>
      </c>
      <c r="H817" t="s">
        <v>53</v>
      </c>
      <c r="I817" t="s">
        <v>471</v>
      </c>
      <c r="J817">
        <v>2017</v>
      </c>
      <c r="K817">
        <v>43698.521897777777</v>
      </c>
      <c r="L817" t="s">
        <v>193</v>
      </c>
      <c r="M817" t="s">
        <v>42</v>
      </c>
      <c r="N817" t="s">
        <v>27</v>
      </c>
      <c r="O817">
        <v>215264</v>
      </c>
      <c r="P817">
        <v>43344.042013888888</v>
      </c>
      <c r="Q817">
        <v>42691.796886770833</v>
      </c>
      <c r="R817">
        <v>828</v>
      </c>
    </row>
    <row r="818" spans="1:18" x14ac:dyDescent="0.25">
      <c r="A818" t="s">
        <v>2678</v>
      </c>
      <c r="B818" t="s">
        <v>2679</v>
      </c>
      <c r="C818" t="s">
        <v>2680</v>
      </c>
      <c r="D818" t="s">
        <v>2680</v>
      </c>
      <c r="E818" t="s">
        <v>2681</v>
      </c>
      <c r="F818" t="s">
        <v>21</v>
      </c>
      <c r="G818" t="s">
        <v>22</v>
      </c>
      <c r="H818" t="s">
        <v>53</v>
      </c>
      <c r="I818" t="s">
        <v>471</v>
      </c>
      <c r="J818">
        <v>2017</v>
      </c>
      <c r="K818">
        <v>43698.521897777777</v>
      </c>
      <c r="L818" t="s">
        <v>1940</v>
      </c>
      <c r="M818" t="s">
        <v>42</v>
      </c>
      <c r="N818" t="s">
        <v>27</v>
      </c>
      <c r="O818">
        <v>215822</v>
      </c>
      <c r="P818">
        <v>43348.596493055556</v>
      </c>
      <c r="Q818">
        <v>42691.798447835645</v>
      </c>
      <c r="R818">
        <v>829</v>
      </c>
    </row>
    <row r="819" spans="1:18" x14ac:dyDescent="0.25">
      <c r="A819" t="s">
        <v>2682</v>
      </c>
      <c r="B819" t="s">
        <v>2683</v>
      </c>
      <c r="C819" t="s">
        <v>2684</v>
      </c>
      <c r="D819" t="s">
        <v>2684</v>
      </c>
      <c r="E819" t="s">
        <v>2685</v>
      </c>
      <c r="F819" t="s">
        <v>21</v>
      </c>
      <c r="G819" t="s">
        <v>22</v>
      </c>
      <c r="H819" t="s">
        <v>53</v>
      </c>
      <c r="I819" t="s">
        <v>471</v>
      </c>
      <c r="J819">
        <v>2017</v>
      </c>
      <c r="K819">
        <v>43698.521897777777</v>
      </c>
      <c r="L819" t="s">
        <v>2686</v>
      </c>
      <c r="M819" t="s">
        <v>42</v>
      </c>
      <c r="N819" t="s">
        <v>27</v>
      </c>
      <c r="O819">
        <v>214820</v>
      </c>
      <c r="P819">
        <v>43341.729166666664</v>
      </c>
      <c r="Q819">
        <v>42691.799651967594</v>
      </c>
      <c r="R819">
        <v>830</v>
      </c>
    </row>
    <row r="820" spans="1:18" x14ac:dyDescent="0.25">
      <c r="A820" t="s">
        <v>2687</v>
      </c>
      <c r="B820" t="s">
        <v>2688</v>
      </c>
      <c r="C820" t="s">
        <v>2689</v>
      </c>
      <c r="D820" t="s">
        <v>2689</v>
      </c>
      <c r="E820" t="s">
        <v>2690</v>
      </c>
      <c r="F820" t="s">
        <v>21</v>
      </c>
      <c r="G820" t="s">
        <v>22</v>
      </c>
      <c r="H820" t="s">
        <v>53</v>
      </c>
      <c r="I820" t="s">
        <v>471</v>
      </c>
      <c r="J820">
        <v>2017</v>
      </c>
      <c r="K820">
        <v>43698.521897777777</v>
      </c>
      <c r="L820" t="s">
        <v>1660</v>
      </c>
      <c r="M820" t="s">
        <v>1733</v>
      </c>
      <c r="N820" t="s">
        <v>27</v>
      </c>
      <c r="O820">
        <v>210611</v>
      </c>
      <c r="P820">
        <v>43328.409722222219</v>
      </c>
      <c r="Q820">
        <v>42697.755561458333</v>
      </c>
      <c r="R820">
        <v>831</v>
      </c>
    </row>
    <row r="821" spans="1:18" x14ac:dyDescent="0.25">
      <c r="A821" t="s">
        <v>2691</v>
      </c>
      <c r="B821" t="s">
        <v>2692</v>
      </c>
      <c r="C821" t="s">
        <v>2693</v>
      </c>
      <c r="D821" t="s">
        <v>2693</v>
      </c>
      <c r="E821" t="s">
        <v>2694</v>
      </c>
      <c r="F821" t="s">
        <v>21</v>
      </c>
      <c r="G821" t="s">
        <v>22</v>
      </c>
      <c r="H821" t="s">
        <v>53</v>
      </c>
      <c r="I821" t="s">
        <v>471</v>
      </c>
      <c r="J821">
        <v>2017</v>
      </c>
      <c r="K821">
        <v>43698.521897777777</v>
      </c>
      <c r="L821" t="s">
        <v>1940</v>
      </c>
      <c r="M821" t="s">
        <v>1733</v>
      </c>
      <c r="N821" t="s">
        <v>27</v>
      </c>
      <c r="O821">
        <v>209570</v>
      </c>
      <c r="P821">
        <v>43330.714583333334</v>
      </c>
      <c r="Q821">
        <v>42697.757064120371</v>
      </c>
      <c r="R821">
        <v>832</v>
      </c>
    </row>
    <row r="822" spans="1:18" x14ac:dyDescent="0.25">
      <c r="A822" t="s">
        <v>2695</v>
      </c>
      <c r="B822" t="s">
        <v>2696</v>
      </c>
      <c r="C822" t="s">
        <v>2697</v>
      </c>
      <c r="D822" t="s">
        <v>2697</v>
      </c>
      <c r="E822" t="s">
        <v>2697</v>
      </c>
      <c r="F822" t="s">
        <v>21</v>
      </c>
      <c r="G822" t="s">
        <v>63</v>
      </c>
      <c r="H822" t="s">
        <v>80</v>
      </c>
      <c r="I822" t="s">
        <v>1856</v>
      </c>
      <c r="J822">
        <v>2008</v>
      </c>
      <c r="K822">
        <v>43698.521897777777</v>
      </c>
      <c r="L822" t="s">
        <v>25</v>
      </c>
      <c r="M822" t="s">
        <v>37</v>
      </c>
      <c r="N822" t="s">
        <v>27</v>
      </c>
      <c r="O822">
        <v>96163</v>
      </c>
      <c r="P822">
        <v>42725.859027777777</v>
      </c>
      <c r="Q822">
        <v>42698.780843252316</v>
      </c>
      <c r="R822">
        <v>833</v>
      </c>
    </row>
    <row r="823" spans="1:18" x14ac:dyDescent="0.25">
      <c r="A823" t="s">
        <v>2698</v>
      </c>
      <c r="B823" t="s">
        <v>2699</v>
      </c>
      <c r="C823" t="s">
        <v>2700</v>
      </c>
      <c r="D823" t="s">
        <v>2700</v>
      </c>
      <c r="E823" t="s">
        <v>2700</v>
      </c>
      <c r="F823" t="s">
        <v>21</v>
      </c>
      <c r="G823" t="s">
        <v>63</v>
      </c>
      <c r="H823" t="s">
        <v>34</v>
      </c>
      <c r="I823" t="s">
        <v>703</v>
      </c>
      <c r="J823">
        <v>2013</v>
      </c>
      <c r="K823">
        <v>43698.521897777777</v>
      </c>
      <c r="L823" t="s">
        <v>1660</v>
      </c>
      <c r="M823" t="s">
        <v>37</v>
      </c>
      <c r="N823" t="s">
        <v>27</v>
      </c>
      <c r="O823">
        <v>265517</v>
      </c>
      <c r="P823">
        <v>43491.693749999999</v>
      </c>
      <c r="Q823">
        <v>42699.693790590274</v>
      </c>
      <c r="R823">
        <v>834</v>
      </c>
    </row>
    <row r="824" spans="1:18" x14ac:dyDescent="0.25">
      <c r="A824" t="s">
        <v>2701</v>
      </c>
      <c r="B824" t="s">
        <v>2702</v>
      </c>
      <c r="C824" t="s">
        <v>2703</v>
      </c>
      <c r="D824" t="s">
        <v>2703</v>
      </c>
      <c r="E824" t="s">
        <v>2704</v>
      </c>
      <c r="F824" t="s">
        <v>21</v>
      </c>
      <c r="G824" t="s">
        <v>22</v>
      </c>
      <c r="H824" t="s">
        <v>53</v>
      </c>
      <c r="I824" t="s">
        <v>471</v>
      </c>
      <c r="J824">
        <v>2017</v>
      </c>
      <c r="K824">
        <v>43698.521897777777</v>
      </c>
      <c r="L824" t="s">
        <v>2686</v>
      </c>
      <c r="M824" t="s">
        <v>37</v>
      </c>
      <c r="N824" t="s">
        <v>27</v>
      </c>
      <c r="O824">
        <v>222148</v>
      </c>
      <c r="P824">
        <v>43364.991666666669</v>
      </c>
      <c r="Q824">
        <v>42699.695914583332</v>
      </c>
      <c r="R824">
        <v>835</v>
      </c>
    </row>
    <row r="825" spans="1:18" x14ac:dyDescent="0.25">
      <c r="A825" t="s">
        <v>2705</v>
      </c>
      <c r="B825" t="s">
        <v>2706</v>
      </c>
      <c r="C825" t="s">
        <v>2707</v>
      </c>
      <c r="D825" t="s">
        <v>2707</v>
      </c>
      <c r="E825" t="s">
        <v>2708</v>
      </c>
      <c r="F825" t="s">
        <v>21</v>
      </c>
      <c r="G825" t="s">
        <v>22</v>
      </c>
      <c r="H825" t="s">
        <v>53</v>
      </c>
      <c r="I825" t="s">
        <v>471</v>
      </c>
      <c r="J825">
        <v>2017</v>
      </c>
      <c r="K825">
        <v>43698.521897777777</v>
      </c>
      <c r="L825" t="s">
        <v>193</v>
      </c>
      <c r="M825" t="s">
        <v>37</v>
      </c>
      <c r="N825" t="s">
        <v>27</v>
      </c>
      <c r="O825">
        <v>218096</v>
      </c>
      <c r="P825">
        <v>43355.002083333333</v>
      </c>
      <c r="Q825">
        <v>42699.699170173611</v>
      </c>
      <c r="R825">
        <v>836</v>
      </c>
    </row>
    <row r="826" spans="1:18" x14ac:dyDescent="0.25">
      <c r="A826" t="s">
        <v>2709</v>
      </c>
      <c r="B826" t="s">
        <v>2710</v>
      </c>
      <c r="C826" t="s">
        <v>2711</v>
      </c>
      <c r="D826" t="s">
        <v>2711</v>
      </c>
      <c r="E826" t="s">
        <v>2712</v>
      </c>
      <c r="F826" t="s">
        <v>21</v>
      </c>
      <c r="G826" t="s">
        <v>22</v>
      </c>
      <c r="H826" t="s">
        <v>53</v>
      </c>
      <c r="I826" t="s">
        <v>471</v>
      </c>
      <c r="J826">
        <v>2017</v>
      </c>
      <c r="K826">
        <v>43698.521897777777</v>
      </c>
      <c r="L826" t="s">
        <v>2713</v>
      </c>
      <c r="M826" t="s">
        <v>37</v>
      </c>
      <c r="N826" t="s">
        <v>27</v>
      </c>
      <c r="O826">
        <v>217131</v>
      </c>
      <c r="P826">
        <v>43352.696192129632</v>
      </c>
      <c r="Q826">
        <v>42699.7015503125</v>
      </c>
      <c r="R826">
        <v>837</v>
      </c>
    </row>
    <row r="827" spans="1:18" x14ac:dyDescent="0.25">
      <c r="A827" t="s">
        <v>2714</v>
      </c>
      <c r="B827" t="s">
        <v>2715</v>
      </c>
      <c r="C827" t="s">
        <v>2716</v>
      </c>
      <c r="D827" t="s">
        <v>2716</v>
      </c>
      <c r="E827" t="s">
        <v>2717</v>
      </c>
      <c r="F827" t="s">
        <v>21</v>
      </c>
      <c r="G827" t="s">
        <v>22</v>
      </c>
      <c r="H827" t="s">
        <v>53</v>
      </c>
      <c r="I827" t="s">
        <v>471</v>
      </c>
      <c r="J827">
        <v>2017</v>
      </c>
      <c r="K827">
        <v>43698.521897777777</v>
      </c>
      <c r="L827" t="s">
        <v>2713</v>
      </c>
      <c r="M827" t="s">
        <v>37</v>
      </c>
      <c r="N827" t="s">
        <v>27</v>
      </c>
      <c r="O827">
        <v>216676</v>
      </c>
      <c r="P827">
        <v>43350.409722222219</v>
      </c>
      <c r="Q827">
        <v>42699.703229976854</v>
      </c>
      <c r="R827">
        <v>838</v>
      </c>
    </row>
    <row r="828" spans="1:18" x14ac:dyDescent="0.25">
      <c r="A828" t="s">
        <v>2718</v>
      </c>
      <c r="B828" t="s">
        <v>2719</v>
      </c>
      <c r="C828" t="s">
        <v>2720</v>
      </c>
      <c r="D828" t="s">
        <v>2720</v>
      </c>
      <c r="E828" t="s">
        <v>2721</v>
      </c>
      <c r="F828" t="s">
        <v>21</v>
      </c>
      <c r="G828" t="s">
        <v>22</v>
      </c>
      <c r="H828" t="s">
        <v>53</v>
      </c>
      <c r="I828" t="s">
        <v>471</v>
      </c>
      <c r="J828">
        <v>2017</v>
      </c>
      <c r="K828">
        <v>43698.521897777777</v>
      </c>
      <c r="L828" t="s">
        <v>1660</v>
      </c>
      <c r="M828" t="s">
        <v>37</v>
      </c>
      <c r="N828" t="s">
        <v>27</v>
      </c>
      <c r="O828">
        <v>215746</v>
      </c>
      <c r="P828">
        <v>43344.746018518519</v>
      </c>
      <c r="Q828">
        <v>42699.705429317131</v>
      </c>
      <c r="R828">
        <v>839</v>
      </c>
    </row>
    <row r="829" spans="1:18" x14ac:dyDescent="0.25">
      <c r="A829" t="s">
        <v>2722</v>
      </c>
      <c r="B829" t="s">
        <v>2723</v>
      </c>
      <c r="C829" t="s">
        <v>2724</v>
      </c>
      <c r="D829" t="s">
        <v>2724</v>
      </c>
      <c r="E829" t="s">
        <v>2724</v>
      </c>
      <c r="F829" t="s">
        <v>21</v>
      </c>
      <c r="G829" t="s">
        <v>63</v>
      </c>
      <c r="H829" t="s">
        <v>80</v>
      </c>
      <c r="I829" t="s">
        <v>1027</v>
      </c>
      <c r="J829">
        <v>2006</v>
      </c>
      <c r="K829">
        <v>43698.521897777777</v>
      </c>
      <c r="L829" t="s">
        <v>25</v>
      </c>
      <c r="M829" t="s">
        <v>37</v>
      </c>
      <c r="N829" t="s">
        <v>27</v>
      </c>
      <c r="O829">
        <v>129019</v>
      </c>
      <c r="P829">
        <v>42979.572222222225</v>
      </c>
      <c r="Q829">
        <v>42699.717633761575</v>
      </c>
      <c r="R829">
        <v>840</v>
      </c>
    </row>
    <row r="830" spans="1:18" x14ac:dyDescent="0.25">
      <c r="A830" t="s">
        <v>2725</v>
      </c>
      <c r="B830" t="s">
        <v>2726</v>
      </c>
      <c r="C830" t="s">
        <v>2727</v>
      </c>
      <c r="D830" t="s">
        <v>2727</v>
      </c>
      <c r="E830" t="s">
        <v>2727</v>
      </c>
      <c r="F830" t="s">
        <v>21</v>
      </c>
      <c r="G830" t="s">
        <v>63</v>
      </c>
      <c r="H830" t="s">
        <v>53</v>
      </c>
      <c r="I830" t="s">
        <v>25</v>
      </c>
      <c r="J830">
        <v>2012</v>
      </c>
      <c r="K830">
        <v>43698.521897777777</v>
      </c>
      <c r="L830" t="s">
        <v>466</v>
      </c>
      <c r="M830" t="s">
        <v>154</v>
      </c>
      <c r="N830" t="s">
        <v>27</v>
      </c>
      <c r="O830">
        <v>256919</v>
      </c>
      <c r="P830">
        <v>43467.530891203707</v>
      </c>
      <c r="Q830">
        <v>42703.803001192129</v>
      </c>
      <c r="R830">
        <v>841</v>
      </c>
    </row>
    <row r="831" spans="1:18" x14ac:dyDescent="0.25">
      <c r="A831" t="s">
        <v>2728</v>
      </c>
      <c r="B831" t="s">
        <v>2729</v>
      </c>
      <c r="C831" t="s">
        <v>2730</v>
      </c>
      <c r="D831" t="s">
        <v>2730</v>
      </c>
      <c r="E831" t="s">
        <v>2730</v>
      </c>
      <c r="F831" t="s">
        <v>21</v>
      </c>
      <c r="G831" t="s">
        <v>63</v>
      </c>
      <c r="H831" t="s">
        <v>34</v>
      </c>
      <c r="I831" t="s">
        <v>35</v>
      </c>
      <c r="J831">
        <v>2014</v>
      </c>
      <c r="K831">
        <v>43698.521897777777</v>
      </c>
      <c r="L831" t="s">
        <v>25</v>
      </c>
      <c r="M831" t="s">
        <v>1941</v>
      </c>
      <c r="N831" t="s">
        <v>27</v>
      </c>
      <c r="O831">
        <v>118577</v>
      </c>
      <c r="P831">
        <v>42913.941435185188</v>
      </c>
      <c r="Q831">
        <v>42706.542727974535</v>
      </c>
      <c r="R831">
        <v>842</v>
      </c>
    </row>
    <row r="832" spans="1:18" x14ac:dyDescent="0.25">
      <c r="A832" t="s">
        <v>2731</v>
      </c>
      <c r="B832" t="s">
        <v>2732</v>
      </c>
      <c r="C832" t="s">
        <v>2733</v>
      </c>
      <c r="D832" t="s">
        <v>2733</v>
      </c>
      <c r="E832" t="s">
        <v>2733</v>
      </c>
      <c r="F832" t="s">
        <v>21</v>
      </c>
      <c r="G832" t="s">
        <v>63</v>
      </c>
      <c r="H832" t="s">
        <v>23</v>
      </c>
      <c r="I832" t="s">
        <v>41</v>
      </c>
      <c r="J832">
        <v>2011</v>
      </c>
      <c r="K832">
        <v>43698.521897777777</v>
      </c>
      <c r="L832" t="s">
        <v>1005</v>
      </c>
      <c r="M832" t="s">
        <v>1941</v>
      </c>
      <c r="N832" t="s">
        <v>27</v>
      </c>
      <c r="O832">
        <v>155981</v>
      </c>
      <c r="P832">
        <v>43125.77847222222</v>
      </c>
      <c r="Q832">
        <v>42706.546011770835</v>
      </c>
      <c r="R832">
        <v>843</v>
      </c>
    </row>
    <row r="833" spans="1:18" x14ac:dyDescent="0.25">
      <c r="A833" t="s">
        <v>2734</v>
      </c>
      <c r="B833" t="s">
        <v>2735</v>
      </c>
      <c r="C833" t="s">
        <v>2736</v>
      </c>
      <c r="D833" t="s">
        <v>2736</v>
      </c>
      <c r="E833" t="s">
        <v>2736</v>
      </c>
      <c r="F833" t="s">
        <v>21</v>
      </c>
      <c r="G833" t="s">
        <v>63</v>
      </c>
      <c r="H833" t="s">
        <v>34</v>
      </c>
      <c r="I833" t="s">
        <v>149</v>
      </c>
      <c r="J833">
        <v>2010</v>
      </c>
      <c r="K833">
        <v>43698.521897777777</v>
      </c>
      <c r="L833" t="s">
        <v>25</v>
      </c>
      <c r="M833" t="s">
        <v>1941</v>
      </c>
      <c r="N833" t="s">
        <v>27</v>
      </c>
      <c r="O833">
        <v>99223</v>
      </c>
      <c r="P833">
        <v>42762.098275462966</v>
      </c>
      <c r="Q833">
        <v>42706.548369479169</v>
      </c>
      <c r="R833">
        <v>844</v>
      </c>
    </row>
    <row r="834" spans="1:18" x14ac:dyDescent="0.25">
      <c r="A834" t="s">
        <v>2737</v>
      </c>
      <c r="B834" t="s">
        <v>2738</v>
      </c>
      <c r="C834" t="s">
        <v>2739</v>
      </c>
      <c r="D834" t="s">
        <v>2739</v>
      </c>
      <c r="E834" t="s">
        <v>2740</v>
      </c>
      <c r="F834" t="s">
        <v>91</v>
      </c>
      <c r="G834" t="s">
        <v>22</v>
      </c>
      <c r="H834" t="s">
        <v>53</v>
      </c>
      <c r="I834" t="s">
        <v>471</v>
      </c>
      <c r="J834">
        <v>2017</v>
      </c>
      <c r="K834">
        <v>43698.521897777777</v>
      </c>
      <c r="L834" t="s">
        <v>1809</v>
      </c>
      <c r="M834" t="s">
        <v>154</v>
      </c>
      <c r="N834" t="s">
        <v>467</v>
      </c>
      <c r="O834">
        <v>346796</v>
      </c>
      <c r="P834">
        <v>43698.521897777777</v>
      </c>
      <c r="Q834">
        <v>42706.870174074073</v>
      </c>
      <c r="R834">
        <v>845</v>
      </c>
    </row>
    <row r="835" spans="1:18" x14ac:dyDescent="0.25">
      <c r="A835" t="s">
        <v>2741</v>
      </c>
      <c r="B835" t="s">
        <v>2742</v>
      </c>
      <c r="C835" t="s">
        <v>2743</v>
      </c>
      <c r="D835" t="s">
        <v>2743</v>
      </c>
      <c r="E835" t="s">
        <v>2744</v>
      </c>
      <c r="F835" t="s">
        <v>91</v>
      </c>
      <c r="G835" t="s">
        <v>22</v>
      </c>
      <c r="H835" t="s">
        <v>53</v>
      </c>
      <c r="I835" t="s">
        <v>471</v>
      </c>
      <c r="J835">
        <v>2017</v>
      </c>
      <c r="K835">
        <v>43698.521897777777</v>
      </c>
      <c r="L835" t="s">
        <v>1809</v>
      </c>
      <c r="M835" t="s">
        <v>154</v>
      </c>
      <c r="N835" t="s">
        <v>467</v>
      </c>
      <c r="O835">
        <v>329905</v>
      </c>
      <c r="P835">
        <v>43698.521897777777</v>
      </c>
      <c r="Q835">
        <v>42706.871034027776</v>
      </c>
      <c r="R835">
        <v>846</v>
      </c>
    </row>
    <row r="836" spans="1:18" x14ac:dyDescent="0.25">
      <c r="A836" t="s">
        <v>2745</v>
      </c>
      <c r="B836" t="s">
        <v>2746</v>
      </c>
      <c r="C836" t="s">
        <v>2747</v>
      </c>
      <c r="D836" t="s">
        <v>2747</v>
      </c>
      <c r="E836" t="s">
        <v>2748</v>
      </c>
      <c r="F836" t="s">
        <v>91</v>
      </c>
      <c r="G836" t="s">
        <v>22</v>
      </c>
      <c r="H836" t="s">
        <v>53</v>
      </c>
      <c r="I836" t="s">
        <v>471</v>
      </c>
      <c r="J836">
        <v>2017</v>
      </c>
      <c r="K836">
        <v>43698.521897777777</v>
      </c>
      <c r="L836" t="s">
        <v>1809</v>
      </c>
      <c r="M836" t="s">
        <v>154</v>
      </c>
      <c r="N836" t="s">
        <v>467</v>
      </c>
      <c r="O836">
        <v>346757</v>
      </c>
      <c r="P836">
        <v>43698.505046296297</v>
      </c>
      <c r="Q836">
        <v>42706.871650810186</v>
      </c>
      <c r="R836">
        <v>847</v>
      </c>
    </row>
    <row r="837" spans="1:18" x14ac:dyDescent="0.25">
      <c r="A837" t="s">
        <v>2749</v>
      </c>
      <c r="B837" t="s">
        <v>2750</v>
      </c>
      <c r="C837" t="s">
        <v>2751</v>
      </c>
      <c r="D837" t="s">
        <v>2751</v>
      </c>
      <c r="E837" t="s">
        <v>2752</v>
      </c>
      <c r="F837" t="s">
        <v>91</v>
      </c>
      <c r="G837" t="s">
        <v>22</v>
      </c>
      <c r="H837" t="s">
        <v>53</v>
      </c>
      <c r="I837" t="s">
        <v>471</v>
      </c>
      <c r="J837">
        <v>2017</v>
      </c>
      <c r="K837">
        <v>43698.521897777777</v>
      </c>
      <c r="L837" t="s">
        <v>1809</v>
      </c>
      <c r="M837" t="s">
        <v>154</v>
      </c>
      <c r="N837" t="s">
        <v>467</v>
      </c>
      <c r="O837">
        <v>346698</v>
      </c>
      <c r="P837">
        <v>43698.521897777777</v>
      </c>
      <c r="Q837">
        <v>42706.872341238428</v>
      </c>
      <c r="R837">
        <v>848</v>
      </c>
    </row>
    <row r="838" spans="1:18" x14ac:dyDescent="0.25">
      <c r="A838" t="s">
        <v>2753</v>
      </c>
      <c r="B838" t="s">
        <v>2754</v>
      </c>
      <c r="C838" t="s">
        <v>2755</v>
      </c>
      <c r="D838" t="s">
        <v>2755</v>
      </c>
      <c r="E838" t="s">
        <v>2755</v>
      </c>
      <c r="F838" t="s">
        <v>91</v>
      </c>
      <c r="G838" t="s">
        <v>63</v>
      </c>
      <c r="H838" t="s">
        <v>53</v>
      </c>
      <c r="I838" t="s">
        <v>1248</v>
      </c>
      <c r="J838">
        <v>2006</v>
      </c>
      <c r="K838">
        <v>43698.521897777777</v>
      </c>
      <c r="L838" t="s">
        <v>466</v>
      </c>
      <c r="M838" t="s">
        <v>154</v>
      </c>
      <c r="N838" t="s">
        <v>467</v>
      </c>
      <c r="O838">
        <v>345526</v>
      </c>
      <c r="P838">
        <v>43698.521897777777</v>
      </c>
      <c r="Q838">
        <v>42711.761225694441</v>
      </c>
      <c r="R838">
        <v>849</v>
      </c>
    </row>
    <row r="839" spans="1:18" x14ac:dyDescent="0.25">
      <c r="A839" t="s">
        <v>25</v>
      </c>
      <c r="B839" t="s">
        <v>25</v>
      </c>
      <c r="C839" t="s">
        <v>2756</v>
      </c>
      <c r="D839" t="s">
        <v>2756</v>
      </c>
      <c r="E839" t="s">
        <v>2756</v>
      </c>
      <c r="F839" t="s">
        <v>21</v>
      </c>
      <c r="G839" t="s">
        <v>22</v>
      </c>
      <c r="H839" t="s">
        <v>2757</v>
      </c>
      <c r="I839" t="s">
        <v>2758</v>
      </c>
      <c r="K839">
        <v>43698.521897777777</v>
      </c>
      <c r="L839" t="s">
        <v>25</v>
      </c>
      <c r="M839" t="s">
        <v>42</v>
      </c>
      <c r="N839" t="s">
        <v>27</v>
      </c>
      <c r="Q839">
        <v>42717.575226273148</v>
      </c>
      <c r="R839">
        <v>850</v>
      </c>
    </row>
    <row r="840" spans="1:18" x14ac:dyDescent="0.25">
      <c r="A840" t="s">
        <v>25</v>
      </c>
      <c r="B840" t="s">
        <v>25</v>
      </c>
      <c r="C840" t="s">
        <v>2759</v>
      </c>
      <c r="D840" t="s">
        <v>2759</v>
      </c>
      <c r="E840" t="s">
        <v>2759</v>
      </c>
      <c r="F840" t="s">
        <v>91</v>
      </c>
      <c r="G840" t="s">
        <v>22</v>
      </c>
      <c r="H840" t="s">
        <v>2760</v>
      </c>
      <c r="I840" t="s">
        <v>2761</v>
      </c>
      <c r="K840">
        <v>43698.521897777777</v>
      </c>
      <c r="L840" t="s">
        <v>25</v>
      </c>
      <c r="M840" t="s">
        <v>1399</v>
      </c>
      <c r="N840" t="s">
        <v>1305</v>
      </c>
      <c r="Q840">
        <v>42717.609000578705</v>
      </c>
      <c r="R840">
        <v>851</v>
      </c>
    </row>
    <row r="841" spans="1:18" x14ac:dyDescent="0.25">
      <c r="A841" t="s">
        <v>2762</v>
      </c>
      <c r="B841" t="s">
        <v>2763</v>
      </c>
      <c r="C841" t="s">
        <v>2764</v>
      </c>
      <c r="D841" t="s">
        <v>2764</v>
      </c>
      <c r="E841" t="s">
        <v>2764</v>
      </c>
      <c r="F841" t="s">
        <v>91</v>
      </c>
      <c r="G841" t="s">
        <v>22</v>
      </c>
      <c r="H841" t="s">
        <v>2765</v>
      </c>
      <c r="I841" t="s">
        <v>2766</v>
      </c>
      <c r="J841">
        <v>2017</v>
      </c>
      <c r="K841">
        <v>43698.521897777777</v>
      </c>
      <c r="L841" t="s">
        <v>25</v>
      </c>
      <c r="M841" t="s">
        <v>42</v>
      </c>
      <c r="N841" t="s">
        <v>415</v>
      </c>
      <c r="Q841">
        <v>42717.609682025461</v>
      </c>
      <c r="R841">
        <v>852</v>
      </c>
    </row>
    <row r="842" spans="1:18" x14ac:dyDescent="0.25">
      <c r="A842" t="s">
        <v>25</v>
      </c>
      <c r="B842" t="s">
        <v>25</v>
      </c>
      <c r="C842" t="s">
        <v>2767</v>
      </c>
      <c r="D842" t="s">
        <v>2767</v>
      </c>
      <c r="E842" t="s">
        <v>2767</v>
      </c>
      <c r="F842" t="s">
        <v>21</v>
      </c>
      <c r="G842" t="s">
        <v>22</v>
      </c>
      <c r="H842" t="s">
        <v>2768</v>
      </c>
      <c r="I842" t="s">
        <v>2769</v>
      </c>
      <c r="K842">
        <v>43698.521897777777</v>
      </c>
      <c r="L842" t="s">
        <v>25</v>
      </c>
      <c r="M842" t="s">
        <v>42</v>
      </c>
      <c r="N842" t="s">
        <v>27</v>
      </c>
      <c r="Q842">
        <v>42717.610402777776</v>
      </c>
      <c r="R842">
        <v>853</v>
      </c>
    </row>
    <row r="843" spans="1:18" x14ac:dyDescent="0.25">
      <c r="A843" t="s">
        <v>2770</v>
      </c>
      <c r="B843" t="s">
        <v>2771</v>
      </c>
      <c r="C843" t="s">
        <v>2772</v>
      </c>
      <c r="D843" t="s">
        <v>2772</v>
      </c>
      <c r="E843" t="s">
        <v>2772</v>
      </c>
      <c r="F843" t="s">
        <v>21</v>
      </c>
      <c r="G843" t="s">
        <v>22</v>
      </c>
      <c r="H843" t="s">
        <v>1410</v>
      </c>
      <c r="I843" t="s">
        <v>2758</v>
      </c>
      <c r="K843">
        <v>43698.521897777777</v>
      </c>
      <c r="L843" t="s">
        <v>25</v>
      </c>
      <c r="M843" t="s">
        <v>154</v>
      </c>
      <c r="N843" t="s">
        <v>1305</v>
      </c>
      <c r="Q843">
        <v>42718.580668171293</v>
      </c>
      <c r="R843">
        <v>854</v>
      </c>
    </row>
    <row r="844" spans="1:18" x14ac:dyDescent="0.25">
      <c r="A844" t="s">
        <v>2773</v>
      </c>
      <c r="B844" t="s">
        <v>2774</v>
      </c>
      <c r="C844" t="s">
        <v>2775</v>
      </c>
      <c r="D844" t="s">
        <v>2775</v>
      </c>
      <c r="E844" t="s">
        <v>2776</v>
      </c>
      <c r="F844" t="s">
        <v>91</v>
      </c>
      <c r="G844" t="s">
        <v>22</v>
      </c>
      <c r="H844" t="s">
        <v>53</v>
      </c>
      <c r="I844" t="s">
        <v>471</v>
      </c>
      <c r="J844">
        <v>2017</v>
      </c>
      <c r="K844">
        <v>43698.521897777777</v>
      </c>
      <c r="L844" t="s">
        <v>422</v>
      </c>
      <c r="M844" t="s">
        <v>2777</v>
      </c>
      <c r="N844" t="s">
        <v>2778</v>
      </c>
      <c r="O844">
        <v>343677</v>
      </c>
      <c r="P844">
        <v>43691.219074074077</v>
      </c>
      <c r="Q844">
        <v>42720.611436307867</v>
      </c>
      <c r="R844">
        <v>855</v>
      </c>
    </row>
    <row r="845" spans="1:18" x14ac:dyDescent="0.25">
      <c r="A845" t="s">
        <v>2779</v>
      </c>
      <c r="B845" t="s">
        <v>2780</v>
      </c>
      <c r="C845" t="s">
        <v>2781</v>
      </c>
      <c r="D845" t="s">
        <v>2781</v>
      </c>
      <c r="E845" t="s">
        <v>2782</v>
      </c>
      <c r="F845" t="s">
        <v>91</v>
      </c>
      <c r="G845" t="s">
        <v>22</v>
      </c>
      <c r="H845" t="s">
        <v>53</v>
      </c>
      <c r="I845" t="s">
        <v>471</v>
      </c>
      <c r="J845">
        <v>2017</v>
      </c>
      <c r="K845">
        <v>43698.521897777777</v>
      </c>
      <c r="L845" t="s">
        <v>2783</v>
      </c>
      <c r="M845" t="s">
        <v>2777</v>
      </c>
      <c r="N845" t="s">
        <v>2784</v>
      </c>
      <c r="O845">
        <v>346881</v>
      </c>
      <c r="P845">
        <v>43698.521897777777</v>
      </c>
      <c r="Q845">
        <v>42720.612174386573</v>
      </c>
      <c r="R845">
        <v>856</v>
      </c>
    </row>
    <row r="846" spans="1:18" x14ac:dyDescent="0.25">
      <c r="A846" t="s">
        <v>2785</v>
      </c>
      <c r="B846" t="s">
        <v>2786</v>
      </c>
      <c r="C846" t="s">
        <v>2787</v>
      </c>
      <c r="D846" t="s">
        <v>2787</v>
      </c>
      <c r="E846" t="s">
        <v>2788</v>
      </c>
      <c r="F846" t="s">
        <v>21</v>
      </c>
      <c r="G846" t="s">
        <v>22</v>
      </c>
      <c r="H846" t="s">
        <v>53</v>
      </c>
      <c r="I846" t="s">
        <v>471</v>
      </c>
      <c r="J846">
        <v>2017</v>
      </c>
      <c r="K846">
        <v>43698.521897777777</v>
      </c>
      <c r="L846" t="s">
        <v>422</v>
      </c>
      <c r="M846" t="s">
        <v>2777</v>
      </c>
      <c r="N846" t="s">
        <v>27</v>
      </c>
      <c r="O846">
        <v>266280</v>
      </c>
      <c r="P846">
        <v>43493.6875</v>
      </c>
      <c r="Q846">
        <v>42720.616875960652</v>
      </c>
      <c r="R846">
        <v>857</v>
      </c>
    </row>
    <row r="847" spans="1:18" x14ac:dyDescent="0.25">
      <c r="A847" t="s">
        <v>2789</v>
      </c>
      <c r="B847" t="s">
        <v>2790</v>
      </c>
      <c r="C847" t="s">
        <v>2791</v>
      </c>
      <c r="D847" t="s">
        <v>2791</v>
      </c>
      <c r="E847" t="s">
        <v>2792</v>
      </c>
      <c r="F847" t="s">
        <v>21</v>
      </c>
      <c r="G847" t="s">
        <v>22</v>
      </c>
      <c r="H847" t="s">
        <v>53</v>
      </c>
      <c r="I847" t="s">
        <v>471</v>
      </c>
      <c r="J847">
        <v>2017</v>
      </c>
      <c r="K847">
        <v>43698.521897777777</v>
      </c>
      <c r="L847" t="s">
        <v>2783</v>
      </c>
      <c r="M847" t="s">
        <v>2777</v>
      </c>
      <c r="N847" t="s">
        <v>27</v>
      </c>
      <c r="O847">
        <v>264765</v>
      </c>
      <c r="P847">
        <v>43489.020833333336</v>
      </c>
      <c r="Q847">
        <v>42720.618411076386</v>
      </c>
      <c r="R847">
        <v>858</v>
      </c>
    </row>
    <row r="848" spans="1:18" x14ac:dyDescent="0.25">
      <c r="A848" t="s">
        <v>2793</v>
      </c>
      <c r="B848" t="s">
        <v>2794</v>
      </c>
      <c r="C848" t="s">
        <v>2795</v>
      </c>
      <c r="D848" t="s">
        <v>2795</v>
      </c>
      <c r="E848" t="s">
        <v>2796</v>
      </c>
      <c r="F848" t="s">
        <v>91</v>
      </c>
      <c r="G848" t="s">
        <v>22</v>
      </c>
      <c r="H848" t="s">
        <v>53</v>
      </c>
      <c r="I848" t="s">
        <v>471</v>
      </c>
      <c r="J848">
        <v>2017</v>
      </c>
      <c r="K848">
        <v>43698.521897777777</v>
      </c>
      <c r="L848" t="s">
        <v>1809</v>
      </c>
      <c r="M848" t="s">
        <v>154</v>
      </c>
      <c r="N848" t="s">
        <v>467</v>
      </c>
      <c r="O848">
        <v>346670</v>
      </c>
      <c r="P848">
        <v>43698.131388888891</v>
      </c>
      <c r="Q848">
        <v>42720.67747303241</v>
      </c>
      <c r="R848">
        <v>859</v>
      </c>
    </row>
    <row r="849" spans="1:18" x14ac:dyDescent="0.25">
      <c r="A849" t="s">
        <v>2797</v>
      </c>
      <c r="B849" t="s">
        <v>2798</v>
      </c>
      <c r="C849" t="s">
        <v>2799</v>
      </c>
      <c r="D849" t="s">
        <v>2799</v>
      </c>
      <c r="E849" t="s">
        <v>2800</v>
      </c>
      <c r="F849" t="s">
        <v>91</v>
      </c>
      <c r="G849" t="s">
        <v>22</v>
      </c>
      <c r="H849" t="s">
        <v>53</v>
      </c>
      <c r="I849" t="s">
        <v>471</v>
      </c>
      <c r="J849">
        <v>2017</v>
      </c>
      <c r="K849">
        <v>43698.521897777777</v>
      </c>
      <c r="L849" t="s">
        <v>1809</v>
      </c>
      <c r="M849" t="s">
        <v>154</v>
      </c>
      <c r="N849" t="s">
        <v>467</v>
      </c>
      <c r="O849">
        <v>346830</v>
      </c>
      <c r="P849">
        <v>43698.521897777777</v>
      </c>
      <c r="Q849">
        <v>42720.679116122687</v>
      </c>
      <c r="R849">
        <v>860</v>
      </c>
    </row>
    <row r="850" spans="1:18" x14ac:dyDescent="0.25">
      <c r="A850" t="s">
        <v>25</v>
      </c>
      <c r="B850" t="s">
        <v>25</v>
      </c>
      <c r="C850" t="s">
        <v>2801</v>
      </c>
      <c r="D850" t="s">
        <v>2801</v>
      </c>
      <c r="E850" t="s">
        <v>2801</v>
      </c>
      <c r="F850" t="s">
        <v>21</v>
      </c>
      <c r="G850" t="s">
        <v>22</v>
      </c>
      <c r="H850" t="s">
        <v>2802</v>
      </c>
      <c r="I850" t="s">
        <v>25</v>
      </c>
      <c r="K850">
        <v>43698.521897777777</v>
      </c>
      <c r="L850" t="s">
        <v>25</v>
      </c>
      <c r="M850" t="s">
        <v>42</v>
      </c>
      <c r="N850" t="s">
        <v>27</v>
      </c>
      <c r="Q850">
        <v>42723.562635069444</v>
      </c>
      <c r="R850">
        <v>861</v>
      </c>
    </row>
    <row r="851" spans="1:18" x14ac:dyDescent="0.25">
      <c r="A851" t="s">
        <v>25</v>
      </c>
      <c r="B851" t="s">
        <v>25</v>
      </c>
      <c r="C851" t="s">
        <v>2803</v>
      </c>
      <c r="D851" t="s">
        <v>2803</v>
      </c>
      <c r="E851" t="s">
        <v>2803</v>
      </c>
      <c r="F851" t="s">
        <v>21</v>
      </c>
      <c r="G851" t="s">
        <v>22</v>
      </c>
      <c r="H851" t="s">
        <v>2804</v>
      </c>
      <c r="I851" t="s">
        <v>25</v>
      </c>
      <c r="K851">
        <v>43698.521897777777</v>
      </c>
      <c r="L851" t="s">
        <v>25</v>
      </c>
      <c r="M851" t="s">
        <v>154</v>
      </c>
      <c r="N851" t="s">
        <v>523</v>
      </c>
      <c r="Q851">
        <v>42723.568625729167</v>
      </c>
      <c r="R851">
        <v>862</v>
      </c>
    </row>
    <row r="852" spans="1:18" x14ac:dyDescent="0.25">
      <c r="A852" t="s">
        <v>2805</v>
      </c>
      <c r="B852" t="s">
        <v>2806</v>
      </c>
      <c r="C852" t="s">
        <v>2807</v>
      </c>
      <c r="D852" t="s">
        <v>2807</v>
      </c>
      <c r="E852" t="s">
        <v>2807</v>
      </c>
      <c r="F852" t="s">
        <v>21</v>
      </c>
      <c r="G852" t="s">
        <v>22</v>
      </c>
      <c r="H852" t="s">
        <v>1315</v>
      </c>
      <c r="I852" t="s">
        <v>2808</v>
      </c>
      <c r="J852">
        <v>2014</v>
      </c>
      <c r="K852">
        <v>43698.521897777777</v>
      </c>
      <c r="L852" t="s">
        <v>2809</v>
      </c>
      <c r="M852" t="s">
        <v>26</v>
      </c>
      <c r="N852" t="s">
        <v>1305</v>
      </c>
      <c r="Q852">
        <v>42723.602690821761</v>
      </c>
      <c r="R852">
        <v>863</v>
      </c>
    </row>
    <row r="853" spans="1:18" x14ac:dyDescent="0.25">
      <c r="A853" t="s">
        <v>2810</v>
      </c>
      <c r="B853" t="s">
        <v>2811</v>
      </c>
      <c r="C853" t="s">
        <v>2812</v>
      </c>
      <c r="D853" t="s">
        <v>2812</v>
      </c>
      <c r="E853" t="s">
        <v>2812</v>
      </c>
      <c r="F853" t="s">
        <v>91</v>
      </c>
      <c r="G853" t="s">
        <v>22</v>
      </c>
      <c r="H853" t="s">
        <v>2813</v>
      </c>
      <c r="I853" t="s">
        <v>2766</v>
      </c>
      <c r="J853">
        <v>2017</v>
      </c>
      <c r="K853">
        <v>43698.521897777777</v>
      </c>
      <c r="L853" t="s">
        <v>25</v>
      </c>
      <c r="M853" t="s">
        <v>42</v>
      </c>
      <c r="N853" t="s">
        <v>415</v>
      </c>
      <c r="Q853">
        <v>42723.604510648147</v>
      </c>
      <c r="R853">
        <v>864</v>
      </c>
    </row>
    <row r="854" spans="1:18" x14ac:dyDescent="0.25">
      <c r="A854" t="s">
        <v>2814</v>
      </c>
      <c r="B854" t="s">
        <v>2815</v>
      </c>
      <c r="C854" t="s">
        <v>2816</v>
      </c>
      <c r="D854" t="s">
        <v>1315</v>
      </c>
      <c r="E854" t="s">
        <v>2817</v>
      </c>
      <c r="F854" t="s">
        <v>21</v>
      </c>
      <c r="G854" t="s">
        <v>22</v>
      </c>
      <c r="H854" t="s">
        <v>1315</v>
      </c>
      <c r="I854" t="s">
        <v>2818</v>
      </c>
      <c r="J854">
        <v>2014</v>
      </c>
      <c r="K854">
        <v>43698.521897777777</v>
      </c>
      <c r="L854" t="s">
        <v>25</v>
      </c>
      <c r="M854" t="s">
        <v>42</v>
      </c>
      <c r="N854" t="s">
        <v>523</v>
      </c>
      <c r="Q854">
        <v>42723.641523842591</v>
      </c>
      <c r="R854">
        <v>865</v>
      </c>
    </row>
    <row r="855" spans="1:18" x14ac:dyDescent="0.25">
      <c r="A855" t="s">
        <v>2819</v>
      </c>
      <c r="B855" t="s">
        <v>1116</v>
      </c>
      <c r="C855" t="s">
        <v>2820</v>
      </c>
      <c r="D855" t="s">
        <v>2820</v>
      </c>
      <c r="E855" t="s">
        <v>2820</v>
      </c>
      <c r="F855" t="s">
        <v>21</v>
      </c>
      <c r="G855" t="s">
        <v>63</v>
      </c>
      <c r="H855" t="s">
        <v>53</v>
      </c>
      <c r="I855" t="s">
        <v>1118</v>
      </c>
      <c r="J855">
        <v>2007</v>
      </c>
      <c r="K855">
        <v>43698.521897777777</v>
      </c>
      <c r="L855" t="s">
        <v>25</v>
      </c>
      <c r="M855" t="s">
        <v>37</v>
      </c>
      <c r="N855" t="s">
        <v>27</v>
      </c>
      <c r="O855">
        <v>119951</v>
      </c>
      <c r="P855">
        <v>42921.716932870368</v>
      </c>
      <c r="Q855">
        <v>42727.760431134258</v>
      </c>
      <c r="R855">
        <v>866</v>
      </c>
    </row>
    <row r="856" spans="1:18" x14ac:dyDescent="0.25">
      <c r="A856" t="s">
        <v>2821</v>
      </c>
      <c r="B856" t="s">
        <v>2822</v>
      </c>
      <c r="C856" t="s">
        <v>2823</v>
      </c>
      <c r="D856" t="s">
        <v>2823</v>
      </c>
      <c r="E856" t="s">
        <v>2823</v>
      </c>
      <c r="F856" t="s">
        <v>21</v>
      </c>
      <c r="G856" t="s">
        <v>63</v>
      </c>
      <c r="H856" t="s">
        <v>34</v>
      </c>
      <c r="I856" t="s">
        <v>35</v>
      </c>
      <c r="J856">
        <v>2013</v>
      </c>
      <c r="K856">
        <v>43698.521897777777</v>
      </c>
      <c r="L856" t="s">
        <v>25</v>
      </c>
      <c r="M856" t="s">
        <v>1941</v>
      </c>
      <c r="N856" t="s">
        <v>27</v>
      </c>
      <c r="O856">
        <v>161806</v>
      </c>
      <c r="P856">
        <v>43150.949872685182</v>
      </c>
      <c r="Q856">
        <v>42738.662238576391</v>
      </c>
      <c r="R856">
        <v>867</v>
      </c>
    </row>
    <row r="857" spans="1:18" x14ac:dyDescent="0.25">
      <c r="A857" t="s">
        <v>2824</v>
      </c>
      <c r="B857" t="s">
        <v>2825</v>
      </c>
      <c r="C857" t="s">
        <v>2826</v>
      </c>
      <c r="D857" t="s">
        <v>2826</v>
      </c>
      <c r="E857" t="s">
        <v>2826</v>
      </c>
      <c r="F857" t="s">
        <v>91</v>
      </c>
      <c r="G857" t="s">
        <v>63</v>
      </c>
      <c r="H857" t="s">
        <v>236</v>
      </c>
      <c r="I857" t="s">
        <v>25</v>
      </c>
      <c r="J857">
        <v>2012</v>
      </c>
      <c r="K857">
        <v>43698.521897777777</v>
      </c>
      <c r="L857" t="s">
        <v>466</v>
      </c>
      <c r="M857" t="s">
        <v>154</v>
      </c>
      <c r="N857" t="s">
        <v>1305</v>
      </c>
      <c r="O857">
        <v>346633</v>
      </c>
      <c r="P857">
        <v>43698.521897777777</v>
      </c>
      <c r="Q857">
        <v>42741.765945289349</v>
      </c>
      <c r="R857">
        <v>869</v>
      </c>
    </row>
    <row r="858" spans="1:18" x14ac:dyDescent="0.25">
      <c r="A858" t="s">
        <v>2827</v>
      </c>
      <c r="B858" t="s">
        <v>2828</v>
      </c>
      <c r="C858" t="s">
        <v>2829</v>
      </c>
      <c r="D858" t="s">
        <v>2829</v>
      </c>
      <c r="E858" t="s">
        <v>2830</v>
      </c>
      <c r="F858" t="s">
        <v>21</v>
      </c>
      <c r="G858" t="s">
        <v>22</v>
      </c>
      <c r="H858" t="s">
        <v>53</v>
      </c>
      <c r="I858" t="s">
        <v>471</v>
      </c>
      <c r="J858">
        <v>2017</v>
      </c>
      <c r="K858">
        <v>43698.521897777777</v>
      </c>
      <c r="L858" t="s">
        <v>422</v>
      </c>
      <c r="M858" t="s">
        <v>2777</v>
      </c>
      <c r="N858" t="s">
        <v>27</v>
      </c>
      <c r="O858">
        <v>272671</v>
      </c>
      <c r="P858">
        <v>43511.8125</v>
      </c>
      <c r="Q858">
        <v>42745.433960381946</v>
      </c>
      <c r="R858">
        <v>870</v>
      </c>
    </row>
    <row r="859" spans="1:18" x14ac:dyDescent="0.25">
      <c r="A859" t="s">
        <v>2831</v>
      </c>
      <c r="B859" t="s">
        <v>2832</v>
      </c>
      <c r="C859" t="s">
        <v>2833</v>
      </c>
      <c r="D859" t="s">
        <v>2833</v>
      </c>
      <c r="E859" t="s">
        <v>2834</v>
      </c>
      <c r="F859" t="s">
        <v>91</v>
      </c>
      <c r="G859" t="s">
        <v>22</v>
      </c>
      <c r="H859" t="s">
        <v>53</v>
      </c>
      <c r="I859" t="s">
        <v>471</v>
      </c>
      <c r="J859">
        <v>2017</v>
      </c>
      <c r="K859">
        <v>43698.521897777777</v>
      </c>
      <c r="L859" t="s">
        <v>422</v>
      </c>
      <c r="M859" t="s">
        <v>2777</v>
      </c>
      <c r="N859" t="s">
        <v>415</v>
      </c>
      <c r="O859">
        <v>347023</v>
      </c>
      <c r="P859">
        <v>43698.521897777777</v>
      </c>
      <c r="Q859">
        <v>42745.844185300928</v>
      </c>
      <c r="R859">
        <v>871</v>
      </c>
    </row>
    <row r="860" spans="1:18" x14ac:dyDescent="0.25">
      <c r="A860" t="s">
        <v>2835</v>
      </c>
      <c r="B860" t="s">
        <v>2836</v>
      </c>
      <c r="C860" t="s">
        <v>2837</v>
      </c>
      <c r="D860" t="s">
        <v>2837</v>
      </c>
      <c r="E860" t="s">
        <v>2837</v>
      </c>
      <c r="F860" t="s">
        <v>91</v>
      </c>
      <c r="G860" t="s">
        <v>63</v>
      </c>
      <c r="H860" t="s">
        <v>53</v>
      </c>
      <c r="I860" t="s">
        <v>810</v>
      </c>
      <c r="J860">
        <v>2014</v>
      </c>
      <c r="K860">
        <v>43698.521897777777</v>
      </c>
      <c r="L860" t="s">
        <v>92</v>
      </c>
      <c r="M860" t="s">
        <v>1941</v>
      </c>
      <c r="N860" t="s">
        <v>415</v>
      </c>
      <c r="O860">
        <v>344644</v>
      </c>
      <c r="P860">
        <v>43697.494618055556</v>
      </c>
      <c r="Q860">
        <v>42747.649025543978</v>
      </c>
      <c r="R860">
        <v>872</v>
      </c>
    </row>
    <row r="861" spans="1:18" x14ac:dyDescent="0.25">
      <c r="A861" t="s">
        <v>2838</v>
      </c>
      <c r="B861" t="s">
        <v>2839</v>
      </c>
      <c r="C861" t="s">
        <v>2840</v>
      </c>
      <c r="D861" t="s">
        <v>2840</v>
      </c>
      <c r="E861" t="s">
        <v>2840</v>
      </c>
      <c r="F861" t="s">
        <v>91</v>
      </c>
      <c r="G861" t="s">
        <v>63</v>
      </c>
      <c r="H861" t="s">
        <v>34</v>
      </c>
      <c r="I861" t="s">
        <v>35</v>
      </c>
      <c r="J861">
        <v>2008</v>
      </c>
      <c r="K861">
        <v>43698.521897777777</v>
      </c>
      <c r="L861" t="s">
        <v>193</v>
      </c>
      <c r="M861" t="s">
        <v>1941</v>
      </c>
      <c r="N861" t="s">
        <v>415</v>
      </c>
      <c r="O861">
        <v>346513</v>
      </c>
      <c r="P861">
        <v>43698.521897777777</v>
      </c>
      <c r="Q861">
        <v>42747.673466782406</v>
      </c>
      <c r="R861">
        <v>873</v>
      </c>
    </row>
    <row r="862" spans="1:18" x14ac:dyDescent="0.25">
      <c r="A862" t="s">
        <v>2841</v>
      </c>
      <c r="B862" t="s">
        <v>2842</v>
      </c>
      <c r="C862" t="s">
        <v>2843</v>
      </c>
      <c r="D862" t="s">
        <v>2843</v>
      </c>
      <c r="E862" t="s">
        <v>2843</v>
      </c>
      <c r="F862" t="s">
        <v>91</v>
      </c>
      <c r="G862" t="s">
        <v>63</v>
      </c>
      <c r="H862" t="s">
        <v>80</v>
      </c>
      <c r="I862" t="s">
        <v>2231</v>
      </c>
      <c r="J862">
        <v>2014</v>
      </c>
      <c r="K862">
        <v>43698.521897777777</v>
      </c>
      <c r="L862" t="s">
        <v>422</v>
      </c>
      <c r="M862" t="s">
        <v>2777</v>
      </c>
      <c r="N862" t="s">
        <v>27</v>
      </c>
      <c r="O862">
        <v>347053</v>
      </c>
      <c r="P862">
        <v>43698.521897777777</v>
      </c>
      <c r="Q862">
        <v>42747.800648032404</v>
      </c>
      <c r="R862">
        <v>874</v>
      </c>
    </row>
    <row r="863" spans="1:18" x14ac:dyDescent="0.25">
      <c r="A863" t="s">
        <v>2844</v>
      </c>
      <c r="B863" t="s">
        <v>2845</v>
      </c>
      <c r="C863" t="s">
        <v>2846</v>
      </c>
      <c r="D863" t="s">
        <v>2846</v>
      </c>
      <c r="E863" t="s">
        <v>2846</v>
      </c>
      <c r="F863" t="s">
        <v>21</v>
      </c>
      <c r="G863" t="s">
        <v>63</v>
      </c>
      <c r="H863" t="s">
        <v>34</v>
      </c>
      <c r="I863" t="s">
        <v>25</v>
      </c>
      <c r="J863">
        <v>2012</v>
      </c>
      <c r="K863">
        <v>43698.521897777777</v>
      </c>
      <c r="L863" t="s">
        <v>25</v>
      </c>
      <c r="M863" t="s">
        <v>154</v>
      </c>
      <c r="N863" t="s">
        <v>1305</v>
      </c>
      <c r="O863">
        <v>177414</v>
      </c>
      <c r="P863">
        <v>43213.872569444444</v>
      </c>
      <c r="Q863">
        <v>42753.725533530094</v>
      </c>
      <c r="R863">
        <v>875</v>
      </c>
    </row>
    <row r="864" spans="1:18" x14ac:dyDescent="0.25">
      <c r="A864" t="s">
        <v>2847</v>
      </c>
      <c r="B864" t="s">
        <v>2848</v>
      </c>
      <c r="C864" t="s">
        <v>2849</v>
      </c>
      <c r="D864" t="s">
        <v>2849</v>
      </c>
      <c r="E864" t="s">
        <v>2849</v>
      </c>
      <c r="F864" t="s">
        <v>21</v>
      </c>
      <c r="G864" t="s">
        <v>63</v>
      </c>
      <c r="H864" t="s">
        <v>23</v>
      </c>
      <c r="I864" t="s">
        <v>25</v>
      </c>
      <c r="J864">
        <v>2011</v>
      </c>
      <c r="K864">
        <v>43698.521897777777</v>
      </c>
      <c r="L864" t="s">
        <v>1005</v>
      </c>
      <c r="M864" t="s">
        <v>1941</v>
      </c>
      <c r="N864" t="s">
        <v>27</v>
      </c>
      <c r="O864">
        <v>270518</v>
      </c>
      <c r="P864">
        <v>43506.960416666669</v>
      </c>
      <c r="Q864">
        <v>42758.575048495368</v>
      </c>
      <c r="R864">
        <v>876</v>
      </c>
    </row>
    <row r="865" spans="1:18" x14ac:dyDescent="0.25">
      <c r="A865" t="s">
        <v>2850</v>
      </c>
      <c r="B865" t="s">
        <v>2851</v>
      </c>
      <c r="C865" t="s">
        <v>2852</v>
      </c>
      <c r="D865" t="s">
        <v>2852</v>
      </c>
      <c r="E865" t="s">
        <v>2852</v>
      </c>
      <c r="F865" t="s">
        <v>21</v>
      </c>
      <c r="G865" t="s">
        <v>63</v>
      </c>
      <c r="H865" t="s">
        <v>34</v>
      </c>
      <c r="I865" t="s">
        <v>35</v>
      </c>
      <c r="J865">
        <v>2013</v>
      </c>
      <c r="K865">
        <v>43698.521897777777</v>
      </c>
      <c r="L865" t="s">
        <v>25</v>
      </c>
      <c r="M865" t="s">
        <v>1941</v>
      </c>
      <c r="N865" t="s">
        <v>27</v>
      </c>
      <c r="O865">
        <v>120057</v>
      </c>
      <c r="P865">
        <v>42923.491956018515</v>
      </c>
      <c r="Q865">
        <v>42767.676969988424</v>
      </c>
      <c r="R865">
        <v>877</v>
      </c>
    </row>
    <row r="866" spans="1:18" x14ac:dyDescent="0.25">
      <c r="A866" t="s">
        <v>2853</v>
      </c>
      <c r="B866" t="s">
        <v>2854</v>
      </c>
      <c r="C866" t="s">
        <v>2855</v>
      </c>
      <c r="D866" t="s">
        <v>2855</v>
      </c>
      <c r="E866" t="s">
        <v>2855</v>
      </c>
      <c r="F866" t="s">
        <v>21</v>
      </c>
      <c r="G866" t="s">
        <v>63</v>
      </c>
      <c r="H866" t="s">
        <v>53</v>
      </c>
      <c r="I866" t="s">
        <v>471</v>
      </c>
      <c r="J866">
        <v>2013</v>
      </c>
      <c r="K866">
        <v>43698.521897777777</v>
      </c>
      <c r="L866" t="s">
        <v>1005</v>
      </c>
      <c r="M866" t="s">
        <v>1941</v>
      </c>
      <c r="N866" t="s">
        <v>27</v>
      </c>
      <c r="O866">
        <v>247927</v>
      </c>
      <c r="P866">
        <v>43436.782638888886</v>
      </c>
      <c r="Q866">
        <v>42767.678135879629</v>
      </c>
      <c r="R866">
        <v>878</v>
      </c>
    </row>
    <row r="867" spans="1:18" x14ac:dyDescent="0.25">
      <c r="A867" t="s">
        <v>2856</v>
      </c>
      <c r="B867" t="s">
        <v>2857</v>
      </c>
      <c r="C867" t="s">
        <v>2858</v>
      </c>
      <c r="D867" t="s">
        <v>2858</v>
      </c>
      <c r="E867" t="s">
        <v>2858</v>
      </c>
      <c r="F867" t="s">
        <v>21</v>
      </c>
      <c r="G867" t="s">
        <v>63</v>
      </c>
      <c r="H867" t="s">
        <v>34</v>
      </c>
      <c r="I867" t="s">
        <v>35</v>
      </c>
      <c r="J867">
        <v>2014</v>
      </c>
      <c r="K867">
        <v>43698.521897777777</v>
      </c>
      <c r="L867" t="s">
        <v>25</v>
      </c>
      <c r="M867" t="s">
        <v>1941</v>
      </c>
      <c r="N867" t="s">
        <v>27</v>
      </c>
      <c r="O867">
        <v>118490</v>
      </c>
      <c r="P867">
        <v>42912.515277777777</v>
      </c>
      <c r="Q867">
        <v>42775.78275046296</v>
      </c>
      <c r="R867">
        <v>879</v>
      </c>
    </row>
    <row r="868" spans="1:18" x14ac:dyDescent="0.25">
      <c r="A868" t="s">
        <v>2859</v>
      </c>
      <c r="B868" t="s">
        <v>2860</v>
      </c>
      <c r="C868" t="s">
        <v>2861</v>
      </c>
      <c r="D868" t="s">
        <v>2861</v>
      </c>
      <c r="E868" t="s">
        <v>2862</v>
      </c>
      <c r="F868" t="s">
        <v>21</v>
      </c>
      <c r="G868" t="s">
        <v>22</v>
      </c>
      <c r="H868" t="s">
        <v>53</v>
      </c>
      <c r="I868" t="s">
        <v>471</v>
      </c>
      <c r="J868">
        <v>2018</v>
      </c>
      <c r="K868">
        <v>43698.521897777777</v>
      </c>
      <c r="L868" t="s">
        <v>25</v>
      </c>
      <c r="M868" t="s">
        <v>1738</v>
      </c>
      <c r="N868" t="s">
        <v>1305</v>
      </c>
      <c r="O868">
        <v>140602</v>
      </c>
      <c r="P868">
        <v>43040.902106481481</v>
      </c>
      <c r="Q868">
        <v>42789.398881712965</v>
      </c>
      <c r="R868">
        <v>880</v>
      </c>
    </row>
    <row r="869" spans="1:18" x14ac:dyDescent="0.25">
      <c r="A869" t="s">
        <v>2863</v>
      </c>
      <c r="B869" t="s">
        <v>2864</v>
      </c>
      <c r="C869" t="s">
        <v>2865</v>
      </c>
      <c r="D869" t="s">
        <v>2865</v>
      </c>
      <c r="E869" t="s">
        <v>2866</v>
      </c>
      <c r="F869" t="s">
        <v>91</v>
      </c>
      <c r="G869" t="s">
        <v>63</v>
      </c>
      <c r="H869" t="s">
        <v>53</v>
      </c>
      <c r="I869" t="s">
        <v>471</v>
      </c>
      <c r="J869">
        <v>2018</v>
      </c>
      <c r="K869">
        <v>43698.521897777777</v>
      </c>
      <c r="L869" t="s">
        <v>466</v>
      </c>
      <c r="M869" t="s">
        <v>154</v>
      </c>
      <c r="N869" t="s">
        <v>1305</v>
      </c>
      <c r="O869">
        <v>345469</v>
      </c>
      <c r="P869">
        <v>43698.521897777777</v>
      </c>
      <c r="Q869">
        <v>42789.399586377316</v>
      </c>
      <c r="R869">
        <v>881</v>
      </c>
    </row>
    <row r="870" spans="1:18" x14ac:dyDescent="0.25">
      <c r="A870" t="s">
        <v>2867</v>
      </c>
      <c r="B870" t="s">
        <v>2441</v>
      </c>
      <c r="C870" t="s">
        <v>2868</v>
      </c>
      <c r="D870" t="s">
        <v>2868</v>
      </c>
      <c r="E870" t="s">
        <v>2868</v>
      </c>
      <c r="F870" t="s">
        <v>91</v>
      </c>
      <c r="G870" t="s">
        <v>63</v>
      </c>
      <c r="H870" t="s">
        <v>53</v>
      </c>
      <c r="I870" t="s">
        <v>25</v>
      </c>
      <c r="J870">
        <v>2012</v>
      </c>
      <c r="K870">
        <v>43698.521897777777</v>
      </c>
      <c r="L870" t="s">
        <v>466</v>
      </c>
      <c r="M870" t="s">
        <v>154</v>
      </c>
      <c r="N870" t="s">
        <v>1305</v>
      </c>
      <c r="O870">
        <v>347137</v>
      </c>
      <c r="P870">
        <v>43698.521897777777</v>
      </c>
      <c r="Q870">
        <v>42793.8102846412</v>
      </c>
      <c r="R870">
        <v>882</v>
      </c>
    </row>
    <row r="871" spans="1:18" x14ac:dyDescent="0.25">
      <c r="A871" t="s">
        <v>2869</v>
      </c>
      <c r="B871" t="s">
        <v>2870</v>
      </c>
      <c r="C871" t="s">
        <v>2871</v>
      </c>
      <c r="D871" t="s">
        <v>2871</v>
      </c>
      <c r="E871" t="s">
        <v>2872</v>
      </c>
      <c r="F871" t="s">
        <v>21</v>
      </c>
      <c r="G871" t="s">
        <v>22</v>
      </c>
      <c r="H871" t="s">
        <v>53</v>
      </c>
      <c r="I871" t="s">
        <v>471</v>
      </c>
      <c r="J871">
        <v>2018</v>
      </c>
      <c r="K871">
        <v>43698.521897777777</v>
      </c>
      <c r="L871" t="s">
        <v>578</v>
      </c>
      <c r="M871" t="s">
        <v>42</v>
      </c>
      <c r="N871" t="s">
        <v>415</v>
      </c>
      <c r="O871">
        <v>236181</v>
      </c>
      <c r="P871">
        <v>43403.804467592592</v>
      </c>
      <c r="Q871">
        <v>42795.337159606483</v>
      </c>
      <c r="R871">
        <v>883</v>
      </c>
    </row>
    <row r="872" spans="1:18" x14ac:dyDescent="0.25">
      <c r="A872" t="s">
        <v>2873</v>
      </c>
      <c r="B872" t="s">
        <v>2874</v>
      </c>
      <c r="C872" t="s">
        <v>2875</v>
      </c>
      <c r="D872" t="s">
        <v>2875</v>
      </c>
      <c r="E872" t="s">
        <v>2876</v>
      </c>
      <c r="F872" t="s">
        <v>21</v>
      </c>
      <c r="G872" t="s">
        <v>22</v>
      </c>
      <c r="H872" t="s">
        <v>53</v>
      </c>
      <c r="I872" t="s">
        <v>471</v>
      </c>
      <c r="J872">
        <v>2018</v>
      </c>
      <c r="K872">
        <v>43698.521897777777</v>
      </c>
      <c r="L872" t="s">
        <v>25</v>
      </c>
      <c r="M872" t="s">
        <v>1738</v>
      </c>
      <c r="N872" t="s">
        <v>1305</v>
      </c>
      <c r="O872">
        <v>141950</v>
      </c>
      <c r="P872">
        <v>43049.933275462965</v>
      </c>
      <c r="Q872">
        <v>42795.33781041667</v>
      </c>
      <c r="R872">
        <v>884</v>
      </c>
    </row>
    <row r="873" spans="1:18" x14ac:dyDescent="0.25">
      <c r="A873" t="s">
        <v>2877</v>
      </c>
      <c r="B873" t="s">
        <v>2878</v>
      </c>
      <c r="C873" t="s">
        <v>2879</v>
      </c>
      <c r="D873" t="s">
        <v>2879</v>
      </c>
      <c r="E873" t="s">
        <v>2880</v>
      </c>
      <c r="F873" t="s">
        <v>91</v>
      </c>
      <c r="G873" t="s">
        <v>63</v>
      </c>
      <c r="H873" t="s">
        <v>53</v>
      </c>
      <c r="I873" t="s">
        <v>471</v>
      </c>
      <c r="J873">
        <v>2018</v>
      </c>
      <c r="K873">
        <v>43698.521897777777</v>
      </c>
      <c r="L873" t="s">
        <v>466</v>
      </c>
      <c r="M873" t="s">
        <v>154</v>
      </c>
      <c r="N873" t="s">
        <v>1305</v>
      </c>
      <c r="O873">
        <v>345840</v>
      </c>
      <c r="P873">
        <v>43698.521897777777</v>
      </c>
      <c r="Q873">
        <v>42795.338160300926</v>
      </c>
      <c r="R873">
        <v>885</v>
      </c>
    </row>
    <row r="874" spans="1:18" x14ac:dyDescent="0.25">
      <c r="A874" t="s">
        <v>2881</v>
      </c>
      <c r="B874" t="s">
        <v>2882</v>
      </c>
      <c r="C874" t="s">
        <v>2883</v>
      </c>
      <c r="D874" t="s">
        <v>2883</v>
      </c>
      <c r="E874" t="s">
        <v>2884</v>
      </c>
      <c r="F874" t="s">
        <v>91</v>
      </c>
      <c r="G874" t="s">
        <v>63</v>
      </c>
      <c r="H874" t="s">
        <v>53</v>
      </c>
      <c r="I874" t="s">
        <v>471</v>
      </c>
      <c r="J874">
        <v>2018</v>
      </c>
      <c r="K874">
        <v>43698.521897777777</v>
      </c>
      <c r="L874" t="s">
        <v>466</v>
      </c>
      <c r="M874" t="s">
        <v>154</v>
      </c>
      <c r="N874" t="s">
        <v>1305</v>
      </c>
      <c r="O874">
        <v>345724</v>
      </c>
      <c r="P874">
        <v>43698.521897777777</v>
      </c>
      <c r="Q874">
        <v>42795.415706863423</v>
      </c>
      <c r="R874">
        <v>886</v>
      </c>
    </row>
    <row r="875" spans="1:18" x14ac:dyDescent="0.25">
      <c r="A875" t="s">
        <v>2885</v>
      </c>
      <c r="B875" t="s">
        <v>2886</v>
      </c>
      <c r="C875" t="s">
        <v>2887</v>
      </c>
      <c r="D875" t="s">
        <v>2887</v>
      </c>
      <c r="E875" t="s">
        <v>2888</v>
      </c>
      <c r="F875" t="s">
        <v>91</v>
      </c>
      <c r="G875" t="s">
        <v>63</v>
      </c>
      <c r="H875" t="s">
        <v>53</v>
      </c>
      <c r="I875" t="s">
        <v>471</v>
      </c>
      <c r="J875">
        <v>2018</v>
      </c>
      <c r="K875">
        <v>43698.521897777777</v>
      </c>
      <c r="L875" t="s">
        <v>466</v>
      </c>
      <c r="M875" t="s">
        <v>154</v>
      </c>
      <c r="N875" t="s">
        <v>1305</v>
      </c>
      <c r="O875">
        <v>345768</v>
      </c>
      <c r="P875">
        <v>43698.521897777777</v>
      </c>
      <c r="Q875">
        <v>42795.416210682873</v>
      </c>
      <c r="R875">
        <v>887</v>
      </c>
    </row>
    <row r="876" spans="1:18" x14ac:dyDescent="0.25">
      <c r="A876" t="s">
        <v>2889</v>
      </c>
      <c r="B876" t="s">
        <v>2890</v>
      </c>
      <c r="C876" t="s">
        <v>2891</v>
      </c>
      <c r="D876" t="s">
        <v>2891</v>
      </c>
      <c r="E876" t="s">
        <v>2892</v>
      </c>
      <c r="F876" t="s">
        <v>91</v>
      </c>
      <c r="G876" t="s">
        <v>63</v>
      </c>
      <c r="H876" t="s">
        <v>53</v>
      </c>
      <c r="I876" t="s">
        <v>471</v>
      </c>
      <c r="J876">
        <v>2018</v>
      </c>
      <c r="K876">
        <v>43698.521897777777</v>
      </c>
      <c r="L876" t="s">
        <v>466</v>
      </c>
      <c r="M876" t="s">
        <v>154</v>
      </c>
      <c r="N876" t="s">
        <v>1305</v>
      </c>
      <c r="O876">
        <v>346620</v>
      </c>
      <c r="P876">
        <v>43698.521897777777</v>
      </c>
      <c r="Q876">
        <v>42795.416744131944</v>
      </c>
      <c r="R876">
        <v>888</v>
      </c>
    </row>
    <row r="877" spans="1:18" x14ac:dyDescent="0.25">
      <c r="A877" t="s">
        <v>2893</v>
      </c>
      <c r="B877" t="s">
        <v>2894</v>
      </c>
      <c r="C877" t="s">
        <v>2895</v>
      </c>
      <c r="D877" t="s">
        <v>2895</v>
      </c>
      <c r="E877" t="s">
        <v>2896</v>
      </c>
      <c r="F877" t="s">
        <v>21</v>
      </c>
      <c r="G877" t="s">
        <v>22</v>
      </c>
      <c r="H877" t="s">
        <v>53</v>
      </c>
      <c r="I877" t="s">
        <v>471</v>
      </c>
      <c r="J877">
        <v>2018</v>
      </c>
      <c r="K877">
        <v>43698.521897777777</v>
      </c>
      <c r="L877" t="s">
        <v>578</v>
      </c>
      <c r="M877" t="s">
        <v>42</v>
      </c>
      <c r="N877" t="s">
        <v>415</v>
      </c>
      <c r="Q877">
        <v>42795.417441469908</v>
      </c>
      <c r="R877">
        <v>889</v>
      </c>
    </row>
    <row r="878" spans="1:18" x14ac:dyDescent="0.25">
      <c r="A878" t="s">
        <v>2897</v>
      </c>
      <c r="B878" t="s">
        <v>2898</v>
      </c>
      <c r="C878" t="s">
        <v>2899</v>
      </c>
      <c r="D878" t="s">
        <v>2899</v>
      </c>
      <c r="E878" t="s">
        <v>2900</v>
      </c>
      <c r="F878" t="s">
        <v>21</v>
      </c>
      <c r="G878" t="s">
        <v>22</v>
      </c>
      <c r="H878" t="s">
        <v>53</v>
      </c>
      <c r="I878" t="s">
        <v>471</v>
      </c>
      <c r="J878">
        <v>2018</v>
      </c>
      <c r="K878">
        <v>43698.521897777777</v>
      </c>
      <c r="L878" t="s">
        <v>578</v>
      </c>
      <c r="M878" t="s">
        <v>42</v>
      </c>
      <c r="N878" t="s">
        <v>415</v>
      </c>
      <c r="O878">
        <v>229699</v>
      </c>
      <c r="P878">
        <v>43385.620729166665</v>
      </c>
      <c r="Q878">
        <v>42795.417999039353</v>
      </c>
      <c r="R878">
        <v>890</v>
      </c>
    </row>
    <row r="879" spans="1:18" x14ac:dyDescent="0.25">
      <c r="A879" t="s">
        <v>2901</v>
      </c>
      <c r="B879" t="s">
        <v>2902</v>
      </c>
      <c r="C879" t="s">
        <v>2903</v>
      </c>
      <c r="D879" t="s">
        <v>2903</v>
      </c>
      <c r="E879" t="s">
        <v>2904</v>
      </c>
      <c r="F879" t="s">
        <v>21</v>
      </c>
      <c r="G879" t="s">
        <v>22</v>
      </c>
      <c r="H879" t="s">
        <v>53</v>
      </c>
      <c r="I879" t="s">
        <v>471</v>
      </c>
      <c r="J879">
        <v>2018</v>
      </c>
      <c r="K879">
        <v>43698.521897777777</v>
      </c>
      <c r="L879" t="s">
        <v>193</v>
      </c>
      <c r="M879" t="s">
        <v>42</v>
      </c>
      <c r="N879" t="s">
        <v>415</v>
      </c>
      <c r="O879">
        <v>218030</v>
      </c>
      <c r="P879">
        <v>43355.569861111115</v>
      </c>
      <c r="Q879">
        <v>42795.419316701387</v>
      </c>
      <c r="R879">
        <v>891</v>
      </c>
    </row>
    <row r="880" spans="1:18" x14ac:dyDescent="0.25">
      <c r="A880" t="s">
        <v>2905</v>
      </c>
      <c r="B880" t="s">
        <v>2906</v>
      </c>
      <c r="C880" t="s">
        <v>2907</v>
      </c>
      <c r="D880" t="s">
        <v>2907</v>
      </c>
      <c r="E880" t="s">
        <v>2908</v>
      </c>
      <c r="F880" t="s">
        <v>21</v>
      </c>
      <c r="G880" t="s">
        <v>22</v>
      </c>
      <c r="H880" t="s">
        <v>53</v>
      </c>
      <c r="I880" t="s">
        <v>471</v>
      </c>
      <c r="J880">
        <v>2018</v>
      </c>
      <c r="K880">
        <v>43698.521897777777</v>
      </c>
      <c r="L880" t="s">
        <v>193</v>
      </c>
      <c r="M880" t="s">
        <v>42</v>
      </c>
      <c r="N880" t="s">
        <v>415</v>
      </c>
      <c r="O880">
        <v>229001</v>
      </c>
      <c r="P880">
        <v>43384.775000000001</v>
      </c>
      <c r="Q880">
        <v>42795.420075543982</v>
      </c>
      <c r="R880">
        <v>892</v>
      </c>
    </row>
    <row r="881" spans="1:18" x14ac:dyDescent="0.25">
      <c r="A881" t="s">
        <v>2909</v>
      </c>
      <c r="B881" t="s">
        <v>2910</v>
      </c>
      <c r="C881" t="s">
        <v>2911</v>
      </c>
      <c r="D881" t="s">
        <v>2911</v>
      </c>
      <c r="E881" t="s">
        <v>2912</v>
      </c>
      <c r="F881" t="s">
        <v>21</v>
      </c>
      <c r="G881" t="s">
        <v>22</v>
      </c>
      <c r="H881" t="s">
        <v>53</v>
      </c>
      <c r="I881" t="s">
        <v>471</v>
      </c>
      <c r="J881">
        <v>2018</v>
      </c>
      <c r="K881">
        <v>43698.521897777777</v>
      </c>
      <c r="L881" t="s">
        <v>193</v>
      </c>
      <c r="M881" t="s">
        <v>42</v>
      </c>
      <c r="N881" t="s">
        <v>415</v>
      </c>
      <c r="O881">
        <v>223354</v>
      </c>
      <c r="P881">
        <v>43370.552083333336</v>
      </c>
      <c r="Q881">
        <v>42795.42190494213</v>
      </c>
      <c r="R881">
        <v>893</v>
      </c>
    </row>
    <row r="882" spans="1:18" x14ac:dyDescent="0.25">
      <c r="A882" t="s">
        <v>2913</v>
      </c>
      <c r="B882" t="s">
        <v>1173</v>
      </c>
      <c r="C882" t="s">
        <v>2914</v>
      </c>
      <c r="D882" t="s">
        <v>2914</v>
      </c>
      <c r="E882" t="s">
        <v>2915</v>
      </c>
      <c r="F882" t="s">
        <v>21</v>
      </c>
      <c r="G882" t="s">
        <v>22</v>
      </c>
      <c r="H882" t="s">
        <v>53</v>
      </c>
      <c r="I882" t="s">
        <v>2916</v>
      </c>
      <c r="J882">
        <v>2016</v>
      </c>
      <c r="K882">
        <v>43698.521897777777</v>
      </c>
      <c r="L882" t="s">
        <v>1660</v>
      </c>
      <c r="M882" t="s">
        <v>2777</v>
      </c>
      <c r="N882" t="s">
        <v>415</v>
      </c>
      <c r="O882">
        <v>186292</v>
      </c>
      <c r="P882">
        <v>43245.911215277774</v>
      </c>
      <c r="Q882">
        <v>42795.431436886574</v>
      </c>
      <c r="R882">
        <v>894</v>
      </c>
    </row>
    <row r="883" spans="1:18" x14ac:dyDescent="0.25">
      <c r="A883" t="s">
        <v>2917</v>
      </c>
      <c r="B883" t="s">
        <v>1181</v>
      </c>
      <c r="C883" t="s">
        <v>2918</v>
      </c>
      <c r="D883" t="s">
        <v>2918</v>
      </c>
      <c r="E883" t="s">
        <v>2919</v>
      </c>
      <c r="F883" t="s">
        <v>21</v>
      </c>
      <c r="G883" t="s">
        <v>22</v>
      </c>
      <c r="H883" t="s">
        <v>53</v>
      </c>
      <c r="I883" t="s">
        <v>471</v>
      </c>
      <c r="J883">
        <v>2016</v>
      </c>
      <c r="K883">
        <v>43698.521897777777</v>
      </c>
      <c r="L883" t="s">
        <v>1660</v>
      </c>
      <c r="M883" t="s">
        <v>2777</v>
      </c>
      <c r="N883" t="s">
        <v>415</v>
      </c>
      <c r="O883">
        <v>187329</v>
      </c>
      <c r="P883">
        <v>43249.746527777781</v>
      </c>
      <c r="Q883">
        <v>42795.450372303239</v>
      </c>
      <c r="R883">
        <v>895</v>
      </c>
    </row>
    <row r="884" spans="1:18" x14ac:dyDescent="0.25">
      <c r="A884" t="s">
        <v>2920</v>
      </c>
      <c r="B884" t="s">
        <v>2921</v>
      </c>
      <c r="C884" t="s">
        <v>2922</v>
      </c>
      <c r="D884" t="s">
        <v>2922</v>
      </c>
      <c r="E884" t="s">
        <v>2922</v>
      </c>
      <c r="F884" t="s">
        <v>21</v>
      </c>
      <c r="G884" t="s">
        <v>63</v>
      </c>
      <c r="H884" t="s">
        <v>34</v>
      </c>
      <c r="I884" t="s">
        <v>35</v>
      </c>
      <c r="J884">
        <v>2007</v>
      </c>
      <c r="K884">
        <v>43698.521897777777</v>
      </c>
      <c r="L884" t="s">
        <v>25</v>
      </c>
      <c r="M884" t="s">
        <v>1941</v>
      </c>
      <c r="N884" t="s">
        <v>415</v>
      </c>
      <c r="O884">
        <v>122312</v>
      </c>
      <c r="P884">
        <v>42939.229861111111</v>
      </c>
      <c r="Q884">
        <v>42801.554925925928</v>
      </c>
      <c r="R884">
        <v>896</v>
      </c>
    </row>
    <row r="885" spans="1:18" x14ac:dyDescent="0.25">
      <c r="A885" t="s">
        <v>2923</v>
      </c>
      <c r="B885" t="s">
        <v>2924</v>
      </c>
      <c r="C885" t="s">
        <v>2925</v>
      </c>
      <c r="D885" t="s">
        <v>2925</v>
      </c>
      <c r="E885" t="s">
        <v>2925</v>
      </c>
      <c r="F885" t="s">
        <v>21</v>
      </c>
      <c r="G885" t="s">
        <v>63</v>
      </c>
      <c r="H885" t="s">
        <v>53</v>
      </c>
      <c r="I885" t="s">
        <v>810</v>
      </c>
      <c r="J885">
        <v>2014</v>
      </c>
      <c r="K885">
        <v>43698.521897777777</v>
      </c>
      <c r="L885" t="s">
        <v>1005</v>
      </c>
      <c r="M885" t="s">
        <v>1941</v>
      </c>
      <c r="N885" t="s">
        <v>415</v>
      </c>
      <c r="O885">
        <v>190581</v>
      </c>
      <c r="P885">
        <v>43263.810983796298</v>
      </c>
      <c r="Q885">
        <v>42801.561508252315</v>
      </c>
      <c r="R885">
        <v>897</v>
      </c>
    </row>
    <row r="886" spans="1:18" x14ac:dyDescent="0.25">
      <c r="A886" t="s">
        <v>2926</v>
      </c>
      <c r="B886" t="s">
        <v>2132</v>
      </c>
      <c r="C886" t="s">
        <v>2927</v>
      </c>
      <c r="D886" t="s">
        <v>2927</v>
      </c>
      <c r="E886" t="s">
        <v>2927</v>
      </c>
      <c r="F886" t="s">
        <v>21</v>
      </c>
      <c r="G886" t="s">
        <v>63</v>
      </c>
      <c r="H886" t="s">
        <v>53</v>
      </c>
      <c r="I886" t="s">
        <v>1162</v>
      </c>
      <c r="J886">
        <v>2012</v>
      </c>
      <c r="K886">
        <v>43698.521897777777</v>
      </c>
      <c r="L886" t="s">
        <v>25</v>
      </c>
      <c r="M886" t="s">
        <v>154</v>
      </c>
      <c r="N886" t="s">
        <v>1305</v>
      </c>
      <c r="O886">
        <v>148753</v>
      </c>
      <c r="P886">
        <v>43086.823969907404</v>
      </c>
      <c r="Q886">
        <v>42801.633006979166</v>
      </c>
      <c r="R886">
        <v>898</v>
      </c>
    </row>
    <row r="887" spans="1:18" x14ac:dyDescent="0.25">
      <c r="A887" t="s">
        <v>2928</v>
      </c>
      <c r="B887" t="s">
        <v>2929</v>
      </c>
      <c r="C887" t="s">
        <v>2930</v>
      </c>
      <c r="D887" t="s">
        <v>2930</v>
      </c>
      <c r="E887" t="s">
        <v>2930</v>
      </c>
      <c r="F887" t="s">
        <v>21</v>
      </c>
      <c r="G887" t="s">
        <v>63</v>
      </c>
      <c r="H887" t="s">
        <v>34</v>
      </c>
      <c r="I887" t="s">
        <v>35</v>
      </c>
      <c r="J887">
        <v>2013</v>
      </c>
      <c r="K887">
        <v>43698.521897777777</v>
      </c>
      <c r="L887" t="s">
        <v>193</v>
      </c>
      <c r="M887" t="s">
        <v>1941</v>
      </c>
      <c r="N887" t="s">
        <v>415</v>
      </c>
      <c r="O887">
        <v>274039</v>
      </c>
      <c r="P887">
        <v>43516.964988425927</v>
      </c>
      <c r="Q887">
        <v>42801.834555590278</v>
      </c>
      <c r="R887">
        <v>899</v>
      </c>
    </row>
    <row r="888" spans="1:18" x14ac:dyDescent="0.25">
      <c r="A888" t="s">
        <v>2931</v>
      </c>
      <c r="B888" t="s">
        <v>2932</v>
      </c>
      <c r="C888" t="s">
        <v>2933</v>
      </c>
      <c r="D888" t="s">
        <v>2933</v>
      </c>
      <c r="E888" t="s">
        <v>2933</v>
      </c>
      <c r="F888" t="s">
        <v>21</v>
      </c>
      <c r="G888" t="s">
        <v>63</v>
      </c>
      <c r="H888" t="s">
        <v>34</v>
      </c>
      <c r="I888" t="s">
        <v>35</v>
      </c>
      <c r="J888">
        <v>2014</v>
      </c>
      <c r="K888">
        <v>43698.521897777777</v>
      </c>
      <c r="L888" t="s">
        <v>25</v>
      </c>
      <c r="M888" t="s">
        <v>1941</v>
      </c>
      <c r="N888" t="s">
        <v>415</v>
      </c>
      <c r="O888">
        <v>108644</v>
      </c>
      <c r="P888">
        <v>42840.086111111108</v>
      </c>
      <c r="Q888">
        <v>42801.835546608796</v>
      </c>
      <c r="R888">
        <v>900</v>
      </c>
    </row>
    <row r="889" spans="1:18" x14ac:dyDescent="0.25">
      <c r="A889" t="s">
        <v>25</v>
      </c>
      <c r="B889" t="s">
        <v>25</v>
      </c>
      <c r="C889" t="s">
        <v>2934</v>
      </c>
      <c r="D889" t="s">
        <v>2934</v>
      </c>
      <c r="E889" t="s">
        <v>2935</v>
      </c>
      <c r="F889" t="s">
        <v>21</v>
      </c>
      <c r="G889" t="s">
        <v>106</v>
      </c>
      <c r="H889" t="s">
        <v>25</v>
      </c>
      <c r="I889" t="s">
        <v>25</v>
      </c>
      <c r="K889">
        <v>43698.521897777777</v>
      </c>
      <c r="L889" t="s">
        <v>25</v>
      </c>
      <c r="M889" t="s">
        <v>42</v>
      </c>
      <c r="N889" t="s">
        <v>27</v>
      </c>
      <c r="Q889">
        <v>42804.892618831022</v>
      </c>
      <c r="R889">
        <v>901</v>
      </c>
    </row>
    <row r="890" spans="1:18" x14ac:dyDescent="0.25">
      <c r="A890" t="s">
        <v>2936</v>
      </c>
      <c r="B890" t="s">
        <v>2937</v>
      </c>
      <c r="C890" t="s">
        <v>2938</v>
      </c>
      <c r="D890" t="s">
        <v>2938</v>
      </c>
      <c r="E890" t="s">
        <v>2938</v>
      </c>
      <c r="F890" t="s">
        <v>21</v>
      </c>
      <c r="G890" t="s">
        <v>106</v>
      </c>
      <c r="H890" t="s">
        <v>236</v>
      </c>
      <c r="I890" t="s">
        <v>41</v>
      </c>
      <c r="J890">
        <v>2015</v>
      </c>
      <c r="K890">
        <v>43698.521897777777</v>
      </c>
      <c r="L890" t="s">
        <v>25</v>
      </c>
      <c r="M890" t="s">
        <v>42</v>
      </c>
      <c r="N890" t="s">
        <v>415</v>
      </c>
      <c r="O890">
        <v>116099</v>
      </c>
      <c r="P890">
        <v>42893.90625</v>
      </c>
      <c r="Q890">
        <v>42807.49468275463</v>
      </c>
      <c r="R890">
        <v>902</v>
      </c>
    </row>
    <row r="891" spans="1:18" x14ac:dyDescent="0.25">
      <c r="A891" t="s">
        <v>2939</v>
      </c>
      <c r="B891" t="s">
        <v>2940</v>
      </c>
      <c r="C891" t="s">
        <v>2941</v>
      </c>
      <c r="D891" t="s">
        <v>2941</v>
      </c>
      <c r="E891" t="s">
        <v>2941</v>
      </c>
      <c r="F891" t="s">
        <v>21</v>
      </c>
      <c r="G891" t="s">
        <v>106</v>
      </c>
      <c r="H891" t="s">
        <v>236</v>
      </c>
      <c r="I891" t="s">
        <v>41</v>
      </c>
      <c r="J891">
        <v>2015</v>
      </c>
      <c r="K891">
        <v>43698.521897777777</v>
      </c>
      <c r="L891" t="s">
        <v>25</v>
      </c>
      <c r="M891" t="s">
        <v>42</v>
      </c>
      <c r="N891" t="s">
        <v>415</v>
      </c>
      <c r="O891">
        <v>116324</v>
      </c>
      <c r="P891">
        <v>42895.645833333336</v>
      </c>
      <c r="Q891">
        <v>42807.574053124998</v>
      </c>
      <c r="R891">
        <v>903</v>
      </c>
    </row>
    <row r="892" spans="1:18" x14ac:dyDescent="0.25">
      <c r="A892" t="s">
        <v>2942</v>
      </c>
      <c r="B892" t="s">
        <v>2943</v>
      </c>
      <c r="C892" t="s">
        <v>2944</v>
      </c>
      <c r="D892" t="s">
        <v>2944</v>
      </c>
      <c r="E892" t="s">
        <v>2944</v>
      </c>
      <c r="F892" t="s">
        <v>21</v>
      </c>
      <c r="G892" t="s">
        <v>106</v>
      </c>
      <c r="H892" t="s">
        <v>236</v>
      </c>
      <c r="I892" t="s">
        <v>41</v>
      </c>
      <c r="J892">
        <v>2016</v>
      </c>
      <c r="K892">
        <v>43698.521897777777</v>
      </c>
      <c r="L892" t="s">
        <v>25</v>
      </c>
      <c r="M892" t="s">
        <v>42</v>
      </c>
      <c r="N892" t="s">
        <v>415</v>
      </c>
      <c r="O892">
        <v>116693</v>
      </c>
      <c r="P892">
        <v>42898.708333333336</v>
      </c>
      <c r="Q892">
        <v>42807.579058449075</v>
      </c>
      <c r="R892">
        <v>904</v>
      </c>
    </row>
    <row r="893" spans="1:18" x14ac:dyDescent="0.25">
      <c r="A893" t="s">
        <v>2945</v>
      </c>
      <c r="B893" t="s">
        <v>2946</v>
      </c>
      <c r="C893" t="s">
        <v>2947</v>
      </c>
      <c r="D893" t="s">
        <v>2947</v>
      </c>
      <c r="E893" t="s">
        <v>2947</v>
      </c>
      <c r="F893" t="s">
        <v>21</v>
      </c>
      <c r="G893" t="s">
        <v>106</v>
      </c>
      <c r="H893" t="s">
        <v>2948</v>
      </c>
      <c r="I893" t="s">
        <v>41</v>
      </c>
      <c r="J893">
        <v>2015</v>
      </c>
      <c r="K893">
        <v>43698.521897777777</v>
      </c>
      <c r="L893" t="s">
        <v>25</v>
      </c>
      <c r="M893" t="s">
        <v>42</v>
      </c>
      <c r="N893" t="s">
        <v>415</v>
      </c>
      <c r="O893">
        <v>108193</v>
      </c>
      <c r="P893">
        <v>42835.677083333336</v>
      </c>
      <c r="Q893">
        <v>42807.583198414352</v>
      </c>
      <c r="R893">
        <v>905</v>
      </c>
    </row>
    <row r="894" spans="1:18" x14ac:dyDescent="0.25">
      <c r="A894" t="s">
        <v>2949</v>
      </c>
      <c r="B894" t="s">
        <v>2950</v>
      </c>
      <c r="C894" t="s">
        <v>2951</v>
      </c>
      <c r="D894" t="s">
        <v>2951</v>
      </c>
      <c r="E894" t="s">
        <v>2951</v>
      </c>
      <c r="F894" t="s">
        <v>21</v>
      </c>
      <c r="G894" t="s">
        <v>63</v>
      </c>
      <c r="H894" t="s">
        <v>34</v>
      </c>
      <c r="I894" t="s">
        <v>35</v>
      </c>
      <c r="J894">
        <v>2017</v>
      </c>
      <c r="K894">
        <v>43698.521897777777</v>
      </c>
      <c r="L894" t="s">
        <v>25</v>
      </c>
      <c r="M894" t="s">
        <v>1941</v>
      </c>
      <c r="N894" t="s">
        <v>415</v>
      </c>
      <c r="O894">
        <v>134452</v>
      </c>
      <c r="P894">
        <v>43012.385671296295</v>
      </c>
      <c r="Q894">
        <v>42814.730649074074</v>
      </c>
      <c r="R894">
        <v>906</v>
      </c>
    </row>
    <row r="895" spans="1:18" x14ac:dyDescent="0.25">
      <c r="A895" t="s">
        <v>2952</v>
      </c>
      <c r="B895" t="s">
        <v>2367</v>
      </c>
      <c r="C895" t="s">
        <v>2953</v>
      </c>
      <c r="D895" t="s">
        <v>2953</v>
      </c>
      <c r="E895" t="s">
        <v>2953</v>
      </c>
      <c r="F895" t="s">
        <v>21</v>
      </c>
      <c r="G895" t="s">
        <v>63</v>
      </c>
      <c r="H895" t="s">
        <v>34</v>
      </c>
      <c r="I895" t="s">
        <v>35</v>
      </c>
      <c r="J895">
        <v>2009</v>
      </c>
      <c r="K895">
        <v>43698.521897777777</v>
      </c>
      <c r="L895" t="s">
        <v>25</v>
      </c>
      <c r="M895" t="s">
        <v>1941</v>
      </c>
      <c r="N895" t="s">
        <v>415</v>
      </c>
      <c r="O895">
        <v>118941</v>
      </c>
      <c r="P895">
        <v>42914.439745370371</v>
      </c>
      <c r="Q895">
        <v>42814.731548344906</v>
      </c>
      <c r="R895">
        <v>907</v>
      </c>
    </row>
    <row r="896" spans="1:18" x14ac:dyDescent="0.25">
      <c r="A896" t="s">
        <v>2954</v>
      </c>
      <c r="B896" t="s">
        <v>2105</v>
      </c>
      <c r="C896" t="s">
        <v>2955</v>
      </c>
      <c r="D896" t="s">
        <v>2955</v>
      </c>
      <c r="E896" t="s">
        <v>2955</v>
      </c>
      <c r="F896" t="s">
        <v>21</v>
      </c>
      <c r="G896" t="s">
        <v>63</v>
      </c>
      <c r="H896" t="s">
        <v>53</v>
      </c>
      <c r="I896" t="s">
        <v>25</v>
      </c>
      <c r="J896">
        <v>2007</v>
      </c>
      <c r="K896">
        <v>43698.521897777777</v>
      </c>
      <c r="L896" t="s">
        <v>466</v>
      </c>
      <c r="M896" t="s">
        <v>154</v>
      </c>
      <c r="N896" t="s">
        <v>1305</v>
      </c>
      <c r="O896">
        <v>194771</v>
      </c>
      <c r="P896">
        <v>43282.612708333334</v>
      </c>
      <c r="Q896">
        <v>42816.455387499998</v>
      </c>
      <c r="R896">
        <v>908</v>
      </c>
    </row>
    <row r="897" spans="1:18" x14ac:dyDescent="0.25">
      <c r="A897" t="s">
        <v>2956</v>
      </c>
      <c r="B897" t="s">
        <v>2957</v>
      </c>
      <c r="C897" t="s">
        <v>2958</v>
      </c>
      <c r="D897" t="s">
        <v>2958</v>
      </c>
      <c r="E897" t="s">
        <v>2958</v>
      </c>
      <c r="F897" t="s">
        <v>21</v>
      </c>
      <c r="G897" t="s">
        <v>63</v>
      </c>
      <c r="H897" t="s">
        <v>53</v>
      </c>
      <c r="I897" t="s">
        <v>2959</v>
      </c>
      <c r="J897">
        <v>2012</v>
      </c>
      <c r="K897">
        <v>43698.521897777777</v>
      </c>
      <c r="L897" t="s">
        <v>193</v>
      </c>
      <c r="M897" t="s">
        <v>1941</v>
      </c>
      <c r="N897" t="s">
        <v>415</v>
      </c>
      <c r="O897">
        <v>175930</v>
      </c>
      <c r="P897">
        <v>43209.674039351848</v>
      </c>
      <c r="Q897">
        <v>42816.646764965277</v>
      </c>
      <c r="R897">
        <v>909</v>
      </c>
    </row>
    <row r="898" spans="1:18" x14ac:dyDescent="0.25">
      <c r="A898" t="s">
        <v>2960</v>
      </c>
      <c r="B898" t="s">
        <v>2961</v>
      </c>
      <c r="C898" t="s">
        <v>2962</v>
      </c>
      <c r="D898" t="s">
        <v>2962</v>
      </c>
      <c r="E898" t="s">
        <v>2962</v>
      </c>
      <c r="F898" t="s">
        <v>21</v>
      </c>
      <c r="G898" t="s">
        <v>63</v>
      </c>
      <c r="H898" t="s">
        <v>34</v>
      </c>
      <c r="I898" t="s">
        <v>35</v>
      </c>
      <c r="J898">
        <v>2012</v>
      </c>
      <c r="K898">
        <v>43698.521897777777</v>
      </c>
      <c r="L898" t="s">
        <v>25</v>
      </c>
      <c r="M898" t="s">
        <v>1941</v>
      </c>
      <c r="N898" t="s">
        <v>415</v>
      </c>
      <c r="O898">
        <v>155087</v>
      </c>
      <c r="P898">
        <v>43119.966041666667</v>
      </c>
      <c r="Q898">
        <v>42816.647617627314</v>
      </c>
      <c r="R898">
        <v>910</v>
      </c>
    </row>
    <row r="899" spans="1:18" x14ac:dyDescent="0.25">
      <c r="A899" t="s">
        <v>2963</v>
      </c>
      <c r="B899" t="s">
        <v>2964</v>
      </c>
      <c r="C899" t="s">
        <v>2965</v>
      </c>
      <c r="D899" t="s">
        <v>2965</v>
      </c>
      <c r="E899" t="s">
        <v>2965</v>
      </c>
      <c r="F899" t="s">
        <v>21</v>
      </c>
      <c r="G899" t="s">
        <v>63</v>
      </c>
      <c r="H899" t="s">
        <v>53</v>
      </c>
      <c r="I899" t="s">
        <v>41</v>
      </c>
      <c r="J899">
        <v>2007</v>
      </c>
      <c r="K899">
        <v>43698.521897777777</v>
      </c>
      <c r="L899" t="s">
        <v>25</v>
      </c>
      <c r="M899" t="s">
        <v>1941</v>
      </c>
      <c r="N899" t="s">
        <v>415</v>
      </c>
      <c r="O899">
        <v>130934</v>
      </c>
      <c r="P899">
        <v>42992.24722222222</v>
      </c>
      <c r="Q899">
        <v>42816.73915883102</v>
      </c>
      <c r="R899">
        <v>911</v>
      </c>
    </row>
    <row r="900" spans="1:18" x14ac:dyDescent="0.25">
      <c r="A900" t="s">
        <v>2966</v>
      </c>
      <c r="B900" t="s">
        <v>2967</v>
      </c>
      <c r="C900" t="s">
        <v>2968</v>
      </c>
      <c r="D900" t="s">
        <v>2968</v>
      </c>
      <c r="E900" t="s">
        <v>2968</v>
      </c>
      <c r="F900" t="s">
        <v>21</v>
      </c>
      <c r="G900" t="s">
        <v>106</v>
      </c>
      <c r="H900" t="s">
        <v>2969</v>
      </c>
      <c r="I900" t="s">
        <v>35</v>
      </c>
      <c r="J900">
        <v>2006</v>
      </c>
      <c r="K900">
        <v>43698.521897777777</v>
      </c>
      <c r="L900" t="s">
        <v>25</v>
      </c>
      <c r="M900" t="s">
        <v>26</v>
      </c>
      <c r="N900" t="s">
        <v>27</v>
      </c>
      <c r="Q900">
        <v>42817.602695868052</v>
      </c>
      <c r="R900">
        <v>913</v>
      </c>
    </row>
    <row r="901" spans="1:18" x14ac:dyDescent="0.25">
      <c r="A901" t="s">
        <v>2970</v>
      </c>
      <c r="B901" t="s">
        <v>2971</v>
      </c>
      <c r="C901" t="s">
        <v>2972</v>
      </c>
      <c r="D901" t="s">
        <v>2972</v>
      </c>
      <c r="E901" t="s">
        <v>2972</v>
      </c>
      <c r="F901" t="s">
        <v>21</v>
      </c>
      <c r="G901" t="s">
        <v>63</v>
      </c>
      <c r="H901" t="s">
        <v>34</v>
      </c>
      <c r="I901" t="s">
        <v>35</v>
      </c>
      <c r="J901">
        <v>2015</v>
      </c>
      <c r="K901">
        <v>43698.521897777777</v>
      </c>
      <c r="L901" t="s">
        <v>1005</v>
      </c>
      <c r="M901" t="s">
        <v>1941</v>
      </c>
      <c r="N901" t="s">
        <v>415</v>
      </c>
      <c r="O901">
        <v>301352</v>
      </c>
      <c r="P901">
        <v>43587.617361111108</v>
      </c>
      <c r="Q901">
        <v>42818.525828738428</v>
      </c>
      <c r="R901">
        <v>914</v>
      </c>
    </row>
    <row r="902" spans="1:18" x14ac:dyDescent="0.25">
      <c r="A902" t="s">
        <v>2973</v>
      </c>
      <c r="B902" t="s">
        <v>2974</v>
      </c>
      <c r="C902" t="s">
        <v>2975</v>
      </c>
      <c r="D902" t="s">
        <v>2975</v>
      </c>
      <c r="E902" t="s">
        <v>2975</v>
      </c>
      <c r="F902" t="s">
        <v>91</v>
      </c>
      <c r="G902" t="s">
        <v>63</v>
      </c>
      <c r="H902" t="s">
        <v>53</v>
      </c>
      <c r="I902" t="s">
        <v>471</v>
      </c>
      <c r="J902">
        <v>2016</v>
      </c>
      <c r="K902">
        <v>43698.521897777777</v>
      </c>
      <c r="L902" t="s">
        <v>1005</v>
      </c>
      <c r="M902" t="s">
        <v>1941</v>
      </c>
      <c r="N902" t="s">
        <v>415</v>
      </c>
      <c r="O902">
        <v>345132</v>
      </c>
      <c r="P902">
        <v>43697.217361111114</v>
      </c>
      <c r="Q902">
        <v>42818.772874918985</v>
      </c>
      <c r="R902">
        <v>915</v>
      </c>
    </row>
    <row r="903" spans="1:18" x14ac:dyDescent="0.25">
      <c r="A903" t="s">
        <v>2976</v>
      </c>
      <c r="B903" t="s">
        <v>2977</v>
      </c>
      <c r="C903" t="s">
        <v>2978</v>
      </c>
      <c r="D903" t="s">
        <v>2978</v>
      </c>
      <c r="E903" t="s">
        <v>2978</v>
      </c>
      <c r="F903" t="s">
        <v>21</v>
      </c>
      <c r="G903" t="s">
        <v>63</v>
      </c>
      <c r="H903" t="s">
        <v>53</v>
      </c>
      <c r="I903" t="s">
        <v>471</v>
      </c>
      <c r="J903">
        <v>2016</v>
      </c>
      <c r="K903">
        <v>43698.521897777777</v>
      </c>
      <c r="L903" t="s">
        <v>1940</v>
      </c>
      <c r="M903" t="s">
        <v>1941</v>
      </c>
      <c r="N903" t="s">
        <v>415</v>
      </c>
      <c r="O903">
        <v>205236</v>
      </c>
      <c r="P903">
        <v>43313.859027777777</v>
      </c>
      <c r="Q903">
        <v>42822.582299733796</v>
      </c>
      <c r="R903">
        <v>916</v>
      </c>
    </row>
    <row r="904" spans="1:18" x14ac:dyDescent="0.25">
      <c r="A904" t="s">
        <v>2979</v>
      </c>
      <c r="B904" t="s">
        <v>2980</v>
      </c>
      <c r="C904" t="s">
        <v>2981</v>
      </c>
      <c r="D904" t="s">
        <v>2981</v>
      </c>
      <c r="E904" t="s">
        <v>2981</v>
      </c>
      <c r="F904" t="s">
        <v>21</v>
      </c>
      <c r="G904" t="s">
        <v>63</v>
      </c>
      <c r="H904" t="s">
        <v>53</v>
      </c>
      <c r="I904" t="s">
        <v>471</v>
      </c>
      <c r="J904">
        <v>2013</v>
      </c>
      <c r="K904">
        <v>43698.521897777777</v>
      </c>
      <c r="L904" t="s">
        <v>25</v>
      </c>
      <c r="M904" t="s">
        <v>1941</v>
      </c>
      <c r="N904" t="s">
        <v>415</v>
      </c>
      <c r="O904">
        <v>183676</v>
      </c>
      <c r="P904">
        <v>43235.976388888892</v>
      </c>
      <c r="Q904">
        <v>42822.586764548614</v>
      </c>
      <c r="R904">
        <v>917</v>
      </c>
    </row>
    <row r="905" spans="1:18" x14ac:dyDescent="0.25">
      <c r="A905" t="s">
        <v>2982</v>
      </c>
      <c r="B905" t="s">
        <v>628</v>
      </c>
      <c r="C905" t="s">
        <v>2983</v>
      </c>
      <c r="D905" t="s">
        <v>2983</v>
      </c>
      <c r="E905" t="s">
        <v>2983</v>
      </c>
      <c r="F905" t="s">
        <v>21</v>
      </c>
      <c r="G905" t="s">
        <v>63</v>
      </c>
      <c r="H905" t="s">
        <v>34</v>
      </c>
      <c r="I905" t="s">
        <v>25</v>
      </c>
      <c r="J905">
        <v>2014</v>
      </c>
      <c r="K905">
        <v>43698.521897777777</v>
      </c>
      <c r="L905" t="s">
        <v>25</v>
      </c>
      <c r="M905" t="s">
        <v>154</v>
      </c>
      <c r="N905" t="s">
        <v>1305</v>
      </c>
      <c r="O905">
        <v>112746</v>
      </c>
      <c r="P905">
        <v>42872.085173611114</v>
      </c>
      <c r="Q905">
        <v>42822.768792129631</v>
      </c>
      <c r="R905">
        <v>918</v>
      </c>
    </row>
    <row r="906" spans="1:18" x14ac:dyDescent="0.25">
      <c r="A906" t="s">
        <v>2984</v>
      </c>
      <c r="B906" t="s">
        <v>1310</v>
      </c>
      <c r="C906" t="s">
        <v>2985</v>
      </c>
      <c r="D906" t="s">
        <v>2985</v>
      </c>
      <c r="E906" t="s">
        <v>2985</v>
      </c>
      <c r="F906" t="s">
        <v>21</v>
      </c>
      <c r="G906" t="s">
        <v>63</v>
      </c>
      <c r="H906" t="s">
        <v>34</v>
      </c>
      <c r="I906" t="s">
        <v>25</v>
      </c>
      <c r="J906">
        <v>2007</v>
      </c>
      <c r="K906">
        <v>43698.521897777777</v>
      </c>
      <c r="L906" t="s">
        <v>25</v>
      </c>
      <c r="M906" t="s">
        <v>154</v>
      </c>
      <c r="N906" t="s">
        <v>1305</v>
      </c>
      <c r="O906">
        <v>120673</v>
      </c>
      <c r="P906">
        <v>42931.946145833332</v>
      </c>
      <c r="Q906">
        <v>42822.77096736111</v>
      </c>
      <c r="R906">
        <v>919</v>
      </c>
    </row>
    <row r="907" spans="1:18" x14ac:dyDescent="0.25">
      <c r="A907" t="s">
        <v>2986</v>
      </c>
      <c r="B907" t="s">
        <v>2987</v>
      </c>
      <c r="C907" t="s">
        <v>2988</v>
      </c>
      <c r="D907" t="s">
        <v>2988</v>
      </c>
      <c r="E907" t="s">
        <v>2988</v>
      </c>
      <c r="F907" t="s">
        <v>21</v>
      </c>
      <c r="G907" t="s">
        <v>106</v>
      </c>
      <c r="H907" t="s">
        <v>23</v>
      </c>
      <c r="I907" t="s">
        <v>41</v>
      </c>
      <c r="J907">
        <v>2018</v>
      </c>
      <c r="K907">
        <v>43698.521897777777</v>
      </c>
      <c r="L907" t="s">
        <v>25</v>
      </c>
      <c r="M907" t="s">
        <v>42</v>
      </c>
      <c r="N907" t="s">
        <v>415</v>
      </c>
      <c r="O907">
        <v>116709</v>
      </c>
      <c r="P907">
        <v>42898.885416666664</v>
      </c>
      <c r="Q907">
        <v>42823.547346030093</v>
      </c>
      <c r="R907">
        <v>920</v>
      </c>
    </row>
    <row r="908" spans="1:18" x14ac:dyDescent="0.25">
      <c r="A908" t="s">
        <v>2989</v>
      </c>
      <c r="B908" t="s">
        <v>2990</v>
      </c>
      <c r="C908" t="s">
        <v>2991</v>
      </c>
      <c r="D908" t="s">
        <v>2991</v>
      </c>
      <c r="E908" t="s">
        <v>2991</v>
      </c>
      <c r="F908" t="s">
        <v>21</v>
      </c>
      <c r="G908" t="s">
        <v>106</v>
      </c>
      <c r="H908" t="s">
        <v>23</v>
      </c>
      <c r="I908" t="s">
        <v>41</v>
      </c>
      <c r="J908">
        <v>2018</v>
      </c>
      <c r="K908">
        <v>43698.521897777777</v>
      </c>
      <c r="L908" t="s">
        <v>25</v>
      </c>
      <c r="M908" t="s">
        <v>42</v>
      </c>
      <c r="N908" t="s">
        <v>415</v>
      </c>
      <c r="O908">
        <v>116418</v>
      </c>
      <c r="P908">
        <v>42896.927083333336</v>
      </c>
      <c r="Q908">
        <v>42823.548285069446</v>
      </c>
      <c r="R908">
        <v>921</v>
      </c>
    </row>
    <row r="909" spans="1:18" x14ac:dyDescent="0.25">
      <c r="A909" t="s">
        <v>2992</v>
      </c>
      <c r="B909" t="s">
        <v>2993</v>
      </c>
      <c r="C909" t="s">
        <v>2994</v>
      </c>
      <c r="D909" t="s">
        <v>2994</v>
      </c>
      <c r="E909" t="s">
        <v>2994</v>
      </c>
      <c r="F909" t="s">
        <v>21</v>
      </c>
      <c r="G909" t="s">
        <v>106</v>
      </c>
      <c r="H909" t="s">
        <v>23</v>
      </c>
      <c r="I909" t="s">
        <v>41</v>
      </c>
      <c r="J909">
        <v>2018</v>
      </c>
      <c r="K909">
        <v>43698.521897777777</v>
      </c>
      <c r="L909" t="s">
        <v>25</v>
      </c>
      <c r="M909" t="s">
        <v>42</v>
      </c>
      <c r="N909" t="s">
        <v>415</v>
      </c>
      <c r="O909">
        <v>116148</v>
      </c>
      <c r="P909">
        <v>42894.916666666664</v>
      </c>
      <c r="Q909">
        <v>42823.550095798608</v>
      </c>
      <c r="R909">
        <v>922</v>
      </c>
    </row>
    <row r="910" spans="1:18" x14ac:dyDescent="0.25">
      <c r="A910" t="s">
        <v>2995</v>
      </c>
      <c r="B910" t="s">
        <v>2996</v>
      </c>
      <c r="C910" t="s">
        <v>2997</v>
      </c>
      <c r="D910" t="s">
        <v>2997</v>
      </c>
      <c r="E910" t="s">
        <v>2997</v>
      </c>
      <c r="F910" t="s">
        <v>21</v>
      </c>
      <c r="G910" t="s">
        <v>63</v>
      </c>
      <c r="H910" t="s">
        <v>236</v>
      </c>
      <c r="I910" t="s">
        <v>237</v>
      </c>
      <c r="J910">
        <v>2005</v>
      </c>
      <c r="K910">
        <v>43698.521897777777</v>
      </c>
      <c r="L910" t="s">
        <v>25</v>
      </c>
      <c r="M910" t="s">
        <v>2777</v>
      </c>
      <c r="N910" t="s">
        <v>27</v>
      </c>
      <c r="O910">
        <v>114134</v>
      </c>
      <c r="P910">
        <v>42881.302349537036</v>
      </c>
      <c r="Q910">
        <v>42824.711075115738</v>
      </c>
      <c r="R910">
        <v>923</v>
      </c>
    </row>
    <row r="911" spans="1:18" x14ac:dyDescent="0.25">
      <c r="A911" t="s">
        <v>2998</v>
      </c>
      <c r="B911" t="s">
        <v>2999</v>
      </c>
      <c r="C911" t="s">
        <v>3000</v>
      </c>
      <c r="D911" t="s">
        <v>3000</v>
      </c>
      <c r="E911" t="s">
        <v>3000</v>
      </c>
      <c r="F911" t="s">
        <v>21</v>
      </c>
      <c r="G911" t="s">
        <v>22</v>
      </c>
      <c r="H911" t="s">
        <v>1406</v>
      </c>
      <c r="I911" t="s">
        <v>3001</v>
      </c>
      <c r="J911">
        <v>2016</v>
      </c>
      <c r="K911">
        <v>43698.521897777777</v>
      </c>
      <c r="L911" t="s">
        <v>25</v>
      </c>
      <c r="M911" t="s">
        <v>42</v>
      </c>
      <c r="N911" t="s">
        <v>523</v>
      </c>
      <c r="Q911">
        <v>42824.772240659724</v>
      </c>
      <c r="R911">
        <v>924</v>
      </c>
    </row>
    <row r="912" spans="1:18" x14ac:dyDescent="0.25">
      <c r="A912" t="s">
        <v>3002</v>
      </c>
      <c r="B912" t="s">
        <v>3003</v>
      </c>
      <c r="C912" t="s">
        <v>3004</v>
      </c>
      <c r="D912" t="s">
        <v>3004</v>
      </c>
      <c r="E912" t="s">
        <v>3005</v>
      </c>
      <c r="F912" t="s">
        <v>21</v>
      </c>
      <c r="G912" t="s">
        <v>22</v>
      </c>
      <c r="H912" t="s">
        <v>53</v>
      </c>
      <c r="I912" t="s">
        <v>3006</v>
      </c>
      <c r="J912">
        <v>2018</v>
      </c>
      <c r="K912">
        <v>43698.521897777777</v>
      </c>
      <c r="L912" t="s">
        <v>193</v>
      </c>
      <c r="M912" t="s">
        <v>26</v>
      </c>
      <c r="N912" t="s">
        <v>27</v>
      </c>
      <c r="O912">
        <v>245889</v>
      </c>
      <c r="P912">
        <v>43432.958333333336</v>
      </c>
      <c r="Q912">
        <v>42825.656903819443</v>
      </c>
      <c r="R912">
        <v>925</v>
      </c>
    </row>
    <row r="913" spans="1:18" x14ac:dyDescent="0.25">
      <c r="A913" t="s">
        <v>3007</v>
      </c>
      <c r="B913" t="s">
        <v>3008</v>
      </c>
      <c r="C913" t="s">
        <v>3009</v>
      </c>
      <c r="D913" t="s">
        <v>3009</v>
      </c>
      <c r="E913" t="s">
        <v>3010</v>
      </c>
      <c r="F913" t="s">
        <v>21</v>
      </c>
      <c r="G913" t="s">
        <v>22</v>
      </c>
      <c r="H913" t="s">
        <v>53</v>
      </c>
      <c r="I913" t="s">
        <v>3006</v>
      </c>
      <c r="J913">
        <v>2018</v>
      </c>
      <c r="K913">
        <v>43698.521897777777</v>
      </c>
      <c r="L913" t="s">
        <v>578</v>
      </c>
      <c r="M913" t="s">
        <v>42</v>
      </c>
      <c r="N913" t="s">
        <v>27</v>
      </c>
      <c r="O913">
        <v>269009</v>
      </c>
      <c r="P913">
        <v>43501.58792824074</v>
      </c>
      <c r="Q913">
        <v>42825.662185729168</v>
      </c>
      <c r="R913">
        <v>926</v>
      </c>
    </row>
    <row r="914" spans="1:18" x14ac:dyDescent="0.25">
      <c r="A914" t="s">
        <v>3011</v>
      </c>
      <c r="B914" t="s">
        <v>3012</v>
      </c>
      <c r="C914" t="s">
        <v>3013</v>
      </c>
      <c r="D914" t="s">
        <v>3013</v>
      </c>
      <c r="E914" t="s">
        <v>3014</v>
      </c>
      <c r="F914" t="s">
        <v>21</v>
      </c>
      <c r="G914" t="s">
        <v>22</v>
      </c>
      <c r="H914" t="s">
        <v>53</v>
      </c>
      <c r="I914" t="s">
        <v>3006</v>
      </c>
      <c r="J914">
        <v>2018</v>
      </c>
      <c r="K914">
        <v>43698.521897777777</v>
      </c>
      <c r="L914" t="s">
        <v>193</v>
      </c>
      <c r="M914" t="s">
        <v>37</v>
      </c>
      <c r="N914" t="s">
        <v>27</v>
      </c>
      <c r="O914">
        <v>249428</v>
      </c>
      <c r="P914">
        <v>43442.521527777775</v>
      </c>
      <c r="Q914">
        <v>42825.666373032407</v>
      </c>
      <c r="R914">
        <v>927</v>
      </c>
    </row>
    <row r="915" spans="1:18" x14ac:dyDescent="0.25">
      <c r="A915" t="s">
        <v>3015</v>
      </c>
      <c r="B915" t="s">
        <v>3016</v>
      </c>
      <c r="C915" t="s">
        <v>3017</v>
      </c>
      <c r="D915" t="s">
        <v>3017</v>
      </c>
      <c r="E915" t="s">
        <v>3018</v>
      </c>
      <c r="F915" t="s">
        <v>21</v>
      </c>
      <c r="G915" t="s">
        <v>22</v>
      </c>
      <c r="H915" t="s">
        <v>53</v>
      </c>
      <c r="I915" t="s">
        <v>3006</v>
      </c>
      <c r="J915">
        <v>2018</v>
      </c>
      <c r="K915">
        <v>43698.521897777777</v>
      </c>
      <c r="L915" t="s">
        <v>193</v>
      </c>
      <c r="M915" t="s">
        <v>42</v>
      </c>
      <c r="N915" t="s">
        <v>27</v>
      </c>
      <c r="O915">
        <v>246833</v>
      </c>
      <c r="P915">
        <v>43433.37060185185</v>
      </c>
      <c r="Q915">
        <v>42825.667943287037</v>
      </c>
      <c r="R915">
        <v>928</v>
      </c>
    </row>
    <row r="916" spans="1:18" x14ac:dyDescent="0.25">
      <c r="A916" t="s">
        <v>3019</v>
      </c>
      <c r="B916" t="s">
        <v>3020</v>
      </c>
      <c r="C916" t="s">
        <v>3021</v>
      </c>
      <c r="D916" t="s">
        <v>3021</v>
      </c>
      <c r="E916" t="s">
        <v>3022</v>
      </c>
      <c r="F916" t="s">
        <v>21</v>
      </c>
      <c r="G916" t="s">
        <v>22</v>
      </c>
      <c r="H916" t="s">
        <v>53</v>
      </c>
      <c r="I916" t="s">
        <v>3006</v>
      </c>
      <c r="J916">
        <v>2018</v>
      </c>
      <c r="K916">
        <v>43698.521897777777</v>
      </c>
      <c r="L916" t="s">
        <v>2686</v>
      </c>
      <c r="M916" t="s">
        <v>37</v>
      </c>
      <c r="N916" t="s">
        <v>27</v>
      </c>
      <c r="O916">
        <v>275285</v>
      </c>
      <c r="P916">
        <v>43518.833333333336</v>
      </c>
      <c r="Q916">
        <v>42831.660079016205</v>
      </c>
      <c r="R916">
        <v>931</v>
      </c>
    </row>
    <row r="917" spans="1:18" x14ac:dyDescent="0.25">
      <c r="A917" t="s">
        <v>3023</v>
      </c>
      <c r="B917" t="s">
        <v>3024</v>
      </c>
      <c r="C917" t="s">
        <v>3025</v>
      </c>
      <c r="D917" t="s">
        <v>3025</v>
      </c>
      <c r="E917" t="s">
        <v>3026</v>
      </c>
      <c r="F917" t="s">
        <v>21</v>
      </c>
      <c r="G917" t="s">
        <v>22</v>
      </c>
      <c r="H917" t="s">
        <v>53</v>
      </c>
      <c r="I917" t="s">
        <v>3006</v>
      </c>
      <c r="J917">
        <v>2018</v>
      </c>
      <c r="K917">
        <v>43698.521897777777</v>
      </c>
      <c r="L917" t="s">
        <v>1916</v>
      </c>
      <c r="M917" t="s">
        <v>37</v>
      </c>
      <c r="N917" t="s">
        <v>27</v>
      </c>
      <c r="O917">
        <v>280202</v>
      </c>
      <c r="P917">
        <v>43532.08630787037</v>
      </c>
      <c r="Q917">
        <v>42831.660932638886</v>
      </c>
      <c r="R917">
        <v>932</v>
      </c>
    </row>
    <row r="918" spans="1:18" x14ac:dyDescent="0.25">
      <c r="A918" t="s">
        <v>3027</v>
      </c>
      <c r="B918" t="s">
        <v>3028</v>
      </c>
      <c r="C918" t="s">
        <v>3029</v>
      </c>
      <c r="D918" t="s">
        <v>3029</v>
      </c>
      <c r="E918" t="s">
        <v>3030</v>
      </c>
      <c r="F918" t="s">
        <v>21</v>
      </c>
      <c r="G918" t="s">
        <v>22</v>
      </c>
      <c r="H918" t="s">
        <v>53</v>
      </c>
      <c r="I918" t="s">
        <v>3006</v>
      </c>
      <c r="J918">
        <v>2018</v>
      </c>
      <c r="K918">
        <v>43698.521897777777</v>
      </c>
      <c r="L918" t="s">
        <v>578</v>
      </c>
      <c r="M918" t="s">
        <v>37</v>
      </c>
      <c r="N918" t="s">
        <v>27</v>
      </c>
      <c r="O918">
        <v>245826</v>
      </c>
      <c r="P918">
        <v>43432.144409722219</v>
      </c>
      <c r="Q918">
        <v>42831.661310798612</v>
      </c>
      <c r="R918">
        <v>933</v>
      </c>
    </row>
    <row r="919" spans="1:18" x14ac:dyDescent="0.25">
      <c r="A919" t="s">
        <v>3031</v>
      </c>
      <c r="B919" t="s">
        <v>3032</v>
      </c>
      <c r="C919" t="s">
        <v>3033</v>
      </c>
      <c r="D919" t="s">
        <v>3033</v>
      </c>
      <c r="E919" t="s">
        <v>3034</v>
      </c>
      <c r="F919" t="s">
        <v>21</v>
      </c>
      <c r="G919" t="s">
        <v>22</v>
      </c>
      <c r="H919" t="s">
        <v>53</v>
      </c>
      <c r="I919" t="s">
        <v>3006</v>
      </c>
      <c r="J919">
        <v>2018</v>
      </c>
      <c r="K919">
        <v>43698.521897777777</v>
      </c>
      <c r="L919" t="s">
        <v>2713</v>
      </c>
      <c r="M919" t="s">
        <v>37</v>
      </c>
      <c r="N919" t="s">
        <v>27</v>
      </c>
      <c r="O919">
        <v>247410</v>
      </c>
      <c r="P919">
        <v>43434.511111111111</v>
      </c>
      <c r="Q919">
        <v>42831.66364864583</v>
      </c>
      <c r="R919">
        <v>935</v>
      </c>
    </row>
    <row r="920" spans="1:18" x14ac:dyDescent="0.25">
      <c r="A920" t="s">
        <v>3035</v>
      </c>
      <c r="B920" t="s">
        <v>3036</v>
      </c>
      <c r="C920" t="s">
        <v>3037</v>
      </c>
      <c r="D920" t="s">
        <v>3037</v>
      </c>
      <c r="E920" t="s">
        <v>3038</v>
      </c>
      <c r="F920" t="s">
        <v>21</v>
      </c>
      <c r="G920" t="s">
        <v>22</v>
      </c>
      <c r="H920" t="s">
        <v>53</v>
      </c>
      <c r="I920" t="s">
        <v>3006</v>
      </c>
      <c r="J920">
        <v>2018</v>
      </c>
      <c r="K920">
        <v>43698.521897777777</v>
      </c>
      <c r="L920" t="s">
        <v>1716</v>
      </c>
      <c r="M920" t="s">
        <v>42</v>
      </c>
      <c r="N920" t="s">
        <v>27</v>
      </c>
      <c r="O920">
        <v>278818</v>
      </c>
      <c r="P920">
        <v>43529.540277777778</v>
      </c>
      <c r="Q920">
        <v>42831.664741203705</v>
      </c>
      <c r="R920">
        <v>937</v>
      </c>
    </row>
    <row r="921" spans="1:18" x14ac:dyDescent="0.25">
      <c r="A921" t="s">
        <v>3039</v>
      </c>
      <c r="B921" t="s">
        <v>3040</v>
      </c>
      <c r="C921" t="s">
        <v>3041</v>
      </c>
      <c r="D921" t="s">
        <v>3041</v>
      </c>
      <c r="E921" t="s">
        <v>3042</v>
      </c>
      <c r="F921" t="s">
        <v>21</v>
      </c>
      <c r="G921" t="s">
        <v>22</v>
      </c>
      <c r="H921" t="s">
        <v>53</v>
      </c>
      <c r="I921" t="s">
        <v>3006</v>
      </c>
      <c r="J921">
        <v>2018</v>
      </c>
      <c r="K921">
        <v>43698.521897777777</v>
      </c>
      <c r="L921" t="s">
        <v>578</v>
      </c>
      <c r="M921" t="s">
        <v>42</v>
      </c>
      <c r="N921" t="s">
        <v>27</v>
      </c>
      <c r="O921">
        <v>248373</v>
      </c>
      <c r="P921">
        <v>43437.739583333336</v>
      </c>
      <c r="Q921">
        <v>42832.452510300929</v>
      </c>
      <c r="R921">
        <v>938</v>
      </c>
    </row>
    <row r="922" spans="1:18" x14ac:dyDescent="0.25">
      <c r="A922" t="s">
        <v>3043</v>
      </c>
      <c r="B922" t="s">
        <v>3044</v>
      </c>
      <c r="C922" t="s">
        <v>3045</v>
      </c>
      <c r="D922" t="s">
        <v>3045</v>
      </c>
      <c r="E922" t="s">
        <v>3046</v>
      </c>
      <c r="F922" t="s">
        <v>21</v>
      </c>
      <c r="G922" t="s">
        <v>22</v>
      </c>
      <c r="H922" t="s">
        <v>53</v>
      </c>
      <c r="I922" t="s">
        <v>3006</v>
      </c>
      <c r="J922">
        <v>2018</v>
      </c>
      <c r="K922">
        <v>43698.521897777777</v>
      </c>
      <c r="L922" t="s">
        <v>578</v>
      </c>
      <c r="M922" t="s">
        <v>42</v>
      </c>
      <c r="N922" t="s">
        <v>27</v>
      </c>
      <c r="O922">
        <v>249490</v>
      </c>
      <c r="P922">
        <v>43440.416030092594</v>
      </c>
      <c r="Q922">
        <v>42832.453436539348</v>
      </c>
      <c r="R922">
        <v>939</v>
      </c>
    </row>
    <row r="923" spans="1:18" x14ac:dyDescent="0.25">
      <c r="A923" t="s">
        <v>3047</v>
      </c>
      <c r="B923" t="s">
        <v>3048</v>
      </c>
      <c r="C923" t="s">
        <v>3049</v>
      </c>
      <c r="D923" t="s">
        <v>3049</v>
      </c>
      <c r="E923" t="s">
        <v>3050</v>
      </c>
      <c r="F923" t="s">
        <v>21</v>
      </c>
      <c r="G923" t="s">
        <v>22</v>
      </c>
      <c r="H923" t="s">
        <v>53</v>
      </c>
      <c r="I923" t="s">
        <v>3006</v>
      </c>
      <c r="J923">
        <v>2018</v>
      </c>
      <c r="K923">
        <v>43698.521897777777</v>
      </c>
      <c r="L923" t="s">
        <v>193</v>
      </c>
      <c r="M923" t="s">
        <v>26</v>
      </c>
      <c r="N923" t="s">
        <v>27</v>
      </c>
      <c r="O923">
        <v>245600</v>
      </c>
      <c r="P923">
        <v>43433.847384259258</v>
      </c>
      <c r="Q923">
        <v>42832.45451516204</v>
      </c>
      <c r="R923">
        <v>940</v>
      </c>
    </row>
    <row r="924" spans="1:18" x14ac:dyDescent="0.25">
      <c r="A924" t="s">
        <v>3051</v>
      </c>
      <c r="B924" t="s">
        <v>3052</v>
      </c>
      <c r="C924" t="s">
        <v>3053</v>
      </c>
      <c r="D924" t="s">
        <v>3053</v>
      </c>
      <c r="E924" t="s">
        <v>3054</v>
      </c>
      <c r="F924" t="s">
        <v>21</v>
      </c>
      <c r="G924" t="s">
        <v>22</v>
      </c>
      <c r="H924" t="s">
        <v>53</v>
      </c>
      <c r="I924" t="s">
        <v>3006</v>
      </c>
      <c r="J924">
        <v>2018</v>
      </c>
      <c r="K924">
        <v>43698.521897777777</v>
      </c>
      <c r="L924" t="s">
        <v>193</v>
      </c>
      <c r="M924" t="s">
        <v>26</v>
      </c>
      <c r="N924" t="s">
        <v>27</v>
      </c>
      <c r="O924">
        <v>245273</v>
      </c>
      <c r="P924">
        <v>43431.627083333333</v>
      </c>
      <c r="Q924">
        <v>42832.455016932872</v>
      </c>
      <c r="R924">
        <v>941</v>
      </c>
    </row>
    <row r="925" spans="1:18" x14ac:dyDescent="0.25">
      <c r="A925" t="s">
        <v>3055</v>
      </c>
      <c r="B925" t="s">
        <v>3056</v>
      </c>
      <c r="C925" t="s">
        <v>3057</v>
      </c>
      <c r="D925" t="s">
        <v>3057</v>
      </c>
      <c r="E925" t="s">
        <v>3058</v>
      </c>
      <c r="F925" t="s">
        <v>21</v>
      </c>
      <c r="G925" t="s">
        <v>22</v>
      </c>
      <c r="H925" t="s">
        <v>53</v>
      </c>
      <c r="I925" t="s">
        <v>3006</v>
      </c>
      <c r="J925">
        <v>2018</v>
      </c>
      <c r="K925">
        <v>43698.521897777777</v>
      </c>
      <c r="L925" t="s">
        <v>2686</v>
      </c>
      <c r="M925" t="s">
        <v>26</v>
      </c>
      <c r="N925" t="s">
        <v>27</v>
      </c>
      <c r="O925">
        <v>252657</v>
      </c>
      <c r="P925">
        <v>43449.132002314815</v>
      </c>
      <c r="Q925">
        <v>42832.457180173609</v>
      </c>
      <c r="R925">
        <v>942</v>
      </c>
    </row>
    <row r="926" spans="1:18" x14ac:dyDescent="0.25">
      <c r="A926" t="s">
        <v>3059</v>
      </c>
      <c r="B926" t="s">
        <v>3060</v>
      </c>
      <c r="C926" t="s">
        <v>3061</v>
      </c>
      <c r="D926" t="s">
        <v>3061</v>
      </c>
      <c r="E926" t="s">
        <v>3062</v>
      </c>
      <c r="F926" t="s">
        <v>21</v>
      </c>
      <c r="G926" t="s">
        <v>22</v>
      </c>
      <c r="H926" t="s">
        <v>53</v>
      </c>
      <c r="I926" t="s">
        <v>3006</v>
      </c>
      <c r="J926">
        <v>2018</v>
      </c>
      <c r="K926">
        <v>43698.521897777777</v>
      </c>
      <c r="L926" t="s">
        <v>193</v>
      </c>
      <c r="M926" t="s">
        <v>26</v>
      </c>
      <c r="N926" t="s">
        <v>27</v>
      </c>
      <c r="O926">
        <v>273211</v>
      </c>
      <c r="P926">
        <v>43515.417430555557</v>
      </c>
      <c r="Q926">
        <v>42832.457869560189</v>
      </c>
      <c r="R926">
        <v>943</v>
      </c>
    </row>
    <row r="927" spans="1:18" x14ac:dyDescent="0.25">
      <c r="A927" t="s">
        <v>3063</v>
      </c>
      <c r="B927" t="s">
        <v>3064</v>
      </c>
      <c r="C927" t="s">
        <v>3065</v>
      </c>
      <c r="D927" t="s">
        <v>3065</v>
      </c>
      <c r="E927" t="s">
        <v>3065</v>
      </c>
      <c r="F927" t="s">
        <v>21</v>
      </c>
      <c r="G927" t="s">
        <v>63</v>
      </c>
      <c r="H927" t="s">
        <v>34</v>
      </c>
      <c r="I927" t="s">
        <v>35</v>
      </c>
      <c r="J927">
        <v>2008</v>
      </c>
      <c r="K927">
        <v>43698.521897777777</v>
      </c>
      <c r="L927" t="s">
        <v>25</v>
      </c>
      <c r="M927" t="s">
        <v>1941</v>
      </c>
      <c r="N927" t="s">
        <v>415</v>
      </c>
      <c r="O927">
        <v>126995</v>
      </c>
      <c r="P927">
        <v>42973.571053240739</v>
      </c>
      <c r="Q927">
        <v>42833.57906802083</v>
      </c>
      <c r="R927">
        <v>944</v>
      </c>
    </row>
    <row r="928" spans="1:18" x14ac:dyDescent="0.25">
      <c r="A928" t="s">
        <v>3066</v>
      </c>
      <c r="B928" t="s">
        <v>3067</v>
      </c>
      <c r="C928" t="s">
        <v>3068</v>
      </c>
      <c r="D928" t="s">
        <v>3068</v>
      </c>
      <c r="E928" t="s">
        <v>3068</v>
      </c>
      <c r="F928" t="s">
        <v>21</v>
      </c>
      <c r="G928" t="s">
        <v>106</v>
      </c>
      <c r="H928" t="s">
        <v>236</v>
      </c>
      <c r="I928" t="s">
        <v>41</v>
      </c>
      <c r="J928">
        <v>2013</v>
      </c>
      <c r="K928">
        <v>43698.521897777777</v>
      </c>
      <c r="L928" t="s">
        <v>25</v>
      </c>
      <c r="M928" t="s">
        <v>42</v>
      </c>
      <c r="N928" t="s">
        <v>415</v>
      </c>
      <c r="O928">
        <v>116190</v>
      </c>
      <c r="P928">
        <v>42894.927083333336</v>
      </c>
      <c r="Q928">
        <v>42835.83386053241</v>
      </c>
      <c r="R928">
        <v>945</v>
      </c>
    </row>
    <row r="929" spans="1:18" x14ac:dyDescent="0.25">
      <c r="A929" t="s">
        <v>3069</v>
      </c>
      <c r="B929" t="s">
        <v>1854</v>
      </c>
      <c r="C929" t="s">
        <v>3070</v>
      </c>
      <c r="D929" t="s">
        <v>3070</v>
      </c>
      <c r="E929" t="s">
        <v>3070</v>
      </c>
      <c r="F929" t="s">
        <v>21</v>
      </c>
      <c r="G929" t="s">
        <v>63</v>
      </c>
      <c r="H929" t="s">
        <v>80</v>
      </c>
      <c r="I929" t="s">
        <v>3071</v>
      </c>
      <c r="J929">
        <v>2012</v>
      </c>
      <c r="K929">
        <v>43698.521897777777</v>
      </c>
      <c r="L929" t="s">
        <v>193</v>
      </c>
      <c r="M929" t="s">
        <v>1941</v>
      </c>
      <c r="N929" t="s">
        <v>415</v>
      </c>
      <c r="O929">
        <v>266942</v>
      </c>
      <c r="P929">
        <v>43496.18472222222</v>
      </c>
      <c r="Q929">
        <v>42835.840269791668</v>
      </c>
      <c r="R929">
        <v>946</v>
      </c>
    </row>
    <row r="930" spans="1:18" x14ac:dyDescent="0.25">
      <c r="A930" t="s">
        <v>25</v>
      </c>
      <c r="B930" t="s">
        <v>25</v>
      </c>
      <c r="C930" t="s">
        <v>1163</v>
      </c>
      <c r="D930" t="s">
        <v>1163</v>
      </c>
      <c r="E930" t="s">
        <v>3072</v>
      </c>
      <c r="F930" t="s">
        <v>21</v>
      </c>
      <c r="G930" t="s">
        <v>106</v>
      </c>
      <c r="H930" t="s">
        <v>25</v>
      </c>
      <c r="I930" t="s">
        <v>25</v>
      </c>
      <c r="K930">
        <v>43698.521897777777</v>
      </c>
      <c r="L930" t="s">
        <v>25</v>
      </c>
      <c r="M930" t="s">
        <v>42</v>
      </c>
      <c r="N930" t="s">
        <v>27</v>
      </c>
      <c r="Q930">
        <v>42845.845037303239</v>
      </c>
      <c r="R930">
        <v>947</v>
      </c>
    </row>
    <row r="931" spans="1:18" x14ac:dyDescent="0.25">
      <c r="A931" t="s">
        <v>3073</v>
      </c>
      <c r="B931" t="s">
        <v>3074</v>
      </c>
      <c r="C931" t="s">
        <v>3075</v>
      </c>
      <c r="D931" t="s">
        <v>3075</v>
      </c>
      <c r="E931" t="s">
        <v>3075</v>
      </c>
      <c r="F931" t="s">
        <v>91</v>
      </c>
      <c r="G931" t="s">
        <v>63</v>
      </c>
      <c r="H931" t="s">
        <v>34</v>
      </c>
      <c r="I931" t="s">
        <v>35</v>
      </c>
      <c r="J931">
        <v>2014</v>
      </c>
      <c r="K931">
        <v>43698.521897777777</v>
      </c>
      <c r="L931" t="s">
        <v>193</v>
      </c>
      <c r="M931" t="s">
        <v>1941</v>
      </c>
      <c r="N931" t="s">
        <v>415</v>
      </c>
      <c r="O931">
        <v>346920</v>
      </c>
      <c r="P931">
        <v>43698.521897777777</v>
      </c>
      <c r="Q931">
        <v>42849.584226932871</v>
      </c>
      <c r="R931">
        <v>949</v>
      </c>
    </row>
    <row r="932" spans="1:18" x14ac:dyDescent="0.25">
      <c r="A932" t="s">
        <v>3076</v>
      </c>
      <c r="B932" t="s">
        <v>2432</v>
      </c>
      <c r="C932" t="s">
        <v>3077</v>
      </c>
      <c r="D932" t="s">
        <v>3077</v>
      </c>
      <c r="E932" t="s">
        <v>3077</v>
      </c>
      <c r="F932" t="s">
        <v>21</v>
      </c>
      <c r="G932" t="s">
        <v>63</v>
      </c>
      <c r="H932" t="s">
        <v>34</v>
      </c>
      <c r="I932" t="s">
        <v>35</v>
      </c>
      <c r="J932">
        <v>2007</v>
      </c>
      <c r="K932">
        <v>43698.521897777777</v>
      </c>
      <c r="L932" t="s">
        <v>25</v>
      </c>
      <c r="M932" t="s">
        <v>1941</v>
      </c>
      <c r="N932" t="s">
        <v>415</v>
      </c>
      <c r="O932">
        <v>146180</v>
      </c>
      <c r="P932">
        <v>43068.917754629627</v>
      </c>
      <c r="Q932">
        <v>42849.667090196759</v>
      </c>
      <c r="R932">
        <v>950</v>
      </c>
    </row>
    <row r="933" spans="1:18" x14ac:dyDescent="0.25">
      <c r="A933" t="s">
        <v>25</v>
      </c>
      <c r="B933" t="s">
        <v>25</v>
      </c>
      <c r="C933" t="s">
        <v>3078</v>
      </c>
      <c r="D933" t="s">
        <v>3078</v>
      </c>
      <c r="E933" t="s">
        <v>3079</v>
      </c>
      <c r="F933" t="s">
        <v>21</v>
      </c>
      <c r="G933" t="s">
        <v>106</v>
      </c>
      <c r="H933" t="s">
        <v>25</v>
      </c>
      <c r="I933" t="s">
        <v>25</v>
      </c>
      <c r="K933">
        <v>43698.521897777777</v>
      </c>
      <c r="L933" t="s">
        <v>466</v>
      </c>
      <c r="M933" t="s">
        <v>154</v>
      </c>
      <c r="N933" t="s">
        <v>27</v>
      </c>
      <c r="O933">
        <v>240530</v>
      </c>
      <c r="P933">
        <v>43417.129710648151</v>
      </c>
      <c r="Q933">
        <v>42851.671603506948</v>
      </c>
      <c r="R933">
        <v>952</v>
      </c>
    </row>
    <row r="934" spans="1:18" x14ac:dyDescent="0.25">
      <c r="A934" t="s">
        <v>3080</v>
      </c>
      <c r="B934" t="s">
        <v>3081</v>
      </c>
      <c r="C934" t="s">
        <v>3082</v>
      </c>
      <c r="D934" t="s">
        <v>3082</v>
      </c>
      <c r="E934" t="s">
        <v>3082</v>
      </c>
      <c r="F934" t="s">
        <v>21</v>
      </c>
      <c r="G934" t="s">
        <v>63</v>
      </c>
      <c r="H934" t="s">
        <v>53</v>
      </c>
      <c r="I934" t="s">
        <v>25</v>
      </c>
      <c r="J934">
        <v>2017</v>
      </c>
      <c r="K934">
        <v>43698.521897777777</v>
      </c>
      <c r="L934" t="s">
        <v>25</v>
      </c>
      <c r="M934" t="s">
        <v>154</v>
      </c>
      <c r="N934" t="s">
        <v>1305</v>
      </c>
      <c r="O934">
        <v>163683</v>
      </c>
      <c r="P934">
        <v>43156.73541666667</v>
      </c>
      <c r="Q934">
        <v>42857.503881597222</v>
      </c>
      <c r="R934">
        <v>953</v>
      </c>
    </row>
    <row r="935" spans="1:18" x14ac:dyDescent="0.25">
      <c r="A935" t="s">
        <v>3083</v>
      </c>
      <c r="B935" t="s">
        <v>3084</v>
      </c>
      <c r="C935" t="s">
        <v>3085</v>
      </c>
      <c r="D935" t="s">
        <v>3085</v>
      </c>
      <c r="E935" t="s">
        <v>3086</v>
      </c>
      <c r="F935" t="s">
        <v>21</v>
      </c>
      <c r="G935" t="s">
        <v>22</v>
      </c>
      <c r="H935" t="s">
        <v>53</v>
      </c>
      <c r="I935" t="s">
        <v>3006</v>
      </c>
      <c r="J935">
        <v>2018</v>
      </c>
      <c r="K935">
        <v>43698.521897777777</v>
      </c>
      <c r="L935" t="s">
        <v>899</v>
      </c>
      <c r="M935" t="s">
        <v>154</v>
      </c>
      <c r="N935" t="s">
        <v>27</v>
      </c>
      <c r="O935">
        <v>314539</v>
      </c>
      <c r="P935">
        <v>43620.640127314815</v>
      </c>
      <c r="Q935">
        <v>42857.534973495371</v>
      </c>
      <c r="R935">
        <v>954</v>
      </c>
    </row>
    <row r="936" spans="1:18" x14ac:dyDescent="0.25">
      <c r="A936" t="s">
        <v>3087</v>
      </c>
      <c r="B936" t="s">
        <v>3088</v>
      </c>
      <c r="C936" t="s">
        <v>3089</v>
      </c>
      <c r="D936" t="s">
        <v>3089</v>
      </c>
      <c r="E936" t="s">
        <v>3090</v>
      </c>
      <c r="F936" t="s">
        <v>21</v>
      </c>
      <c r="G936" t="s">
        <v>22</v>
      </c>
      <c r="H936" t="s">
        <v>53</v>
      </c>
      <c r="I936" t="s">
        <v>3006</v>
      </c>
      <c r="J936">
        <v>2018</v>
      </c>
      <c r="K936">
        <v>43698.521897777777</v>
      </c>
      <c r="L936" t="s">
        <v>899</v>
      </c>
      <c r="M936" t="s">
        <v>154</v>
      </c>
      <c r="N936" t="s">
        <v>523</v>
      </c>
      <c r="O936">
        <v>326340</v>
      </c>
      <c r="P936">
        <v>43647.497916666667</v>
      </c>
      <c r="Q936">
        <v>42857.537548067128</v>
      </c>
      <c r="R936">
        <v>955</v>
      </c>
    </row>
    <row r="937" spans="1:18" x14ac:dyDescent="0.25">
      <c r="A937" t="s">
        <v>3091</v>
      </c>
      <c r="B937" t="s">
        <v>3092</v>
      </c>
      <c r="C937" t="s">
        <v>3093</v>
      </c>
      <c r="D937" t="s">
        <v>3093</v>
      </c>
      <c r="E937" t="s">
        <v>3094</v>
      </c>
      <c r="F937" t="s">
        <v>21</v>
      </c>
      <c r="G937" t="s">
        <v>22</v>
      </c>
      <c r="H937" t="s">
        <v>53</v>
      </c>
      <c r="I937" t="s">
        <v>3006</v>
      </c>
      <c r="J937">
        <v>2018</v>
      </c>
      <c r="K937">
        <v>43698.521897777777</v>
      </c>
      <c r="L937" t="s">
        <v>466</v>
      </c>
      <c r="M937" t="s">
        <v>154</v>
      </c>
      <c r="N937" t="s">
        <v>27</v>
      </c>
      <c r="O937">
        <v>313515</v>
      </c>
      <c r="P937">
        <v>43616.802777777775</v>
      </c>
      <c r="Q937">
        <v>42857.542090127317</v>
      </c>
      <c r="R937">
        <v>956</v>
      </c>
    </row>
    <row r="938" spans="1:18" x14ac:dyDescent="0.25">
      <c r="A938" t="s">
        <v>3095</v>
      </c>
      <c r="B938" t="s">
        <v>3096</v>
      </c>
      <c r="C938" t="s">
        <v>3097</v>
      </c>
      <c r="D938" t="s">
        <v>3097</v>
      </c>
      <c r="E938" t="s">
        <v>3098</v>
      </c>
      <c r="F938" t="s">
        <v>91</v>
      </c>
      <c r="G938" t="s">
        <v>63</v>
      </c>
      <c r="H938" t="s">
        <v>53</v>
      </c>
      <c r="I938" t="s">
        <v>3006</v>
      </c>
      <c r="J938">
        <v>2018</v>
      </c>
      <c r="K938">
        <v>43698.521897777777</v>
      </c>
      <c r="L938" t="s">
        <v>466</v>
      </c>
      <c r="M938" t="s">
        <v>154</v>
      </c>
      <c r="N938" t="s">
        <v>467</v>
      </c>
      <c r="O938">
        <v>346954</v>
      </c>
      <c r="P938">
        <v>43698.521897777777</v>
      </c>
      <c r="Q938">
        <v>42857.544607407406</v>
      </c>
      <c r="R938">
        <v>957</v>
      </c>
    </row>
    <row r="939" spans="1:18" x14ac:dyDescent="0.25">
      <c r="A939" t="s">
        <v>3099</v>
      </c>
      <c r="B939" t="s">
        <v>3100</v>
      </c>
      <c r="C939" t="s">
        <v>3101</v>
      </c>
      <c r="D939" t="s">
        <v>3101</v>
      </c>
      <c r="E939" t="s">
        <v>3102</v>
      </c>
      <c r="F939" t="s">
        <v>91</v>
      </c>
      <c r="G939" t="s">
        <v>22</v>
      </c>
      <c r="H939" t="s">
        <v>53</v>
      </c>
      <c r="I939" t="s">
        <v>3006</v>
      </c>
      <c r="J939">
        <v>2018</v>
      </c>
      <c r="K939">
        <v>43698.521897777777</v>
      </c>
      <c r="L939" t="s">
        <v>899</v>
      </c>
      <c r="M939" t="s">
        <v>154</v>
      </c>
      <c r="N939" t="s">
        <v>523</v>
      </c>
      <c r="O939">
        <v>346847</v>
      </c>
      <c r="P939">
        <v>43698.521897777777</v>
      </c>
      <c r="Q939">
        <v>42857.547855474535</v>
      </c>
      <c r="R939">
        <v>958</v>
      </c>
    </row>
    <row r="940" spans="1:18" x14ac:dyDescent="0.25">
      <c r="A940" t="s">
        <v>25</v>
      </c>
      <c r="B940" t="s">
        <v>25</v>
      </c>
      <c r="C940" t="s">
        <v>3103</v>
      </c>
      <c r="D940" t="s">
        <v>3103</v>
      </c>
      <c r="E940" t="s">
        <v>3104</v>
      </c>
      <c r="F940" t="s">
        <v>21</v>
      </c>
      <c r="G940" t="s">
        <v>106</v>
      </c>
      <c r="H940" t="s">
        <v>25</v>
      </c>
      <c r="I940" t="s">
        <v>25</v>
      </c>
      <c r="K940">
        <v>43698.521897777777</v>
      </c>
      <c r="L940" t="s">
        <v>25</v>
      </c>
      <c r="M940" t="s">
        <v>42</v>
      </c>
      <c r="N940" t="s">
        <v>27</v>
      </c>
      <c r="Q940">
        <v>42860.778556331017</v>
      </c>
      <c r="R940">
        <v>959</v>
      </c>
    </row>
    <row r="941" spans="1:18" x14ac:dyDescent="0.25">
      <c r="A941" t="s">
        <v>3105</v>
      </c>
      <c r="B941" t="s">
        <v>3106</v>
      </c>
      <c r="C941" t="s">
        <v>3107</v>
      </c>
      <c r="D941" t="s">
        <v>3107</v>
      </c>
      <c r="E941" t="s">
        <v>3107</v>
      </c>
      <c r="F941" t="s">
        <v>21</v>
      </c>
      <c r="G941" t="s">
        <v>63</v>
      </c>
      <c r="H941" t="s">
        <v>23</v>
      </c>
      <c r="I941" t="s">
        <v>41</v>
      </c>
      <c r="J941">
        <v>2013</v>
      </c>
      <c r="K941">
        <v>43698.521897777777</v>
      </c>
      <c r="L941" t="s">
        <v>25</v>
      </c>
      <c r="M941" t="s">
        <v>1941</v>
      </c>
      <c r="N941" t="s">
        <v>415</v>
      </c>
      <c r="O941">
        <v>149393</v>
      </c>
      <c r="P941">
        <v>43084.632986111108</v>
      </c>
      <c r="Q941">
        <v>42861.503955474538</v>
      </c>
      <c r="R941">
        <v>961</v>
      </c>
    </row>
    <row r="942" spans="1:18" x14ac:dyDescent="0.25">
      <c r="A942" t="s">
        <v>3108</v>
      </c>
      <c r="B942" t="s">
        <v>3109</v>
      </c>
      <c r="C942" t="s">
        <v>3110</v>
      </c>
      <c r="D942" t="s">
        <v>3110</v>
      </c>
      <c r="E942" t="s">
        <v>3110</v>
      </c>
      <c r="F942" t="s">
        <v>21</v>
      </c>
      <c r="G942" t="s">
        <v>63</v>
      </c>
      <c r="H942" t="s">
        <v>53</v>
      </c>
      <c r="I942" t="s">
        <v>471</v>
      </c>
      <c r="J942">
        <v>2013</v>
      </c>
      <c r="K942">
        <v>43698.521897777777</v>
      </c>
      <c r="L942" t="s">
        <v>25</v>
      </c>
      <c r="M942" t="s">
        <v>1941</v>
      </c>
      <c r="N942" t="s">
        <v>415</v>
      </c>
      <c r="O942">
        <v>120913</v>
      </c>
      <c r="P942">
        <v>42931.668749999997</v>
      </c>
      <c r="Q942">
        <v>42861.509297916666</v>
      </c>
      <c r="R942">
        <v>962</v>
      </c>
    </row>
    <row r="943" spans="1:18" x14ac:dyDescent="0.25">
      <c r="A943" t="s">
        <v>3111</v>
      </c>
      <c r="B943" t="s">
        <v>3112</v>
      </c>
      <c r="C943" t="s">
        <v>3113</v>
      </c>
      <c r="D943" t="s">
        <v>3113</v>
      </c>
      <c r="E943" t="s">
        <v>3113</v>
      </c>
      <c r="F943" t="s">
        <v>21</v>
      </c>
      <c r="G943" t="s">
        <v>63</v>
      </c>
      <c r="H943" t="s">
        <v>236</v>
      </c>
      <c r="I943" t="s">
        <v>41</v>
      </c>
      <c r="J943">
        <v>2013</v>
      </c>
      <c r="K943">
        <v>43698.521897777777</v>
      </c>
      <c r="L943" t="s">
        <v>25</v>
      </c>
      <c r="M943" t="s">
        <v>1941</v>
      </c>
      <c r="N943" t="s">
        <v>415</v>
      </c>
      <c r="O943">
        <v>140706</v>
      </c>
      <c r="P943">
        <v>43041.962141203701</v>
      </c>
      <c r="Q943">
        <v>42861.513369363427</v>
      </c>
      <c r="R943">
        <v>963</v>
      </c>
    </row>
    <row r="944" spans="1:18" x14ac:dyDescent="0.25">
      <c r="A944" t="s">
        <v>3114</v>
      </c>
      <c r="B944" t="s">
        <v>3115</v>
      </c>
      <c r="C944" t="s">
        <v>3116</v>
      </c>
      <c r="D944" t="s">
        <v>3116</v>
      </c>
      <c r="E944" t="s">
        <v>3117</v>
      </c>
      <c r="F944" t="s">
        <v>21</v>
      </c>
      <c r="G944" t="s">
        <v>22</v>
      </c>
      <c r="H944" t="s">
        <v>53</v>
      </c>
      <c r="I944" t="s">
        <v>3006</v>
      </c>
      <c r="J944">
        <v>2018</v>
      </c>
      <c r="K944">
        <v>43698.521897777777</v>
      </c>
      <c r="L944" t="s">
        <v>578</v>
      </c>
      <c r="M944" t="s">
        <v>37</v>
      </c>
      <c r="N944" t="s">
        <v>415</v>
      </c>
      <c r="O944">
        <v>295815</v>
      </c>
      <c r="P944">
        <v>43571.447395833333</v>
      </c>
      <c r="Q944">
        <v>42864.605820682867</v>
      </c>
      <c r="R944">
        <v>964</v>
      </c>
    </row>
    <row r="945" spans="1:18" x14ac:dyDescent="0.25">
      <c r="A945" t="s">
        <v>3118</v>
      </c>
      <c r="B945" t="s">
        <v>3119</v>
      </c>
      <c r="C945" t="s">
        <v>3120</v>
      </c>
      <c r="D945" t="s">
        <v>3120</v>
      </c>
      <c r="E945" t="s">
        <v>3121</v>
      </c>
      <c r="F945" t="s">
        <v>21</v>
      </c>
      <c r="G945" t="s">
        <v>22</v>
      </c>
      <c r="H945" t="s">
        <v>53</v>
      </c>
      <c r="I945" t="s">
        <v>3006</v>
      </c>
      <c r="J945">
        <v>2018</v>
      </c>
      <c r="K945">
        <v>43698.521897777777</v>
      </c>
      <c r="L945" t="s">
        <v>1640</v>
      </c>
      <c r="M945" t="s">
        <v>37</v>
      </c>
      <c r="N945" t="s">
        <v>415</v>
      </c>
      <c r="O945">
        <v>251728</v>
      </c>
      <c r="P945">
        <v>43446.583333333336</v>
      </c>
      <c r="Q945">
        <v>42864.606123611113</v>
      </c>
      <c r="R945">
        <v>965</v>
      </c>
    </row>
    <row r="946" spans="1:18" x14ac:dyDescent="0.25">
      <c r="A946" t="s">
        <v>3122</v>
      </c>
      <c r="B946" t="s">
        <v>3123</v>
      </c>
      <c r="C946" t="s">
        <v>3124</v>
      </c>
      <c r="D946" t="s">
        <v>3124</v>
      </c>
      <c r="E946" t="s">
        <v>3125</v>
      </c>
      <c r="F946" t="s">
        <v>21</v>
      </c>
      <c r="G946" t="s">
        <v>22</v>
      </c>
      <c r="H946" t="s">
        <v>53</v>
      </c>
      <c r="I946" t="s">
        <v>3006</v>
      </c>
      <c r="J946">
        <v>2018</v>
      </c>
      <c r="K946">
        <v>43698.521897777777</v>
      </c>
      <c r="L946" t="s">
        <v>1716</v>
      </c>
      <c r="M946" t="s">
        <v>37</v>
      </c>
      <c r="N946" t="s">
        <v>415</v>
      </c>
      <c r="O946">
        <v>297266</v>
      </c>
      <c r="P946">
        <v>43575.829988425925</v>
      </c>
      <c r="Q946">
        <v>42864.606586261572</v>
      </c>
      <c r="R946">
        <v>966</v>
      </c>
    </row>
    <row r="947" spans="1:18" x14ac:dyDescent="0.25">
      <c r="A947" t="s">
        <v>3126</v>
      </c>
      <c r="B947" t="s">
        <v>3127</v>
      </c>
      <c r="C947" t="s">
        <v>3128</v>
      </c>
      <c r="D947" t="s">
        <v>3128</v>
      </c>
      <c r="E947" t="s">
        <v>3129</v>
      </c>
      <c r="F947" t="s">
        <v>21</v>
      </c>
      <c r="G947" t="s">
        <v>22</v>
      </c>
      <c r="H947" t="s">
        <v>53</v>
      </c>
      <c r="I947" t="s">
        <v>3006</v>
      </c>
      <c r="J947">
        <v>2018</v>
      </c>
      <c r="K947">
        <v>43698.521897777777</v>
      </c>
      <c r="L947" t="s">
        <v>1916</v>
      </c>
      <c r="M947" t="s">
        <v>37</v>
      </c>
      <c r="N947" t="s">
        <v>415</v>
      </c>
      <c r="O947">
        <v>244209</v>
      </c>
      <c r="P947">
        <v>43425.678344907406</v>
      </c>
      <c r="Q947">
        <v>42864.606862465276</v>
      </c>
      <c r="R947">
        <v>967</v>
      </c>
    </row>
    <row r="948" spans="1:18" x14ac:dyDescent="0.25">
      <c r="A948" t="s">
        <v>3130</v>
      </c>
      <c r="B948" t="s">
        <v>3131</v>
      </c>
      <c r="C948" t="s">
        <v>3132</v>
      </c>
      <c r="D948" t="s">
        <v>3132</v>
      </c>
      <c r="E948" t="s">
        <v>3133</v>
      </c>
      <c r="F948" t="s">
        <v>21</v>
      </c>
      <c r="G948" t="s">
        <v>22</v>
      </c>
      <c r="H948" t="s">
        <v>53</v>
      </c>
      <c r="I948" t="s">
        <v>3006</v>
      </c>
      <c r="J948">
        <v>2018</v>
      </c>
      <c r="K948">
        <v>43698.521897777777</v>
      </c>
      <c r="L948" t="s">
        <v>1716</v>
      </c>
      <c r="M948" t="s">
        <v>37</v>
      </c>
      <c r="N948" t="s">
        <v>415</v>
      </c>
      <c r="O948">
        <v>246808</v>
      </c>
      <c r="P948">
        <v>43433.90347222222</v>
      </c>
      <c r="Q948">
        <v>42864.607142094908</v>
      </c>
      <c r="R948">
        <v>968</v>
      </c>
    </row>
    <row r="949" spans="1:18" x14ac:dyDescent="0.25">
      <c r="A949" t="s">
        <v>3134</v>
      </c>
      <c r="B949" t="s">
        <v>3135</v>
      </c>
      <c r="C949" t="s">
        <v>3136</v>
      </c>
      <c r="D949" t="s">
        <v>3136</v>
      </c>
      <c r="E949" t="s">
        <v>3137</v>
      </c>
      <c r="F949" t="s">
        <v>21</v>
      </c>
      <c r="G949" t="s">
        <v>22</v>
      </c>
      <c r="H949" t="s">
        <v>53</v>
      </c>
      <c r="I949" t="s">
        <v>3006</v>
      </c>
      <c r="J949">
        <v>2018</v>
      </c>
      <c r="K949">
        <v>43698.521897777777</v>
      </c>
      <c r="L949" t="s">
        <v>1660</v>
      </c>
      <c r="M949" t="s">
        <v>37</v>
      </c>
      <c r="N949" t="s">
        <v>415</v>
      </c>
      <c r="O949">
        <v>247411</v>
      </c>
      <c r="P949">
        <v>43434.825844907406</v>
      </c>
      <c r="Q949">
        <v>42864.607677314816</v>
      </c>
      <c r="R949">
        <v>969</v>
      </c>
    </row>
    <row r="950" spans="1:18" x14ac:dyDescent="0.25">
      <c r="A950" t="s">
        <v>3138</v>
      </c>
      <c r="B950" t="s">
        <v>3139</v>
      </c>
      <c r="C950" t="s">
        <v>3140</v>
      </c>
      <c r="D950" t="s">
        <v>3140</v>
      </c>
      <c r="E950" t="s">
        <v>3141</v>
      </c>
      <c r="F950" t="s">
        <v>21</v>
      </c>
      <c r="G950" t="s">
        <v>22</v>
      </c>
      <c r="H950" t="s">
        <v>53</v>
      </c>
      <c r="I950" t="s">
        <v>3006</v>
      </c>
      <c r="J950">
        <v>2018</v>
      </c>
      <c r="K950">
        <v>43698.521897777777</v>
      </c>
      <c r="L950" t="s">
        <v>3142</v>
      </c>
      <c r="M950" t="s">
        <v>37</v>
      </c>
      <c r="N950" t="s">
        <v>415</v>
      </c>
      <c r="O950">
        <v>243827</v>
      </c>
      <c r="P950">
        <v>43426.651388888888</v>
      </c>
      <c r="Q950">
        <v>42864.607980208333</v>
      </c>
      <c r="R950">
        <v>970</v>
      </c>
    </row>
    <row r="951" spans="1:18" x14ac:dyDescent="0.25">
      <c r="A951" t="s">
        <v>3143</v>
      </c>
      <c r="B951" t="s">
        <v>3144</v>
      </c>
      <c r="C951" t="s">
        <v>3145</v>
      </c>
      <c r="D951" t="s">
        <v>3145</v>
      </c>
      <c r="E951" t="s">
        <v>3146</v>
      </c>
      <c r="F951" t="s">
        <v>21</v>
      </c>
      <c r="G951" t="s">
        <v>22</v>
      </c>
      <c r="H951" t="s">
        <v>53</v>
      </c>
      <c r="I951" t="s">
        <v>3006</v>
      </c>
      <c r="J951">
        <v>2018</v>
      </c>
      <c r="K951">
        <v>43698.521897777777</v>
      </c>
      <c r="L951" t="s">
        <v>1916</v>
      </c>
      <c r="M951" t="s">
        <v>37</v>
      </c>
      <c r="N951" t="s">
        <v>415</v>
      </c>
      <c r="O951">
        <v>246215</v>
      </c>
      <c r="P951">
        <v>43434.486111111109</v>
      </c>
      <c r="Q951">
        <v>42864.608270254626</v>
      </c>
      <c r="R951">
        <v>971</v>
      </c>
    </row>
    <row r="952" spans="1:18" x14ac:dyDescent="0.25">
      <c r="A952" t="s">
        <v>3147</v>
      </c>
      <c r="B952" t="s">
        <v>3148</v>
      </c>
      <c r="C952" t="s">
        <v>3149</v>
      </c>
      <c r="D952" t="s">
        <v>3149</v>
      </c>
      <c r="E952" t="s">
        <v>3150</v>
      </c>
      <c r="F952" t="s">
        <v>21</v>
      </c>
      <c r="G952" t="s">
        <v>22</v>
      </c>
      <c r="H952" t="s">
        <v>53</v>
      </c>
      <c r="I952" t="s">
        <v>3006</v>
      </c>
      <c r="J952">
        <v>2018</v>
      </c>
      <c r="K952">
        <v>43698.521897777777</v>
      </c>
      <c r="L952" t="s">
        <v>1660</v>
      </c>
      <c r="M952" t="s">
        <v>37</v>
      </c>
      <c r="N952" t="s">
        <v>415</v>
      </c>
      <c r="O952">
        <v>242236</v>
      </c>
      <c r="P952">
        <v>43421.8125</v>
      </c>
      <c r="Q952">
        <v>42864.60861033565</v>
      </c>
      <c r="R952">
        <v>972</v>
      </c>
    </row>
    <row r="953" spans="1:18" x14ac:dyDescent="0.25">
      <c r="A953" t="s">
        <v>3151</v>
      </c>
      <c r="B953" t="s">
        <v>3152</v>
      </c>
      <c r="C953" t="s">
        <v>3153</v>
      </c>
      <c r="D953" t="s">
        <v>3153</v>
      </c>
      <c r="E953" t="s">
        <v>3154</v>
      </c>
      <c r="F953" t="s">
        <v>21</v>
      </c>
      <c r="G953" t="s">
        <v>22</v>
      </c>
      <c r="H953" t="s">
        <v>53</v>
      </c>
      <c r="I953" t="s">
        <v>3006</v>
      </c>
      <c r="J953">
        <v>2018</v>
      </c>
      <c r="K953">
        <v>43698.521897777777</v>
      </c>
      <c r="L953" t="s">
        <v>193</v>
      </c>
      <c r="M953" t="s">
        <v>37</v>
      </c>
      <c r="N953" t="s">
        <v>415</v>
      </c>
      <c r="O953">
        <v>272104</v>
      </c>
      <c r="P953">
        <v>43511.040972222225</v>
      </c>
      <c r="Q953">
        <v>42864.608961805556</v>
      </c>
      <c r="R953">
        <v>973</v>
      </c>
    </row>
    <row r="954" spans="1:18" x14ac:dyDescent="0.25">
      <c r="A954" t="s">
        <v>3155</v>
      </c>
      <c r="B954" t="s">
        <v>3156</v>
      </c>
      <c r="C954" t="s">
        <v>3157</v>
      </c>
      <c r="D954" t="s">
        <v>3157</v>
      </c>
      <c r="E954" t="s">
        <v>3158</v>
      </c>
      <c r="F954" t="s">
        <v>21</v>
      </c>
      <c r="G954" t="s">
        <v>22</v>
      </c>
      <c r="H954" t="s">
        <v>53</v>
      </c>
      <c r="I954" t="s">
        <v>3006</v>
      </c>
      <c r="J954">
        <v>2018</v>
      </c>
      <c r="K954">
        <v>43698.521897777777</v>
      </c>
      <c r="L954" t="s">
        <v>193</v>
      </c>
      <c r="M954" t="s">
        <v>37</v>
      </c>
      <c r="N954" t="s">
        <v>415</v>
      </c>
      <c r="O954">
        <v>292945</v>
      </c>
      <c r="P954">
        <v>43565.407905092594</v>
      </c>
      <c r="Q954">
        <v>42864.609596180555</v>
      </c>
      <c r="R954">
        <v>974</v>
      </c>
    </row>
    <row r="955" spans="1:18" x14ac:dyDescent="0.25">
      <c r="A955" t="s">
        <v>3159</v>
      </c>
      <c r="B955" t="s">
        <v>3160</v>
      </c>
      <c r="C955" t="s">
        <v>3161</v>
      </c>
      <c r="D955" t="s">
        <v>3161</v>
      </c>
      <c r="E955" t="s">
        <v>3162</v>
      </c>
      <c r="F955" t="s">
        <v>21</v>
      </c>
      <c r="G955" t="s">
        <v>22</v>
      </c>
      <c r="H955" t="s">
        <v>53</v>
      </c>
      <c r="I955" t="s">
        <v>3006</v>
      </c>
      <c r="J955">
        <v>2018</v>
      </c>
      <c r="K955">
        <v>43698.521897777777</v>
      </c>
      <c r="L955" t="s">
        <v>1916</v>
      </c>
      <c r="M955" t="s">
        <v>37</v>
      </c>
      <c r="N955" t="s">
        <v>415</v>
      </c>
      <c r="O955">
        <v>245925</v>
      </c>
      <c r="P955">
        <v>43433.190972222219</v>
      </c>
      <c r="Q955">
        <v>42864.610001157409</v>
      </c>
      <c r="R955">
        <v>975</v>
      </c>
    </row>
    <row r="956" spans="1:18" x14ac:dyDescent="0.25">
      <c r="A956" t="s">
        <v>3163</v>
      </c>
      <c r="B956" t="s">
        <v>3164</v>
      </c>
      <c r="C956" t="s">
        <v>3165</v>
      </c>
      <c r="D956" t="s">
        <v>3165</v>
      </c>
      <c r="E956" t="s">
        <v>3166</v>
      </c>
      <c r="F956" t="s">
        <v>21</v>
      </c>
      <c r="G956" t="s">
        <v>22</v>
      </c>
      <c r="H956" t="s">
        <v>53</v>
      </c>
      <c r="I956" t="s">
        <v>3006</v>
      </c>
      <c r="J956">
        <v>2018</v>
      </c>
      <c r="K956">
        <v>43698.521897777777</v>
      </c>
      <c r="L956" t="s">
        <v>1660</v>
      </c>
      <c r="M956" t="s">
        <v>37</v>
      </c>
      <c r="N956" t="s">
        <v>415</v>
      </c>
      <c r="O956">
        <v>249452</v>
      </c>
      <c r="P956">
        <v>43439.964837962965</v>
      </c>
      <c r="Q956">
        <v>42864.610335104167</v>
      </c>
      <c r="R956">
        <v>976</v>
      </c>
    </row>
    <row r="957" spans="1:18" x14ac:dyDescent="0.25">
      <c r="A957" t="s">
        <v>3167</v>
      </c>
      <c r="B957" t="s">
        <v>3168</v>
      </c>
      <c r="C957" t="s">
        <v>3169</v>
      </c>
      <c r="D957" t="s">
        <v>3169</v>
      </c>
      <c r="E957" t="s">
        <v>3170</v>
      </c>
      <c r="F957" t="s">
        <v>21</v>
      </c>
      <c r="G957" t="s">
        <v>22</v>
      </c>
      <c r="H957" t="s">
        <v>53</v>
      </c>
      <c r="I957" t="s">
        <v>3006</v>
      </c>
      <c r="J957">
        <v>2018</v>
      </c>
      <c r="K957">
        <v>43698.521897777777</v>
      </c>
      <c r="L957" t="s">
        <v>1940</v>
      </c>
      <c r="M957" t="s">
        <v>37</v>
      </c>
      <c r="N957" t="s">
        <v>415</v>
      </c>
      <c r="O957">
        <v>247459</v>
      </c>
      <c r="P957">
        <v>43435.579687500001</v>
      </c>
      <c r="Q957">
        <v>42864.610658101854</v>
      </c>
      <c r="R957">
        <v>977</v>
      </c>
    </row>
    <row r="958" spans="1:18" x14ac:dyDescent="0.25">
      <c r="A958" t="s">
        <v>3171</v>
      </c>
      <c r="B958" t="s">
        <v>3172</v>
      </c>
      <c r="C958" t="s">
        <v>3173</v>
      </c>
      <c r="D958" t="s">
        <v>3173</v>
      </c>
      <c r="E958" t="s">
        <v>3174</v>
      </c>
      <c r="F958" t="s">
        <v>21</v>
      </c>
      <c r="G958" t="s">
        <v>22</v>
      </c>
      <c r="H958" t="s">
        <v>53</v>
      </c>
      <c r="I958" t="s">
        <v>3006</v>
      </c>
      <c r="J958">
        <v>2018</v>
      </c>
      <c r="K958">
        <v>43698.521897777777</v>
      </c>
      <c r="L958" t="s">
        <v>1940</v>
      </c>
      <c r="M958" t="s">
        <v>37</v>
      </c>
      <c r="N958" t="s">
        <v>415</v>
      </c>
      <c r="O958">
        <v>246340</v>
      </c>
      <c r="P958">
        <v>43432.868750000001</v>
      </c>
      <c r="Q958">
        <v>42864.610942511572</v>
      </c>
      <c r="R958">
        <v>978</v>
      </c>
    </row>
    <row r="959" spans="1:18" x14ac:dyDescent="0.25">
      <c r="A959" t="s">
        <v>3175</v>
      </c>
      <c r="B959" t="s">
        <v>3176</v>
      </c>
      <c r="C959" t="s">
        <v>3177</v>
      </c>
      <c r="D959" t="s">
        <v>3177</v>
      </c>
      <c r="E959" t="s">
        <v>3177</v>
      </c>
      <c r="F959" t="s">
        <v>21</v>
      </c>
      <c r="G959" t="s">
        <v>63</v>
      </c>
      <c r="H959" t="s">
        <v>53</v>
      </c>
      <c r="I959" t="s">
        <v>471</v>
      </c>
      <c r="J959">
        <v>2012</v>
      </c>
      <c r="K959">
        <v>43698.521897777777</v>
      </c>
      <c r="L959" t="s">
        <v>193</v>
      </c>
      <c r="M959" t="s">
        <v>1941</v>
      </c>
      <c r="N959" t="s">
        <v>415</v>
      </c>
      <c r="O959">
        <v>213524</v>
      </c>
      <c r="P959">
        <v>43338.142083333332</v>
      </c>
      <c r="Q959">
        <v>42866.377646840279</v>
      </c>
      <c r="R959">
        <v>979</v>
      </c>
    </row>
    <row r="960" spans="1:18" x14ac:dyDescent="0.25">
      <c r="A960" t="s">
        <v>3178</v>
      </c>
      <c r="B960" t="s">
        <v>3179</v>
      </c>
      <c r="C960" t="s">
        <v>3180</v>
      </c>
      <c r="D960" t="s">
        <v>3180</v>
      </c>
      <c r="E960" t="s">
        <v>3181</v>
      </c>
      <c r="F960" t="s">
        <v>21</v>
      </c>
      <c r="G960" t="s">
        <v>22</v>
      </c>
      <c r="H960" t="s">
        <v>53</v>
      </c>
      <c r="I960" t="s">
        <v>3006</v>
      </c>
      <c r="J960">
        <v>2018</v>
      </c>
      <c r="K960">
        <v>43698.521897777777</v>
      </c>
      <c r="L960" t="s">
        <v>193</v>
      </c>
      <c r="M960" t="s">
        <v>42</v>
      </c>
      <c r="N960" t="s">
        <v>27</v>
      </c>
      <c r="O960">
        <v>297371</v>
      </c>
      <c r="P960">
        <v>43576.938888888886</v>
      </c>
      <c r="Q960">
        <v>42867.659723726851</v>
      </c>
      <c r="R960">
        <v>980</v>
      </c>
    </row>
    <row r="961" spans="1:18" x14ac:dyDescent="0.25">
      <c r="A961" t="s">
        <v>3182</v>
      </c>
      <c r="B961" t="s">
        <v>3183</v>
      </c>
      <c r="C961" t="s">
        <v>3184</v>
      </c>
      <c r="D961" t="s">
        <v>3184</v>
      </c>
      <c r="E961" t="s">
        <v>3185</v>
      </c>
      <c r="F961" t="s">
        <v>21</v>
      </c>
      <c r="G961" t="s">
        <v>22</v>
      </c>
      <c r="H961" t="s">
        <v>53</v>
      </c>
      <c r="I961" t="s">
        <v>3006</v>
      </c>
      <c r="J961">
        <v>2018</v>
      </c>
      <c r="K961">
        <v>43698.521897777777</v>
      </c>
      <c r="L961" t="s">
        <v>193</v>
      </c>
      <c r="M961" t="s">
        <v>42</v>
      </c>
      <c r="N961" t="s">
        <v>27</v>
      </c>
      <c r="O961">
        <v>290657</v>
      </c>
      <c r="P961">
        <v>43560.729259259257</v>
      </c>
      <c r="Q961">
        <v>42867.769005057868</v>
      </c>
      <c r="R961">
        <v>981</v>
      </c>
    </row>
    <row r="962" spans="1:18" x14ac:dyDescent="0.25">
      <c r="A962" t="s">
        <v>3186</v>
      </c>
      <c r="B962" t="s">
        <v>3187</v>
      </c>
      <c r="C962" t="s">
        <v>3188</v>
      </c>
      <c r="D962" t="s">
        <v>3188</v>
      </c>
      <c r="E962" t="s">
        <v>3189</v>
      </c>
      <c r="F962" t="s">
        <v>21</v>
      </c>
      <c r="G962" t="s">
        <v>22</v>
      </c>
      <c r="H962" t="s">
        <v>53</v>
      </c>
      <c r="I962" t="s">
        <v>3006</v>
      </c>
      <c r="J962">
        <v>2018</v>
      </c>
      <c r="K962">
        <v>43698.521897777777</v>
      </c>
      <c r="L962" t="s">
        <v>1940</v>
      </c>
      <c r="M962" t="s">
        <v>42</v>
      </c>
      <c r="N962" t="s">
        <v>27</v>
      </c>
      <c r="O962">
        <v>297418</v>
      </c>
      <c r="P962">
        <v>43577.560416666667</v>
      </c>
      <c r="Q962">
        <v>42867.810771215278</v>
      </c>
      <c r="R962">
        <v>982</v>
      </c>
    </row>
    <row r="963" spans="1:18" x14ac:dyDescent="0.25">
      <c r="A963" t="s">
        <v>3190</v>
      </c>
      <c r="B963" t="s">
        <v>3191</v>
      </c>
      <c r="C963" t="s">
        <v>3192</v>
      </c>
      <c r="D963" t="s">
        <v>3192</v>
      </c>
      <c r="E963" t="s">
        <v>3193</v>
      </c>
      <c r="F963" t="s">
        <v>21</v>
      </c>
      <c r="G963" t="s">
        <v>22</v>
      </c>
      <c r="H963" t="s">
        <v>53</v>
      </c>
      <c r="I963" t="s">
        <v>3006</v>
      </c>
      <c r="J963">
        <v>2018</v>
      </c>
      <c r="K963">
        <v>43698.521897777777</v>
      </c>
      <c r="L963" t="s">
        <v>193</v>
      </c>
      <c r="M963" t="s">
        <v>42</v>
      </c>
      <c r="N963" t="s">
        <v>27</v>
      </c>
      <c r="O963">
        <v>296483</v>
      </c>
      <c r="P963">
        <v>43573.223032407404</v>
      </c>
      <c r="Q963">
        <v>42867.820854548612</v>
      </c>
      <c r="R963">
        <v>983</v>
      </c>
    </row>
    <row r="964" spans="1:18" x14ac:dyDescent="0.25">
      <c r="A964" t="s">
        <v>3194</v>
      </c>
      <c r="B964" t="s">
        <v>3195</v>
      </c>
      <c r="C964" t="s">
        <v>3196</v>
      </c>
      <c r="D964" t="s">
        <v>3196</v>
      </c>
      <c r="E964" t="s">
        <v>3197</v>
      </c>
      <c r="F964" t="s">
        <v>21</v>
      </c>
      <c r="G964" t="s">
        <v>22</v>
      </c>
      <c r="H964" t="s">
        <v>53</v>
      </c>
      <c r="I964" t="s">
        <v>3006</v>
      </c>
      <c r="J964">
        <v>2018</v>
      </c>
      <c r="K964">
        <v>43698.521897777777</v>
      </c>
      <c r="L964" t="s">
        <v>193</v>
      </c>
      <c r="M964" t="s">
        <v>42</v>
      </c>
      <c r="N964" t="s">
        <v>27</v>
      </c>
      <c r="O964">
        <v>294893</v>
      </c>
      <c r="P964">
        <v>43573.889189814814</v>
      </c>
      <c r="Q964">
        <v>42867.83035358796</v>
      </c>
      <c r="R964">
        <v>984</v>
      </c>
    </row>
    <row r="965" spans="1:18" x14ac:dyDescent="0.25">
      <c r="A965" t="s">
        <v>3198</v>
      </c>
      <c r="B965" t="s">
        <v>3199</v>
      </c>
      <c r="C965" t="s">
        <v>3200</v>
      </c>
      <c r="D965" t="s">
        <v>3200</v>
      </c>
      <c r="E965" t="s">
        <v>3200</v>
      </c>
      <c r="F965" t="s">
        <v>91</v>
      </c>
      <c r="G965" t="s">
        <v>63</v>
      </c>
      <c r="H965" t="s">
        <v>34</v>
      </c>
      <c r="I965" t="s">
        <v>703</v>
      </c>
      <c r="J965">
        <v>2007</v>
      </c>
      <c r="K965">
        <v>43698.521897777777</v>
      </c>
      <c r="L965" t="s">
        <v>1660</v>
      </c>
      <c r="M965" t="s">
        <v>37</v>
      </c>
      <c r="N965" t="s">
        <v>415</v>
      </c>
      <c r="O965">
        <v>346388</v>
      </c>
      <c r="P965">
        <v>43698.521897777777</v>
      </c>
      <c r="Q965">
        <v>42872.657358715274</v>
      </c>
      <c r="R965">
        <v>985</v>
      </c>
    </row>
    <row r="966" spans="1:18" x14ac:dyDescent="0.25">
      <c r="A966" t="s">
        <v>3201</v>
      </c>
      <c r="B966" t="s">
        <v>3202</v>
      </c>
      <c r="C966" t="s">
        <v>3203</v>
      </c>
      <c r="D966" t="s">
        <v>3203</v>
      </c>
      <c r="E966" t="s">
        <v>3203</v>
      </c>
      <c r="F966" t="s">
        <v>21</v>
      </c>
      <c r="G966" t="s">
        <v>63</v>
      </c>
      <c r="H966" t="s">
        <v>34</v>
      </c>
      <c r="I966" t="s">
        <v>703</v>
      </c>
      <c r="J966">
        <v>2014</v>
      </c>
      <c r="K966">
        <v>43698.521897777777</v>
      </c>
      <c r="L966" t="s">
        <v>25</v>
      </c>
      <c r="M966" t="s">
        <v>37</v>
      </c>
      <c r="N966" t="s">
        <v>415</v>
      </c>
      <c r="O966">
        <v>123207</v>
      </c>
      <c r="P966">
        <v>42946.032314814816</v>
      </c>
      <c r="Q966">
        <v>42872.65860451389</v>
      </c>
      <c r="R966">
        <v>986</v>
      </c>
    </row>
    <row r="967" spans="1:18" x14ac:dyDescent="0.25">
      <c r="A967" t="s">
        <v>3204</v>
      </c>
      <c r="B967" t="s">
        <v>3205</v>
      </c>
      <c r="C967" t="s">
        <v>3206</v>
      </c>
      <c r="D967" t="s">
        <v>3206</v>
      </c>
      <c r="E967" t="s">
        <v>3206</v>
      </c>
      <c r="F967" t="s">
        <v>21</v>
      </c>
      <c r="G967" t="s">
        <v>63</v>
      </c>
      <c r="H967" t="s">
        <v>53</v>
      </c>
      <c r="I967" t="s">
        <v>471</v>
      </c>
      <c r="J967">
        <v>2011</v>
      </c>
      <c r="K967">
        <v>43698.521897777777</v>
      </c>
      <c r="L967" t="s">
        <v>25</v>
      </c>
      <c r="M967" t="s">
        <v>2777</v>
      </c>
      <c r="N967" t="s">
        <v>415</v>
      </c>
      <c r="O967">
        <v>115293</v>
      </c>
      <c r="P967">
        <v>42888.729166666664</v>
      </c>
      <c r="Q967">
        <v>42872.660995254628</v>
      </c>
      <c r="R967">
        <v>987</v>
      </c>
    </row>
    <row r="968" spans="1:18" x14ac:dyDescent="0.25">
      <c r="A968" t="s">
        <v>3207</v>
      </c>
      <c r="B968" t="s">
        <v>3208</v>
      </c>
      <c r="C968" t="s">
        <v>3209</v>
      </c>
      <c r="D968" t="s">
        <v>3209</v>
      </c>
      <c r="E968" t="s">
        <v>3209</v>
      </c>
      <c r="F968" t="s">
        <v>21</v>
      </c>
      <c r="G968" t="s">
        <v>63</v>
      </c>
      <c r="H968" t="s">
        <v>53</v>
      </c>
      <c r="I968" t="s">
        <v>41</v>
      </c>
      <c r="J968">
        <v>2006</v>
      </c>
      <c r="K968">
        <v>43698.521897777777</v>
      </c>
      <c r="L968" t="s">
        <v>25</v>
      </c>
      <c r="M968" t="s">
        <v>2777</v>
      </c>
      <c r="N968" t="s">
        <v>415</v>
      </c>
      <c r="O968">
        <v>128148</v>
      </c>
      <c r="P968">
        <v>42975.893946759257</v>
      </c>
      <c r="Q968">
        <v>42872.6614008912</v>
      </c>
      <c r="R968">
        <v>988</v>
      </c>
    </row>
    <row r="969" spans="1:18" x14ac:dyDescent="0.25">
      <c r="A969" t="s">
        <v>3210</v>
      </c>
      <c r="B969" t="s">
        <v>3211</v>
      </c>
      <c r="C969" t="s">
        <v>3212</v>
      </c>
      <c r="D969" t="s">
        <v>3212</v>
      </c>
      <c r="E969" t="s">
        <v>3212</v>
      </c>
      <c r="F969" t="s">
        <v>21</v>
      </c>
      <c r="G969" t="s">
        <v>63</v>
      </c>
      <c r="H969" t="s">
        <v>80</v>
      </c>
      <c r="I969" t="s">
        <v>1027</v>
      </c>
      <c r="J969">
        <v>2006</v>
      </c>
      <c r="K969">
        <v>43698.521897777777</v>
      </c>
      <c r="L969" t="s">
        <v>422</v>
      </c>
      <c r="M969" t="s">
        <v>2777</v>
      </c>
      <c r="N969" t="s">
        <v>415</v>
      </c>
      <c r="O969">
        <v>204752</v>
      </c>
      <c r="P969">
        <v>43310.395833333336</v>
      </c>
      <c r="Q969">
        <v>42872.663929363429</v>
      </c>
      <c r="R969">
        <v>989</v>
      </c>
    </row>
    <row r="970" spans="1:18" x14ac:dyDescent="0.25">
      <c r="A970" t="s">
        <v>3213</v>
      </c>
      <c r="B970" t="s">
        <v>3214</v>
      </c>
      <c r="C970" t="s">
        <v>3215</v>
      </c>
      <c r="D970" t="s">
        <v>3215</v>
      </c>
      <c r="E970" t="s">
        <v>3216</v>
      </c>
      <c r="F970" t="s">
        <v>21</v>
      </c>
      <c r="G970" t="s">
        <v>22</v>
      </c>
      <c r="H970" t="s">
        <v>53</v>
      </c>
      <c r="I970" t="s">
        <v>3006</v>
      </c>
      <c r="J970">
        <v>2018</v>
      </c>
      <c r="K970">
        <v>43698.521897777777</v>
      </c>
      <c r="L970" t="s">
        <v>466</v>
      </c>
      <c r="M970" t="s">
        <v>154</v>
      </c>
      <c r="N970" t="s">
        <v>1305</v>
      </c>
      <c r="O970">
        <v>296129</v>
      </c>
      <c r="P970">
        <v>43571.89166666667</v>
      </c>
      <c r="Q970">
        <v>42873.670263159722</v>
      </c>
      <c r="R970">
        <v>990</v>
      </c>
    </row>
    <row r="971" spans="1:18" x14ac:dyDescent="0.25">
      <c r="A971" t="s">
        <v>3217</v>
      </c>
      <c r="B971" t="s">
        <v>3218</v>
      </c>
      <c r="C971" t="s">
        <v>3219</v>
      </c>
      <c r="D971" t="s">
        <v>3219</v>
      </c>
      <c r="E971" t="s">
        <v>3220</v>
      </c>
      <c r="F971" t="s">
        <v>21</v>
      </c>
      <c r="G971" t="s">
        <v>22</v>
      </c>
      <c r="H971" t="s">
        <v>53</v>
      </c>
      <c r="I971" t="s">
        <v>3006</v>
      </c>
      <c r="J971">
        <v>2018</v>
      </c>
      <c r="K971">
        <v>43698.521897777777</v>
      </c>
      <c r="L971" t="s">
        <v>466</v>
      </c>
      <c r="M971" t="s">
        <v>154</v>
      </c>
      <c r="N971" t="s">
        <v>1305</v>
      </c>
      <c r="O971">
        <v>296061</v>
      </c>
      <c r="P971">
        <v>43571.666666666664</v>
      </c>
      <c r="Q971">
        <v>42873.670969560182</v>
      </c>
      <c r="R971">
        <v>991</v>
      </c>
    </row>
    <row r="972" spans="1:18" x14ac:dyDescent="0.25">
      <c r="A972" t="s">
        <v>3221</v>
      </c>
      <c r="B972" t="s">
        <v>3222</v>
      </c>
      <c r="C972" t="s">
        <v>3223</v>
      </c>
      <c r="D972" t="s">
        <v>3223</v>
      </c>
      <c r="E972" t="s">
        <v>3224</v>
      </c>
      <c r="F972" t="s">
        <v>91</v>
      </c>
      <c r="G972" t="s">
        <v>63</v>
      </c>
      <c r="H972" t="s">
        <v>53</v>
      </c>
      <c r="I972" t="s">
        <v>3006</v>
      </c>
      <c r="J972">
        <v>2018</v>
      </c>
      <c r="K972">
        <v>43698.521897777777</v>
      </c>
      <c r="L972" t="s">
        <v>466</v>
      </c>
      <c r="M972" t="s">
        <v>154</v>
      </c>
      <c r="N972" t="s">
        <v>1305</v>
      </c>
      <c r="O972">
        <v>336923</v>
      </c>
      <c r="P972">
        <v>43688.631597222222</v>
      </c>
      <c r="Q972">
        <v>42873.679135451392</v>
      </c>
      <c r="R972">
        <v>992</v>
      </c>
    </row>
    <row r="973" spans="1:18" x14ac:dyDescent="0.25">
      <c r="A973" t="s">
        <v>3225</v>
      </c>
      <c r="B973" t="s">
        <v>3226</v>
      </c>
      <c r="C973" t="s">
        <v>3227</v>
      </c>
      <c r="D973" t="s">
        <v>3227</v>
      </c>
      <c r="E973" t="s">
        <v>3228</v>
      </c>
      <c r="F973" t="s">
        <v>91</v>
      </c>
      <c r="G973" t="s">
        <v>22</v>
      </c>
      <c r="H973" t="s">
        <v>53</v>
      </c>
      <c r="I973" t="s">
        <v>3006</v>
      </c>
      <c r="J973">
        <v>2018</v>
      </c>
      <c r="K973">
        <v>43698.521897777777</v>
      </c>
      <c r="L973" t="s">
        <v>466</v>
      </c>
      <c r="M973" t="s">
        <v>1738</v>
      </c>
      <c r="N973" t="s">
        <v>1305</v>
      </c>
      <c r="O973">
        <v>343376</v>
      </c>
      <c r="P973">
        <v>43690.625</v>
      </c>
      <c r="Q973">
        <v>42873.680776701389</v>
      </c>
      <c r="R973">
        <v>993</v>
      </c>
    </row>
    <row r="974" spans="1:18" x14ac:dyDescent="0.25">
      <c r="A974" t="s">
        <v>3229</v>
      </c>
      <c r="B974" t="s">
        <v>3230</v>
      </c>
      <c r="C974" t="s">
        <v>3231</v>
      </c>
      <c r="D974" t="s">
        <v>3231</v>
      </c>
      <c r="E974" t="s">
        <v>3231</v>
      </c>
      <c r="F974" t="s">
        <v>21</v>
      </c>
      <c r="G974" t="s">
        <v>63</v>
      </c>
      <c r="H974" t="s">
        <v>53</v>
      </c>
      <c r="I974" t="s">
        <v>3006</v>
      </c>
      <c r="J974">
        <v>2018</v>
      </c>
      <c r="K974">
        <v>43698.521897777777</v>
      </c>
      <c r="L974" t="s">
        <v>25</v>
      </c>
      <c r="M974" t="s">
        <v>37</v>
      </c>
      <c r="N974" t="s">
        <v>415</v>
      </c>
      <c r="O974">
        <v>164836</v>
      </c>
      <c r="P974">
        <v>43162.020138888889</v>
      </c>
      <c r="Q974">
        <v>42874.450612962966</v>
      </c>
      <c r="R974">
        <v>994</v>
      </c>
    </row>
    <row r="975" spans="1:18" x14ac:dyDescent="0.25">
      <c r="A975" t="s">
        <v>3232</v>
      </c>
      <c r="B975" t="s">
        <v>3233</v>
      </c>
      <c r="C975" t="s">
        <v>3234</v>
      </c>
      <c r="D975" t="s">
        <v>3234</v>
      </c>
      <c r="E975" t="s">
        <v>3234</v>
      </c>
      <c r="F975" t="s">
        <v>21</v>
      </c>
      <c r="G975" t="s">
        <v>63</v>
      </c>
      <c r="H975" t="s">
        <v>34</v>
      </c>
      <c r="I975" t="s">
        <v>703</v>
      </c>
      <c r="J975">
        <v>2003</v>
      </c>
      <c r="K975">
        <v>43698.521897777777</v>
      </c>
      <c r="L975" t="s">
        <v>1660</v>
      </c>
      <c r="M975" t="s">
        <v>2777</v>
      </c>
      <c r="N975" t="s">
        <v>415</v>
      </c>
      <c r="O975">
        <v>265583</v>
      </c>
      <c r="P975">
        <v>43490.760416666664</v>
      </c>
      <c r="Q975">
        <v>42874.461125960646</v>
      </c>
      <c r="R975">
        <v>995</v>
      </c>
    </row>
    <row r="976" spans="1:18" x14ac:dyDescent="0.25">
      <c r="A976" t="s">
        <v>3235</v>
      </c>
      <c r="B976" t="s">
        <v>3236</v>
      </c>
      <c r="C976" t="s">
        <v>3237</v>
      </c>
      <c r="D976" t="s">
        <v>3237</v>
      </c>
      <c r="E976" t="s">
        <v>3238</v>
      </c>
      <c r="F976" t="s">
        <v>21</v>
      </c>
      <c r="G976" t="s">
        <v>22</v>
      </c>
      <c r="H976" t="s">
        <v>53</v>
      </c>
      <c r="I976" t="s">
        <v>3006</v>
      </c>
      <c r="J976">
        <v>2018</v>
      </c>
      <c r="K976">
        <v>43698.521897777777</v>
      </c>
      <c r="L976" t="s">
        <v>193</v>
      </c>
      <c r="M976" t="s">
        <v>42</v>
      </c>
      <c r="N976" t="s">
        <v>415</v>
      </c>
      <c r="O976">
        <v>296557</v>
      </c>
      <c r="P976">
        <v>43572.825706018521</v>
      </c>
      <c r="Q976">
        <v>42874.494972766202</v>
      </c>
      <c r="R976">
        <v>996</v>
      </c>
    </row>
    <row r="977" spans="1:18" x14ac:dyDescent="0.25">
      <c r="A977" t="s">
        <v>3239</v>
      </c>
      <c r="B977" t="s">
        <v>3240</v>
      </c>
      <c r="C977" t="s">
        <v>3241</v>
      </c>
      <c r="D977" t="s">
        <v>3241</v>
      </c>
      <c r="E977" t="s">
        <v>3242</v>
      </c>
      <c r="F977" t="s">
        <v>21</v>
      </c>
      <c r="G977" t="s">
        <v>22</v>
      </c>
      <c r="H977" t="s">
        <v>53</v>
      </c>
      <c r="I977" t="s">
        <v>3006</v>
      </c>
      <c r="J977">
        <v>2018</v>
      </c>
      <c r="K977">
        <v>43698.521897777777</v>
      </c>
      <c r="L977" t="s">
        <v>193</v>
      </c>
      <c r="M977" t="s">
        <v>42</v>
      </c>
      <c r="N977" t="s">
        <v>415</v>
      </c>
      <c r="O977">
        <v>295987</v>
      </c>
      <c r="P977">
        <v>43571.580555555556</v>
      </c>
      <c r="Q977">
        <v>42874.495792361115</v>
      </c>
      <c r="R977">
        <v>997</v>
      </c>
    </row>
    <row r="978" spans="1:18" x14ac:dyDescent="0.25">
      <c r="A978" t="s">
        <v>3243</v>
      </c>
      <c r="B978" t="s">
        <v>3244</v>
      </c>
      <c r="C978" t="s">
        <v>3245</v>
      </c>
      <c r="D978" t="s">
        <v>3245</v>
      </c>
      <c r="E978" t="s">
        <v>3246</v>
      </c>
      <c r="F978" t="s">
        <v>21</v>
      </c>
      <c r="G978" t="s">
        <v>22</v>
      </c>
      <c r="H978" t="s">
        <v>53</v>
      </c>
      <c r="I978" t="s">
        <v>3006</v>
      </c>
      <c r="J978">
        <v>2018</v>
      </c>
      <c r="K978">
        <v>43698.521897777777</v>
      </c>
      <c r="L978" t="s">
        <v>193</v>
      </c>
      <c r="M978" t="s">
        <v>42</v>
      </c>
      <c r="N978" t="s">
        <v>27</v>
      </c>
      <c r="O978">
        <v>195870</v>
      </c>
      <c r="P978">
        <v>43279.863541666666</v>
      </c>
      <c r="Q978">
        <v>42874.497506215281</v>
      </c>
      <c r="R978">
        <v>998</v>
      </c>
    </row>
    <row r="979" spans="1:18" x14ac:dyDescent="0.25">
      <c r="A979" t="s">
        <v>3247</v>
      </c>
      <c r="B979" t="s">
        <v>3248</v>
      </c>
      <c r="C979" t="s">
        <v>3249</v>
      </c>
      <c r="D979" t="s">
        <v>3249</v>
      </c>
      <c r="E979" t="s">
        <v>3250</v>
      </c>
      <c r="F979" t="s">
        <v>21</v>
      </c>
      <c r="G979" t="s">
        <v>22</v>
      </c>
      <c r="H979" t="s">
        <v>53</v>
      </c>
      <c r="I979" t="s">
        <v>3006</v>
      </c>
      <c r="J979">
        <v>2018</v>
      </c>
      <c r="K979">
        <v>43698.521897777777</v>
      </c>
      <c r="L979" t="s">
        <v>578</v>
      </c>
      <c r="M979" t="s">
        <v>42</v>
      </c>
      <c r="N979" t="s">
        <v>415</v>
      </c>
      <c r="O979">
        <v>295075</v>
      </c>
      <c r="P979">
        <v>43571.082604166666</v>
      </c>
      <c r="Q979">
        <v>42874.498166203703</v>
      </c>
      <c r="R979">
        <v>999</v>
      </c>
    </row>
    <row r="980" spans="1:18" x14ac:dyDescent="0.25">
      <c r="A980" t="s">
        <v>3251</v>
      </c>
      <c r="B980" t="s">
        <v>3252</v>
      </c>
      <c r="C980" t="s">
        <v>3253</v>
      </c>
      <c r="D980" t="s">
        <v>3253</v>
      </c>
      <c r="E980" t="s">
        <v>3254</v>
      </c>
      <c r="F980" t="s">
        <v>21</v>
      </c>
      <c r="G980" t="s">
        <v>22</v>
      </c>
      <c r="H980" t="s">
        <v>53</v>
      </c>
      <c r="I980" t="s">
        <v>3006</v>
      </c>
      <c r="J980">
        <v>2018</v>
      </c>
      <c r="K980">
        <v>43698.521897777777</v>
      </c>
      <c r="L980" t="s">
        <v>193</v>
      </c>
      <c r="M980" t="s">
        <v>42</v>
      </c>
      <c r="N980" t="s">
        <v>27</v>
      </c>
      <c r="O980">
        <v>248000</v>
      </c>
      <c r="P980">
        <v>43436.563194444447</v>
      </c>
      <c r="Q980">
        <v>42874.498726238424</v>
      </c>
      <c r="R980">
        <v>1000</v>
      </c>
    </row>
    <row r="981" spans="1:18" x14ac:dyDescent="0.25">
      <c r="A981" t="s">
        <v>3255</v>
      </c>
      <c r="B981" t="s">
        <v>3256</v>
      </c>
      <c r="C981" t="s">
        <v>3257</v>
      </c>
      <c r="D981" t="s">
        <v>3257</v>
      </c>
      <c r="E981" t="s">
        <v>3258</v>
      </c>
      <c r="F981" t="s">
        <v>21</v>
      </c>
      <c r="G981" t="s">
        <v>22</v>
      </c>
      <c r="H981" t="s">
        <v>53</v>
      </c>
      <c r="I981" t="s">
        <v>3006</v>
      </c>
      <c r="J981">
        <v>2018</v>
      </c>
      <c r="K981">
        <v>43698.521897777777</v>
      </c>
      <c r="L981" t="s">
        <v>193</v>
      </c>
      <c r="M981" t="s">
        <v>42</v>
      </c>
      <c r="N981" t="s">
        <v>27</v>
      </c>
      <c r="O981">
        <v>265936</v>
      </c>
      <c r="P981">
        <v>43494.995138888888</v>
      </c>
      <c r="Q981">
        <v>42874.499334756947</v>
      </c>
      <c r="R981">
        <v>1001</v>
      </c>
    </row>
    <row r="982" spans="1:18" x14ac:dyDescent="0.25">
      <c r="A982" t="s">
        <v>3259</v>
      </c>
      <c r="B982" t="s">
        <v>3260</v>
      </c>
      <c r="C982" t="s">
        <v>3261</v>
      </c>
      <c r="D982" t="s">
        <v>3261</v>
      </c>
      <c r="E982" t="s">
        <v>3261</v>
      </c>
      <c r="F982" t="s">
        <v>91</v>
      </c>
      <c r="G982" t="s">
        <v>63</v>
      </c>
      <c r="H982" t="s">
        <v>34</v>
      </c>
      <c r="I982" t="s">
        <v>35</v>
      </c>
      <c r="J982">
        <v>2018</v>
      </c>
      <c r="K982">
        <v>43698.521897777777</v>
      </c>
      <c r="L982" t="s">
        <v>1005</v>
      </c>
      <c r="M982" t="s">
        <v>1941</v>
      </c>
      <c r="N982" t="s">
        <v>415</v>
      </c>
      <c r="O982">
        <v>345315</v>
      </c>
      <c r="P982">
        <v>43697.806250000001</v>
      </c>
      <c r="Q982">
        <v>42878.599958831015</v>
      </c>
      <c r="R982">
        <v>1002</v>
      </c>
    </row>
    <row r="983" spans="1:18" x14ac:dyDescent="0.25">
      <c r="A983" t="s">
        <v>3262</v>
      </c>
      <c r="B983" t="s">
        <v>3263</v>
      </c>
      <c r="C983" t="s">
        <v>3264</v>
      </c>
      <c r="D983" t="s">
        <v>3264</v>
      </c>
      <c r="E983" t="s">
        <v>3264</v>
      </c>
      <c r="F983" t="s">
        <v>21</v>
      </c>
      <c r="G983" t="s">
        <v>63</v>
      </c>
      <c r="H983" t="s">
        <v>53</v>
      </c>
      <c r="I983" t="s">
        <v>471</v>
      </c>
      <c r="J983">
        <v>2012</v>
      </c>
      <c r="K983">
        <v>43698.521897777777</v>
      </c>
      <c r="L983" t="s">
        <v>25</v>
      </c>
      <c r="M983" t="s">
        <v>2777</v>
      </c>
      <c r="N983" t="s">
        <v>27</v>
      </c>
      <c r="O983">
        <v>164637</v>
      </c>
      <c r="P983">
        <v>43160.8125</v>
      </c>
      <c r="Q983">
        <v>42879.568917094904</v>
      </c>
      <c r="R983">
        <v>1003</v>
      </c>
    </row>
    <row r="984" spans="1:18" x14ac:dyDescent="0.25">
      <c r="A984" t="s">
        <v>3265</v>
      </c>
      <c r="B984" t="s">
        <v>3266</v>
      </c>
      <c r="C984" t="s">
        <v>3267</v>
      </c>
      <c r="D984" t="s">
        <v>3267</v>
      </c>
      <c r="E984" t="s">
        <v>3267</v>
      </c>
      <c r="F984" t="s">
        <v>21</v>
      </c>
      <c r="G984" t="s">
        <v>63</v>
      </c>
      <c r="H984" t="s">
        <v>80</v>
      </c>
      <c r="I984" t="s">
        <v>3268</v>
      </c>
      <c r="J984">
        <v>2006</v>
      </c>
      <c r="K984">
        <v>43698.521897777777</v>
      </c>
      <c r="L984" t="s">
        <v>25</v>
      </c>
      <c r="M984" t="s">
        <v>2777</v>
      </c>
      <c r="N984" t="s">
        <v>27</v>
      </c>
      <c r="O984">
        <v>163282</v>
      </c>
      <c r="P984">
        <v>43154.677083333336</v>
      </c>
      <c r="Q984">
        <v>42879.570244641203</v>
      </c>
      <c r="R984">
        <v>1004</v>
      </c>
    </row>
    <row r="985" spans="1:18" x14ac:dyDescent="0.25">
      <c r="A985" t="s">
        <v>3269</v>
      </c>
      <c r="B985" t="s">
        <v>3270</v>
      </c>
      <c r="C985" t="s">
        <v>3271</v>
      </c>
      <c r="D985" t="s">
        <v>3271</v>
      </c>
      <c r="E985" t="s">
        <v>3271</v>
      </c>
      <c r="F985" t="s">
        <v>21</v>
      </c>
      <c r="G985" t="s">
        <v>63</v>
      </c>
      <c r="H985" t="s">
        <v>53</v>
      </c>
      <c r="I985" t="s">
        <v>471</v>
      </c>
      <c r="J985">
        <v>2012</v>
      </c>
      <c r="K985">
        <v>43698.521897777777</v>
      </c>
      <c r="L985" t="s">
        <v>25</v>
      </c>
      <c r="M985" t="s">
        <v>2777</v>
      </c>
      <c r="N985" t="s">
        <v>27</v>
      </c>
      <c r="O985">
        <v>136110</v>
      </c>
      <c r="P985">
        <v>43018.041666666664</v>
      </c>
      <c r="Q985">
        <v>42879.736589699074</v>
      </c>
      <c r="R985">
        <v>1005</v>
      </c>
    </row>
    <row r="986" spans="1:18" x14ac:dyDescent="0.25">
      <c r="A986" t="s">
        <v>3272</v>
      </c>
      <c r="B986" t="s">
        <v>3273</v>
      </c>
      <c r="C986" t="s">
        <v>3274</v>
      </c>
      <c r="D986" t="s">
        <v>3274</v>
      </c>
      <c r="E986" t="s">
        <v>3274</v>
      </c>
      <c r="F986" t="s">
        <v>253</v>
      </c>
      <c r="G986" t="s">
        <v>63</v>
      </c>
      <c r="H986" t="s">
        <v>53</v>
      </c>
      <c r="I986" t="s">
        <v>25</v>
      </c>
      <c r="J986">
        <v>2013</v>
      </c>
      <c r="K986">
        <v>43698.521897777777</v>
      </c>
      <c r="L986" t="s">
        <v>466</v>
      </c>
      <c r="M986" t="s">
        <v>154</v>
      </c>
      <c r="N986" t="s">
        <v>1305</v>
      </c>
      <c r="O986">
        <v>326814</v>
      </c>
      <c r="P986">
        <v>43651.718784722223</v>
      </c>
      <c r="Q986">
        <v>42881.374840543984</v>
      </c>
      <c r="R986">
        <v>1006</v>
      </c>
    </row>
    <row r="987" spans="1:18" x14ac:dyDescent="0.25">
      <c r="A987" t="s">
        <v>3275</v>
      </c>
      <c r="B987" t="s">
        <v>3276</v>
      </c>
      <c r="C987" t="s">
        <v>3277</v>
      </c>
      <c r="D987" t="s">
        <v>3277</v>
      </c>
      <c r="E987" t="s">
        <v>3277</v>
      </c>
      <c r="F987" t="s">
        <v>21</v>
      </c>
      <c r="G987" t="s">
        <v>63</v>
      </c>
      <c r="H987" t="s">
        <v>34</v>
      </c>
      <c r="I987" t="s">
        <v>35</v>
      </c>
      <c r="J987">
        <v>2012</v>
      </c>
      <c r="K987">
        <v>43698.521897777777</v>
      </c>
      <c r="L987" t="s">
        <v>25</v>
      </c>
      <c r="M987" t="s">
        <v>1941</v>
      </c>
      <c r="N987" t="s">
        <v>27</v>
      </c>
      <c r="O987">
        <v>129067</v>
      </c>
      <c r="P987">
        <v>42983.556388888886</v>
      </c>
      <c r="Q987">
        <v>42887.476642743059</v>
      </c>
      <c r="R987">
        <v>1007</v>
      </c>
    </row>
    <row r="988" spans="1:18" x14ac:dyDescent="0.25">
      <c r="A988" t="s">
        <v>3278</v>
      </c>
      <c r="B988" t="s">
        <v>3279</v>
      </c>
      <c r="C988" t="s">
        <v>3280</v>
      </c>
      <c r="D988" t="s">
        <v>3280</v>
      </c>
      <c r="E988" t="s">
        <v>3280</v>
      </c>
      <c r="F988" t="s">
        <v>21</v>
      </c>
      <c r="G988" t="s">
        <v>63</v>
      </c>
      <c r="H988" t="s">
        <v>53</v>
      </c>
      <c r="I988" t="s">
        <v>471</v>
      </c>
      <c r="J988">
        <v>2013</v>
      </c>
      <c r="K988">
        <v>43698.521897777777</v>
      </c>
      <c r="L988" t="s">
        <v>1005</v>
      </c>
      <c r="M988" t="s">
        <v>1941</v>
      </c>
      <c r="N988" t="s">
        <v>27</v>
      </c>
      <c r="O988">
        <v>201607</v>
      </c>
      <c r="P988">
        <v>43303.064027777778</v>
      </c>
      <c r="Q988">
        <v>42887.476871296298</v>
      </c>
      <c r="R988">
        <v>1008</v>
      </c>
    </row>
    <row r="989" spans="1:18" x14ac:dyDescent="0.25">
      <c r="A989" t="s">
        <v>3281</v>
      </c>
      <c r="B989" t="s">
        <v>3282</v>
      </c>
      <c r="C989" t="s">
        <v>3283</v>
      </c>
      <c r="D989" t="s">
        <v>3283</v>
      </c>
      <c r="E989" t="s">
        <v>3283</v>
      </c>
      <c r="F989" t="s">
        <v>21</v>
      </c>
      <c r="G989" t="s">
        <v>63</v>
      </c>
      <c r="H989" t="s">
        <v>34</v>
      </c>
      <c r="I989" t="s">
        <v>35</v>
      </c>
      <c r="J989">
        <v>2007</v>
      </c>
      <c r="K989">
        <v>43698.521897777777</v>
      </c>
      <c r="L989" t="s">
        <v>193</v>
      </c>
      <c r="M989" t="s">
        <v>1941</v>
      </c>
      <c r="N989" t="s">
        <v>27</v>
      </c>
      <c r="O989">
        <v>196956</v>
      </c>
      <c r="P989">
        <v>43286.102777777778</v>
      </c>
      <c r="Q989">
        <v>42893.467058680559</v>
      </c>
      <c r="R989">
        <v>1009</v>
      </c>
    </row>
    <row r="990" spans="1:18" x14ac:dyDescent="0.25">
      <c r="A990" t="s">
        <v>3284</v>
      </c>
      <c r="B990" t="s">
        <v>3285</v>
      </c>
      <c r="C990" t="s">
        <v>3286</v>
      </c>
      <c r="D990" t="s">
        <v>3286</v>
      </c>
      <c r="E990" t="s">
        <v>3287</v>
      </c>
      <c r="F990" t="s">
        <v>21</v>
      </c>
      <c r="G990" t="s">
        <v>106</v>
      </c>
      <c r="H990" t="s">
        <v>3288</v>
      </c>
      <c r="I990" t="s">
        <v>25</v>
      </c>
      <c r="J990">
        <v>2012</v>
      </c>
      <c r="K990">
        <v>43698.521897777777</v>
      </c>
      <c r="L990" t="s">
        <v>25</v>
      </c>
      <c r="M990" t="s">
        <v>42</v>
      </c>
      <c r="N990" t="s">
        <v>1305</v>
      </c>
      <c r="Q990">
        <v>42894.694721180553</v>
      </c>
      <c r="R990">
        <v>1010</v>
      </c>
    </row>
    <row r="991" spans="1:18" x14ac:dyDescent="0.25">
      <c r="A991" t="s">
        <v>3289</v>
      </c>
      <c r="B991" t="s">
        <v>3290</v>
      </c>
      <c r="C991" t="s">
        <v>3291</v>
      </c>
      <c r="D991" t="s">
        <v>3291</v>
      </c>
      <c r="E991" t="s">
        <v>3292</v>
      </c>
      <c r="F991" t="s">
        <v>91</v>
      </c>
      <c r="G991" t="s">
        <v>22</v>
      </c>
      <c r="H991" t="s">
        <v>53</v>
      </c>
      <c r="I991" t="s">
        <v>3006</v>
      </c>
      <c r="J991">
        <v>2018</v>
      </c>
      <c r="K991">
        <v>43698.521897777777</v>
      </c>
      <c r="L991" t="s">
        <v>2783</v>
      </c>
      <c r="M991" t="s">
        <v>2777</v>
      </c>
      <c r="N991" t="s">
        <v>3293</v>
      </c>
      <c r="O991">
        <v>346630</v>
      </c>
      <c r="P991">
        <v>43698.166666666664</v>
      </c>
      <c r="Q991">
        <v>42894.942406747687</v>
      </c>
      <c r="R991">
        <v>1011</v>
      </c>
    </row>
    <row r="992" spans="1:18" x14ac:dyDescent="0.25">
      <c r="A992" t="s">
        <v>3294</v>
      </c>
      <c r="B992" t="s">
        <v>3295</v>
      </c>
      <c r="C992" t="s">
        <v>3296</v>
      </c>
      <c r="D992" t="s">
        <v>3296</v>
      </c>
      <c r="E992" t="s">
        <v>3297</v>
      </c>
      <c r="F992" t="s">
        <v>91</v>
      </c>
      <c r="G992" t="s">
        <v>22</v>
      </c>
      <c r="H992" t="s">
        <v>53</v>
      </c>
      <c r="I992" t="s">
        <v>3006</v>
      </c>
      <c r="J992">
        <v>2018</v>
      </c>
      <c r="K992">
        <v>43698.521897777777</v>
      </c>
      <c r="L992" t="s">
        <v>422</v>
      </c>
      <c r="M992" t="s">
        <v>2777</v>
      </c>
      <c r="N992" t="s">
        <v>3298</v>
      </c>
      <c r="O992">
        <v>346914</v>
      </c>
      <c r="P992">
        <v>43698.521897777777</v>
      </c>
      <c r="Q992">
        <v>42894.944694791666</v>
      </c>
      <c r="R992">
        <v>1012</v>
      </c>
    </row>
    <row r="993" spans="1:18" x14ac:dyDescent="0.25">
      <c r="A993" t="s">
        <v>3299</v>
      </c>
      <c r="B993" t="s">
        <v>3300</v>
      </c>
      <c r="C993" t="s">
        <v>3301</v>
      </c>
      <c r="D993" t="s">
        <v>3301</v>
      </c>
      <c r="E993" t="s">
        <v>3302</v>
      </c>
      <c r="F993" t="s">
        <v>91</v>
      </c>
      <c r="G993" t="s">
        <v>22</v>
      </c>
      <c r="H993" t="s">
        <v>53</v>
      </c>
      <c r="I993" t="s">
        <v>3006</v>
      </c>
      <c r="J993">
        <v>2018</v>
      </c>
      <c r="K993">
        <v>43698.521897777777</v>
      </c>
      <c r="L993" t="s">
        <v>2783</v>
      </c>
      <c r="M993" t="s">
        <v>2777</v>
      </c>
      <c r="N993" t="s">
        <v>994</v>
      </c>
      <c r="O993">
        <v>346782</v>
      </c>
      <c r="P993">
        <v>43698.263888888891</v>
      </c>
      <c r="Q993">
        <v>42894.945981747682</v>
      </c>
      <c r="R993">
        <v>1013</v>
      </c>
    </row>
    <row r="994" spans="1:18" x14ac:dyDescent="0.25">
      <c r="A994" t="s">
        <v>3303</v>
      </c>
      <c r="B994" t="s">
        <v>3304</v>
      </c>
      <c r="C994" t="s">
        <v>3305</v>
      </c>
      <c r="D994" t="s">
        <v>3305</v>
      </c>
      <c r="E994" t="s">
        <v>3306</v>
      </c>
      <c r="F994" t="s">
        <v>91</v>
      </c>
      <c r="G994" t="s">
        <v>22</v>
      </c>
      <c r="H994" t="s">
        <v>53</v>
      </c>
      <c r="I994" t="s">
        <v>3006</v>
      </c>
      <c r="J994">
        <v>2018</v>
      </c>
      <c r="K994">
        <v>43698.521897777777</v>
      </c>
      <c r="L994" t="s">
        <v>2783</v>
      </c>
      <c r="M994" t="s">
        <v>2777</v>
      </c>
      <c r="N994" t="s">
        <v>994</v>
      </c>
      <c r="O994">
        <v>346883</v>
      </c>
      <c r="P994">
        <v>43698.521897777777</v>
      </c>
      <c r="Q994">
        <v>42894.947285497685</v>
      </c>
      <c r="R994">
        <v>1014</v>
      </c>
    </row>
    <row r="995" spans="1:18" x14ac:dyDescent="0.25">
      <c r="A995" t="s">
        <v>3307</v>
      </c>
      <c r="B995" t="s">
        <v>3308</v>
      </c>
      <c r="C995" t="s">
        <v>3309</v>
      </c>
      <c r="D995" t="s">
        <v>3309</v>
      </c>
      <c r="E995" t="s">
        <v>3310</v>
      </c>
      <c r="F995" t="s">
        <v>91</v>
      </c>
      <c r="G995" t="s">
        <v>22</v>
      </c>
      <c r="H995" t="s">
        <v>53</v>
      </c>
      <c r="I995" t="s">
        <v>3006</v>
      </c>
      <c r="J995">
        <v>2018</v>
      </c>
      <c r="K995">
        <v>43698.521897777777</v>
      </c>
      <c r="L995" t="s">
        <v>2783</v>
      </c>
      <c r="M995" t="s">
        <v>2777</v>
      </c>
      <c r="N995" t="s">
        <v>994</v>
      </c>
      <c r="O995">
        <v>346886</v>
      </c>
      <c r="P995">
        <v>43698.521897777777</v>
      </c>
      <c r="Q995">
        <v>42894.94840332176</v>
      </c>
      <c r="R995">
        <v>1015</v>
      </c>
    </row>
    <row r="996" spans="1:18" x14ac:dyDescent="0.25">
      <c r="A996" t="s">
        <v>3311</v>
      </c>
      <c r="B996" t="s">
        <v>3312</v>
      </c>
      <c r="C996" t="s">
        <v>3313</v>
      </c>
      <c r="D996" t="s">
        <v>3313</v>
      </c>
      <c r="E996" t="s">
        <v>3314</v>
      </c>
      <c r="F996" t="s">
        <v>91</v>
      </c>
      <c r="G996" t="s">
        <v>22</v>
      </c>
      <c r="H996" t="s">
        <v>53</v>
      </c>
      <c r="I996" t="s">
        <v>3006</v>
      </c>
      <c r="J996">
        <v>2018</v>
      </c>
      <c r="K996">
        <v>43698.521897777777</v>
      </c>
      <c r="L996" t="s">
        <v>2783</v>
      </c>
      <c r="M996" t="s">
        <v>2777</v>
      </c>
      <c r="N996" t="s">
        <v>994</v>
      </c>
      <c r="O996">
        <v>347036</v>
      </c>
      <c r="P996">
        <v>43698.521897777777</v>
      </c>
      <c r="Q996">
        <v>42894.949762465279</v>
      </c>
      <c r="R996">
        <v>1016</v>
      </c>
    </row>
    <row r="997" spans="1:18" x14ac:dyDescent="0.25">
      <c r="A997" t="s">
        <v>3315</v>
      </c>
      <c r="B997" t="s">
        <v>3316</v>
      </c>
      <c r="C997" t="s">
        <v>3317</v>
      </c>
      <c r="D997" t="s">
        <v>3317</v>
      </c>
      <c r="E997" t="s">
        <v>3318</v>
      </c>
      <c r="F997" t="s">
        <v>91</v>
      </c>
      <c r="G997" t="s">
        <v>22</v>
      </c>
      <c r="H997" t="s">
        <v>53</v>
      </c>
      <c r="I997" t="s">
        <v>3006</v>
      </c>
      <c r="J997">
        <v>2018</v>
      </c>
      <c r="K997">
        <v>43698.521897777777</v>
      </c>
      <c r="L997" t="s">
        <v>2783</v>
      </c>
      <c r="M997" t="s">
        <v>2777</v>
      </c>
      <c r="N997" t="s">
        <v>3293</v>
      </c>
      <c r="O997">
        <v>347074</v>
      </c>
      <c r="P997">
        <v>43698.521897777777</v>
      </c>
      <c r="Q997">
        <v>42894.951660300925</v>
      </c>
      <c r="R997">
        <v>1017</v>
      </c>
    </row>
    <row r="998" spans="1:18" x14ac:dyDescent="0.25">
      <c r="A998" t="s">
        <v>3319</v>
      </c>
      <c r="B998" t="s">
        <v>3320</v>
      </c>
      <c r="C998" t="s">
        <v>3321</v>
      </c>
      <c r="D998" t="s">
        <v>3321</v>
      </c>
      <c r="E998" t="s">
        <v>3322</v>
      </c>
      <c r="F998" t="s">
        <v>91</v>
      </c>
      <c r="G998" t="s">
        <v>22</v>
      </c>
      <c r="H998" t="s">
        <v>53</v>
      </c>
      <c r="I998" t="s">
        <v>3006</v>
      </c>
      <c r="J998">
        <v>2018</v>
      </c>
      <c r="K998">
        <v>43698.521897777777</v>
      </c>
      <c r="L998" t="s">
        <v>2783</v>
      </c>
      <c r="M998" t="s">
        <v>2777</v>
      </c>
      <c r="N998" t="s">
        <v>994</v>
      </c>
      <c r="O998">
        <v>346882</v>
      </c>
      <c r="P998">
        <v>43698.521897777777</v>
      </c>
      <c r="Q998">
        <v>42894.952837152778</v>
      </c>
      <c r="R998">
        <v>1018</v>
      </c>
    </row>
    <row r="999" spans="1:18" x14ac:dyDescent="0.25">
      <c r="A999" t="s">
        <v>3323</v>
      </c>
      <c r="B999" t="s">
        <v>1185</v>
      </c>
      <c r="C999" t="s">
        <v>3324</v>
      </c>
      <c r="D999" t="s">
        <v>3324</v>
      </c>
      <c r="E999" t="s">
        <v>3325</v>
      </c>
      <c r="F999" t="s">
        <v>21</v>
      </c>
      <c r="G999" t="s">
        <v>22</v>
      </c>
      <c r="H999" t="s">
        <v>53</v>
      </c>
      <c r="I999" t="s">
        <v>471</v>
      </c>
      <c r="J999">
        <v>2016</v>
      </c>
      <c r="K999">
        <v>43698.521897777777</v>
      </c>
      <c r="L999" t="s">
        <v>1660</v>
      </c>
      <c r="M999" t="s">
        <v>2777</v>
      </c>
      <c r="N999" t="s">
        <v>415</v>
      </c>
      <c r="O999">
        <v>182140</v>
      </c>
      <c r="P999">
        <v>43229.756249999999</v>
      </c>
      <c r="Q999">
        <v>42896.656373692131</v>
      </c>
      <c r="R999">
        <v>1019</v>
      </c>
    </row>
    <row r="1000" spans="1:18" x14ac:dyDescent="0.25">
      <c r="A1000" t="s">
        <v>3326</v>
      </c>
      <c r="B1000" t="s">
        <v>3327</v>
      </c>
      <c r="C1000" t="s">
        <v>3328</v>
      </c>
      <c r="D1000" t="s">
        <v>3328</v>
      </c>
      <c r="E1000" t="s">
        <v>3329</v>
      </c>
      <c r="F1000" t="s">
        <v>91</v>
      </c>
      <c r="G1000" t="s">
        <v>22</v>
      </c>
      <c r="H1000" t="s">
        <v>53</v>
      </c>
      <c r="I1000" t="s">
        <v>3006</v>
      </c>
      <c r="J1000">
        <v>2018</v>
      </c>
      <c r="K1000">
        <v>43698.521897777777</v>
      </c>
      <c r="L1000" t="s">
        <v>2783</v>
      </c>
      <c r="M1000" t="s">
        <v>2777</v>
      </c>
      <c r="N1000" t="s">
        <v>3293</v>
      </c>
      <c r="O1000">
        <v>346896</v>
      </c>
      <c r="P1000">
        <v>43698.521897777777</v>
      </c>
      <c r="Q1000">
        <v>42899.670399340277</v>
      </c>
      <c r="R1000">
        <v>1020</v>
      </c>
    </row>
    <row r="1001" spans="1:18" x14ac:dyDescent="0.25">
      <c r="A1001" t="s">
        <v>3330</v>
      </c>
      <c r="B1001" t="s">
        <v>3331</v>
      </c>
      <c r="C1001" t="s">
        <v>3332</v>
      </c>
      <c r="D1001" t="s">
        <v>3332</v>
      </c>
      <c r="E1001" t="s">
        <v>3333</v>
      </c>
      <c r="F1001" t="s">
        <v>91</v>
      </c>
      <c r="G1001" t="s">
        <v>22</v>
      </c>
      <c r="H1001" t="s">
        <v>53</v>
      </c>
      <c r="I1001" t="s">
        <v>3006</v>
      </c>
      <c r="J1001">
        <v>2018</v>
      </c>
      <c r="K1001">
        <v>43698.521897777777</v>
      </c>
      <c r="L1001" t="s">
        <v>2783</v>
      </c>
      <c r="M1001" t="s">
        <v>2777</v>
      </c>
      <c r="N1001" t="s">
        <v>994</v>
      </c>
      <c r="O1001">
        <v>346897</v>
      </c>
      <c r="P1001">
        <v>43698.521897777777</v>
      </c>
      <c r="Q1001">
        <v>42899.670804201392</v>
      </c>
      <c r="R1001">
        <v>1021</v>
      </c>
    </row>
    <row r="1002" spans="1:18" x14ac:dyDescent="0.25">
      <c r="A1002" t="s">
        <v>3334</v>
      </c>
      <c r="B1002" t="s">
        <v>3335</v>
      </c>
      <c r="C1002" t="s">
        <v>3336</v>
      </c>
      <c r="D1002" t="s">
        <v>3336</v>
      </c>
      <c r="E1002" t="s">
        <v>3337</v>
      </c>
      <c r="F1002" t="s">
        <v>91</v>
      </c>
      <c r="G1002" t="s">
        <v>22</v>
      </c>
      <c r="H1002" t="s">
        <v>53</v>
      </c>
      <c r="I1002" t="s">
        <v>3006</v>
      </c>
      <c r="J1002">
        <v>2018</v>
      </c>
      <c r="K1002">
        <v>43698.521897777777</v>
      </c>
      <c r="L1002" t="s">
        <v>2783</v>
      </c>
      <c r="M1002" t="s">
        <v>2777</v>
      </c>
      <c r="N1002" t="s">
        <v>3293</v>
      </c>
      <c r="O1002">
        <v>346889</v>
      </c>
      <c r="P1002">
        <v>43698.521897777777</v>
      </c>
      <c r="Q1002">
        <v>42899.672239664353</v>
      </c>
      <c r="R1002">
        <v>1022</v>
      </c>
    </row>
    <row r="1003" spans="1:18" x14ac:dyDescent="0.25">
      <c r="A1003" t="s">
        <v>3338</v>
      </c>
      <c r="B1003" t="s">
        <v>3339</v>
      </c>
      <c r="C1003" t="s">
        <v>3340</v>
      </c>
      <c r="D1003" t="s">
        <v>3340</v>
      </c>
      <c r="E1003" t="s">
        <v>3341</v>
      </c>
      <c r="F1003" t="s">
        <v>91</v>
      </c>
      <c r="G1003" t="s">
        <v>22</v>
      </c>
      <c r="H1003" t="s">
        <v>53</v>
      </c>
      <c r="I1003" t="s">
        <v>3006</v>
      </c>
      <c r="J1003">
        <v>2018</v>
      </c>
      <c r="K1003">
        <v>43698.521897777777</v>
      </c>
      <c r="L1003" t="s">
        <v>422</v>
      </c>
      <c r="M1003" t="s">
        <v>2777</v>
      </c>
      <c r="N1003" t="s">
        <v>415</v>
      </c>
      <c r="O1003">
        <v>346861</v>
      </c>
      <c r="P1003">
        <v>43698.364583333336</v>
      </c>
      <c r="Q1003">
        <v>42901.481117476855</v>
      </c>
      <c r="R1003">
        <v>1023</v>
      </c>
    </row>
    <row r="1004" spans="1:18" x14ac:dyDescent="0.25">
      <c r="A1004" t="s">
        <v>3342</v>
      </c>
      <c r="B1004" t="s">
        <v>3343</v>
      </c>
      <c r="C1004" t="s">
        <v>3344</v>
      </c>
      <c r="D1004" t="s">
        <v>3344</v>
      </c>
      <c r="E1004" t="s">
        <v>3345</v>
      </c>
      <c r="F1004" t="s">
        <v>91</v>
      </c>
      <c r="G1004" t="s">
        <v>22</v>
      </c>
      <c r="H1004" t="s">
        <v>53</v>
      </c>
      <c r="I1004" t="s">
        <v>3006</v>
      </c>
      <c r="J1004">
        <v>2018</v>
      </c>
      <c r="K1004">
        <v>43698.521897777777</v>
      </c>
      <c r="L1004" t="s">
        <v>422</v>
      </c>
      <c r="M1004" t="s">
        <v>2777</v>
      </c>
      <c r="N1004" t="s">
        <v>415</v>
      </c>
      <c r="O1004">
        <v>346843</v>
      </c>
      <c r="P1004">
        <v>43698.395833333336</v>
      </c>
      <c r="Q1004">
        <v>42901.481811423611</v>
      </c>
      <c r="R1004">
        <v>1024</v>
      </c>
    </row>
    <row r="1005" spans="1:18" x14ac:dyDescent="0.25">
      <c r="A1005" t="s">
        <v>3346</v>
      </c>
      <c r="B1005" t="s">
        <v>3347</v>
      </c>
      <c r="C1005" t="s">
        <v>3348</v>
      </c>
      <c r="D1005" t="s">
        <v>3348</v>
      </c>
      <c r="E1005" t="s">
        <v>3349</v>
      </c>
      <c r="F1005" t="s">
        <v>91</v>
      </c>
      <c r="G1005" t="s">
        <v>22</v>
      </c>
      <c r="H1005" t="s">
        <v>53</v>
      </c>
      <c r="I1005" t="s">
        <v>3006</v>
      </c>
      <c r="J1005">
        <v>2018</v>
      </c>
      <c r="K1005">
        <v>43698.521897777777</v>
      </c>
      <c r="L1005" t="s">
        <v>422</v>
      </c>
      <c r="M1005" t="s">
        <v>2777</v>
      </c>
      <c r="N1005" t="s">
        <v>1439</v>
      </c>
      <c r="O1005">
        <v>347064</v>
      </c>
      <c r="P1005">
        <v>43698.521897777777</v>
      </c>
      <c r="Q1005">
        <v>42901.482327280093</v>
      </c>
      <c r="R1005">
        <v>1025</v>
      </c>
    </row>
    <row r="1006" spans="1:18" x14ac:dyDescent="0.25">
      <c r="A1006" t="s">
        <v>3350</v>
      </c>
      <c r="B1006" t="s">
        <v>3351</v>
      </c>
      <c r="C1006" t="s">
        <v>3352</v>
      </c>
      <c r="D1006" t="s">
        <v>3352</v>
      </c>
      <c r="E1006" t="s">
        <v>3353</v>
      </c>
      <c r="F1006" t="s">
        <v>91</v>
      </c>
      <c r="G1006" t="s">
        <v>22</v>
      </c>
      <c r="H1006" t="s">
        <v>53</v>
      </c>
      <c r="I1006" t="s">
        <v>3006</v>
      </c>
      <c r="J1006">
        <v>2018</v>
      </c>
      <c r="K1006">
        <v>43698.521897777777</v>
      </c>
      <c r="L1006" t="s">
        <v>422</v>
      </c>
      <c r="M1006" t="s">
        <v>2777</v>
      </c>
      <c r="N1006" t="s">
        <v>2778</v>
      </c>
      <c r="O1006">
        <v>347151</v>
      </c>
      <c r="P1006">
        <v>43698.521897777777</v>
      </c>
      <c r="Q1006">
        <v>42901.482797534722</v>
      </c>
      <c r="R1006">
        <v>1026</v>
      </c>
    </row>
    <row r="1007" spans="1:18" x14ac:dyDescent="0.25">
      <c r="A1007" t="s">
        <v>3354</v>
      </c>
      <c r="B1007" t="s">
        <v>3355</v>
      </c>
      <c r="C1007" t="s">
        <v>3356</v>
      </c>
      <c r="D1007" t="s">
        <v>3356</v>
      </c>
      <c r="E1007" t="s">
        <v>3357</v>
      </c>
      <c r="F1007" t="s">
        <v>91</v>
      </c>
      <c r="G1007" t="s">
        <v>22</v>
      </c>
      <c r="H1007" t="s">
        <v>53</v>
      </c>
      <c r="I1007" t="s">
        <v>3006</v>
      </c>
      <c r="J1007">
        <v>2018</v>
      </c>
      <c r="K1007">
        <v>43698.521897777777</v>
      </c>
      <c r="L1007" t="s">
        <v>899</v>
      </c>
      <c r="M1007" t="s">
        <v>154</v>
      </c>
      <c r="N1007" t="s">
        <v>1305</v>
      </c>
      <c r="O1007">
        <v>342830</v>
      </c>
      <c r="P1007">
        <v>43695.353518518517</v>
      </c>
      <c r="Q1007">
        <v>42901.536733020832</v>
      </c>
      <c r="R1007">
        <v>1027</v>
      </c>
    </row>
    <row r="1008" spans="1:18" x14ac:dyDescent="0.25">
      <c r="A1008" t="s">
        <v>3358</v>
      </c>
      <c r="B1008" t="s">
        <v>3359</v>
      </c>
      <c r="C1008" t="s">
        <v>3360</v>
      </c>
      <c r="D1008" t="s">
        <v>3360</v>
      </c>
      <c r="E1008" t="s">
        <v>3361</v>
      </c>
      <c r="F1008" t="s">
        <v>91</v>
      </c>
      <c r="G1008" t="s">
        <v>22</v>
      </c>
      <c r="H1008" t="s">
        <v>53</v>
      </c>
      <c r="I1008" t="s">
        <v>3006</v>
      </c>
      <c r="J1008">
        <v>2018</v>
      </c>
      <c r="K1008">
        <v>43698.521897777777</v>
      </c>
      <c r="L1008" t="s">
        <v>466</v>
      </c>
      <c r="M1008" t="s">
        <v>154</v>
      </c>
      <c r="N1008" t="s">
        <v>467</v>
      </c>
      <c r="O1008">
        <v>343169</v>
      </c>
      <c r="P1008">
        <v>43694.67355324074</v>
      </c>
      <c r="Q1008">
        <v>42901.537309722225</v>
      </c>
      <c r="R1008">
        <v>1028</v>
      </c>
    </row>
    <row r="1009" spans="1:18" x14ac:dyDescent="0.25">
      <c r="A1009" t="s">
        <v>3362</v>
      </c>
      <c r="B1009" t="s">
        <v>3363</v>
      </c>
      <c r="C1009" t="s">
        <v>3364</v>
      </c>
      <c r="D1009" t="s">
        <v>3364</v>
      </c>
      <c r="E1009" t="s">
        <v>3365</v>
      </c>
      <c r="F1009" t="s">
        <v>91</v>
      </c>
      <c r="G1009" t="s">
        <v>22</v>
      </c>
      <c r="H1009" t="s">
        <v>53</v>
      </c>
      <c r="I1009" t="s">
        <v>3006</v>
      </c>
      <c r="J1009">
        <v>2018</v>
      </c>
      <c r="K1009">
        <v>43698.521897777777</v>
      </c>
      <c r="L1009" t="s">
        <v>466</v>
      </c>
      <c r="M1009" t="s">
        <v>1738</v>
      </c>
      <c r="N1009" t="s">
        <v>467</v>
      </c>
      <c r="O1009">
        <v>334370</v>
      </c>
      <c r="P1009">
        <v>43673.543055555558</v>
      </c>
      <c r="Q1009">
        <v>42901.537833483795</v>
      </c>
      <c r="R1009">
        <v>1029</v>
      </c>
    </row>
    <row r="1010" spans="1:18" x14ac:dyDescent="0.25">
      <c r="A1010" t="s">
        <v>3366</v>
      </c>
      <c r="B1010" t="s">
        <v>3367</v>
      </c>
      <c r="C1010" t="s">
        <v>3368</v>
      </c>
      <c r="D1010" t="s">
        <v>3368</v>
      </c>
      <c r="E1010" t="s">
        <v>3369</v>
      </c>
      <c r="F1010" t="s">
        <v>91</v>
      </c>
      <c r="G1010" t="s">
        <v>22</v>
      </c>
      <c r="H1010" t="s">
        <v>53</v>
      </c>
      <c r="I1010" t="s">
        <v>3006</v>
      </c>
      <c r="J1010">
        <v>2018</v>
      </c>
      <c r="K1010">
        <v>43698.521897777777</v>
      </c>
      <c r="L1010" t="s">
        <v>466</v>
      </c>
      <c r="M1010" t="s">
        <v>1738</v>
      </c>
      <c r="N1010" t="s">
        <v>467</v>
      </c>
      <c r="O1010">
        <v>336296</v>
      </c>
      <c r="P1010">
        <v>43672.564976851849</v>
      </c>
      <c r="Q1010">
        <v>42901.538328622686</v>
      </c>
      <c r="R1010">
        <v>1030</v>
      </c>
    </row>
    <row r="1011" spans="1:18" x14ac:dyDescent="0.25">
      <c r="A1011" t="s">
        <v>3370</v>
      </c>
      <c r="B1011" t="s">
        <v>3371</v>
      </c>
      <c r="C1011" t="s">
        <v>3372</v>
      </c>
      <c r="D1011" t="s">
        <v>3372</v>
      </c>
      <c r="E1011" t="s">
        <v>3373</v>
      </c>
      <c r="F1011" t="s">
        <v>91</v>
      </c>
      <c r="G1011" t="s">
        <v>63</v>
      </c>
      <c r="H1011" t="s">
        <v>53</v>
      </c>
      <c r="I1011" t="s">
        <v>3006</v>
      </c>
      <c r="J1011">
        <v>2018</v>
      </c>
      <c r="K1011">
        <v>43698.521897777777</v>
      </c>
      <c r="L1011" t="s">
        <v>899</v>
      </c>
      <c r="M1011" t="s">
        <v>154</v>
      </c>
      <c r="N1011" t="s">
        <v>523</v>
      </c>
      <c r="O1011">
        <v>346720</v>
      </c>
      <c r="P1011">
        <v>43698.521897777777</v>
      </c>
      <c r="Q1011">
        <v>42901.540805902776</v>
      </c>
      <c r="R1011">
        <v>1031</v>
      </c>
    </row>
    <row r="1012" spans="1:18" x14ac:dyDescent="0.25">
      <c r="A1012" t="s">
        <v>3374</v>
      </c>
      <c r="B1012" t="s">
        <v>3375</v>
      </c>
      <c r="C1012" t="s">
        <v>3376</v>
      </c>
      <c r="D1012" t="s">
        <v>3376</v>
      </c>
      <c r="E1012" t="s">
        <v>3376</v>
      </c>
      <c r="F1012" t="s">
        <v>21</v>
      </c>
      <c r="G1012" t="s">
        <v>63</v>
      </c>
      <c r="H1012" t="s">
        <v>53</v>
      </c>
      <c r="I1012" t="s">
        <v>471</v>
      </c>
      <c r="J1012">
        <v>2018</v>
      </c>
      <c r="K1012">
        <v>43698.521897777777</v>
      </c>
      <c r="L1012" t="s">
        <v>25</v>
      </c>
      <c r="M1012" t="s">
        <v>1941</v>
      </c>
      <c r="N1012" t="s">
        <v>27</v>
      </c>
      <c r="O1012">
        <v>163374</v>
      </c>
      <c r="P1012">
        <v>43161.891030092593</v>
      </c>
      <c r="Q1012">
        <v>42901.670352743058</v>
      </c>
      <c r="R1012">
        <v>1032</v>
      </c>
    </row>
    <row r="1013" spans="1:18" x14ac:dyDescent="0.25">
      <c r="A1013" t="s">
        <v>3377</v>
      </c>
      <c r="B1013" t="s">
        <v>3378</v>
      </c>
      <c r="C1013" t="s">
        <v>3379</v>
      </c>
      <c r="D1013" t="s">
        <v>3379</v>
      </c>
      <c r="E1013" t="s">
        <v>3380</v>
      </c>
      <c r="F1013" t="s">
        <v>91</v>
      </c>
      <c r="G1013" t="s">
        <v>22</v>
      </c>
      <c r="H1013" t="s">
        <v>53</v>
      </c>
      <c r="I1013" t="s">
        <v>3006</v>
      </c>
      <c r="J1013">
        <v>2018</v>
      </c>
      <c r="K1013">
        <v>43698.521897777777</v>
      </c>
      <c r="L1013" t="s">
        <v>899</v>
      </c>
      <c r="M1013" t="s">
        <v>154</v>
      </c>
      <c r="N1013" t="s">
        <v>523</v>
      </c>
      <c r="O1013">
        <v>346134</v>
      </c>
      <c r="P1013">
        <v>43698.521897777777</v>
      </c>
      <c r="Q1013">
        <v>42902.673988622686</v>
      </c>
      <c r="R1013">
        <v>1033</v>
      </c>
    </row>
    <row r="1014" spans="1:18" x14ac:dyDescent="0.25">
      <c r="A1014" t="s">
        <v>3381</v>
      </c>
      <c r="B1014" t="s">
        <v>3382</v>
      </c>
      <c r="C1014" t="s">
        <v>3383</v>
      </c>
      <c r="D1014" t="s">
        <v>3383</v>
      </c>
      <c r="E1014" t="s">
        <v>3384</v>
      </c>
      <c r="F1014" t="s">
        <v>91</v>
      </c>
      <c r="G1014" t="s">
        <v>22</v>
      </c>
      <c r="H1014" t="s">
        <v>53</v>
      </c>
      <c r="I1014" t="s">
        <v>3006</v>
      </c>
      <c r="J1014">
        <v>2018</v>
      </c>
      <c r="K1014">
        <v>43698.521897777777</v>
      </c>
      <c r="L1014" t="s">
        <v>1978</v>
      </c>
      <c r="M1014" t="s">
        <v>154</v>
      </c>
      <c r="N1014" t="s">
        <v>523</v>
      </c>
      <c r="O1014">
        <v>345811</v>
      </c>
      <c r="P1014">
        <v>43698.521897777777</v>
      </c>
      <c r="Q1014">
        <v>42902.677018368056</v>
      </c>
      <c r="R1014">
        <v>1034</v>
      </c>
    </row>
    <row r="1015" spans="1:18" x14ac:dyDescent="0.25">
      <c r="A1015" t="s">
        <v>3385</v>
      </c>
      <c r="B1015" t="s">
        <v>3386</v>
      </c>
      <c r="C1015" t="s">
        <v>3387</v>
      </c>
      <c r="D1015" t="s">
        <v>3387</v>
      </c>
      <c r="E1015" t="s">
        <v>3388</v>
      </c>
      <c r="F1015" t="s">
        <v>91</v>
      </c>
      <c r="G1015" t="s">
        <v>22</v>
      </c>
      <c r="H1015" t="s">
        <v>53</v>
      </c>
      <c r="I1015" t="s">
        <v>3006</v>
      </c>
      <c r="J1015">
        <v>2018</v>
      </c>
      <c r="K1015">
        <v>43698.521897777777</v>
      </c>
      <c r="L1015" t="s">
        <v>1978</v>
      </c>
      <c r="M1015" t="s">
        <v>154</v>
      </c>
      <c r="N1015" t="s">
        <v>1305</v>
      </c>
      <c r="O1015">
        <v>345842</v>
      </c>
      <c r="P1015">
        <v>43698.521897777777</v>
      </c>
      <c r="Q1015">
        <v>42902.686661574073</v>
      </c>
      <c r="R1015">
        <v>1035</v>
      </c>
    </row>
    <row r="1016" spans="1:18" x14ac:dyDescent="0.25">
      <c r="A1016" t="s">
        <v>3389</v>
      </c>
      <c r="B1016" t="s">
        <v>3390</v>
      </c>
      <c r="C1016" t="s">
        <v>3391</v>
      </c>
      <c r="D1016" t="s">
        <v>3391</v>
      </c>
      <c r="E1016" t="s">
        <v>3392</v>
      </c>
      <c r="F1016" t="s">
        <v>91</v>
      </c>
      <c r="G1016" t="s">
        <v>22</v>
      </c>
      <c r="H1016" t="s">
        <v>53</v>
      </c>
      <c r="I1016" t="s">
        <v>3006</v>
      </c>
      <c r="J1016">
        <v>2018</v>
      </c>
      <c r="K1016">
        <v>43698.521897777777</v>
      </c>
      <c r="L1016" t="s">
        <v>1604</v>
      </c>
      <c r="M1016" t="s">
        <v>154</v>
      </c>
      <c r="N1016" t="s">
        <v>1305</v>
      </c>
      <c r="O1016">
        <v>345757</v>
      </c>
      <c r="P1016">
        <v>43698.521897777777</v>
      </c>
      <c r="Q1016">
        <v>42902.688257060188</v>
      </c>
      <c r="R1016">
        <v>1036</v>
      </c>
    </row>
    <row r="1017" spans="1:18" x14ac:dyDescent="0.25">
      <c r="A1017" t="s">
        <v>3393</v>
      </c>
      <c r="B1017" t="s">
        <v>3394</v>
      </c>
      <c r="C1017" t="s">
        <v>3395</v>
      </c>
      <c r="D1017" t="s">
        <v>3395</v>
      </c>
      <c r="E1017" t="s">
        <v>3396</v>
      </c>
      <c r="F1017" t="s">
        <v>91</v>
      </c>
      <c r="G1017" t="s">
        <v>22</v>
      </c>
      <c r="H1017" t="s">
        <v>53</v>
      </c>
      <c r="I1017" t="s">
        <v>3006</v>
      </c>
      <c r="J1017">
        <v>2018</v>
      </c>
      <c r="K1017">
        <v>43698.521897777777</v>
      </c>
      <c r="L1017" t="s">
        <v>466</v>
      </c>
      <c r="M1017" t="s">
        <v>154</v>
      </c>
      <c r="N1017" t="s">
        <v>1305</v>
      </c>
      <c r="O1017">
        <v>345734</v>
      </c>
      <c r="P1017">
        <v>43698.521897777777</v>
      </c>
      <c r="Q1017">
        <v>42902.689520370368</v>
      </c>
      <c r="R1017">
        <v>1037</v>
      </c>
    </row>
    <row r="1018" spans="1:18" x14ac:dyDescent="0.25">
      <c r="A1018" t="s">
        <v>3397</v>
      </c>
      <c r="B1018" t="s">
        <v>3398</v>
      </c>
      <c r="C1018" t="s">
        <v>3399</v>
      </c>
      <c r="D1018" t="s">
        <v>3399</v>
      </c>
      <c r="E1018" t="s">
        <v>3400</v>
      </c>
      <c r="F1018" t="s">
        <v>91</v>
      </c>
      <c r="G1018" t="s">
        <v>22</v>
      </c>
      <c r="H1018" t="s">
        <v>53</v>
      </c>
      <c r="I1018" t="s">
        <v>3006</v>
      </c>
      <c r="J1018">
        <v>2018</v>
      </c>
      <c r="K1018">
        <v>43698.521897777777</v>
      </c>
      <c r="L1018" t="s">
        <v>1978</v>
      </c>
      <c r="M1018" t="s">
        <v>154</v>
      </c>
      <c r="N1018" t="s">
        <v>1305</v>
      </c>
      <c r="O1018">
        <v>345726</v>
      </c>
      <c r="P1018">
        <v>43698.521897777777</v>
      </c>
      <c r="Q1018">
        <v>42902.690953321762</v>
      </c>
      <c r="R1018">
        <v>1038</v>
      </c>
    </row>
    <row r="1019" spans="1:18" x14ac:dyDescent="0.25">
      <c r="A1019" t="s">
        <v>3401</v>
      </c>
      <c r="B1019" t="s">
        <v>3402</v>
      </c>
      <c r="C1019" t="s">
        <v>3403</v>
      </c>
      <c r="D1019" t="s">
        <v>3403</v>
      </c>
      <c r="E1019" t="s">
        <v>3404</v>
      </c>
      <c r="F1019" t="s">
        <v>91</v>
      </c>
      <c r="G1019" t="s">
        <v>22</v>
      </c>
      <c r="H1019" t="s">
        <v>53</v>
      </c>
      <c r="I1019" t="s">
        <v>3006</v>
      </c>
      <c r="J1019">
        <v>2018</v>
      </c>
      <c r="K1019">
        <v>43698.521897777777</v>
      </c>
      <c r="L1019" t="s">
        <v>466</v>
      </c>
      <c r="M1019" t="s">
        <v>154</v>
      </c>
      <c r="N1019" t="s">
        <v>1305</v>
      </c>
      <c r="O1019">
        <v>343182</v>
      </c>
      <c r="P1019">
        <v>43698.521897777777</v>
      </c>
      <c r="Q1019">
        <v>42902.692949687502</v>
      </c>
      <c r="R1019">
        <v>1039</v>
      </c>
    </row>
    <row r="1020" spans="1:18" x14ac:dyDescent="0.25">
      <c r="A1020" t="s">
        <v>3405</v>
      </c>
      <c r="B1020" t="s">
        <v>3406</v>
      </c>
      <c r="C1020" t="s">
        <v>3407</v>
      </c>
      <c r="D1020" t="s">
        <v>3407</v>
      </c>
      <c r="E1020" t="s">
        <v>3408</v>
      </c>
      <c r="F1020" t="s">
        <v>91</v>
      </c>
      <c r="G1020" t="s">
        <v>22</v>
      </c>
      <c r="H1020" t="s">
        <v>53</v>
      </c>
      <c r="I1020" t="s">
        <v>3006</v>
      </c>
      <c r="J1020">
        <v>2018</v>
      </c>
      <c r="K1020">
        <v>43698.521897777777</v>
      </c>
      <c r="L1020" t="s">
        <v>1809</v>
      </c>
      <c r="M1020" t="s">
        <v>154</v>
      </c>
      <c r="N1020" t="s">
        <v>1305</v>
      </c>
      <c r="O1020">
        <v>346769</v>
      </c>
      <c r="P1020">
        <v>43698.521897777777</v>
      </c>
      <c r="Q1020">
        <v>42902.695118634256</v>
      </c>
      <c r="R1020">
        <v>1040</v>
      </c>
    </row>
    <row r="1021" spans="1:18" x14ac:dyDescent="0.25">
      <c r="A1021" t="s">
        <v>3409</v>
      </c>
      <c r="B1021" t="s">
        <v>3410</v>
      </c>
      <c r="C1021" t="s">
        <v>3411</v>
      </c>
      <c r="D1021" t="s">
        <v>3411</v>
      </c>
      <c r="E1021" t="s">
        <v>3412</v>
      </c>
      <c r="F1021" t="s">
        <v>91</v>
      </c>
      <c r="G1021" t="s">
        <v>22</v>
      </c>
      <c r="H1021" t="s">
        <v>53</v>
      </c>
      <c r="I1021" t="s">
        <v>3006</v>
      </c>
      <c r="J1021">
        <v>2018</v>
      </c>
      <c r="K1021">
        <v>43698.521897777777</v>
      </c>
      <c r="L1021" t="s">
        <v>466</v>
      </c>
      <c r="M1021" t="s">
        <v>1738</v>
      </c>
      <c r="N1021" t="s">
        <v>1305</v>
      </c>
      <c r="O1021">
        <v>346791</v>
      </c>
      <c r="P1021">
        <v>43698.521897777777</v>
      </c>
      <c r="Q1021">
        <v>42902.786411608795</v>
      </c>
      <c r="R1021">
        <v>1041</v>
      </c>
    </row>
    <row r="1022" spans="1:18" x14ac:dyDescent="0.25">
      <c r="A1022" t="s">
        <v>3413</v>
      </c>
      <c r="B1022" t="s">
        <v>3414</v>
      </c>
      <c r="C1022" t="s">
        <v>3415</v>
      </c>
      <c r="D1022" t="s">
        <v>3415</v>
      </c>
      <c r="E1022" t="s">
        <v>3415</v>
      </c>
      <c r="F1022" t="s">
        <v>91</v>
      </c>
      <c r="G1022" t="s">
        <v>63</v>
      </c>
      <c r="H1022" t="s">
        <v>53</v>
      </c>
      <c r="I1022" t="s">
        <v>471</v>
      </c>
      <c r="J1022">
        <v>2013</v>
      </c>
      <c r="K1022">
        <v>43698.521897777777</v>
      </c>
      <c r="L1022" t="s">
        <v>193</v>
      </c>
      <c r="M1022" t="s">
        <v>1941</v>
      </c>
      <c r="N1022" t="s">
        <v>1439</v>
      </c>
      <c r="O1022">
        <v>346613</v>
      </c>
      <c r="P1022">
        <v>43698.521897777777</v>
      </c>
      <c r="Q1022">
        <v>42905.728483101855</v>
      </c>
      <c r="R1022">
        <v>1042</v>
      </c>
    </row>
    <row r="1023" spans="1:18" x14ac:dyDescent="0.25">
      <c r="A1023" t="s">
        <v>3416</v>
      </c>
      <c r="B1023" t="s">
        <v>3417</v>
      </c>
      <c r="C1023" t="s">
        <v>3418</v>
      </c>
      <c r="D1023" t="s">
        <v>3418</v>
      </c>
      <c r="E1023" t="s">
        <v>3418</v>
      </c>
      <c r="F1023" t="s">
        <v>21</v>
      </c>
      <c r="G1023" t="s">
        <v>63</v>
      </c>
      <c r="H1023" t="s">
        <v>53</v>
      </c>
      <c r="I1023" t="s">
        <v>41</v>
      </c>
      <c r="J1023">
        <v>2006</v>
      </c>
      <c r="K1023">
        <v>43698.521897777777</v>
      </c>
      <c r="L1023" t="s">
        <v>1660</v>
      </c>
      <c r="M1023" t="s">
        <v>2777</v>
      </c>
      <c r="N1023" t="s">
        <v>27</v>
      </c>
      <c r="O1023">
        <v>187212</v>
      </c>
      <c r="P1023">
        <v>43250.640277777777</v>
      </c>
      <c r="Q1023">
        <v>42905.819850729167</v>
      </c>
      <c r="R1023">
        <v>1043</v>
      </c>
    </row>
    <row r="1024" spans="1:18" x14ac:dyDescent="0.25">
      <c r="A1024" t="s">
        <v>3419</v>
      </c>
      <c r="B1024" t="s">
        <v>1177</v>
      </c>
      <c r="C1024" t="s">
        <v>3420</v>
      </c>
      <c r="D1024" t="s">
        <v>3420</v>
      </c>
      <c r="E1024" t="s">
        <v>3421</v>
      </c>
      <c r="F1024" t="s">
        <v>21</v>
      </c>
      <c r="G1024" t="s">
        <v>22</v>
      </c>
      <c r="H1024" t="s">
        <v>53</v>
      </c>
      <c r="I1024" t="s">
        <v>471</v>
      </c>
      <c r="J1024">
        <v>2016</v>
      </c>
      <c r="K1024">
        <v>43698.521897777777</v>
      </c>
      <c r="L1024" t="s">
        <v>1660</v>
      </c>
      <c r="M1024" t="s">
        <v>2777</v>
      </c>
      <c r="N1024" t="s">
        <v>27</v>
      </c>
      <c r="O1024">
        <v>181275</v>
      </c>
      <c r="P1024">
        <v>43227.715289351851</v>
      </c>
      <c r="Q1024">
        <v>42908.702606481478</v>
      </c>
      <c r="R1024">
        <v>1044</v>
      </c>
    </row>
    <row r="1025" spans="1:18" x14ac:dyDescent="0.25">
      <c r="A1025" t="s">
        <v>3422</v>
      </c>
      <c r="B1025" t="s">
        <v>3423</v>
      </c>
      <c r="C1025" t="s">
        <v>3424</v>
      </c>
      <c r="D1025" t="s">
        <v>3424</v>
      </c>
      <c r="E1025" t="s">
        <v>3425</v>
      </c>
      <c r="F1025" t="s">
        <v>21</v>
      </c>
      <c r="G1025" t="s">
        <v>22</v>
      </c>
      <c r="H1025" t="s">
        <v>998</v>
      </c>
      <c r="I1025" t="s">
        <v>471</v>
      </c>
      <c r="J1025">
        <v>2016</v>
      </c>
      <c r="K1025">
        <v>43698.521897777777</v>
      </c>
      <c r="L1025" t="s">
        <v>1660</v>
      </c>
      <c r="M1025" t="s">
        <v>2777</v>
      </c>
      <c r="N1025" t="s">
        <v>27</v>
      </c>
      <c r="O1025">
        <v>208144</v>
      </c>
      <c r="P1025">
        <v>43320.871527777781</v>
      </c>
      <c r="Q1025">
        <v>42908.704236192127</v>
      </c>
      <c r="R1025">
        <v>1045</v>
      </c>
    </row>
    <row r="1026" spans="1:18" x14ac:dyDescent="0.25">
      <c r="A1026" t="s">
        <v>3426</v>
      </c>
      <c r="B1026" t="s">
        <v>1470</v>
      </c>
      <c r="C1026" t="s">
        <v>3427</v>
      </c>
      <c r="D1026" t="s">
        <v>3427</v>
      </c>
      <c r="E1026" t="s">
        <v>3428</v>
      </c>
      <c r="F1026" t="s">
        <v>21</v>
      </c>
      <c r="G1026" t="s">
        <v>22</v>
      </c>
      <c r="H1026" t="s">
        <v>53</v>
      </c>
      <c r="I1026" t="s">
        <v>471</v>
      </c>
      <c r="J1026">
        <v>2016</v>
      </c>
      <c r="K1026">
        <v>43698.521897777777</v>
      </c>
      <c r="L1026" t="s">
        <v>1660</v>
      </c>
      <c r="M1026" t="s">
        <v>2777</v>
      </c>
      <c r="N1026" t="s">
        <v>27</v>
      </c>
      <c r="O1026">
        <v>209925</v>
      </c>
      <c r="P1026">
        <v>43328.790277777778</v>
      </c>
      <c r="Q1026">
        <v>42908.705400775463</v>
      </c>
      <c r="R1026">
        <v>1046</v>
      </c>
    </row>
    <row r="1027" spans="1:18" x14ac:dyDescent="0.25">
      <c r="A1027" t="s">
        <v>3429</v>
      </c>
      <c r="B1027" t="s">
        <v>1478</v>
      </c>
      <c r="C1027" t="s">
        <v>3430</v>
      </c>
      <c r="D1027" t="s">
        <v>3430</v>
      </c>
      <c r="E1027" t="s">
        <v>3431</v>
      </c>
      <c r="F1027" t="s">
        <v>21</v>
      </c>
      <c r="G1027" t="s">
        <v>22</v>
      </c>
      <c r="H1027" t="s">
        <v>998</v>
      </c>
      <c r="I1027" t="s">
        <v>471</v>
      </c>
      <c r="J1027">
        <v>2016</v>
      </c>
      <c r="K1027">
        <v>43698.521897777777</v>
      </c>
      <c r="L1027" t="s">
        <v>1660</v>
      </c>
      <c r="M1027" t="s">
        <v>2777</v>
      </c>
      <c r="N1027" t="s">
        <v>27</v>
      </c>
      <c r="O1027">
        <v>199850</v>
      </c>
      <c r="P1027">
        <v>43297.727083333331</v>
      </c>
      <c r="Q1027">
        <v>42908.706581944447</v>
      </c>
      <c r="R1027">
        <v>1047</v>
      </c>
    </row>
    <row r="1028" spans="1:18" x14ac:dyDescent="0.25">
      <c r="A1028" t="s">
        <v>3432</v>
      </c>
      <c r="B1028" t="s">
        <v>3433</v>
      </c>
      <c r="C1028" t="s">
        <v>3434</v>
      </c>
      <c r="D1028" t="s">
        <v>3434</v>
      </c>
      <c r="E1028" t="s">
        <v>3435</v>
      </c>
      <c r="F1028" t="s">
        <v>91</v>
      </c>
      <c r="G1028" t="s">
        <v>22</v>
      </c>
      <c r="H1028" t="s">
        <v>53</v>
      </c>
      <c r="I1028" t="s">
        <v>3006</v>
      </c>
      <c r="J1028">
        <v>2018</v>
      </c>
      <c r="K1028">
        <v>43698.521897777777</v>
      </c>
      <c r="L1028" t="s">
        <v>466</v>
      </c>
      <c r="M1028" t="s">
        <v>1738</v>
      </c>
      <c r="N1028" t="s">
        <v>467</v>
      </c>
      <c r="O1028">
        <v>345780</v>
      </c>
      <c r="P1028">
        <v>43698.521897777777</v>
      </c>
      <c r="Q1028">
        <v>42911.728797685188</v>
      </c>
      <c r="R1028">
        <v>1048</v>
      </c>
    </row>
    <row r="1029" spans="1:18" x14ac:dyDescent="0.25">
      <c r="A1029" t="s">
        <v>3436</v>
      </c>
      <c r="B1029" t="s">
        <v>3437</v>
      </c>
      <c r="C1029" t="s">
        <v>3438</v>
      </c>
      <c r="D1029" t="s">
        <v>3438</v>
      </c>
      <c r="E1029" t="s">
        <v>3438</v>
      </c>
      <c r="F1029" t="s">
        <v>91</v>
      </c>
      <c r="G1029" t="s">
        <v>63</v>
      </c>
      <c r="H1029" t="s">
        <v>34</v>
      </c>
      <c r="I1029" t="s">
        <v>35</v>
      </c>
      <c r="J1029">
        <v>2017</v>
      </c>
      <c r="K1029">
        <v>43698.521897777777</v>
      </c>
      <c r="L1029" t="s">
        <v>1005</v>
      </c>
      <c r="M1029" t="s">
        <v>1941</v>
      </c>
      <c r="N1029" t="s">
        <v>415</v>
      </c>
      <c r="O1029">
        <v>343128</v>
      </c>
      <c r="P1029">
        <v>43689.665277777778</v>
      </c>
      <c r="Q1029">
        <v>42912.732253043985</v>
      </c>
      <c r="R1029">
        <v>1049</v>
      </c>
    </row>
    <row r="1030" spans="1:18" x14ac:dyDescent="0.25">
      <c r="A1030" t="s">
        <v>3439</v>
      </c>
      <c r="B1030" t="s">
        <v>3440</v>
      </c>
      <c r="C1030" t="s">
        <v>3441</v>
      </c>
      <c r="D1030" t="s">
        <v>3441</v>
      </c>
      <c r="E1030" t="s">
        <v>3441</v>
      </c>
      <c r="F1030" t="s">
        <v>253</v>
      </c>
      <c r="G1030" t="s">
        <v>63</v>
      </c>
      <c r="H1030" t="s">
        <v>80</v>
      </c>
      <c r="I1030" t="s">
        <v>126</v>
      </c>
      <c r="J1030">
        <v>2007</v>
      </c>
      <c r="K1030">
        <v>43698.521897777777</v>
      </c>
      <c r="L1030" t="s">
        <v>1005</v>
      </c>
      <c r="M1030" t="s">
        <v>1941</v>
      </c>
      <c r="N1030" t="s">
        <v>415</v>
      </c>
      <c r="O1030">
        <v>336416</v>
      </c>
      <c r="P1030">
        <v>43673.434618055559</v>
      </c>
      <c r="Q1030">
        <v>42912.733440358796</v>
      </c>
      <c r="R1030">
        <v>1050</v>
      </c>
    </row>
    <row r="1031" spans="1:18" x14ac:dyDescent="0.25">
      <c r="A1031" t="s">
        <v>3442</v>
      </c>
      <c r="B1031" t="s">
        <v>3443</v>
      </c>
      <c r="C1031" t="s">
        <v>3444</v>
      </c>
      <c r="D1031" t="s">
        <v>3444</v>
      </c>
      <c r="E1031" t="s">
        <v>3444</v>
      </c>
      <c r="F1031" t="s">
        <v>21</v>
      </c>
      <c r="G1031" t="s">
        <v>63</v>
      </c>
      <c r="H1031" t="s">
        <v>53</v>
      </c>
      <c r="I1031" t="s">
        <v>41</v>
      </c>
      <c r="J1031">
        <v>2007</v>
      </c>
      <c r="K1031">
        <v>43698.521897777777</v>
      </c>
      <c r="L1031" t="s">
        <v>25</v>
      </c>
      <c r="M1031" t="s">
        <v>1941</v>
      </c>
      <c r="N1031" t="s">
        <v>27</v>
      </c>
      <c r="O1031">
        <v>152415</v>
      </c>
      <c r="P1031">
        <v>43105.240277777775</v>
      </c>
      <c r="Q1031">
        <v>42913.626253159724</v>
      </c>
      <c r="R1031">
        <v>1051</v>
      </c>
    </row>
    <row r="1032" spans="1:18" x14ac:dyDescent="0.25">
      <c r="A1032" t="s">
        <v>3445</v>
      </c>
      <c r="B1032" t="s">
        <v>3446</v>
      </c>
      <c r="C1032" t="s">
        <v>3447</v>
      </c>
      <c r="D1032" t="s">
        <v>3447</v>
      </c>
      <c r="E1032" t="s">
        <v>3447</v>
      </c>
      <c r="F1032" t="s">
        <v>21</v>
      </c>
      <c r="G1032" t="s">
        <v>63</v>
      </c>
      <c r="H1032" t="s">
        <v>53</v>
      </c>
      <c r="I1032" t="s">
        <v>25</v>
      </c>
      <c r="J1032">
        <v>2013</v>
      </c>
      <c r="K1032">
        <v>43698.521897777777</v>
      </c>
      <c r="L1032" t="s">
        <v>25</v>
      </c>
      <c r="M1032" t="s">
        <v>154</v>
      </c>
      <c r="N1032" t="s">
        <v>1305</v>
      </c>
      <c r="O1032">
        <v>155265</v>
      </c>
      <c r="P1032">
        <v>43122.387499999997</v>
      </c>
      <c r="Q1032">
        <v>42913.729237812498</v>
      </c>
      <c r="R1032">
        <v>1052</v>
      </c>
    </row>
    <row r="1033" spans="1:18" x14ac:dyDescent="0.25">
      <c r="A1033" t="s">
        <v>3448</v>
      </c>
      <c r="B1033" t="s">
        <v>2358</v>
      </c>
      <c r="C1033" t="s">
        <v>3449</v>
      </c>
      <c r="D1033" t="s">
        <v>3449</v>
      </c>
      <c r="E1033" t="s">
        <v>3449</v>
      </c>
      <c r="F1033" t="s">
        <v>91</v>
      </c>
      <c r="G1033" t="s">
        <v>63</v>
      </c>
      <c r="H1033" t="s">
        <v>53</v>
      </c>
      <c r="I1033" t="s">
        <v>471</v>
      </c>
      <c r="J1033">
        <v>2013</v>
      </c>
      <c r="K1033">
        <v>43698.521897777777</v>
      </c>
      <c r="L1033" t="s">
        <v>466</v>
      </c>
      <c r="M1033" t="s">
        <v>154</v>
      </c>
      <c r="N1033" t="s">
        <v>1305</v>
      </c>
      <c r="O1033">
        <v>346619</v>
      </c>
      <c r="P1033">
        <v>43698.521897777777</v>
      </c>
      <c r="Q1033">
        <v>42916.506304780094</v>
      </c>
      <c r="R1033">
        <v>1053</v>
      </c>
    </row>
    <row r="1034" spans="1:18" x14ac:dyDescent="0.25">
      <c r="A1034" t="s">
        <v>3450</v>
      </c>
      <c r="B1034" t="s">
        <v>1474</v>
      </c>
      <c r="C1034" t="s">
        <v>3451</v>
      </c>
      <c r="D1034" t="s">
        <v>3451</v>
      </c>
      <c r="E1034" t="s">
        <v>3452</v>
      </c>
      <c r="F1034" t="s">
        <v>21</v>
      </c>
      <c r="G1034" t="s">
        <v>22</v>
      </c>
      <c r="H1034" t="s">
        <v>53</v>
      </c>
      <c r="I1034" t="s">
        <v>471</v>
      </c>
      <c r="J1034">
        <v>2016</v>
      </c>
      <c r="K1034">
        <v>43698.521897777777</v>
      </c>
      <c r="L1034" t="s">
        <v>1660</v>
      </c>
      <c r="M1034" t="s">
        <v>2777</v>
      </c>
      <c r="N1034" t="s">
        <v>415</v>
      </c>
      <c r="O1034">
        <v>210985</v>
      </c>
      <c r="P1034">
        <v>43330.262499999997</v>
      </c>
      <c r="Q1034">
        <v>42916.556853009257</v>
      </c>
      <c r="R1034">
        <v>1054</v>
      </c>
    </row>
    <row r="1035" spans="1:18" x14ac:dyDescent="0.25">
      <c r="A1035" t="s">
        <v>3453</v>
      </c>
      <c r="B1035" t="s">
        <v>1482</v>
      </c>
      <c r="C1035" t="s">
        <v>3454</v>
      </c>
      <c r="D1035" t="s">
        <v>3454</v>
      </c>
      <c r="E1035" t="s">
        <v>3455</v>
      </c>
      <c r="F1035" t="s">
        <v>21</v>
      </c>
      <c r="G1035" t="s">
        <v>22</v>
      </c>
      <c r="H1035" t="s">
        <v>53</v>
      </c>
      <c r="I1035" t="s">
        <v>471</v>
      </c>
      <c r="J1035">
        <v>2016</v>
      </c>
      <c r="K1035">
        <v>43698.521897777777</v>
      </c>
      <c r="L1035" t="s">
        <v>422</v>
      </c>
      <c r="M1035" t="s">
        <v>2777</v>
      </c>
      <c r="N1035" t="s">
        <v>415</v>
      </c>
      <c r="O1035">
        <v>213470</v>
      </c>
      <c r="P1035">
        <v>43337.6875</v>
      </c>
      <c r="Q1035">
        <v>42916.562539849539</v>
      </c>
      <c r="R1035">
        <v>1055</v>
      </c>
    </row>
    <row r="1036" spans="1:18" x14ac:dyDescent="0.25">
      <c r="A1036" t="s">
        <v>3456</v>
      </c>
      <c r="B1036" t="s">
        <v>3457</v>
      </c>
      <c r="C1036" t="s">
        <v>3458</v>
      </c>
      <c r="D1036" t="s">
        <v>3458</v>
      </c>
      <c r="E1036" t="s">
        <v>3459</v>
      </c>
      <c r="F1036" t="s">
        <v>91</v>
      </c>
      <c r="G1036" t="s">
        <v>22</v>
      </c>
      <c r="H1036" t="s">
        <v>53</v>
      </c>
      <c r="I1036" t="s">
        <v>3006</v>
      </c>
      <c r="J1036">
        <v>2018</v>
      </c>
      <c r="K1036">
        <v>43698.521897777777</v>
      </c>
      <c r="L1036" t="s">
        <v>422</v>
      </c>
      <c r="M1036" t="s">
        <v>2777</v>
      </c>
      <c r="N1036" t="s">
        <v>415</v>
      </c>
      <c r="O1036">
        <v>347034</v>
      </c>
      <c r="P1036">
        <v>43698.521897777777</v>
      </c>
      <c r="Q1036">
        <v>42916.563734988427</v>
      </c>
      <c r="R1036">
        <v>1056</v>
      </c>
    </row>
    <row r="1037" spans="1:18" x14ac:dyDescent="0.25">
      <c r="A1037" t="s">
        <v>3460</v>
      </c>
      <c r="B1037" t="s">
        <v>3461</v>
      </c>
      <c r="C1037" t="s">
        <v>3462</v>
      </c>
      <c r="D1037" t="s">
        <v>3462</v>
      </c>
      <c r="E1037" t="s">
        <v>3462</v>
      </c>
      <c r="F1037" t="s">
        <v>21</v>
      </c>
      <c r="G1037" t="s">
        <v>63</v>
      </c>
      <c r="H1037" t="s">
        <v>34</v>
      </c>
      <c r="I1037" t="s">
        <v>703</v>
      </c>
      <c r="J1037">
        <v>2006</v>
      </c>
      <c r="K1037">
        <v>43698.521897777777</v>
      </c>
      <c r="L1037" t="s">
        <v>25</v>
      </c>
      <c r="M1037" t="s">
        <v>2777</v>
      </c>
      <c r="N1037" t="s">
        <v>415</v>
      </c>
      <c r="O1037">
        <v>171540</v>
      </c>
      <c r="P1037">
        <v>43188.625</v>
      </c>
      <c r="Q1037">
        <v>42916.567722997686</v>
      </c>
      <c r="R1037">
        <v>1057</v>
      </c>
    </row>
    <row r="1038" spans="1:18" x14ac:dyDescent="0.25">
      <c r="A1038" t="s">
        <v>3463</v>
      </c>
      <c r="B1038" t="s">
        <v>3464</v>
      </c>
      <c r="C1038" t="s">
        <v>3465</v>
      </c>
      <c r="D1038" t="s">
        <v>3465</v>
      </c>
      <c r="E1038" t="s">
        <v>3465</v>
      </c>
      <c r="F1038" t="s">
        <v>21</v>
      </c>
      <c r="G1038" t="s">
        <v>63</v>
      </c>
      <c r="H1038" t="s">
        <v>53</v>
      </c>
      <c r="I1038" t="s">
        <v>471</v>
      </c>
      <c r="J1038">
        <v>2012</v>
      </c>
      <c r="K1038">
        <v>43698.521897777777</v>
      </c>
      <c r="L1038" t="s">
        <v>1005</v>
      </c>
      <c r="M1038" t="s">
        <v>1941</v>
      </c>
      <c r="N1038" t="s">
        <v>415</v>
      </c>
      <c r="O1038">
        <v>293770</v>
      </c>
      <c r="P1038">
        <v>43569.632638888892</v>
      </c>
      <c r="Q1038">
        <v>42920.404428935188</v>
      </c>
      <c r="R1038">
        <v>1058</v>
      </c>
    </row>
    <row r="1039" spans="1:18" x14ac:dyDescent="0.25">
      <c r="A1039" t="s">
        <v>3466</v>
      </c>
      <c r="B1039" t="s">
        <v>3467</v>
      </c>
      <c r="C1039" t="s">
        <v>3468</v>
      </c>
      <c r="D1039" t="s">
        <v>3468</v>
      </c>
      <c r="E1039" t="s">
        <v>3469</v>
      </c>
      <c r="F1039" t="s">
        <v>21</v>
      </c>
      <c r="G1039" t="s">
        <v>106</v>
      </c>
      <c r="H1039" t="s">
        <v>3470</v>
      </c>
      <c r="I1039" t="s">
        <v>25</v>
      </c>
      <c r="J1039">
        <v>2013</v>
      </c>
      <c r="K1039">
        <v>43698.521897777777</v>
      </c>
      <c r="L1039" t="s">
        <v>25</v>
      </c>
      <c r="M1039" t="s">
        <v>42</v>
      </c>
      <c r="N1039" t="s">
        <v>1305</v>
      </c>
      <c r="Q1039">
        <v>42924.492422418982</v>
      </c>
      <c r="R1039">
        <v>1059</v>
      </c>
    </row>
    <row r="1040" spans="1:18" x14ac:dyDescent="0.25">
      <c r="A1040" t="s">
        <v>3471</v>
      </c>
      <c r="B1040" t="s">
        <v>3472</v>
      </c>
      <c r="C1040" t="s">
        <v>3473</v>
      </c>
      <c r="D1040" t="s">
        <v>3473</v>
      </c>
      <c r="E1040" t="s">
        <v>3474</v>
      </c>
      <c r="F1040" t="s">
        <v>91</v>
      </c>
      <c r="G1040" t="s">
        <v>22</v>
      </c>
      <c r="H1040" t="s">
        <v>53</v>
      </c>
      <c r="I1040" t="s">
        <v>3006</v>
      </c>
      <c r="J1040">
        <v>2018</v>
      </c>
      <c r="K1040">
        <v>43698.521897777777</v>
      </c>
      <c r="L1040" t="s">
        <v>1809</v>
      </c>
      <c r="M1040" t="s">
        <v>154</v>
      </c>
      <c r="N1040" t="s">
        <v>1305</v>
      </c>
      <c r="O1040">
        <v>346822</v>
      </c>
      <c r="P1040">
        <v>43698.521897777777</v>
      </c>
      <c r="Q1040">
        <v>42924.616097256941</v>
      </c>
      <c r="R1040">
        <v>1060</v>
      </c>
    </row>
    <row r="1041" spans="1:18" x14ac:dyDescent="0.25">
      <c r="A1041" t="s">
        <v>3475</v>
      </c>
      <c r="B1041" t="s">
        <v>3476</v>
      </c>
      <c r="C1041" t="s">
        <v>3477</v>
      </c>
      <c r="D1041" t="s">
        <v>3477</v>
      </c>
      <c r="E1041" t="s">
        <v>3478</v>
      </c>
      <c r="F1041" t="s">
        <v>91</v>
      </c>
      <c r="G1041" t="s">
        <v>22</v>
      </c>
      <c r="H1041" t="s">
        <v>53</v>
      </c>
      <c r="I1041" t="s">
        <v>3006</v>
      </c>
      <c r="J1041">
        <v>2018</v>
      </c>
      <c r="K1041">
        <v>43698.521897777777</v>
      </c>
      <c r="L1041" t="s">
        <v>1809</v>
      </c>
      <c r="M1041" t="s">
        <v>154</v>
      </c>
      <c r="N1041" t="s">
        <v>1305</v>
      </c>
      <c r="O1041">
        <v>346657</v>
      </c>
      <c r="P1041">
        <v>43698.111805555556</v>
      </c>
      <c r="Q1041">
        <v>42924.616817245369</v>
      </c>
      <c r="R1041">
        <v>1061</v>
      </c>
    </row>
    <row r="1042" spans="1:18" x14ac:dyDescent="0.25">
      <c r="A1042" t="s">
        <v>3479</v>
      </c>
      <c r="B1042" t="s">
        <v>3480</v>
      </c>
      <c r="C1042" t="s">
        <v>3481</v>
      </c>
      <c r="D1042" t="s">
        <v>3481</v>
      </c>
      <c r="E1042" t="s">
        <v>3482</v>
      </c>
      <c r="F1042" t="s">
        <v>21</v>
      </c>
      <c r="G1042" t="s">
        <v>22</v>
      </c>
      <c r="H1042" t="s">
        <v>53</v>
      </c>
      <c r="I1042" t="s">
        <v>3006</v>
      </c>
      <c r="J1042">
        <v>2018</v>
      </c>
      <c r="K1042">
        <v>43698.521897777777</v>
      </c>
      <c r="L1042" t="s">
        <v>1916</v>
      </c>
      <c r="M1042" t="s">
        <v>37</v>
      </c>
      <c r="N1042" t="s">
        <v>27</v>
      </c>
      <c r="O1042">
        <v>299503</v>
      </c>
      <c r="P1042">
        <v>43581.211111111108</v>
      </c>
      <c r="Q1042">
        <v>42926.604939699071</v>
      </c>
      <c r="R1042">
        <v>1062</v>
      </c>
    </row>
    <row r="1043" spans="1:18" x14ac:dyDescent="0.25">
      <c r="A1043" t="s">
        <v>3483</v>
      </c>
      <c r="B1043" t="s">
        <v>3484</v>
      </c>
      <c r="C1043" t="s">
        <v>3485</v>
      </c>
      <c r="D1043" t="s">
        <v>3485</v>
      </c>
      <c r="E1043" t="s">
        <v>3486</v>
      </c>
      <c r="F1043" t="s">
        <v>21</v>
      </c>
      <c r="G1043" t="s">
        <v>22</v>
      </c>
      <c r="H1043" t="s">
        <v>53</v>
      </c>
      <c r="I1043" t="s">
        <v>3006</v>
      </c>
      <c r="J1043">
        <v>2018</v>
      </c>
      <c r="K1043">
        <v>43698.521897777777</v>
      </c>
      <c r="L1043" t="s">
        <v>578</v>
      </c>
      <c r="M1043" t="s">
        <v>37</v>
      </c>
      <c r="N1043" t="s">
        <v>415</v>
      </c>
      <c r="O1043">
        <v>254053</v>
      </c>
      <c r="P1043">
        <v>43452.645833333336</v>
      </c>
      <c r="Q1043">
        <v>42926.621636840275</v>
      </c>
      <c r="R1043">
        <v>1063</v>
      </c>
    </row>
    <row r="1044" spans="1:18" x14ac:dyDescent="0.25">
      <c r="A1044" t="s">
        <v>3487</v>
      </c>
      <c r="B1044" t="s">
        <v>3488</v>
      </c>
      <c r="C1044" t="s">
        <v>3489</v>
      </c>
      <c r="D1044" t="s">
        <v>3489</v>
      </c>
      <c r="E1044" t="s">
        <v>3490</v>
      </c>
      <c r="F1044" t="s">
        <v>21</v>
      </c>
      <c r="G1044" t="s">
        <v>22</v>
      </c>
      <c r="H1044" t="s">
        <v>53</v>
      </c>
      <c r="I1044" t="s">
        <v>3006</v>
      </c>
      <c r="J1044">
        <v>2018</v>
      </c>
      <c r="K1044">
        <v>43698.521897777777</v>
      </c>
      <c r="L1044" t="s">
        <v>1916</v>
      </c>
      <c r="M1044" t="s">
        <v>37</v>
      </c>
      <c r="N1044" t="s">
        <v>415</v>
      </c>
      <c r="O1044">
        <v>273099</v>
      </c>
      <c r="P1044">
        <v>43512.979861111111</v>
      </c>
      <c r="Q1044">
        <v>42926.622083680559</v>
      </c>
      <c r="R1044">
        <v>1064</v>
      </c>
    </row>
    <row r="1045" spans="1:18" x14ac:dyDescent="0.25">
      <c r="A1045" t="s">
        <v>3491</v>
      </c>
      <c r="B1045" t="s">
        <v>3492</v>
      </c>
      <c r="C1045" t="s">
        <v>3493</v>
      </c>
      <c r="D1045" t="s">
        <v>3493</v>
      </c>
      <c r="E1045" t="s">
        <v>3494</v>
      </c>
      <c r="F1045" t="s">
        <v>21</v>
      </c>
      <c r="G1045" t="s">
        <v>22</v>
      </c>
      <c r="H1045" t="s">
        <v>53</v>
      </c>
      <c r="I1045" t="s">
        <v>3006</v>
      </c>
      <c r="J1045">
        <v>2018</v>
      </c>
      <c r="K1045">
        <v>43698.521897777777</v>
      </c>
      <c r="L1045" t="s">
        <v>1660</v>
      </c>
      <c r="M1045" t="s">
        <v>37</v>
      </c>
      <c r="N1045" t="s">
        <v>415</v>
      </c>
      <c r="O1045">
        <v>254119</v>
      </c>
      <c r="P1045">
        <v>43454.731249999997</v>
      </c>
      <c r="Q1045">
        <v>42926.622518553238</v>
      </c>
      <c r="R1045">
        <v>1065</v>
      </c>
    </row>
    <row r="1046" spans="1:18" x14ac:dyDescent="0.25">
      <c r="A1046" t="s">
        <v>3495</v>
      </c>
      <c r="B1046" t="s">
        <v>3496</v>
      </c>
      <c r="C1046" t="s">
        <v>3497</v>
      </c>
      <c r="D1046" t="s">
        <v>3497</v>
      </c>
      <c r="E1046" t="s">
        <v>3498</v>
      </c>
      <c r="F1046" t="s">
        <v>21</v>
      </c>
      <c r="G1046" t="s">
        <v>22</v>
      </c>
      <c r="H1046" t="s">
        <v>53</v>
      </c>
      <c r="I1046" t="s">
        <v>3006</v>
      </c>
      <c r="J1046">
        <v>2018</v>
      </c>
      <c r="K1046">
        <v>43698.521897777777</v>
      </c>
      <c r="L1046" t="s">
        <v>1940</v>
      </c>
      <c r="M1046" t="s">
        <v>37</v>
      </c>
      <c r="N1046" t="s">
        <v>415</v>
      </c>
      <c r="O1046">
        <v>277252</v>
      </c>
      <c r="P1046">
        <v>43524.393055555556</v>
      </c>
      <c r="Q1046">
        <v>42926.62302353009</v>
      </c>
      <c r="R1046">
        <v>1066</v>
      </c>
    </row>
    <row r="1047" spans="1:18" x14ac:dyDescent="0.25">
      <c r="A1047" t="s">
        <v>3499</v>
      </c>
      <c r="B1047" t="s">
        <v>3500</v>
      </c>
      <c r="C1047" t="s">
        <v>3501</v>
      </c>
      <c r="D1047" t="s">
        <v>3501</v>
      </c>
      <c r="E1047" t="s">
        <v>3502</v>
      </c>
      <c r="F1047" t="s">
        <v>91</v>
      </c>
      <c r="G1047" t="s">
        <v>63</v>
      </c>
      <c r="H1047" t="s">
        <v>53</v>
      </c>
      <c r="I1047" t="s">
        <v>3006</v>
      </c>
      <c r="J1047">
        <v>2018</v>
      </c>
      <c r="K1047">
        <v>43698.521897777777</v>
      </c>
      <c r="L1047" t="s">
        <v>466</v>
      </c>
      <c r="M1047" t="s">
        <v>1738</v>
      </c>
      <c r="N1047" t="s">
        <v>1305</v>
      </c>
      <c r="O1047">
        <v>345833</v>
      </c>
      <c r="P1047">
        <v>43698.521897777777</v>
      </c>
      <c r="Q1047">
        <v>42926.631141550926</v>
      </c>
      <c r="R1047">
        <v>1067</v>
      </c>
    </row>
    <row r="1048" spans="1:18" x14ac:dyDescent="0.25">
      <c r="A1048" t="s">
        <v>3503</v>
      </c>
      <c r="B1048" t="s">
        <v>3504</v>
      </c>
      <c r="C1048" t="s">
        <v>3505</v>
      </c>
      <c r="D1048" t="s">
        <v>3505</v>
      </c>
      <c r="E1048" t="s">
        <v>3506</v>
      </c>
      <c r="F1048" t="s">
        <v>91</v>
      </c>
      <c r="G1048" t="s">
        <v>22</v>
      </c>
      <c r="H1048" t="s">
        <v>53</v>
      </c>
      <c r="I1048" t="s">
        <v>3006</v>
      </c>
      <c r="J1048">
        <v>2018</v>
      </c>
      <c r="K1048">
        <v>43698.521897777777</v>
      </c>
      <c r="L1048" t="s">
        <v>466</v>
      </c>
      <c r="M1048" t="s">
        <v>1738</v>
      </c>
      <c r="N1048" t="s">
        <v>1305</v>
      </c>
      <c r="O1048">
        <v>346604</v>
      </c>
      <c r="P1048">
        <v>43698.521897777777</v>
      </c>
      <c r="Q1048">
        <v>42926.631576041669</v>
      </c>
      <c r="R1048">
        <v>1068</v>
      </c>
    </row>
    <row r="1049" spans="1:18" x14ac:dyDescent="0.25">
      <c r="A1049" t="s">
        <v>3507</v>
      </c>
      <c r="B1049" t="s">
        <v>3508</v>
      </c>
      <c r="C1049" t="s">
        <v>3509</v>
      </c>
      <c r="D1049" t="s">
        <v>3509</v>
      </c>
      <c r="E1049" t="s">
        <v>3510</v>
      </c>
      <c r="F1049" t="s">
        <v>21</v>
      </c>
      <c r="G1049" t="s">
        <v>22</v>
      </c>
      <c r="H1049" t="s">
        <v>53</v>
      </c>
      <c r="I1049" t="s">
        <v>3006</v>
      </c>
      <c r="J1049">
        <v>2018</v>
      </c>
      <c r="K1049">
        <v>43698.521897777777</v>
      </c>
      <c r="L1049" t="s">
        <v>578</v>
      </c>
      <c r="M1049" t="s">
        <v>42</v>
      </c>
      <c r="N1049" t="s">
        <v>415</v>
      </c>
      <c r="O1049">
        <v>267955</v>
      </c>
      <c r="P1049">
        <v>43498.244189814817</v>
      </c>
      <c r="Q1049">
        <v>42926.634036689815</v>
      </c>
      <c r="R1049">
        <v>1070</v>
      </c>
    </row>
    <row r="1050" spans="1:18" x14ac:dyDescent="0.25">
      <c r="A1050" t="s">
        <v>3511</v>
      </c>
      <c r="B1050" t="s">
        <v>3512</v>
      </c>
      <c r="C1050" t="s">
        <v>3513</v>
      </c>
      <c r="D1050" t="s">
        <v>3513</v>
      </c>
      <c r="E1050" t="s">
        <v>3514</v>
      </c>
      <c r="F1050" t="s">
        <v>21</v>
      </c>
      <c r="G1050" t="s">
        <v>22</v>
      </c>
      <c r="H1050" t="s">
        <v>53</v>
      </c>
      <c r="I1050" t="s">
        <v>3006</v>
      </c>
      <c r="J1050">
        <v>2018</v>
      </c>
      <c r="K1050">
        <v>43698.521897777777</v>
      </c>
      <c r="L1050" t="s">
        <v>193</v>
      </c>
      <c r="M1050" t="s">
        <v>42</v>
      </c>
      <c r="N1050" t="s">
        <v>415</v>
      </c>
      <c r="O1050">
        <v>276171</v>
      </c>
      <c r="P1050">
        <v>43521.592361111114</v>
      </c>
      <c r="Q1050">
        <v>42926.634996990739</v>
      </c>
      <c r="R1050">
        <v>1071</v>
      </c>
    </row>
    <row r="1051" spans="1:18" x14ac:dyDescent="0.25">
      <c r="A1051" t="s">
        <v>3515</v>
      </c>
      <c r="B1051" t="s">
        <v>3516</v>
      </c>
      <c r="C1051" t="s">
        <v>3517</v>
      </c>
      <c r="D1051" t="s">
        <v>3517</v>
      </c>
      <c r="E1051" t="s">
        <v>3517</v>
      </c>
      <c r="F1051" t="s">
        <v>21</v>
      </c>
      <c r="G1051" t="s">
        <v>63</v>
      </c>
      <c r="H1051" t="s">
        <v>53</v>
      </c>
      <c r="I1051" t="s">
        <v>471</v>
      </c>
      <c r="J1051">
        <v>2014</v>
      </c>
      <c r="K1051">
        <v>43698.521897777777</v>
      </c>
      <c r="L1051" t="s">
        <v>1005</v>
      </c>
      <c r="M1051" t="s">
        <v>1941</v>
      </c>
      <c r="N1051" t="s">
        <v>415</v>
      </c>
      <c r="O1051">
        <v>213416</v>
      </c>
      <c r="P1051">
        <v>43342.031944444447</v>
      </c>
      <c r="Q1051">
        <v>42928.406965775466</v>
      </c>
      <c r="R1051">
        <v>1072</v>
      </c>
    </row>
    <row r="1052" spans="1:18" x14ac:dyDescent="0.25">
      <c r="A1052" t="s">
        <v>3518</v>
      </c>
      <c r="B1052" t="s">
        <v>3519</v>
      </c>
      <c r="C1052" t="s">
        <v>3520</v>
      </c>
      <c r="D1052" t="s">
        <v>3520</v>
      </c>
      <c r="E1052" t="s">
        <v>3520</v>
      </c>
      <c r="F1052" t="s">
        <v>21</v>
      </c>
      <c r="G1052" t="s">
        <v>63</v>
      </c>
      <c r="H1052" t="s">
        <v>34</v>
      </c>
      <c r="I1052" t="s">
        <v>35</v>
      </c>
      <c r="J1052">
        <v>2015</v>
      </c>
      <c r="K1052">
        <v>43698.521897777777</v>
      </c>
      <c r="L1052" t="s">
        <v>25</v>
      </c>
      <c r="M1052" t="s">
        <v>1941</v>
      </c>
      <c r="N1052" t="s">
        <v>415</v>
      </c>
      <c r="O1052">
        <v>137035</v>
      </c>
      <c r="P1052">
        <v>43027.286805555559</v>
      </c>
      <c r="Q1052">
        <v>42928.407916863427</v>
      </c>
      <c r="R1052">
        <v>1073</v>
      </c>
    </row>
    <row r="1053" spans="1:18" x14ac:dyDescent="0.25">
      <c r="A1053" t="s">
        <v>3521</v>
      </c>
      <c r="B1053" t="s">
        <v>3522</v>
      </c>
      <c r="C1053" t="s">
        <v>3523</v>
      </c>
      <c r="D1053" t="s">
        <v>3523</v>
      </c>
      <c r="E1053" t="s">
        <v>3523</v>
      </c>
      <c r="F1053" t="s">
        <v>21</v>
      </c>
      <c r="G1053" t="s">
        <v>63</v>
      </c>
      <c r="H1053" t="s">
        <v>236</v>
      </c>
      <c r="I1053" t="s">
        <v>41</v>
      </c>
      <c r="J1053">
        <v>2003</v>
      </c>
      <c r="K1053">
        <v>43698.521897777777</v>
      </c>
      <c r="L1053" t="s">
        <v>25</v>
      </c>
      <c r="M1053" t="s">
        <v>2777</v>
      </c>
      <c r="N1053" t="s">
        <v>415</v>
      </c>
      <c r="O1053">
        <v>125165</v>
      </c>
      <c r="P1053">
        <v>42956.03125</v>
      </c>
      <c r="Q1053">
        <v>42929.595967280089</v>
      </c>
      <c r="R1053">
        <v>1074</v>
      </c>
    </row>
    <row r="1054" spans="1:18" x14ac:dyDescent="0.25">
      <c r="A1054" t="s">
        <v>3524</v>
      </c>
      <c r="B1054" t="s">
        <v>3525</v>
      </c>
      <c r="C1054" t="s">
        <v>3526</v>
      </c>
      <c r="D1054" t="s">
        <v>3526</v>
      </c>
      <c r="E1054" t="s">
        <v>3526</v>
      </c>
      <c r="F1054" t="s">
        <v>21</v>
      </c>
      <c r="G1054" t="s">
        <v>63</v>
      </c>
      <c r="H1054" t="s">
        <v>34</v>
      </c>
      <c r="I1054" t="s">
        <v>35</v>
      </c>
      <c r="J1054">
        <v>2006</v>
      </c>
      <c r="K1054">
        <v>43698.521897777777</v>
      </c>
      <c r="L1054" t="s">
        <v>25</v>
      </c>
      <c r="M1054" t="s">
        <v>2777</v>
      </c>
      <c r="N1054" t="s">
        <v>415</v>
      </c>
      <c r="O1054">
        <v>125120</v>
      </c>
      <c r="P1054">
        <v>42955.729166666664</v>
      </c>
      <c r="Q1054">
        <v>42929.596649571758</v>
      </c>
      <c r="R1054">
        <v>1075</v>
      </c>
    </row>
    <row r="1055" spans="1:18" x14ac:dyDescent="0.25">
      <c r="A1055" t="s">
        <v>3527</v>
      </c>
      <c r="B1055" t="s">
        <v>3528</v>
      </c>
      <c r="C1055" t="s">
        <v>3529</v>
      </c>
      <c r="D1055" t="s">
        <v>3529</v>
      </c>
      <c r="E1055" t="s">
        <v>3529</v>
      </c>
      <c r="F1055" t="s">
        <v>21</v>
      </c>
      <c r="G1055" t="s">
        <v>63</v>
      </c>
      <c r="H1055" t="s">
        <v>53</v>
      </c>
      <c r="I1055" t="s">
        <v>471</v>
      </c>
      <c r="J1055">
        <v>2012</v>
      </c>
      <c r="K1055">
        <v>43698.521897777777</v>
      </c>
      <c r="L1055" t="s">
        <v>25</v>
      </c>
      <c r="M1055" t="s">
        <v>2777</v>
      </c>
      <c r="N1055" t="s">
        <v>415</v>
      </c>
      <c r="O1055">
        <v>122327</v>
      </c>
      <c r="P1055">
        <v>42937.590104166666</v>
      </c>
      <c r="Q1055">
        <v>42930.62055428241</v>
      </c>
      <c r="R1055">
        <v>1076</v>
      </c>
    </row>
    <row r="1056" spans="1:18" x14ac:dyDescent="0.25">
      <c r="A1056" t="s">
        <v>3530</v>
      </c>
      <c r="B1056" t="s">
        <v>3531</v>
      </c>
      <c r="C1056" t="s">
        <v>3532</v>
      </c>
      <c r="D1056" t="s">
        <v>3532</v>
      </c>
      <c r="E1056" t="s">
        <v>3533</v>
      </c>
      <c r="F1056" t="s">
        <v>91</v>
      </c>
      <c r="G1056" t="s">
        <v>22</v>
      </c>
      <c r="H1056" t="s">
        <v>53</v>
      </c>
      <c r="I1056" t="s">
        <v>3006</v>
      </c>
      <c r="J1056">
        <v>2018</v>
      </c>
      <c r="K1056">
        <v>43698.521897777777</v>
      </c>
      <c r="L1056" t="s">
        <v>1809</v>
      </c>
      <c r="M1056" t="s">
        <v>154</v>
      </c>
      <c r="N1056" t="s">
        <v>1305</v>
      </c>
      <c r="O1056">
        <v>346780</v>
      </c>
      <c r="P1056">
        <v>43698.521897777777</v>
      </c>
      <c r="Q1056">
        <v>42931.584974965277</v>
      </c>
      <c r="R1056">
        <v>1077</v>
      </c>
    </row>
    <row r="1057" spans="1:18" x14ac:dyDescent="0.25">
      <c r="A1057" t="s">
        <v>3534</v>
      </c>
      <c r="B1057" t="s">
        <v>3535</v>
      </c>
      <c r="C1057" t="s">
        <v>3536</v>
      </c>
      <c r="D1057" t="s">
        <v>3536</v>
      </c>
      <c r="E1057" t="s">
        <v>3537</v>
      </c>
      <c r="F1057" t="s">
        <v>91</v>
      </c>
      <c r="G1057" t="s">
        <v>22</v>
      </c>
      <c r="H1057" t="s">
        <v>53</v>
      </c>
      <c r="I1057" t="s">
        <v>3006</v>
      </c>
      <c r="J1057">
        <v>2018</v>
      </c>
      <c r="K1057">
        <v>43698.521897777777</v>
      </c>
      <c r="L1057" t="s">
        <v>1809</v>
      </c>
      <c r="M1057" t="s">
        <v>154</v>
      </c>
      <c r="N1057" t="s">
        <v>1305</v>
      </c>
      <c r="O1057">
        <v>346818</v>
      </c>
      <c r="P1057">
        <v>43698.521897777777</v>
      </c>
      <c r="Q1057">
        <v>42931.585543981484</v>
      </c>
      <c r="R1057">
        <v>1078</v>
      </c>
    </row>
    <row r="1058" spans="1:18" x14ac:dyDescent="0.25">
      <c r="A1058" t="s">
        <v>3538</v>
      </c>
      <c r="B1058" t="s">
        <v>3539</v>
      </c>
      <c r="C1058" t="s">
        <v>3540</v>
      </c>
      <c r="D1058" t="s">
        <v>3540</v>
      </c>
      <c r="E1058" t="s">
        <v>3541</v>
      </c>
      <c r="F1058" t="s">
        <v>91</v>
      </c>
      <c r="G1058" t="s">
        <v>22</v>
      </c>
      <c r="H1058" t="s">
        <v>53</v>
      </c>
      <c r="I1058" t="s">
        <v>3006</v>
      </c>
      <c r="J1058">
        <v>2018</v>
      </c>
      <c r="K1058">
        <v>43698.521897777777</v>
      </c>
      <c r="L1058" t="s">
        <v>466</v>
      </c>
      <c r="M1058" t="s">
        <v>154</v>
      </c>
      <c r="N1058" t="s">
        <v>1305</v>
      </c>
      <c r="O1058">
        <v>345859</v>
      </c>
      <c r="P1058">
        <v>43698.521897777777</v>
      </c>
      <c r="Q1058">
        <v>42931.606488541664</v>
      </c>
      <c r="R1058">
        <v>1079</v>
      </c>
    </row>
    <row r="1059" spans="1:18" x14ac:dyDescent="0.25">
      <c r="A1059" t="s">
        <v>3542</v>
      </c>
      <c r="B1059" t="s">
        <v>3543</v>
      </c>
      <c r="C1059" t="s">
        <v>3544</v>
      </c>
      <c r="D1059" t="s">
        <v>3544</v>
      </c>
      <c r="E1059" t="s">
        <v>3544</v>
      </c>
      <c r="F1059" t="s">
        <v>21</v>
      </c>
      <c r="G1059" t="s">
        <v>63</v>
      </c>
      <c r="H1059" t="s">
        <v>53</v>
      </c>
      <c r="I1059" t="s">
        <v>41</v>
      </c>
      <c r="J1059">
        <v>2003</v>
      </c>
      <c r="K1059">
        <v>43698.521897777777</v>
      </c>
      <c r="L1059" t="s">
        <v>25</v>
      </c>
      <c r="M1059" t="s">
        <v>2777</v>
      </c>
      <c r="N1059" t="s">
        <v>415</v>
      </c>
      <c r="O1059">
        <v>126887</v>
      </c>
      <c r="P1059">
        <v>42965.916666666664</v>
      </c>
      <c r="Q1059">
        <v>42933.442555439811</v>
      </c>
      <c r="R1059">
        <v>1080</v>
      </c>
    </row>
    <row r="1060" spans="1:18" x14ac:dyDescent="0.25">
      <c r="A1060" t="s">
        <v>3545</v>
      </c>
      <c r="B1060" t="s">
        <v>778</v>
      </c>
      <c r="C1060" t="s">
        <v>3546</v>
      </c>
      <c r="D1060" t="s">
        <v>3546</v>
      </c>
      <c r="E1060" t="s">
        <v>3546</v>
      </c>
      <c r="F1060" t="s">
        <v>21</v>
      </c>
      <c r="G1060" t="s">
        <v>63</v>
      </c>
      <c r="H1060" t="s">
        <v>53</v>
      </c>
      <c r="I1060" t="s">
        <v>25</v>
      </c>
      <c r="J1060">
        <v>2001</v>
      </c>
      <c r="K1060">
        <v>43698.521897777777</v>
      </c>
      <c r="L1060" t="s">
        <v>25</v>
      </c>
      <c r="M1060" t="s">
        <v>2777</v>
      </c>
      <c r="N1060" t="s">
        <v>415</v>
      </c>
      <c r="O1060">
        <v>163220</v>
      </c>
      <c r="P1060">
        <v>43154.770833333336</v>
      </c>
      <c r="Q1060">
        <v>42933.444309340281</v>
      </c>
      <c r="R1060">
        <v>1081</v>
      </c>
    </row>
    <row r="1061" spans="1:18" x14ac:dyDescent="0.25">
      <c r="A1061" t="s">
        <v>3547</v>
      </c>
      <c r="B1061" t="s">
        <v>3548</v>
      </c>
      <c r="C1061" t="s">
        <v>3549</v>
      </c>
      <c r="D1061" t="s">
        <v>3549</v>
      </c>
      <c r="E1061" t="s">
        <v>3550</v>
      </c>
      <c r="F1061" t="s">
        <v>21</v>
      </c>
      <c r="G1061" t="s">
        <v>22</v>
      </c>
      <c r="H1061" t="s">
        <v>53</v>
      </c>
      <c r="I1061" t="s">
        <v>3006</v>
      </c>
      <c r="J1061">
        <v>2018</v>
      </c>
      <c r="K1061">
        <v>43698.521897777777</v>
      </c>
      <c r="L1061" t="s">
        <v>2713</v>
      </c>
      <c r="M1061" t="s">
        <v>37</v>
      </c>
      <c r="N1061" t="s">
        <v>415</v>
      </c>
      <c r="O1061">
        <v>266730</v>
      </c>
      <c r="P1061">
        <v>43495.533101851855</v>
      </c>
      <c r="Q1061">
        <v>42935.65393133102</v>
      </c>
      <c r="R1061">
        <v>1082</v>
      </c>
    </row>
    <row r="1062" spans="1:18" x14ac:dyDescent="0.25">
      <c r="A1062" t="s">
        <v>25</v>
      </c>
      <c r="B1062" t="s">
        <v>25</v>
      </c>
      <c r="C1062" t="s">
        <v>3551</v>
      </c>
      <c r="D1062" t="s">
        <v>3551</v>
      </c>
      <c r="E1062" t="s">
        <v>3552</v>
      </c>
      <c r="F1062" t="s">
        <v>21</v>
      </c>
      <c r="G1062" t="s">
        <v>106</v>
      </c>
      <c r="H1062" t="s">
        <v>25</v>
      </c>
      <c r="I1062" t="s">
        <v>25</v>
      </c>
      <c r="K1062">
        <v>43698.521897777777</v>
      </c>
      <c r="L1062" t="s">
        <v>25</v>
      </c>
      <c r="M1062" t="s">
        <v>42</v>
      </c>
      <c r="N1062" t="s">
        <v>1305</v>
      </c>
      <c r="Q1062">
        <v>42935.911540127316</v>
      </c>
      <c r="R1062">
        <v>1083</v>
      </c>
    </row>
    <row r="1063" spans="1:18" x14ac:dyDescent="0.25">
      <c r="A1063" t="s">
        <v>3553</v>
      </c>
      <c r="B1063" t="s">
        <v>2228</v>
      </c>
      <c r="C1063" t="s">
        <v>3554</v>
      </c>
      <c r="D1063" t="s">
        <v>3554</v>
      </c>
      <c r="E1063" t="s">
        <v>3554</v>
      </c>
      <c r="F1063" t="s">
        <v>91</v>
      </c>
      <c r="G1063" t="s">
        <v>63</v>
      </c>
      <c r="H1063" t="s">
        <v>80</v>
      </c>
      <c r="I1063" t="s">
        <v>2231</v>
      </c>
      <c r="J1063">
        <v>2011</v>
      </c>
      <c r="K1063">
        <v>43698.521897777777</v>
      </c>
      <c r="L1063" t="s">
        <v>466</v>
      </c>
      <c r="M1063" t="s">
        <v>154</v>
      </c>
      <c r="N1063" t="s">
        <v>1305</v>
      </c>
      <c r="O1063">
        <v>345668</v>
      </c>
      <c r="P1063">
        <v>43698.521897777777</v>
      </c>
      <c r="Q1063">
        <v>42937.541246527777</v>
      </c>
      <c r="R1063">
        <v>1084</v>
      </c>
    </row>
    <row r="1064" spans="1:18" x14ac:dyDescent="0.25">
      <c r="A1064" t="s">
        <v>3555</v>
      </c>
      <c r="B1064" t="s">
        <v>3556</v>
      </c>
      <c r="C1064" t="s">
        <v>3557</v>
      </c>
      <c r="D1064" t="s">
        <v>3557</v>
      </c>
      <c r="E1064" t="s">
        <v>3557</v>
      </c>
      <c r="F1064" t="s">
        <v>21</v>
      </c>
      <c r="G1064" t="s">
        <v>63</v>
      </c>
      <c r="H1064" t="s">
        <v>34</v>
      </c>
      <c r="I1064" t="s">
        <v>25</v>
      </c>
      <c r="J1064">
        <v>2007</v>
      </c>
      <c r="K1064">
        <v>43698.521897777777</v>
      </c>
      <c r="L1064" t="s">
        <v>25</v>
      </c>
      <c r="M1064" t="s">
        <v>154</v>
      </c>
      <c r="N1064" t="s">
        <v>1305</v>
      </c>
      <c r="O1064">
        <v>157413</v>
      </c>
      <c r="P1064">
        <v>43130.92690972222</v>
      </c>
      <c r="Q1064">
        <v>42937.548532835652</v>
      </c>
      <c r="R1064">
        <v>1085</v>
      </c>
    </row>
    <row r="1065" spans="1:18" x14ac:dyDescent="0.25">
      <c r="A1065" t="s">
        <v>3558</v>
      </c>
      <c r="B1065" t="s">
        <v>3559</v>
      </c>
      <c r="C1065" t="s">
        <v>3560</v>
      </c>
      <c r="D1065" t="s">
        <v>3560</v>
      </c>
      <c r="E1065" t="s">
        <v>3560</v>
      </c>
      <c r="F1065" t="s">
        <v>91</v>
      </c>
      <c r="G1065" t="s">
        <v>63</v>
      </c>
      <c r="H1065" t="s">
        <v>53</v>
      </c>
      <c r="I1065" t="s">
        <v>471</v>
      </c>
      <c r="J1065">
        <v>2014</v>
      </c>
      <c r="K1065">
        <v>43698.521897777777</v>
      </c>
      <c r="L1065" t="s">
        <v>193</v>
      </c>
      <c r="M1065" t="s">
        <v>1941</v>
      </c>
      <c r="N1065" t="s">
        <v>415</v>
      </c>
      <c r="O1065">
        <v>347130</v>
      </c>
      <c r="P1065">
        <v>43698.521897777777</v>
      </c>
      <c r="Q1065">
        <v>42938.507136192129</v>
      </c>
      <c r="R1065">
        <v>1086</v>
      </c>
    </row>
    <row r="1066" spans="1:18" x14ac:dyDescent="0.25">
      <c r="A1066" t="s">
        <v>3561</v>
      </c>
      <c r="B1066" t="s">
        <v>3562</v>
      </c>
      <c r="C1066" t="s">
        <v>3563</v>
      </c>
      <c r="D1066" t="s">
        <v>3563</v>
      </c>
      <c r="E1066" t="s">
        <v>3564</v>
      </c>
      <c r="F1066" t="s">
        <v>91</v>
      </c>
      <c r="G1066" t="s">
        <v>22</v>
      </c>
      <c r="H1066" t="s">
        <v>53</v>
      </c>
      <c r="I1066" t="s">
        <v>3006</v>
      </c>
      <c r="J1066">
        <v>2018</v>
      </c>
      <c r="K1066">
        <v>43698.521897777777</v>
      </c>
      <c r="L1066" t="s">
        <v>466</v>
      </c>
      <c r="M1066" t="s">
        <v>154</v>
      </c>
      <c r="N1066" t="s">
        <v>1305</v>
      </c>
      <c r="O1066">
        <v>345670</v>
      </c>
      <c r="P1066">
        <v>43698.521897777777</v>
      </c>
      <c r="Q1066">
        <v>42941.40578587963</v>
      </c>
      <c r="R1066">
        <v>1087</v>
      </c>
    </row>
    <row r="1067" spans="1:18" x14ac:dyDescent="0.25">
      <c r="A1067" t="s">
        <v>3565</v>
      </c>
      <c r="B1067" t="s">
        <v>3566</v>
      </c>
      <c r="C1067" t="s">
        <v>3567</v>
      </c>
      <c r="D1067" t="s">
        <v>3567</v>
      </c>
      <c r="E1067" t="s">
        <v>3568</v>
      </c>
      <c r="F1067" t="s">
        <v>91</v>
      </c>
      <c r="G1067" t="s">
        <v>22</v>
      </c>
      <c r="H1067" t="s">
        <v>53</v>
      </c>
      <c r="I1067" t="s">
        <v>3006</v>
      </c>
      <c r="J1067">
        <v>2018</v>
      </c>
      <c r="K1067">
        <v>43698.521897777777</v>
      </c>
      <c r="L1067" t="s">
        <v>522</v>
      </c>
      <c r="M1067" t="s">
        <v>154</v>
      </c>
      <c r="N1067" t="s">
        <v>523</v>
      </c>
      <c r="O1067">
        <v>347094</v>
      </c>
      <c r="P1067">
        <v>43698.521897777777</v>
      </c>
      <c r="Q1067">
        <v>42941.408389895834</v>
      </c>
      <c r="R1067">
        <v>1088</v>
      </c>
    </row>
    <row r="1068" spans="1:18" x14ac:dyDescent="0.25">
      <c r="A1068" t="s">
        <v>3569</v>
      </c>
      <c r="B1068" t="s">
        <v>3570</v>
      </c>
      <c r="C1068" t="s">
        <v>3571</v>
      </c>
      <c r="D1068" t="s">
        <v>3571</v>
      </c>
      <c r="E1068" t="s">
        <v>3572</v>
      </c>
      <c r="F1068" t="s">
        <v>91</v>
      </c>
      <c r="G1068" t="s">
        <v>22</v>
      </c>
      <c r="H1068" t="s">
        <v>53</v>
      </c>
      <c r="I1068" t="s">
        <v>3006</v>
      </c>
      <c r="J1068">
        <v>2018</v>
      </c>
      <c r="K1068">
        <v>43698.521897777777</v>
      </c>
      <c r="L1068" t="s">
        <v>1809</v>
      </c>
      <c r="M1068" t="s">
        <v>154</v>
      </c>
      <c r="N1068" t="s">
        <v>415</v>
      </c>
      <c r="O1068">
        <v>346779</v>
      </c>
      <c r="P1068">
        <v>43698.521897777777</v>
      </c>
      <c r="Q1068">
        <v>42941.415110995367</v>
      </c>
      <c r="R1068">
        <v>1089</v>
      </c>
    </row>
    <row r="1069" spans="1:18" x14ac:dyDescent="0.25">
      <c r="A1069" t="s">
        <v>3573</v>
      </c>
      <c r="B1069" t="s">
        <v>3574</v>
      </c>
      <c r="C1069" t="s">
        <v>3575</v>
      </c>
      <c r="D1069" t="s">
        <v>3575</v>
      </c>
      <c r="E1069" t="s">
        <v>3576</v>
      </c>
      <c r="F1069" t="s">
        <v>91</v>
      </c>
      <c r="G1069" t="s">
        <v>22</v>
      </c>
      <c r="H1069" t="s">
        <v>53</v>
      </c>
      <c r="I1069" t="s">
        <v>3006</v>
      </c>
      <c r="J1069">
        <v>2018</v>
      </c>
      <c r="K1069">
        <v>43698.521897777777</v>
      </c>
      <c r="L1069" t="s">
        <v>1809</v>
      </c>
      <c r="M1069" t="s">
        <v>154</v>
      </c>
      <c r="N1069" t="s">
        <v>1305</v>
      </c>
      <c r="O1069">
        <v>346758</v>
      </c>
      <c r="P1069">
        <v>43698.521897777777</v>
      </c>
      <c r="Q1069">
        <v>42941.417613194448</v>
      </c>
      <c r="R1069">
        <v>1090</v>
      </c>
    </row>
    <row r="1070" spans="1:18" x14ac:dyDescent="0.25">
      <c r="A1070" t="s">
        <v>3577</v>
      </c>
      <c r="B1070" t="s">
        <v>3578</v>
      </c>
      <c r="C1070" t="s">
        <v>3579</v>
      </c>
      <c r="D1070" t="s">
        <v>3579</v>
      </c>
      <c r="E1070" t="s">
        <v>3579</v>
      </c>
      <c r="F1070" t="s">
        <v>21</v>
      </c>
      <c r="G1070" t="s">
        <v>63</v>
      </c>
      <c r="H1070" t="s">
        <v>53</v>
      </c>
      <c r="I1070" t="s">
        <v>41</v>
      </c>
      <c r="J1070">
        <v>2006</v>
      </c>
      <c r="K1070">
        <v>43698.521897777777</v>
      </c>
      <c r="L1070" t="s">
        <v>25</v>
      </c>
      <c r="M1070" t="s">
        <v>2777</v>
      </c>
      <c r="N1070" t="s">
        <v>415</v>
      </c>
      <c r="O1070">
        <v>133701</v>
      </c>
      <c r="P1070">
        <v>43004.940972222219</v>
      </c>
      <c r="Q1070">
        <v>42942.424558993058</v>
      </c>
      <c r="R1070">
        <v>1091</v>
      </c>
    </row>
    <row r="1071" spans="1:18" x14ac:dyDescent="0.25">
      <c r="A1071" t="s">
        <v>3580</v>
      </c>
      <c r="B1071" t="s">
        <v>3581</v>
      </c>
      <c r="C1071" t="s">
        <v>3582</v>
      </c>
      <c r="D1071" t="s">
        <v>3582</v>
      </c>
      <c r="E1071" t="s">
        <v>3583</v>
      </c>
      <c r="F1071" t="s">
        <v>21</v>
      </c>
      <c r="G1071" t="s">
        <v>22</v>
      </c>
      <c r="H1071" t="s">
        <v>53</v>
      </c>
      <c r="I1071" t="s">
        <v>3006</v>
      </c>
      <c r="J1071">
        <v>2018</v>
      </c>
      <c r="K1071">
        <v>43698.521897777777</v>
      </c>
      <c r="L1071" t="s">
        <v>193</v>
      </c>
      <c r="M1071" t="s">
        <v>42</v>
      </c>
      <c r="N1071" t="s">
        <v>415</v>
      </c>
      <c r="O1071">
        <v>271000</v>
      </c>
      <c r="P1071">
        <v>43507.416724537034</v>
      </c>
      <c r="Q1071">
        <v>42942.446089004632</v>
      </c>
      <c r="R1071">
        <v>1092</v>
      </c>
    </row>
    <row r="1072" spans="1:18" x14ac:dyDescent="0.25">
      <c r="A1072" t="s">
        <v>3584</v>
      </c>
      <c r="B1072" t="s">
        <v>3584</v>
      </c>
      <c r="C1072" t="s">
        <v>3585</v>
      </c>
      <c r="D1072" t="s">
        <v>3585</v>
      </c>
      <c r="E1072" t="s">
        <v>3586</v>
      </c>
      <c r="F1072" t="s">
        <v>21</v>
      </c>
      <c r="G1072" t="s">
        <v>63</v>
      </c>
      <c r="H1072" t="s">
        <v>25</v>
      </c>
      <c r="I1072" t="s">
        <v>25</v>
      </c>
      <c r="K1072">
        <v>43698.521897777777</v>
      </c>
      <c r="L1072" t="s">
        <v>25</v>
      </c>
      <c r="M1072" t="s">
        <v>42</v>
      </c>
      <c r="N1072" t="s">
        <v>415</v>
      </c>
      <c r="Q1072">
        <v>42943.424490277779</v>
      </c>
      <c r="R1072">
        <v>1093</v>
      </c>
    </row>
    <row r="1073" spans="1:18" x14ac:dyDescent="0.25">
      <c r="A1073" t="s">
        <v>3587</v>
      </c>
      <c r="B1073" t="s">
        <v>3588</v>
      </c>
      <c r="C1073" t="s">
        <v>3589</v>
      </c>
      <c r="D1073" t="s">
        <v>3589</v>
      </c>
      <c r="E1073" t="s">
        <v>3590</v>
      </c>
      <c r="F1073" t="s">
        <v>21</v>
      </c>
      <c r="G1073" t="s">
        <v>63</v>
      </c>
      <c r="H1073" t="s">
        <v>25</v>
      </c>
      <c r="I1073" t="s">
        <v>25</v>
      </c>
      <c r="K1073">
        <v>43698.521897777777</v>
      </c>
      <c r="L1073" t="s">
        <v>25</v>
      </c>
      <c r="M1073" t="s">
        <v>42</v>
      </c>
      <c r="N1073" t="s">
        <v>415</v>
      </c>
      <c r="Q1073">
        <v>42943.479658298609</v>
      </c>
      <c r="R1073">
        <v>1094</v>
      </c>
    </row>
    <row r="1074" spans="1:18" x14ac:dyDescent="0.25">
      <c r="A1074" t="s">
        <v>3591</v>
      </c>
      <c r="B1074" t="s">
        <v>3592</v>
      </c>
      <c r="C1074" t="s">
        <v>3593</v>
      </c>
      <c r="D1074" t="s">
        <v>3593</v>
      </c>
      <c r="E1074" t="s">
        <v>3594</v>
      </c>
      <c r="F1074" t="s">
        <v>21</v>
      </c>
      <c r="G1074" t="s">
        <v>22</v>
      </c>
      <c r="H1074" t="s">
        <v>53</v>
      </c>
      <c r="I1074" t="s">
        <v>3006</v>
      </c>
      <c r="J1074">
        <v>2018</v>
      </c>
      <c r="K1074">
        <v>43698.521897777777</v>
      </c>
      <c r="L1074" t="s">
        <v>578</v>
      </c>
      <c r="M1074" t="s">
        <v>42</v>
      </c>
      <c r="N1074" t="s">
        <v>415</v>
      </c>
      <c r="O1074">
        <v>250878</v>
      </c>
      <c r="P1074">
        <v>43444.800000000003</v>
      </c>
      <c r="Q1074">
        <v>42944.712161886571</v>
      </c>
      <c r="R1074">
        <v>1095</v>
      </c>
    </row>
    <row r="1075" spans="1:18" x14ac:dyDescent="0.25">
      <c r="A1075" t="s">
        <v>3595</v>
      </c>
      <c r="B1075" t="s">
        <v>3596</v>
      </c>
      <c r="C1075" t="s">
        <v>3597</v>
      </c>
      <c r="D1075" t="s">
        <v>3597</v>
      </c>
      <c r="E1075" t="s">
        <v>3598</v>
      </c>
      <c r="F1075" t="s">
        <v>91</v>
      </c>
      <c r="G1075" t="s">
        <v>22</v>
      </c>
      <c r="H1075" t="s">
        <v>53</v>
      </c>
      <c r="I1075" t="s">
        <v>3006</v>
      </c>
      <c r="J1075">
        <v>2018</v>
      </c>
      <c r="K1075">
        <v>43698.521897777777</v>
      </c>
      <c r="L1075" t="s">
        <v>193</v>
      </c>
      <c r="M1075" t="s">
        <v>42</v>
      </c>
      <c r="N1075" t="s">
        <v>415</v>
      </c>
      <c r="O1075">
        <v>346203</v>
      </c>
      <c r="P1075">
        <v>43698.521897777777</v>
      </c>
      <c r="Q1075">
        <v>42944.712471874998</v>
      </c>
      <c r="R1075">
        <v>1096</v>
      </c>
    </row>
    <row r="1076" spans="1:18" x14ac:dyDescent="0.25">
      <c r="A1076" t="s">
        <v>3599</v>
      </c>
      <c r="B1076" t="s">
        <v>3600</v>
      </c>
      <c r="C1076" t="s">
        <v>3601</v>
      </c>
      <c r="D1076" t="s">
        <v>3601</v>
      </c>
      <c r="E1076" t="s">
        <v>3602</v>
      </c>
      <c r="F1076" t="s">
        <v>91</v>
      </c>
      <c r="G1076" t="s">
        <v>22</v>
      </c>
      <c r="H1076" t="s">
        <v>53</v>
      </c>
      <c r="I1076" t="s">
        <v>3006</v>
      </c>
      <c r="J1076">
        <v>2018</v>
      </c>
      <c r="K1076">
        <v>43698.521897777777</v>
      </c>
      <c r="L1076" t="s">
        <v>578</v>
      </c>
      <c r="M1076" t="s">
        <v>42</v>
      </c>
      <c r="N1076" t="s">
        <v>415</v>
      </c>
      <c r="O1076">
        <v>346832</v>
      </c>
      <c r="P1076">
        <v>43698.270509259259</v>
      </c>
      <c r="Q1076">
        <v>42944.712744097225</v>
      </c>
      <c r="R1076">
        <v>1097</v>
      </c>
    </row>
    <row r="1077" spans="1:18" x14ac:dyDescent="0.25">
      <c r="A1077" t="s">
        <v>3603</v>
      </c>
      <c r="B1077" t="s">
        <v>3604</v>
      </c>
      <c r="C1077" t="s">
        <v>3605</v>
      </c>
      <c r="D1077" t="s">
        <v>3605</v>
      </c>
      <c r="E1077" t="s">
        <v>3606</v>
      </c>
      <c r="F1077" t="s">
        <v>91</v>
      </c>
      <c r="G1077" t="s">
        <v>22</v>
      </c>
      <c r="H1077" t="s">
        <v>53</v>
      </c>
      <c r="I1077" t="s">
        <v>3006</v>
      </c>
      <c r="J1077">
        <v>2018</v>
      </c>
      <c r="K1077">
        <v>43698.521897777777</v>
      </c>
      <c r="L1077" t="s">
        <v>1916</v>
      </c>
      <c r="M1077" t="s">
        <v>37</v>
      </c>
      <c r="N1077" t="s">
        <v>415</v>
      </c>
      <c r="O1077">
        <v>346107</v>
      </c>
      <c r="P1077">
        <v>43698.521897777777</v>
      </c>
      <c r="Q1077">
        <v>42944.725716122688</v>
      </c>
      <c r="R1077">
        <v>1098</v>
      </c>
    </row>
    <row r="1078" spans="1:18" x14ac:dyDescent="0.25">
      <c r="A1078" t="s">
        <v>3607</v>
      </c>
      <c r="B1078" t="s">
        <v>3608</v>
      </c>
      <c r="C1078" t="s">
        <v>3609</v>
      </c>
      <c r="D1078" t="s">
        <v>3609</v>
      </c>
      <c r="E1078" t="s">
        <v>3609</v>
      </c>
      <c r="F1078" t="s">
        <v>21</v>
      </c>
      <c r="G1078" t="s">
        <v>63</v>
      </c>
      <c r="H1078" t="s">
        <v>53</v>
      </c>
      <c r="I1078" t="s">
        <v>471</v>
      </c>
      <c r="J1078">
        <v>2016</v>
      </c>
      <c r="K1078">
        <v>43698.521897777777</v>
      </c>
      <c r="L1078" t="s">
        <v>92</v>
      </c>
      <c r="M1078" t="s">
        <v>42</v>
      </c>
      <c r="N1078" t="s">
        <v>415</v>
      </c>
      <c r="O1078">
        <v>259618</v>
      </c>
      <c r="P1078">
        <v>43478.577986111108</v>
      </c>
      <c r="Q1078">
        <v>42945.478990821757</v>
      </c>
      <c r="R1078">
        <v>1099</v>
      </c>
    </row>
    <row r="1079" spans="1:18" x14ac:dyDescent="0.25">
      <c r="A1079" t="s">
        <v>3610</v>
      </c>
      <c r="B1079" t="s">
        <v>3611</v>
      </c>
      <c r="C1079" t="s">
        <v>3612</v>
      </c>
      <c r="D1079" t="s">
        <v>3612</v>
      </c>
      <c r="E1079" t="s">
        <v>3612</v>
      </c>
      <c r="F1079" t="s">
        <v>21</v>
      </c>
      <c r="G1079" t="s">
        <v>63</v>
      </c>
      <c r="H1079" t="s">
        <v>34</v>
      </c>
      <c r="I1079" t="s">
        <v>35</v>
      </c>
      <c r="J1079">
        <v>2014</v>
      </c>
      <c r="K1079">
        <v>43698.521897777777</v>
      </c>
      <c r="L1079" t="s">
        <v>25</v>
      </c>
      <c r="M1079" t="s">
        <v>1941</v>
      </c>
      <c r="N1079" t="s">
        <v>415</v>
      </c>
      <c r="O1079">
        <v>161984</v>
      </c>
      <c r="P1079">
        <v>43153.015509259261</v>
      </c>
      <c r="Q1079">
        <v>42947.613184456015</v>
      </c>
      <c r="R1079">
        <v>1100</v>
      </c>
    </row>
    <row r="1080" spans="1:18" x14ac:dyDescent="0.25">
      <c r="A1080" t="s">
        <v>3613</v>
      </c>
      <c r="B1080" t="s">
        <v>3614</v>
      </c>
      <c r="C1080" t="s">
        <v>3615</v>
      </c>
      <c r="D1080" t="s">
        <v>3615</v>
      </c>
      <c r="E1080" t="s">
        <v>3615</v>
      </c>
      <c r="F1080" t="s">
        <v>21</v>
      </c>
      <c r="G1080" t="s">
        <v>63</v>
      </c>
      <c r="H1080" t="s">
        <v>53</v>
      </c>
      <c r="I1080" t="s">
        <v>471</v>
      </c>
      <c r="J1080">
        <v>2017</v>
      </c>
      <c r="K1080">
        <v>43698.521897777777</v>
      </c>
      <c r="L1080" t="s">
        <v>1005</v>
      </c>
      <c r="M1080" t="s">
        <v>1941</v>
      </c>
      <c r="N1080" t="s">
        <v>415</v>
      </c>
      <c r="O1080">
        <v>302667</v>
      </c>
      <c r="P1080">
        <v>43592.048611111109</v>
      </c>
      <c r="Q1080">
        <v>42947.613445486109</v>
      </c>
      <c r="R1080">
        <v>1101</v>
      </c>
    </row>
    <row r="1081" spans="1:18" x14ac:dyDescent="0.25">
      <c r="A1081" t="s">
        <v>3616</v>
      </c>
      <c r="B1081" t="s">
        <v>3617</v>
      </c>
      <c r="C1081" t="s">
        <v>3618</v>
      </c>
      <c r="D1081" t="s">
        <v>3618</v>
      </c>
      <c r="E1081" t="s">
        <v>3618</v>
      </c>
      <c r="F1081" t="s">
        <v>21</v>
      </c>
      <c r="G1081" t="s">
        <v>63</v>
      </c>
      <c r="H1081" t="s">
        <v>53</v>
      </c>
      <c r="I1081" t="s">
        <v>25</v>
      </c>
      <c r="J1081">
        <v>2015</v>
      </c>
      <c r="K1081">
        <v>43698.521897777777</v>
      </c>
      <c r="L1081" t="s">
        <v>25</v>
      </c>
      <c r="M1081" t="s">
        <v>154</v>
      </c>
      <c r="N1081" t="s">
        <v>1305</v>
      </c>
      <c r="O1081">
        <v>154877</v>
      </c>
      <c r="P1081">
        <v>43116.70416666667</v>
      </c>
      <c r="Q1081">
        <v>42948.705949189818</v>
      </c>
      <c r="R1081">
        <v>1102</v>
      </c>
    </row>
    <row r="1082" spans="1:18" x14ac:dyDescent="0.25">
      <c r="A1082" t="s">
        <v>3619</v>
      </c>
      <c r="B1082" t="s">
        <v>1310</v>
      </c>
      <c r="C1082" t="s">
        <v>3620</v>
      </c>
      <c r="D1082" t="s">
        <v>3620</v>
      </c>
      <c r="E1082" t="s">
        <v>3620</v>
      </c>
      <c r="F1082" t="s">
        <v>21</v>
      </c>
      <c r="G1082" t="s">
        <v>63</v>
      </c>
      <c r="H1082" t="s">
        <v>34</v>
      </c>
      <c r="I1082" t="s">
        <v>25</v>
      </c>
      <c r="J1082">
        <v>2007</v>
      </c>
      <c r="K1082">
        <v>43698.521897777777</v>
      </c>
      <c r="L1082" t="s">
        <v>466</v>
      </c>
      <c r="M1082" t="s">
        <v>154</v>
      </c>
      <c r="N1082" t="s">
        <v>1305</v>
      </c>
      <c r="O1082">
        <v>191478</v>
      </c>
      <c r="P1082">
        <v>43268.70553240741</v>
      </c>
      <c r="Q1082">
        <v>42948.711216932868</v>
      </c>
      <c r="R1082">
        <v>1103</v>
      </c>
    </row>
    <row r="1083" spans="1:18" x14ac:dyDescent="0.25">
      <c r="A1083" t="s">
        <v>25</v>
      </c>
      <c r="B1083" t="s">
        <v>25</v>
      </c>
      <c r="C1083" t="s">
        <v>3621</v>
      </c>
      <c r="D1083" t="s">
        <v>3621</v>
      </c>
      <c r="E1083" t="s">
        <v>3621</v>
      </c>
      <c r="F1083" t="s">
        <v>21</v>
      </c>
      <c r="G1083" t="s">
        <v>22</v>
      </c>
      <c r="H1083" t="s">
        <v>25</v>
      </c>
      <c r="I1083" t="s">
        <v>25</v>
      </c>
      <c r="K1083">
        <v>43698.521897777777</v>
      </c>
      <c r="L1083" t="s">
        <v>25</v>
      </c>
      <c r="M1083" t="s">
        <v>42</v>
      </c>
      <c r="N1083" t="s">
        <v>415</v>
      </c>
      <c r="Q1083">
        <v>42951.669398379629</v>
      </c>
      <c r="R1083">
        <v>1104</v>
      </c>
    </row>
    <row r="1084" spans="1:18" x14ac:dyDescent="0.25">
      <c r="A1084" t="s">
        <v>3622</v>
      </c>
      <c r="B1084" t="s">
        <v>3623</v>
      </c>
      <c r="C1084" t="s">
        <v>3624</v>
      </c>
      <c r="D1084" t="s">
        <v>3624</v>
      </c>
      <c r="E1084" t="s">
        <v>3625</v>
      </c>
      <c r="F1084" t="s">
        <v>21</v>
      </c>
      <c r="G1084" t="s">
        <v>22</v>
      </c>
      <c r="H1084" t="s">
        <v>53</v>
      </c>
      <c r="I1084" t="s">
        <v>3006</v>
      </c>
      <c r="J1084">
        <v>2018</v>
      </c>
      <c r="K1084">
        <v>43698.521897777777</v>
      </c>
      <c r="L1084" t="s">
        <v>578</v>
      </c>
      <c r="M1084" t="s">
        <v>42</v>
      </c>
      <c r="N1084" t="s">
        <v>415</v>
      </c>
      <c r="O1084">
        <v>273254</v>
      </c>
      <c r="P1084">
        <v>43514.518750000003</v>
      </c>
      <c r="Q1084">
        <v>42952.660612187501</v>
      </c>
      <c r="R1084">
        <v>1105</v>
      </c>
    </row>
    <row r="1085" spans="1:18" x14ac:dyDescent="0.25">
      <c r="A1085" t="s">
        <v>3626</v>
      </c>
      <c r="B1085" t="s">
        <v>3627</v>
      </c>
      <c r="C1085" t="s">
        <v>3628</v>
      </c>
      <c r="D1085" t="s">
        <v>3628</v>
      </c>
      <c r="E1085" t="s">
        <v>3629</v>
      </c>
      <c r="F1085" t="s">
        <v>21</v>
      </c>
      <c r="G1085" t="s">
        <v>22</v>
      </c>
      <c r="H1085" t="s">
        <v>53</v>
      </c>
      <c r="I1085" t="s">
        <v>3006</v>
      </c>
      <c r="J1085">
        <v>2018</v>
      </c>
      <c r="K1085">
        <v>43698.521897777777</v>
      </c>
      <c r="L1085" t="s">
        <v>1940</v>
      </c>
      <c r="M1085" t="s">
        <v>42</v>
      </c>
      <c r="N1085" t="s">
        <v>415</v>
      </c>
      <c r="O1085">
        <v>246040</v>
      </c>
      <c r="P1085">
        <v>43433.80636574074</v>
      </c>
      <c r="Q1085">
        <v>42952.68832523148</v>
      </c>
      <c r="R1085">
        <v>1106</v>
      </c>
    </row>
    <row r="1086" spans="1:18" x14ac:dyDescent="0.25">
      <c r="A1086" t="s">
        <v>3630</v>
      </c>
      <c r="B1086" t="s">
        <v>3631</v>
      </c>
      <c r="C1086" t="s">
        <v>3632</v>
      </c>
      <c r="D1086" t="s">
        <v>3632</v>
      </c>
      <c r="E1086" t="s">
        <v>3633</v>
      </c>
      <c r="F1086" t="s">
        <v>91</v>
      </c>
      <c r="G1086" t="s">
        <v>22</v>
      </c>
      <c r="H1086" t="s">
        <v>53</v>
      </c>
      <c r="I1086" t="s">
        <v>3006</v>
      </c>
      <c r="J1086">
        <v>2018</v>
      </c>
      <c r="K1086">
        <v>43698.521897777777</v>
      </c>
      <c r="L1086" t="s">
        <v>2783</v>
      </c>
      <c r="M1086" t="s">
        <v>2777</v>
      </c>
      <c r="N1086" t="s">
        <v>3293</v>
      </c>
      <c r="O1086">
        <v>347160</v>
      </c>
      <c r="P1086">
        <v>43698.521897777777</v>
      </c>
      <c r="Q1086">
        <v>42955.361829629626</v>
      </c>
      <c r="R1086">
        <v>1107</v>
      </c>
    </row>
    <row r="1087" spans="1:18" x14ac:dyDescent="0.25">
      <c r="A1087" t="s">
        <v>3634</v>
      </c>
      <c r="B1087" t="s">
        <v>3635</v>
      </c>
      <c r="C1087" t="s">
        <v>3636</v>
      </c>
      <c r="D1087" t="s">
        <v>3636</v>
      </c>
      <c r="E1087" t="s">
        <v>3637</v>
      </c>
      <c r="F1087" t="s">
        <v>91</v>
      </c>
      <c r="G1087" t="s">
        <v>22</v>
      </c>
      <c r="H1087" t="s">
        <v>53</v>
      </c>
      <c r="I1087" t="s">
        <v>3006</v>
      </c>
      <c r="J1087">
        <v>2018</v>
      </c>
      <c r="K1087">
        <v>43698.521897777777</v>
      </c>
      <c r="L1087" t="s">
        <v>2783</v>
      </c>
      <c r="M1087" t="s">
        <v>2777</v>
      </c>
      <c r="N1087" t="s">
        <v>994</v>
      </c>
      <c r="O1087">
        <v>346928</v>
      </c>
      <c r="P1087">
        <v>43698.521897777777</v>
      </c>
      <c r="Q1087">
        <v>42955.365096909722</v>
      </c>
      <c r="R1087">
        <v>1108</v>
      </c>
    </row>
    <row r="1088" spans="1:18" x14ac:dyDescent="0.25">
      <c r="A1088" t="s">
        <v>3638</v>
      </c>
      <c r="B1088" t="s">
        <v>3639</v>
      </c>
      <c r="C1088" t="s">
        <v>3640</v>
      </c>
      <c r="D1088" t="s">
        <v>3640</v>
      </c>
      <c r="E1088" t="s">
        <v>3641</v>
      </c>
      <c r="F1088" t="s">
        <v>91</v>
      </c>
      <c r="G1088" t="s">
        <v>22</v>
      </c>
      <c r="H1088" t="s">
        <v>53</v>
      </c>
      <c r="I1088" t="s">
        <v>3006</v>
      </c>
      <c r="J1088">
        <v>2018</v>
      </c>
      <c r="K1088">
        <v>43698.521897777777</v>
      </c>
      <c r="L1088" t="s">
        <v>2783</v>
      </c>
      <c r="M1088" t="s">
        <v>2777</v>
      </c>
      <c r="N1088" t="s">
        <v>994</v>
      </c>
      <c r="O1088">
        <v>346887</v>
      </c>
      <c r="P1088">
        <v>43698.521897777777</v>
      </c>
      <c r="Q1088">
        <v>42955.366099618055</v>
      </c>
      <c r="R1088">
        <v>1109</v>
      </c>
    </row>
    <row r="1089" spans="1:18" x14ac:dyDescent="0.25">
      <c r="A1089" t="s">
        <v>3642</v>
      </c>
      <c r="B1089" t="s">
        <v>3643</v>
      </c>
      <c r="C1089" t="s">
        <v>3644</v>
      </c>
      <c r="D1089" t="s">
        <v>3644</v>
      </c>
      <c r="E1089" t="s">
        <v>3645</v>
      </c>
      <c r="F1089" t="s">
        <v>91</v>
      </c>
      <c r="G1089" t="s">
        <v>22</v>
      </c>
      <c r="H1089" t="s">
        <v>53</v>
      </c>
      <c r="I1089" t="s">
        <v>3006</v>
      </c>
      <c r="J1089">
        <v>2018</v>
      </c>
      <c r="K1089">
        <v>43698.521897777777</v>
      </c>
      <c r="L1089" t="s">
        <v>2783</v>
      </c>
      <c r="M1089" t="s">
        <v>2777</v>
      </c>
      <c r="N1089" t="s">
        <v>3293</v>
      </c>
      <c r="O1089">
        <v>347120</v>
      </c>
      <c r="P1089">
        <v>43698.521897777777</v>
      </c>
      <c r="Q1089">
        <v>42955.366865937503</v>
      </c>
      <c r="R1089">
        <v>1110</v>
      </c>
    </row>
    <row r="1090" spans="1:18" x14ac:dyDescent="0.25">
      <c r="A1090" t="s">
        <v>3646</v>
      </c>
      <c r="B1090" t="s">
        <v>3647</v>
      </c>
      <c r="C1090" t="s">
        <v>3648</v>
      </c>
      <c r="D1090" t="s">
        <v>3648</v>
      </c>
      <c r="E1090" t="s">
        <v>3649</v>
      </c>
      <c r="F1090" t="s">
        <v>91</v>
      </c>
      <c r="G1090" t="s">
        <v>22</v>
      </c>
      <c r="H1090" t="s">
        <v>53</v>
      </c>
      <c r="I1090" t="s">
        <v>3006</v>
      </c>
      <c r="J1090">
        <v>2018</v>
      </c>
      <c r="K1090">
        <v>43698.521897777777</v>
      </c>
      <c r="L1090" t="s">
        <v>2713</v>
      </c>
      <c r="M1090" t="s">
        <v>37</v>
      </c>
      <c r="N1090" t="s">
        <v>994</v>
      </c>
      <c r="O1090">
        <v>347112</v>
      </c>
      <c r="P1090">
        <v>43698.521897777777</v>
      </c>
      <c r="Q1090">
        <v>42955.378524965279</v>
      </c>
      <c r="R1090">
        <v>1111</v>
      </c>
    </row>
    <row r="1091" spans="1:18" x14ac:dyDescent="0.25">
      <c r="A1091" t="s">
        <v>3650</v>
      </c>
      <c r="B1091" t="s">
        <v>3651</v>
      </c>
      <c r="C1091" t="s">
        <v>3652</v>
      </c>
      <c r="D1091" t="s">
        <v>3652</v>
      </c>
      <c r="E1091" t="s">
        <v>3653</v>
      </c>
      <c r="F1091" t="s">
        <v>91</v>
      </c>
      <c r="G1091" t="s">
        <v>22</v>
      </c>
      <c r="H1091" t="s">
        <v>53</v>
      </c>
      <c r="I1091" t="s">
        <v>3006</v>
      </c>
      <c r="J1091">
        <v>2018</v>
      </c>
      <c r="K1091">
        <v>43698.521897777777</v>
      </c>
      <c r="L1091" t="s">
        <v>2783</v>
      </c>
      <c r="M1091" t="s">
        <v>2777</v>
      </c>
      <c r="N1091" t="s">
        <v>994</v>
      </c>
      <c r="O1091">
        <v>347038</v>
      </c>
      <c r="P1091">
        <v>43698.521897777777</v>
      </c>
      <c r="Q1091">
        <v>42955.379128587963</v>
      </c>
      <c r="R1091">
        <v>1112</v>
      </c>
    </row>
    <row r="1092" spans="1:18" x14ac:dyDescent="0.25">
      <c r="A1092" t="s">
        <v>3654</v>
      </c>
      <c r="B1092" t="s">
        <v>3655</v>
      </c>
      <c r="C1092" t="s">
        <v>3656</v>
      </c>
      <c r="D1092" t="s">
        <v>3656</v>
      </c>
      <c r="E1092" t="s">
        <v>3657</v>
      </c>
      <c r="F1092" t="s">
        <v>21</v>
      </c>
      <c r="G1092" t="s">
        <v>22</v>
      </c>
      <c r="H1092" t="s">
        <v>53</v>
      </c>
      <c r="I1092" t="s">
        <v>3006</v>
      </c>
      <c r="J1092">
        <v>2018</v>
      </c>
      <c r="K1092">
        <v>43698.521897777777</v>
      </c>
      <c r="L1092" t="s">
        <v>193</v>
      </c>
      <c r="M1092" t="s">
        <v>37</v>
      </c>
      <c r="N1092" t="s">
        <v>415</v>
      </c>
      <c r="O1092">
        <v>298803</v>
      </c>
      <c r="P1092">
        <v>43579.652777777781</v>
      </c>
      <c r="Q1092">
        <v>42955.379705821761</v>
      </c>
      <c r="R1092">
        <v>1113</v>
      </c>
    </row>
    <row r="1093" spans="1:18" x14ac:dyDescent="0.25">
      <c r="A1093" t="s">
        <v>3658</v>
      </c>
      <c r="B1093" t="s">
        <v>3659</v>
      </c>
      <c r="C1093" t="s">
        <v>3660</v>
      </c>
      <c r="D1093" t="s">
        <v>3660</v>
      </c>
      <c r="E1093" t="s">
        <v>3661</v>
      </c>
      <c r="F1093" t="s">
        <v>91</v>
      </c>
      <c r="G1093" t="s">
        <v>63</v>
      </c>
      <c r="H1093" t="s">
        <v>53</v>
      </c>
      <c r="I1093" t="s">
        <v>3006</v>
      </c>
      <c r="J1093">
        <v>2018</v>
      </c>
      <c r="K1093">
        <v>43698.521897777777</v>
      </c>
      <c r="L1093" t="s">
        <v>466</v>
      </c>
      <c r="M1093" t="s">
        <v>154</v>
      </c>
      <c r="N1093" t="s">
        <v>1305</v>
      </c>
      <c r="O1093">
        <v>343168</v>
      </c>
      <c r="P1093">
        <v>43695.792129629626</v>
      </c>
      <c r="Q1093">
        <v>42955.380202581022</v>
      </c>
      <c r="R1093">
        <v>1114</v>
      </c>
    </row>
    <row r="1094" spans="1:18" x14ac:dyDescent="0.25">
      <c r="A1094" t="s">
        <v>3662</v>
      </c>
      <c r="B1094" t="s">
        <v>3663</v>
      </c>
      <c r="C1094" t="s">
        <v>3664</v>
      </c>
      <c r="D1094" t="s">
        <v>3664</v>
      </c>
      <c r="E1094" t="s">
        <v>3665</v>
      </c>
      <c r="F1094" t="s">
        <v>21</v>
      </c>
      <c r="G1094" t="s">
        <v>22</v>
      </c>
      <c r="H1094" t="s">
        <v>53</v>
      </c>
      <c r="I1094" t="s">
        <v>3006</v>
      </c>
      <c r="J1094">
        <v>2018</v>
      </c>
      <c r="K1094">
        <v>43698.521897777777</v>
      </c>
      <c r="L1094" t="s">
        <v>466</v>
      </c>
      <c r="M1094" t="s">
        <v>154</v>
      </c>
      <c r="N1094" t="s">
        <v>1305</v>
      </c>
      <c r="O1094">
        <v>296133</v>
      </c>
      <c r="P1094">
        <v>43571.713888888888</v>
      </c>
      <c r="Q1094">
        <v>42955.395235266202</v>
      </c>
      <c r="R1094">
        <v>1115</v>
      </c>
    </row>
    <row r="1095" spans="1:18" x14ac:dyDescent="0.25">
      <c r="A1095" t="s">
        <v>3666</v>
      </c>
      <c r="B1095" t="s">
        <v>3667</v>
      </c>
      <c r="C1095" t="s">
        <v>3668</v>
      </c>
      <c r="D1095" t="s">
        <v>3668</v>
      </c>
      <c r="E1095" t="s">
        <v>3669</v>
      </c>
      <c r="F1095" t="s">
        <v>21</v>
      </c>
      <c r="G1095" t="s">
        <v>22</v>
      </c>
      <c r="H1095" t="s">
        <v>53</v>
      </c>
      <c r="I1095" t="s">
        <v>3006</v>
      </c>
      <c r="J1095">
        <v>2018</v>
      </c>
      <c r="K1095">
        <v>43698.521897777777</v>
      </c>
      <c r="L1095" t="s">
        <v>1604</v>
      </c>
      <c r="M1095" t="s">
        <v>154</v>
      </c>
      <c r="N1095" t="s">
        <v>1305</v>
      </c>
      <c r="O1095">
        <v>302637</v>
      </c>
      <c r="P1095">
        <v>43588.687025462961</v>
      </c>
      <c r="Q1095">
        <v>42955.395702164351</v>
      </c>
      <c r="R1095">
        <v>1116</v>
      </c>
    </row>
    <row r="1096" spans="1:18" x14ac:dyDescent="0.25">
      <c r="A1096" t="s">
        <v>3670</v>
      </c>
      <c r="B1096" t="s">
        <v>3671</v>
      </c>
      <c r="C1096" t="s">
        <v>3672</v>
      </c>
      <c r="D1096" t="s">
        <v>3672</v>
      </c>
      <c r="E1096" t="s">
        <v>3673</v>
      </c>
      <c r="F1096" t="s">
        <v>21</v>
      </c>
      <c r="G1096" t="s">
        <v>22</v>
      </c>
      <c r="H1096" t="s">
        <v>53</v>
      </c>
      <c r="I1096" t="s">
        <v>3006</v>
      </c>
      <c r="J1096">
        <v>2018</v>
      </c>
      <c r="K1096">
        <v>43698.521897777777</v>
      </c>
      <c r="L1096" t="s">
        <v>466</v>
      </c>
      <c r="M1096" t="s">
        <v>154</v>
      </c>
      <c r="N1096" t="s">
        <v>1305</v>
      </c>
      <c r="O1096">
        <v>296390</v>
      </c>
      <c r="P1096">
        <v>43572.25</v>
      </c>
      <c r="Q1096">
        <v>42955.396163888887</v>
      </c>
      <c r="R1096">
        <v>1117</v>
      </c>
    </row>
    <row r="1097" spans="1:18" x14ac:dyDescent="0.25">
      <c r="A1097" t="s">
        <v>3674</v>
      </c>
      <c r="B1097" t="s">
        <v>3675</v>
      </c>
      <c r="C1097" t="s">
        <v>3676</v>
      </c>
      <c r="D1097" t="s">
        <v>3676</v>
      </c>
      <c r="E1097" t="s">
        <v>3676</v>
      </c>
      <c r="F1097" t="s">
        <v>21</v>
      </c>
      <c r="G1097" t="s">
        <v>63</v>
      </c>
      <c r="H1097" t="s">
        <v>34</v>
      </c>
      <c r="I1097" t="s">
        <v>35</v>
      </c>
      <c r="J1097">
        <v>2015</v>
      </c>
      <c r="K1097">
        <v>43698.521897777777</v>
      </c>
      <c r="L1097" t="s">
        <v>25</v>
      </c>
      <c r="M1097" t="s">
        <v>1941</v>
      </c>
      <c r="N1097" t="s">
        <v>415</v>
      </c>
      <c r="O1097">
        <v>133912</v>
      </c>
      <c r="P1097">
        <v>43007.154976851853</v>
      </c>
      <c r="Q1097">
        <v>42957.440719525461</v>
      </c>
      <c r="R1097">
        <v>1118</v>
      </c>
    </row>
    <row r="1098" spans="1:18" x14ac:dyDescent="0.25">
      <c r="A1098" t="s">
        <v>3677</v>
      </c>
      <c r="B1098" t="s">
        <v>3678</v>
      </c>
      <c r="C1098" t="s">
        <v>3679</v>
      </c>
      <c r="D1098" t="s">
        <v>3679</v>
      </c>
      <c r="E1098" t="s">
        <v>3679</v>
      </c>
      <c r="F1098" t="s">
        <v>21</v>
      </c>
      <c r="G1098" t="s">
        <v>63</v>
      </c>
      <c r="H1098" t="s">
        <v>34</v>
      </c>
      <c r="I1098" t="s">
        <v>703</v>
      </c>
      <c r="J1098">
        <v>2006</v>
      </c>
      <c r="K1098">
        <v>43698.521897777777</v>
      </c>
      <c r="L1098" t="s">
        <v>25</v>
      </c>
      <c r="M1098" t="s">
        <v>2777</v>
      </c>
      <c r="N1098" t="s">
        <v>415</v>
      </c>
      <c r="O1098">
        <v>154077</v>
      </c>
      <c r="P1098">
        <v>43111.625</v>
      </c>
      <c r="Q1098">
        <v>42957.788075034725</v>
      </c>
      <c r="R1098">
        <v>1119</v>
      </c>
    </row>
    <row r="1099" spans="1:18" x14ac:dyDescent="0.25">
      <c r="A1099" t="s">
        <v>3680</v>
      </c>
      <c r="B1099" t="s">
        <v>3681</v>
      </c>
      <c r="C1099" t="s">
        <v>3682</v>
      </c>
      <c r="D1099" t="s">
        <v>3682</v>
      </c>
      <c r="E1099" t="s">
        <v>3682</v>
      </c>
      <c r="F1099" t="s">
        <v>21</v>
      </c>
      <c r="G1099" t="s">
        <v>63</v>
      </c>
      <c r="H1099" t="s">
        <v>80</v>
      </c>
      <c r="I1099" t="s">
        <v>25</v>
      </c>
      <c r="J1099">
        <v>2011</v>
      </c>
      <c r="K1099">
        <v>43698.521897777777</v>
      </c>
      <c r="L1099" t="s">
        <v>25</v>
      </c>
      <c r="M1099" t="s">
        <v>154</v>
      </c>
      <c r="N1099" t="s">
        <v>1305</v>
      </c>
      <c r="Q1099">
        <v>42958.564584837965</v>
      </c>
      <c r="R1099">
        <v>1120</v>
      </c>
    </row>
    <row r="1100" spans="1:18" x14ac:dyDescent="0.25">
      <c r="A1100" t="s">
        <v>3683</v>
      </c>
      <c r="B1100" t="s">
        <v>3684</v>
      </c>
      <c r="C1100" t="s">
        <v>3685</v>
      </c>
      <c r="D1100" t="s">
        <v>3685</v>
      </c>
      <c r="E1100" t="s">
        <v>3685</v>
      </c>
      <c r="F1100" t="s">
        <v>21</v>
      </c>
      <c r="G1100" t="s">
        <v>63</v>
      </c>
      <c r="H1100" t="s">
        <v>34</v>
      </c>
      <c r="I1100" t="s">
        <v>703</v>
      </c>
      <c r="J1100">
        <v>2006</v>
      </c>
      <c r="K1100">
        <v>43698.521897777777</v>
      </c>
      <c r="L1100" t="s">
        <v>25</v>
      </c>
      <c r="M1100" t="s">
        <v>2777</v>
      </c>
      <c r="N1100" t="s">
        <v>415</v>
      </c>
      <c r="O1100">
        <v>136794</v>
      </c>
      <c r="P1100">
        <v>43021.729166666664</v>
      </c>
      <c r="Q1100">
        <v>42960.635201585646</v>
      </c>
      <c r="R1100">
        <v>1121</v>
      </c>
    </row>
    <row r="1101" spans="1:18" x14ac:dyDescent="0.25">
      <c r="A1101" t="s">
        <v>3686</v>
      </c>
      <c r="B1101" t="s">
        <v>3687</v>
      </c>
      <c r="C1101" t="s">
        <v>3688</v>
      </c>
      <c r="D1101" t="s">
        <v>3688</v>
      </c>
      <c r="E1101" t="s">
        <v>3688</v>
      </c>
      <c r="F1101" t="s">
        <v>91</v>
      </c>
      <c r="G1101" t="s">
        <v>63</v>
      </c>
      <c r="H1101" t="s">
        <v>53</v>
      </c>
      <c r="I1101" t="s">
        <v>3689</v>
      </c>
      <c r="J1101">
        <v>2012</v>
      </c>
      <c r="K1101">
        <v>43698.521897777777</v>
      </c>
      <c r="L1101" t="s">
        <v>422</v>
      </c>
      <c r="M1101" t="s">
        <v>2777</v>
      </c>
      <c r="N1101" t="s">
        <v>415</v>
      </c>
      <c r="O1101">
        <v>347080</v>
      </c>
      <c r="P1101">
        <v>43698.521897777777</v>
      </c>
      <c r="Q1101">
        <v>42961.431244409723</v>
      </c>
      <c r="R1101">
        <v>1122</v>
      </c>
    </row>
    <row r="1102" spans="1:18" x14ac:dyDescent="0.25">
      <c r="A1102" t="s">
        <v>3690</v>
      </c>
      <c r="B1102" t="s">
        <v>3691</v>
      </c>
      <c r="C1102" t="s">
        <v>3692</v>
      </c>
      <c r="D1102" t="s">
        <v>3692</v>
      </c>
      <c r="E1102" t="s">
        <v>3692</v>
      </c>
      <c r="F1102" t="s">
        <v>21</v>
      </c>
      <c r="G1102" t="s">
        <v>63</v>
      </c>
      <c r="H1102" t="s">
        <v>53</v>
      </c>
      <c r="I1102" t="s">
        <v>3693</v>
      </c>
      <c r="J1102">
        <v>2018</v>
      </c>
      <c r="K1102">
        <v>43698.521897777777</v>
      </c>
      <c r="L1102" t="s">
        <v>1005</v>
      </c>
      <c r="M1102" t="s">
        <v>1941</v>
      </c>
      <c r="N1102" t="s">
        <v>415</v>
      </c>
      <c r="O1102">
        <v>179538</v>
      </c>
      <c r="P1102">
        <v>43223.957071759258</v>
      </c>
      <c r="Q1102">
        <v>42963.823842592596</v>
      </c>
      <c r="R1102">
        <v>1123</v>
      </c>
    </row>
    <row r="1103" spans="1:18" x14ac:dyDescent="0.25">
      <c r="A1103" t="s">
        <v>3694</v>
      </c>
      <c r="B1103" t="s">
        <v>3695</v>
      </c>
      <c r="C1103" t="s">
        <v>3696</v>
      </c>
      <c r="D1103" t="s">
        <v>3696</v>
      </c>
      <c r="E1103" t="s">
        <v>3696</v>
      </c>
      <c r="F1103" t="s">
        <v>21</v>
      </c>
      <c r="G1103" t="s">
        <v>63</v>
      </c>
      <c r="H1103" t="s">
        <v>34</v>
      </c>
      <c r="I1103" t="s">
        <v>35</v>
      </c>
      <c r="J1103">
        <v>2015</v>
      </c>
      <c r="K1103">
        <v>43698.521897777777</v>
      </c>
      <c r="L1103" t="s">
        <v>25</v>
      </c>
      <c r="M1103" t="s">
        <v>1941</v>
      </c>
      <c r="N1103" t="s">
        <v>415</v>
      </c>
      <c r="O1103">
        <v>139454</v>
      </c>
      <c r="P1103">
        <v>43036.683958333335</v>
      </c>
      <c r="Q1103">
        <v>42963.826240625</v>
      </c>
      <c r="R1103">
        <v>1124</v>
      </c>
    </row>
    <row r="1104" spans="1:18" x14ac:dyDescent="0.25">
      <c r="A1104" t="s">
        <v>3697</v>
      </c>
      <c r="B1104" t="s">
        <v>3698</v>
      </c>
      <c r="C1104" t="s">
        <v>3699</v>
      </c>
      <c r="D1104" t="s">
        <v>3699</v>
      </c>
      <c r="E1104" t="s">
        <v>3699</v>
      </c>
      <c r="F1104" t="s">
        <v>21</v>
      </c>
      <c r="G1104" t="s">
        <v>63</v>
      </c>
      <c r="H1104" t="s">
        <v>121</v>
      </c>
      <c r="I1104" t="s">
        <v>122</v>
      </c>
      <c r="J1104">
        <v>2007</v>
      </c>
      <c r="K1104">
        <v>43698.521897777777</v>
      </c>
      <c r="L1104" t="s">
        <v>25</v>
      </c>
      <c r="M1104" t="s">
        <v>42</v>
      </c>
      <c r="N1104" t="s">
        <v>415</v>
      </c>
      <c r="O1104">
        <v>184398</v>
      </c>
      <c r="P1104">
        <v>43237.842361111114</v>
      </c>
      <c r="Q1104">
        <v>42966.616154166666</v>
      </c>
      <c r="R1104">
        <v>1125</v>
      </c>
    </row>
    <row r="1105" spans="1:18" x14ac:dyDescent="0.25">
      <c r="A1105" t="s">
        <v>3700</v>
      </c>
      <c r="B1105" t="s">
        <v>3701</v>
      </c>
      <c r="C1105" t="s">
        <v>3702</v>
      </c>
      <c r="D1105" t="s">
        <v>3702</v>
      </c>
      <c r="E1105" t="s">
        <v>3702</v>
      </c>
      <c r="F1105" t="s">
        <v>21</v>
      </c>
      <c r="G1105" t="s">
        <v>63</v>
      </c>
      <c r="H1105" t="s">
        <v>23</v>
      </c>
      <c r="I1105" t="s">
        <v>41</v>
      </c>
      <c r="J1105">
        <v>2016</v>
      </c>
      <c r="K1105">
        <v>43698.521897777777</v>
      </c>
      <c r="L1105" t="s">
        <v>25</v>
      </c>
      <c r="M1105" t="s">
        <v>1941</v>
      </c>
      <c r="N1105" t="s">
        <v>415</v>
      </c>
      <c r="O1105">
        <v>127030</v>
      </c>
      <c r="P1105">
        <v>42969.774050925924</v>
      </c>
      <c r="Q1105">
        <v>42966.619562071763</v>
      </c>
      <c r="R1105">
        <v>1126</v>
      </c>
    </row>
    <row r="1106" spans="1:18" x14ac:dyDescent="0.25">
      <c r="A1106" t="s">
        <v>3703</v>
      </c>
      <c r="B1106" t="s">
        <v>3704</v>
      </c>
      <c r="C1106" t="s">
        <v>3705</v>
      </c>
      <c r="D1106" t="s">
        <v>3705</v>
      </c>
      <c r="E1106" t="s">
        <v>3705</v>
      </c>
      <c r="F1106" t="s">
        <v>21</v>
      </c>
      <c r="G1106" t="s">
        <v>63</v>
      </c>
      <c r="H1106" t="s">
        <v>53</v>
      </c>
      <c r="I1106" t="s">
        <v>25</v>
      </c>
      <c r="J1106">
        <v>2003</v>
      </c>
      <c r="K1106">
        <v>43698.521897777777</v>
      </c>
      <c r="L1106" t="s">
        <v>25</v>
      </c>
      <c r="M1106" t="s">
        <v>154</v>
      </c>
      <c r="N1106" t="s">
        <v>1305</v>
      </c>
      <c r="O1106">
        <v>170520</v>
      </c>
      <c r="P1106">
        <v>43190.50267361111</v>
      </c>
      <c r="Q1106">
        <v>42968.411623032407</v>
      </c>
      <c r="R1106">
        <v>1127</v>
      </c>
    </row>
    <row r="1107" spans="1:18" x14ac:dyDescent="0.25">
      <c r="A1107" t="s">
        <v>3706</v>
      </c>
      <c r="B1107" t="s">
        <v>3707</v>
      </c>
      <c r="C1107" t="s">
        <v>3708</v>
      </c>
      <c r="D1107" t="s">
        <v>3708</v>
      </c>
      <c r="E1107" t="s">
        <v>3708</v>
      </c>
      <c r="F1107" t="s">
        <v>21</v>
      </c>
      <c r="G1107" t="s">
        <v>63</v>
      </c>
      <c r="H1107" t="s">
        <v>34</v>
      </c>
      <c r="I1107" t="s">
        <v>25</v>
      </c>
      <c r="J1107">
        <v>2007</v>
      </c>
      <c r="K1107">
        <v>43698.521897777777</v>
      </c>
      <c r="L1107" t="s">
        <v>466</v>
      </c>
      <c r="M1107" t="s">
        <v>154</v>
      </c>
      <c r="N1107" t="s">
        <v>1305</v>
      </c>
      <c r="O1107">
        <v>253138</v>
      </c>
      <c r="P1107">
        <v>43452.192662037036</v>
      </c>
      <c r="Q1107">
        <v>42968.417544525466</v>
      </c>
      <c r="R1107">
        <v>1128</v>
      </c>
    </row>
    <row r="1108" spans="1:18" x14ac:dyDescent="0.25">
      <c r="A1108" t="s">
        <v>3709</v>
      </c>
      <c r="B1108" t="s">
        <v>3710</v>
      </c>
      <c r="C1108" t="s">
        <v>3711</v>
      </c>
      <c r="D1108" t="s">
        <v>3711</v>
      </c>
      <c r="E1108" t="s">
        <v>3712</v>
      </c>
      <c r="F1108" t="s">
        <v>91</v>
      </c>
      <c r="G1108" t="s">
        <v>22</v>
      </c>
      <c r="H1108" t="s">
        <v>53</v>
      </c>
      <c r="I1108" t="s">
        <v>3006</v>
      </c>
      <c r="J1108">
        <v>2018</v>
      </c>
      <c r="K1108">
        <v>43698.521897777777</v>
      </c>
      <c r="L1108" t="s">
        <v>1978</v>
      </c>
      <c r="M1108" t="s">
        <v>154</v>
      </c>
      <c r="N1108" t="s">
        <v>523</v>
      </c>
      <c r="O1108">
        <v>346303</v>
      </c>
      <c r="P1108">
        <v>43698.521897777777</v>
      </c>
      <c r="Q1108">
        <v>42968.654318831017</v>
      </c>
      <c r="R1108">
        <v>1129</v>
      </c>
    </row>
    <row r="1109" spans="1:18" x14ac:dyDescent="0.25">
      <c r="A1109" t="s">
        <v>3713</v>
      </c>
      <c r="B1109" t="s">
        <v>3714</v>
      </c>
      <c r="C1109" t="s">
        <v>3715</v>
      </c>
      <c r="D1109" t="s">
        <v>3715</v>
      </c>
      <c r="E1109" t="s">
        <v>3716</v>
      </c>
      <c r="F1109" t="s">
        <v>91</v>
      </c>
      <c r="G1109" t="s">
        <v>22</v>
      </c>
      <c r="H1109" t="s">
        <v>53</v>
      </c>
      <c r="I1109" t="s">
        <v>3006</v>
      </c>
      <c r="J1109">
        <v>2018</v>
      </c>
      <c r="K1109">
        <v>43698.521897777777</v>
      </c>
      <c r="L1109" t="s">
        <v>899</v>
      </c>
      <c r="M1109" t="s">
        <v>154</v>
      </c>
      <c r="N1109" t="s">
        <v>1305</v>
      </c>
      <c r="O1109">
        <v>345740</v>
      </c>
      <c r="P1109">
        <v>43698.521897777777</v>
      </c>
      <c r="Q1109">
        <v>42968.656409756943</v>
      </c>
      <c r="R1109">
        <v>1130</v>
      </c>
    </row>
    <row r="1110" spans="1:18" x14ac:dyDescent="0.25">
      <c r="A1110" t="s">
        <v>3717</v>
      </c>
      <c r="B1110" t="s">
        <v>3718</v>
      </c>
      <c r="C1110" t="s">
        <v>3719</v>
      </c>
      <c r="D1110" t="s">
        <v>3719</v>
      </c>
      <c r="E1110" t="s">
        <v>3720</v>
      </c>
      <c r="F1110" t="s">
        <v>91</v>
      </c>
      <c r="G1110" t="s">
        <v>22</v>
      </c>
      <c r="H1110" t="s">
        <v>53</v>
      </c>
      <c r="I1110" t="s">
        <v>3006</v>
      </c>
      <c r="J1110">
        <v>2018</v>
      </c>
      <c r="K1110">
        <v>43698.521897777777</v>
      </c>
      <c r="L1110" t="s">
        <v>899</v>
      </c>
      <c r="M1110" t="s">
        <v>154</v>
      </c>
      <c r="N1110" t="s">
        <v>1305</v>
      </c>
      <c r="O1110">
        <v>345708</v>
      </c>
      <c r="P1110">
        <v>43698.521897777777</v>
      </c>
      <c r="Q1110">
        <v>42969.697140277778</v>
      </c>
      <c r="R1110">
        <v>1131</v>
      </c>
    </row>
    <row r="1111" spans="1:18" x14ac:dyDescent="0.25">
      <c r="A1111" t="s">
        <v>3721</v>
      </c>
      <c r="B1111" t="s">
        <v>3722</v>
      </c>
      <c r="C1111" t="s">
        <v>3723</v>
      </c>
      <c r="D1111" t="s">
        <v>3723</v>
      </c>
      <c r="E1111" t="s">
        <v>3724</v>
      </c>
      <c r="F1111" t="s">
        <v>91</v>
      </c>
      <c r="G1111" t="s">
        <v>22</v>
      </c>
      <c r="H1111" t="s">
        <v>53</v>
      </c>
      <c r="I1111" t="s">
        <v>3006</v>
      </c>
      <c r="J1111">
        <v>2018</v>
      </c>
      <c r="K1111">
        <v>43698.521897777777</v>
      </c>
      <c r="L1111" t="s">
        <v>466</v>
      </c>
      <c r="M1111" t="s">
        <v>154</v>
      </c>
      <c r="N1111" t="s">
        <v>467</v>
      </c>
      <c r="O1111">
        <v>346621</v>
      </c>
      <c r="P1111">
        <v>43698.521897777777</v>
      </c>
      <c r="Q1111">
        <v>42970.546186458334</v>
      </c>
      <c r="R1111">
        <v>1132</v>
      </c>
    </row>
    <row r="1112" spans="1:18" x14ac:dyDescent="0.25">
      <c r="A1112" t="s">
        <v>3725</v>
      </c>
      <c r="B1112" t="s">
        <v>3726</v>
      </c>
      <c r="C1112" t="s">
        <v>3727</v>
      </c>
      <c r="D1112" t="s">
        <v>3727</v>
      </c>
      <c r="E1112" t="s">
        <v>3728</v>
      </c>
      <c r="F1112" t="s">
        <v>91</v>
      </c>
      <c r="G1112" t="s">
        <v>22</v>
      </c>
      <c r="H1112" t="s">
        <v>53</v>
      </c>
      <c r="I1112" t="s">
        <v>3006</v>
      </c>
      <c r="J1112">
        <v>2018</v>
      </c>
      <c r="K1112">
        <v>43698.521897777777</v>
      </c>
      <c r="L1112" t="s">
        <v>466</v>
      </c>
      <c r="M1112" t="s">
        <v>154</v>
      </c>
      <c r="N1112" t="s">
        <v>1305</v>
      </c>
      <c r="O1112">
        <v>341231</v>
      </c>
      <c r="P1112">
        <v>43688.590115740742</v>
      </c>
      <c r="Q1112">
        <v>42970.551095682873</v>
      </c>
      <c r="R1112">
        <v>1133</v>
      </c>
    </row>
    <row r="1113" spans="1:18" x14ac:dyDescent="0.25">
      <c r="A1113" t="s">
        <v>3729</v>
      </c>
      <c r="B1113" t="s">
        <v>3730</v>
      </c>
      <c r="C1113" t="s">
        <v>3731</v>
      </c>
      <c r="D1113" t="s">
        <v>3731</v>
      </c>
      <c r="E1113" t="s">
        <v>3732</v>
      </c>
      <c r="F1113" t="s">
        <v>91</v>
      </c>
      <c r="G1113" t="s">
        <v>22</v>
      </c>
      <c r="H1113" t="s">
        <v>53</v>
      </c>
      <c r="I1113" t="s">
        <v>3006</v>
      </c>
      <c r="J1113">
        <v>2018</v>
      </c>
      <c r="K1113">
        <v>43698.521897777777</v>
      </c>
      <c r="L1113" t="s">
        <v>466</v>
      </c>
      <c r="M1113" t="s">
        <v>154</v>
      </c>
      <c r="N1113" t="s">
        <v>1305</v>
      </c>
      <c r="O1113">
        <v>346611</v>
      </c>
      <c r="P1113">
        <v>43698.521897777777</v>
      </c>
      <c r="Q1113">
        <v>42970.552060300928</v>
      </c>
      <c r="R1113">
        <v>1134</v>
      </c>
    </row>
    <row r="1114" spans="1:18" x14ac:dyDescent="0.25">
      <c r="A1114" t="s">
        <v>3733</v>
      </c>
      <c r="B1114" t="s">
        <v>3734</v>
      </c>
      <c r="C1114" t="s">
        <v>3735</v>
      </c>
      <c r="D1114" t="s">
        <v>3735</v>
      </c>
      <c r="E1114" t="s">
        <v>3736</v>
      </c>
      <c r="F1114" t="s">
        <v>91</v>
      </c>
      <c r="G1114" t="s">
        <v>22</v>
      </c>
      <c r="H1114" t="s">
        <v>53</v>
      </c>
      <c r="I1114" t="s">
        <v>3006</v>
      </c>
      <c r="J1114">
        <v>2018</v>
      </c>
      <c r="K1114">
        <v>43698.521897777777</v>
      </c>
      <c r="L1114" t="s">
        <v>466</v>
      </c>
      <c r="M1114" t="s">
        <v>1738</v>
      </c>
      <c r="N1114" t="s">
        <v>1305</v>
      </c>
      <c r="O1114">
        <v>345732</v>
      </c>
      <c r="P1114">
        <v>43698.521897777777</v>
      </c>
      <c r="Q1114">
        <v>42972.578007407406</v>
      </c>
      <c r="R1114">
        <v>1135</v>
      </c>
    </row>
    <row r="1115" spans="1:18" x14ac:dyDescent="0.25">
      <c r="A1115" t="s">
        <v>3737</v>
      </c>
      <c r="B1115" t="s">
        <v>3738</v>
      </c>
      <c r="C1115" t="s">
        <v>3739</v>
      </c>
      <c r="D1115" t="s">
        <v>3739</v>
      </c>
      <c r="E1115" t="s">
        <v>3740</v>
      </c>
      <c r="F1115" t="s">
        <v>253</v>
      </c>
      <c r="G1115" t="s">
        <v>63</v>
      </c>
      <c r="H1115" t="s">
        <v>53</v>
      </c>
      <c r="I1115" t="s">
        <v>3006</v>
      </c>
      <c r="J1115">
        <v>2018</v>
      </c>
      <c r="K1115">
        <v>43698.521897777777</v>
      </c>
      <c r="L1115" t="s">
        <v>466</v>
      </c>
      <c r="M1115" t="s">
        <v>1738</v>
      </c>
      <c r="N1115" t="s">
        <v>1305</v>
      </c>
      <c r="O1115">
        <v>346265</v>
      </c>
      <c r="P1115">
        <v>43698.521897777777</v>
      </c>
      <c r="Q1115">
        <v>42972.579144872689</v>
      </c>
      <c r="R1115">
        <v>1136</v>
      </c>
    </row>
    <row r="1116" spans="1:18" x14ac:dyDescent="0.25">
      <c r="A1116" t="s">
        <v>3741</v>
      </c>
      <c r="B1116" t="s">
        <v>3742</v>
      </c>
      <c r="C1116" t="s">
        <v>3743</v>
      </c>
      <c r="D1116" t="s">
        <v>3743</v>
      </c>
      <c r="E1116" t="s">
        <v>3744</v>
      </c>
      <c r="F1116" t="s">
        <v>91</v>
      </c>
      <c r="G1116" t="s">
        <v>22</v>
      </c>
      <c r="H1116" t="s">
        <v>53</v>
      </c>
      <c r="I1116" t="s">
        <v>3006</v>
      </c>
      <c r="J1116">
        <v>2018</v>
      </c>
      <c r="K1116">
        <v>43698.521897777777</v>
      </c>
      <c r="L1116" t="s">
        <v>466</v>
      </c>
      <c r="M1116" t="s">
        <v>1738</v>
      </c>
      <c r="N1116" t="s">
        <v>1305</v>
      </c>
      <c r="O1116">
        <v>345403</v>
      </c>
      <c r="P1116">
        <v>43698.521897777777</v>
      </c>
      <c r="Q1116">
        <v>42972.580947106479</v>
      </c>
      <c r="R1116">
        <v>1137</v>
      </c>
    </row>
    <row r="1117" spans="1:18" x14ac:dyDescent="0.25">
      <c r="A1117" t="s">
        <v>3745</v>
      </c>
      <c r="B1117" t="s">
        <v>1428</v>
      </c>
      <c r="C1117" t="s">
        <v>3746</v>
      </c>
      <c r="D1117" t="s">
        <v>3746</v>
      </c>
      <c r="E1117" t="s">
        <v>3746</v>
      </c>
      <c r="F1117" t="s">
        <v>21</v>
      </c>
      <c r="G1117" t="s">
        <v>63</v>
      </c>
      <c r="H1117" t="s">
        <v>53</v>
      </c>
      <c r="I1117" t="s">
        <v>25</v>
      </c>
      <c r="J1117">
        <v>2007</v>
      </c>
      <c r="K1117">
        <v>43698.521897777777</v>
      </c>
      <c r="L1117" t="s">
        <v>466</v>
      </c>
      <c r="M1117" t="s">
        <v>154</v>
      </c>
      <c r="N1117" t="s">
        <v>1305</v>
      </c>
      <c r="O1117">
        <v>292778</v>
      </c>
      <c r="P1117">
        <v>43568.473668981482</v>
      </c>
      <c r="Q1117">
        <v>42976.640644479165</v>
      </c>
      <c r="R1117">
        <v>1138</v>
      </c>
    </row>
    <row r="1118" spans="1:18" x14ac:dyDescent="0.25">
      <c r="A1118" t="s">
        <v>3747</v>
      </c>
      <c r="B1118" t="s">
        <v>3748</v>
      </c>
      <c r="C1118" t="s">
        <v>3749</v>
      </c>
      <c r="D1118" t="s">
        <v>3749</v>
      </c>
      <c r="E1118" t="s">
        <v>3749</v>
      </c>
      <c r="F1118" t="s">
        <v>21</v>
      </c>
      <c r="G1118" t="s">
        <v>63</v>
      </c>
      <c r="H1118" t="s">
        <v>34</v>
      </c>
      <c r="I1118" t="s">
        <v>703</v>
      </c>
      <c r="J1118">
        <v>2008</v>
      </c>
      <c r="K1118">
        <v>43698.521897777777</v>
      </c>
      <c r="L1118" t="s">
        <v>1660</v>
      </c>
      <c r="M1118" t="s">
        <v>2777</v>
      </c>
      <c r="N1118" t="s">
        <v>415</v>
      </c>
      <c r="Q1118">
        <v>42979.597269675927</v>
      </c>
      <c r="R1118">
        <v>1139</v>
      </c>
    </row>
    <row r="1119" spans="1:18" x14ac:dyDescent="0.25">
      <c r="A1119" t="s">
        <v>3750</v>
      </c>
      <c r="B1119" t="s">
        <v>3751</v>
      </c>
      <c r="C1119" t="s">
        <v>3752</v>
      </c>
      <c r="D1119" t="s">
        <v>3752</v>
      </c>
      <c r="E1119" t="s">
        <v>3753</v>
      </c>
      <c r="F1119" t="s">
        <v>91</v>
      </c>
      <c r="G1119" t="s">
        <v>22</v>
      </c>
      <c r="H1119" t="s">
        <v>53</v>
      </c>
      <c r="I1119" t="s">
        <v>3006</v>
      </c>
      <c r="J1119">
        <v>2018</v>
      </c>
      <c r="K1119">
        <v>43698.521897777777</v>
      </c>
      <c r="L1119" t="s">
        <v>1809</v>
      </c>
      <c r="M1119" t="s">
        <v>154</v>
      </c>
      <c r="N1119" t="s">
        <v>1305</v>
      </c>
      <c r="O1119">
        <v>347147</v>
      </c>
      <c r="P1119">
        <v>43698.521897777777</v>
      </c>
      <c r="Q1119">
        <v>42983.394889317133</v>
      </c>
      <c r="R1119">
        <v>1140</v>
      </c>
    </row>
    <row r="1120" spans="1:18" x14ac:dyDescent="0.25">
      <c r="A1120" t="s">
        <v>3754</v>
      </c>
      <c r="B1120" t="s">
        <v>3755</v>
      </c>
      <c r="C1120" t="s">
        <v>3756</v>
      </c>
      <c r="D1120" t="s">
        <v>3756</v>
      </c>
      <c r="E1120" t="s">
        <v>3756</v>
      </c>
      <c r="F1120" t="s">
        <v>21</v>
      </c>
      <c r="G1120" t="s">
        <v>106</v>
      </c>
      <c r="H1120" t="s">
        <v>23</v>
      </c>
      <c r="I1120" t="s">
        <v>41</v>
      </c>
      <c r="J1120">
        <v>2018</v>
      </c>
      <c r="K1120">
        <v>43698.521897777777</v>
      </c>
      <c r="L1120" t="s">
        <v>25</v>
      </c>
      <c r="M1120" t="s">
        <v>42</v>
      </c>
      <c r="N1120" t="s">
        <v>415</v>
      </c>
      <c r="O1120">
        <v>135364</v>
      </c>
      <c r="P1120">
        <v>43013.46875</v>
      </c>
      <c r="Q1120">
        <v>42983.485774189816</v>
      </c>
      <c r="R1120">
        <v>1141</v>
      </c>
    </row>
    <row r="1121" spans="1:18" x14ac:dyDescent="0.25">
      <c r="A1121" t="s">
        <v>3757</v>
      </c>
      <c r="B1121" t="s">
        <v>3758</v>
      </c>
      <c r="C1121" t="s">
        <v>3759</v>
      </c>
      <c r="D1121" t="s">
        <v>3759</v>
      </c>
      <c r="E1121" t="s">
        <v>3760</v>
      </c>
      <c r="F1121" t="s">
        <v>91</v>
      </c>
      <c r="G1121" t="s">
        <v>63</v>
      </c>
      <c r="H1121" t="s">
        <v>53</v>
      </c>
      <c r="I1121" t="s">
        <v>3006</v>
      </c>
      <c r="J1121">
        <v>2018</v>
      </c>
      <c r="K1121">
        <v>43698.521897777777</v>
      </c>
      <c r="L1121" t="s">
        <v>466</v>
      </c>
      <c r="M1121" t="s">
        <v>1738</v>
      </c>
      <c r="N1121" t="s">
        <v>1305</v>
      </c>
      <c r="O1121">
        <v>346309</v>
      </c>
      <c r="P1121">
        <v>43698.521897777777</v>
      </c>
      <c r="Q1121">
        <v>42983.585489930556</v>
      </c>
      <c r="R1121">
        <v>1142</v>
      </c>
    </row>
    <row r="1122" spans="1:18" x14ac:dyDescent="0.25">
      <c r="A1122" t="s">
        <v>3761</v>
      </c>
      <c r="B1122" t="s">
        <v>3762</v>
      </c>
      <c r="C1122" t="s">
        <v>3763</v>
      </c>
      <c r="D1122" t="s">
        <v>3763</v>
      </c>
      <c r="E1122" t="s">
        <v>3764</v>
      </c>
      <c r="F1122" t="s">
        <v>91</v>
      </c>
      <c r="G1122" t="s">
        <v>63</v>
      </c>
      <c r="H1122" t="s">
        <v>53</v>
      </c>
      <c r="I1122" t="s">
        <v>3006</v>
      </c>
      <c r="J1122">
        <v>2018</v>
      </c>
      <c r="K1122">
        <v>43698.521897777777</v>
      </c>
      <c r="L1122" t="s">
        <v>466</v>
      </c>
      <c r="M1122" t="s">
        <v>1738</v>
      </c>
      <c r="N1122" t="s">
        <v>1305</v>
      </c>
      <c r="O1122">
        <v>345770</v>
      </c>
      <c r="P1122">
        <v>43698.521897777777</v>
      </c>
      <c r="Q1122">
        <v>42983.588210613423</v>
      </c>
      <c r="R1122">
        <v>1143</v>
      </c>
    </row>
    <row r="1123" spans="1:18" x14ac:dyDescent="0.25">
      <c r="A1123" t="s">
        <v>3765</v>
      </c>
      <c r="B1123" t="s">
        <v>3766</v>
      </c>
      <c r="C1123" t="s">
        <v>3767</v>
      </c>
      <c r="D1123" t="s">
        <v>3767</v>
      </c>
      <c r="E1123" t="s">
        <v>3767</v>
      </c>
      <c r="F1123" t="s">
        <v>21</v>
      </c>
      <c r="G1123" t="s">
        <v>63</v>
      </c>
      <c r="H1123" t="s">
        <v>34</v>
      </c>
      <c r="I1123" t="s">
        <v>703</v>
      </c>
      <c r="J1123">
        <v>2005</v>
      </c>
      <c r="K1123">
        <v>43698.521897777777</v>
      </c>
      <c r="L1123" t="s">
        <v>25</v>
      </c>
      <c r="M1123" t="s">
        <v>2777</v>
      </c>
      <c r="N1123" t="s">
        <v>415</v>
      </c>
      <c r="O1123">
        <v>148978</v>
      </c>
      <c r="P1123">
        <v>43081.915347222224</v>
      </c>
      <c r="Q1123">
        <v>42983.628296643517</v>
      </c>
      <c r="R1123">
        <v>1144</v>
      </c>
    </row>
    <row r="1124" spans="1:18" x14ac:dyDescent="0.25">
      <c r="A1124" t="s">
        <v>3768</v>
      </c>
      <c r="B1124" t="s">
        <v>3769</v>
      </c>
      <c r="C1124" t="s">
        <v>2237</v>
      </c>
      <c r="D1124" t="s">
        <v>2237</v>
      </c>
      <c r="E1124" t="s">
        <v>3770</v>
      </c>
      <c r="F1124" t="s">
        <v>21</v>
      </c>
      <c r="G1124" t="s">
        <v>106</v>
      </c>
      <c r="H1124" t="s">
        <v>23</v>
      </c>
      <c r="I1124" t="s">
        <v>25</v>
      </c>
      <c r="J1124">
        <v>2013</v>
      </c>
      <c r="K1124">
        <v>43698.521897777777</v>
      </c>
      <c r="L1124" t="s">
        <v>466</v>
      </c>
      <c r="M1124" t="s">
        <v>154</v>
      </c>
      <c r="N1124" t="s">
        <v>27</v>
      </c>
      <c r="O1124">
        <v>271168</v>
      </c>
      <c r="P1124">
        <v>43512.601261574076</v>
      </c>
      <c r="Q1124">
        <v>42984.530741122682</v>
      </c>
      <c r="R1124">
        <v>1145</v>
      </c>
    </row>
    <row r="1125" spans="1:18" x14ac:dyDescent="0.25">
      <c r="A1125" t="s">
        <v>3771</v>
      </c>
      <c r="B1125" t="s">
        <v>3772</v>
      </c>
      <c r="C1125" t="s">
        <v>3773</v>
      </c>
      <c r="D1125" t="s">
        <v>3773</v>
      </c>
      <c r="E1125" t="s">
        <v>3774</v>
      </c>
      <c r="F1125" t="s">
        <v>91</v>
      </c>
      <c r="G1125" t="s">
        <v>63</v>
      </c>
      <c r="H1125" t="s">
        <v>53</v>
      </c>
      <c r="I1125" t="s">
        <v>3006</v>
      </c>
      <c r="J1125">
        <v>2018</v>
      </c>
      <c r="K1125">
        <v>43698.521897777777</v>
      </c>
      <c r="L1125" t="s">
        <v>466</v>
      </c>
      <c r="M1125" t="s">
        <v>154</v>
      </c>
      <c r="N1125" t="s">
        <v>1305</v>
      </c>
      <c r="O1125">
        <v>345838</v>
      </c>
      <c r="P1125">
        <v>43698.521897777777</v>
      </c>
      <c r="Q1125">
        <v>42986.374793634262</v>
      </c>
      <c r="R1125">
        <v>1146</v>
      </c>
    </row>
    <row r="1126" spans="1:18" x14ac:dyDescent="0.25">
      <c r="A1126" t="s">
        <v>3775</v>
      </c>
      <c r="B1126" t="s">
        <v>3776</v>
      </c>
      <c r="C1126" t="s">
        <v>3777</v>
      </c>
      <c r="D1126" t="s">
        <v>3777</v>
      </c>
      <c r="E1126" t="s">
        <v>3778</v>
      </c>
      <c r="F1126" t="s">
        <v>91</v>
      </c>
      <c r="G1126" t="s">
        <v>22</v>
      </c>
      <c r="H1126" t="s">
        <v>53</v>
      </c>
      <c r="I1126" t="s">
        <v>3006</v>
      </c>
      <c r="J1126">
        <v>2018</v>
      </c>
      <c r="K1126">
        <v>43698.521897777777</v>
      </c>
      <c r="L1126" t="s">
        <v>466</v>
      </c>
      <c r="M1126" t="s">
        <v>154</v>
      </c>
      <c r="N1126" t="s">
        <v>1305</v>
      </c>
      <c r="O1126">
        <v>346855</v>
      </c>
      <c r="P1126">
        <v>43698.521897777777</v>
      </c>
      <c r="Q1126">
        <v>42986.375802511575</v>
      </c>
      <c r="R1126">
        <v>1147</v>
      </c>
    </row>
    <row r="1127" spans="1:18" x14ac:dyDescent="0.25">
      <c r="A1127" t="s">
        <v>3779</v>
      </c>
      <c r="B1127" t="s">
        <v>3780</v>
      </c>
      <c r="C1127" t="s">
        <v>3781</v>
      </c>
      <c r="D1127" t="s">
        <v>3781</v>
      </c>
      <c r="E1127" t="s">
        <v>3782</v>
      </c>
      <c r="F1127" t="s">
        <v>91</v>
      </c>
      <c r="G1127" t="s">
        <v>22</v>
      </c>
      <c r="H1127" t="s">
        <v>53</v>
      </c>
      <c r="I1127" t="s">
        <v>3006</v>
      </c>
      <c r="J1127">
        <v>2018</v>
      </c>
      <c r="K1127">
        <v>43698.521897777777</v>
      </c>
      <c r="L1127" t="s">
        <v>1978</v>
      </c>
      <c r="M1127" t="s">
        <v>154</v>
      </c>
      <c r="N1127" t="s">
        <v>1305</v>
      </c>
      <c r="O1127">
        <v>346590</v>
      </c>
      <c r="P1127">
        <v>43698.521897777777</v>
      </c>
      <c r="Q1127">
        <v>42986.377225266202</v>
      </c>
      <c r="R1127">
        <v>1148</v>
      </c>
    </row>
    <row r="1128" spans="1:18" x14ac:dyDescent="0.25">
      <c r="A1128" t="s">
        <v>3783</v>
      </c>
      <c r="B1128" t="s">
        <v>3784</v>
      </c>
      <c r="C1128" t="s">
        <v>3785</v>
      </c>
      <c r="D1128" t="s">
        <v>3785</v>
      </c>
      <c r="E1128" t="s">
        <v>3786</v>
      </c>
      <c r="F1128" t="s">
        <v>91</v>
      </c>
      <c r="G1128" t="s">
        <v>22</v>
      </c>
      <c r="H1128" t="s">
        <v>53</v>
      </c>
      <c r="I1128" t="s">
        <v>3006</v>
      </c>
      <c r="J1128">
        <v>2018</v>
      </c>
      <c r="K1128">
        <v>43698.521897777777</v>
      </c>
      <c r="L1128" t="s">
        <v>899</v>
      </c>
      <c r="M1128" t="s">
        <v>154</v>
      </c>
      <c r="N1128" t="s">
        <v>1305</v>
      </c>
      <c r="O1128">
        <v>346161</v>
      </c>
      <c r="P1128">
        <v>43698.521897777777</v>
      </c>
      <c r="Q1128">
        <v>42986.38048028935</v>
      </c>
      <c r="R1128">
        <v>1149</v>
      </c>
    </row>
    <row r="1129" spans="1:18" x14ac:dyDescent="0.25">
      <c r="A1129" t="s">
        <v>3787</v>
      </c>
      <c r="B1129" t="s">
        <v>3788</v>
      </c>
      <c r="C1129" t="s">
        <v>3789</v>
      </c>
      <c r="D1129" t="s">
        <v>3789</v>
      </c>
      <c r="E1129" t="s">
        <v>3790</v>
      </c>
      <c r="F1129" t="s">
        <v>91</v>
      </c>
      <c r="G1129" t="s">
        <v>22</v>
      </c>
      <c r="H1129" t="s">
        <v>53</v>
      </c>
      <c r="I1129" t="s">
        <v>3006</v>
      </c>
      <c r="J1129">
        <v>2018</v>
      </c>
      <c r="K1129">
        <v>43698.521897777777</v>
      </c>
      <c r="L1129" t="s">
        <v>899</v>
      </c>
      <c r="M1129" t="s">
        <v>154</v>
      </c>
      <c r="N1129" t="s">
        <v>1305</v>
      </c>
      <c r="O1129">
        <v>345369</v>
      </c>
      <c r="P1129">
        <v>43698.521897777777</v>
      </c>
      <c r="Q1129">
        <v>42986.381692013892</v>
      </c>
      <c r="R1129">
        <v>1150</v>
      </c>
    </row>
    <row r="1130" spans="1:18" x14ac:dyDescent="0.25">
      <c r="A1130" t="s">
        <v>3791</v>
      </c>
      <c r="B1130" t="s">
        <v>3792</v>
      </c>
      <c r="C1130" t="s">
        <v>3793</v>
      </c>
      <c r="D1130" t="s">
        <v>3793</v>
      </c>
      <c r="E1130" t="s">
        <v>3794</v>
      </c>
      <c r="F1130" t="s">
        <v>91</v>
      </c>
      <c r="G1130" t="s">
        <v>22</v>
      </c>
      <c r="H1130" t="s">
        <v>53</v>
      </c>
      <c r="I1130" t="s">
        <v>3006</v>
      </c>
      <c r="J1130">
        <v>2018</v>
      </c>
      <c r="K1130">
        <v>43698.521897777777</v>
      </c>
      <c r="L1130" t="s">
        <v>899</v>
      </c>
      <c r="M1130" t="s">
        <v>154</v>
      </c>
      <c r="N1130" t="s">
        <v>1305</v>
      </c>
      <c r="O1130">
        <v>346687</v>
      </c>
      <c r="P1130">
        <v>43698.521897777777</v>
      </c>
      <c r="Q1130">
        <v>42986.382729548612</v>
      </c>
      <c r="R1130">
        <v>1151</v>
      </c>
    </row>
    <row r="1131" spans="1:18" x14ac:dyDescent="0.25">
      <c r="A1131" t="s">
        <v>3795</v>
      </c>
      <c r="B1131" t="s">
        <v>1569</v>
      </c>
      <c r="C1131" t="s">
        <v>3796</v>
      </c>
      <c r="D1131" t="s">
        <v>3796</v>
      </c>
      <c r="E1131" t="s">
        <v>3797</v>
      </c>
      <c r="F1131" t="s">
        <v>21</v>
      </c>
      <c r="G1131" t="s">
        <v>22</v>
      </c>
      <c r="H1131" t="s">
        <v>53</v>
      </c>
      <c r="I1131" t="s">
        <v>471</v>
      </c>
      <c r="J1131">
        <v>2016</v>
      </c>
      <c r="K1131">
        <v>43698.521897777777</v>
      </c>
      <c r="L1131" t="s">
        <v>1660</v>
      </c>
      <c r="M1131" t="s">
        <v>37</v>
      </c>
      <c r="N1131" t="s">
        <v>27</v>
      </c>
      <c r="O1131">
        <v>203912</v>
      </c>
      <c r="P1131">
        <v>43307.145833333336</v>
      </c>
      <c r="Q1131">
        <v>42987.568636805554</v>
      </c>
      <c r="R1131">
        <v>1152</v>
      </c>
    </row>
    <row r="1132" spans="1:18" x14ac:dyDescent="0.25">
      <c r="A1132" t="s">
        <v>3798</v>
      </c>
      <c r="B1132" t="s">
        <v>1581</v>
      </c>
      <c r="C1132" t="s">
        <v>3799</v>
      </c>
      <c r="D1132" t="s">
        <v>3799</v>
      </c>
      <c r="E1132" t="s">
        <v>3800</v>
      </c>
      <c r="F1132" t="s">
        <v>21</v>
      </c>
      <c r="G1132" t="s">
        <v>22</v>
      </c>
      <c r="H1132" t="s">
        <v>53</v>
      </c>
      <c r="I1132" t="s">
        <v>471</v>
      </c>
      <c r="J1132">
        <v>2016</v>
      </c>
      <c r="K1132">
        <v>43698.521897777777</v>
      </c>
      <c r="L1132" t="s">
        <v>1916</v>
      </c>
      <c r="M1132" t="s">
        <v>37</v>
      </c>
      <c r="N1132" t="s">
        <v>27</v>
      </c>
      <c r="O1132">
        <v>203381</v>
      </c>
      <c r="P1132">
        <v>43308.602777777778</v>
      </c>
      <c r="Q1132">
        <v>42987.593944328706</v>
      </c>
      <c r="R1132">
        <v>1153</v>
      </c>
    </row>
    <row r="1133" spans="1:18" x14ac:dyDescent="0.25">
      <c r="A1133" t="s">
        <v>3801</v>
      </c>
      <c r="B1133" t="s">
        <v>1577</v>
      </c>
      <c r="C1133" t="s">
        <v>3802</v>
      </c>
      <c r="D1133" t="s">
        <v>3802</v>
      </c>
      <c r="E1133" t="s">
        <v>3803</v>
      </c>
      <c r="F1133" t="s">
        <v>21</v>
      </c>
      <c r="G1133" t="s">
        <v>22</v>
      </c>
      <c r="H1133" t="s">
        <v>53</v>
      </c>
      <c r="I1133" t="s">
        <v>471</v>
      </c>
      <c r="J1133">
        <v>2016</v>
      </c>
      <c r="K1133">
        <v>43698.521897777777</v>
      </c>
      <c r="L1133" t="s">
        <v>1716</v>
      </c>
      <c r="M1133" t="s">
        <v>37</v>
      </c>
      <c r="N1133" t="s">
        <v>415</v>
      </c>
      <c r="O1133">
        <v>211731</v>
      </c>
      <c r="P1133">
        <v>43332.580555555556</v>
      </c>
      <c r="Q1133">
        <v>42987.679923645832</v>
      </c>
      <c r="R1133">
        <v>1154</v>
      </c>
    </row>
    <row r="1134" spans="1:18" x14ac:dyDescent="0.25">
      <c r="A1134" t="s">
        <v>3804</v>
      </c>
      <c r="B1134" t="s">
        <v>1748</v>
      </c>
      <c r="C1134" t="s">
        <v>3805</v>
      </c>
      <c r="D1134" t="s">
        <v>3805</v>
      </c>
      <c r="E1134" t="s">
        <v>3806</v>
      </c>
      <c r="F1134" t="s">
        <v>21</v>
      </c>
      <c r="G1134" t="s">
        <v>22</v>
      </c>
      <c r="H1134" t="s">
        <v>53</v>
      </c>
      <c r="I1134" t="s">
        <v>471</v>
      </c>
      <c r="J1134">
        <v>2016</v>
      </c>
      <c r="K1134">
        <v>43698.521897777777</v>
      </c>
      <c r="L1134" t="s">
        <v>1716</v>
      </c>
      <c r="M1134" t="s">
        <v>37</v>
      </c>
      <c r="N1134" t="s">
        <v>27</v>
      </c>
      <c r="O1134">
        <v>195215</v>
      </c>
      <c r="P1134">
        <v>43277.768055555556</v>
      </c>
      <c r="Q1134">
        <v>42987.693020370367</v>
      </c>
      <c r="R1134">
        <v>1155</v>
      </c>
    </row>
    <row r="1135" spans="1:18" x14ac:dyDescent="0.25">
      <c r="A1135" t="s">
        <v>3807</v>
      </c>
      <c r="B1135" t="s">
        <v>1735</v>
      </c>
      <c r="C1135" t="s">
        <v>3808</v>
      </c>
      <c r="D1135" t="s">
        <v>3808</v>
      </c>
      <c r="E1135" t="s">
        <v>3809</v>
      </c>
      <c r="F1135" t="s">
        <v>21</v>
      </c>
      <c r="G1135" t="s">
        <v>22</v>
      </c>
      <c r="H1135" t="s">
        <v>53</v>
      </c>
      <c r="I1135" t="s">
        <v>471</v>
      </c>
      <c r="J1135">
        <v>2016</v>
      </c>
      <c r="K1135">
        <v>43698.521897777777</v>
      </c>
      <c r="L1135" t="s">
        <v>1716</v>
      </c>
      <c r="M1135" t="s">
        <v>37</v>
      </c>
      <c r="N1135" t="s">
        <v>27</v>
      </c>
      <c r="O1135">
        <v>182769</v>
      </c>
      <c r="P1135">
        <v>43232.276388888888</v>
      </c>
      <c r="Q1135">
        <v>42987.694852627312</v>
      </c>
      <c r="R1135">
        <v>1156</v>
      </c>
    </row>
    <row r="1136" spans="1:18" x14ac:dyDescent="0.25">
      <c r="A1136" t="s">
        <v>3810</v>
      </c>
      <c r="B1136" t="s">
        <v>3811</v>
      </c>
      <c r="C1136" t="s">
        <v>3812</v>
      </c>
      <c r="D1136" t="s">
        <v>3812</v>
      </c>
      <c r="E1136" t="s">
        <v>3813</v>
      </c>
      <c r="F1136" t="s">
        <v>91</v>
      </c>
      <c r="G1136" t="s">
        <v>22</v>
      </c>
      <c r="H1136" t="s">
        <v>53</v>
      </c>
      <c r="I1136" t="s">
        <v>3006</v>
      </c>
      <c r="J1136">
        <v>2018</v>
      </c>
      <c r="K1136">
        <v>43698.521897777777</v>
      </c>
      <c r="L1136" t="s">
        <v>1809</v>
      </c>
      <c r="M1136" t="s">
        <v>154</v>
      </c>
      <c r="N1136" t="s">
        <v>1305</v>
      </c>
      <c r="O1136">
        <v>346668</v>
      </c>
      <c r="P1136">
        <v>43698.521897777777</v>
      </c>
      <c r="Q1136">
        <v>42990.491521180556</v>
      </c>
      <c r="R1136">
        <v>1157</v>
      </c>
    </row>
    <row r="1137" spans="1:18" x14ac:dyDescent="0.25">
      <c r="A1137" t="s">
        <v>3814</v>
      </c>
      <c r="B1137" t="s">
        <v>3815</v>
      </c>
      <c r="C1137" t="s">
        <v>3816</v>
      </c>
      <c r="D1137" t="s">
        <v>3816</v>
      </c>
      <c r="E1137" t="s">
        <v>3817</v>
      </c>
      <c r="F1137" t="s">
        <v>91</v>
      </c>
      <c r="G1137" t="s">
        <v>22</v>
      </c>
      <c r="H1137" t="s">
        <v>53</v>
      </c>
      <c r="I1137" t="s">
        <v>3006</v>
      </c>
      <c r="J1137">
        <v>2018</v>
      </c>
      <c r="K1137">
        <v>43698.521897777777</v>
      </c>
      <c r="L1137" t="s">
        <v>1978</v>
      </c>
      <c r="M1137" t="s">
        <v>154</v>
      </c>
      <c r="N1137" t="s">
        <v>523</v>
      </c>
      <c r="O1137">
        <v>343111</v>
      </c>
      <c r="P1137">
        <v>43695.755023148151</v>
      </c>
      <c r="Q1137">
        <v>42990.492644131948</v>
      </c>
      <c r="R1137">
        <v>1158</v>
      </c>
    </row>
    <row r="1138" spans="1:18" x14ac:dyDescent="0.25">
      <c r="A1138" t="s">
        <v>3818</v>
      </c>
      <c r="B1138" t="s">
        <v>3819</v>
      </c>
      <c r="C1138" t="s">
        <v>3820</v>
      </c>
      <c r="D1138" t="s">
        <v>3820</v>
      </c>
      <c r="E1138" t="s">
        <v>3821</v>
      </c>
      <c r="F1138" t="s">
        <v>91</v>
      </c>
      <c r="G1138" t="s">
        <v>22</v>
      </c>
      <c r="H1138" t="s">
        <v>53</v>
      </c>
      <c r="I1138" t="s">
        <v>3006</v>
      </c>
      <c r="J1138">
        <v>2018</v>
      </c>
      <c r="K1138">
        <v>43698.521897777777</v>
      </c>
      <c r="L1138" t="s">
        <v>1809</v>
      </c>
      <c r="M1138" t="s">
        <v>154</v>
      </c>
      <c r="N1138" t="s">
        <v>1305</v>
      </c>
      <c r="O1138">
        <v>346991</v>
      </c>
      <c r="P1138">
        <v>43698.521897777777</v>
      </c>
      <c r="Q1138">
        <v>42993.656312615742</v>
      </c>
      <c r="R1138">
        <v>1159</v>
      </c>
    </row>
    <row r="1139" spans="1:18" x14ac:dyDescent="0.25">
      <c r="A1139" t="s">
        <v>3822</v>
      </c>
      <c r="B1139" t="s">
        <v>3823</v>
      </c>
      <c r="C1139" t="s">
        <v>3824</v>
      </c>
      <c r="D1139" t="s">
        <v>3824</v>
      </c>
      <c r="E1139" t="s">
        <v>3825</v>
      </c>
      <c r="F1139" t="s">
        <v>91</v>
      </c>
      <c r="G1139" t="s">
        <v>22</v>
      </c>
      <c r="H1139" t="s">
        <v>53</v>
      </c>
      <c r="I1139" t="s">
        <v>3006</v>
      </c>
      <c r="J1139">
        <v>2018</v>
      </c>
      <c r="K1139">
        <v>43698.521897777777</v>
      </c>
      <c r="L1139" t="s">
        <v>1809</v>
      </c>
      <c r="M1139" t="s">
        <v>154</v>
      </c>
      <c r="N1139" t="s">
        <v>1305</v>
      </c>
      <c r="O1139">
        <v>347099</v>
      </c>
      <c r="P1139">
        <v>43698.521897777777</v>
      </c>
      <c r="Q1139">
        <v>42993.656714583332</v>
      </c>
      <c r="R1139">
        <v>1160</v>
      </c>
    </row>
    <row r="1140" spans="1:18" x14ac:dyDescent="0.25">
      <c r="A1140" t="s">
        <v>3826</v>
      </c>
      <c r="B1140" t="s">
        <v>3827</v>
      </c>
      <c r="C1140" t="s">
        <v>3828</v>
      </c>
      <c r="D1140" t="s">
        <v>3828</v>
      </c>
      <c r="E1140" t="s">
        <v>3828</v>
      </c>
      <c r="F1140" t="s">
        <v>91</v>
      </c>
      <c r="G1140" t="s">
        <v>63</v>
      </c>
      <c r="H1140" t="s">
        <v>53</v>
      </c>
      <c r="I1140" t="s">
        <v>471</v>
      </c>
      <c r="J1140">
        <v>2018</v>
      </c>
      <c r="K1140">
        <v>43698.521897777777</v>
      </c>
      <c r="L1140" t="s">
        <v>1005</v>
      </c>
      <c r="M1140" t="s">
        <v>1941</v>
      </c>
      <c r="N1140" t="s">
        <v>415</v>
      </c>
      <c r="O1140">
        <v>345653</v>
      </c>
      <c r="P1140">
        <v>43698.521897777777</v>
      </c>
      <c r="Q1140">
        <v>42996.4817625</v>
      </c>
      <c r="R1140">
        <v>1161</v>
      </c>
    </row>
    <row r="1141" spans="1:18" x14ac:dyDescent="0.25">
      <c r="A1141" t="s">
        <v>3829</v>
      </c>
      <c r="B1141" t="s">
        <v>3830</v>
      </c>
      <c r="C1141" t="s">
        <v>3831</v>
      </c>
      <c r="D1141" t="s">
        <v>3831</v>
      </c>
      <c r="E1141" t="s">
        <v>3831</v>
      </c>
      <c r="F1141" t="s">
        <v>21</v>
      </c>
      <c r="G1141" t="s">
        <v>63</v>
      </c>
      <c r="H1141" t="s">
        <v>53</v>
      </c>
      <c r="I1141" t="s">
        <v>471</v>
      </c>
      <c r="J1141">
        <v>2018</v>
      </c>
      <c r="K1141">
        <v>43698.521897777777</v>
      </c>
      <c r="L1141" t="s">
        <v>1005</v>
      </c>
      <c r="M1141" t="s">
        <v>1941</v>
      </c>
      <c r="N1141" t="s">
        <v>415</v>
      </c>
      <c r="O1141">
        <v>219527</v>
      </c>
      <c r="P1141">
        <v>43358.008333333331</v>
      </c>
      <c r="Q1141">
        <v>42996.497344328702</v>
      </c>
      <c r="R1141">
        <v>1162</v>
      </c>
    </row>
    <row r="1142" spans="1:18" x14ac:dyDescent="0.25">
      <c r="A1142" t="s">
        <v>3832</v>
      </c>
      <c r="B1142" t="s">
        <v>3833</v>
      </c>
      <c r="C1142" t="s">
        <v>3834</v>
      </c>
      <c r="D1142" t="s">
        <v>3834</v>
      </c>
      <c r="E1142" t="s">
        <v>3834</v>
      </c>
      <c r="F1142" t="s">
        <v>21</v>
      </c>
      <c r="G1142" t="s">
        <v>63</v>
      </c>
      <c r="H1142" t="s">
        <v>53</v>
      </c>
      <c r="I1142" t="s">
        <v>471</v>
      </c>
      <c r="J1142">
        <v>2013</v>
      </c>
      <c r="K1142">
        <v>43698.521897777777</v>
      </c>
      <c r="L1142" t="s">
        <v>25</v>
      </c>
      <c r="M1142" t="s">
        <v>1941</v>
      </c>
      <c r="N1142" t="s">
        <v>415</v>
      </c>
      <c r="O1142">
        <v>179486</v>
      </c>
      <c r="P1142">
        <v>43222.277731481481</v>
      </c>
      <c r="Q1142">
        <v>42996.499096840278</v>
      </c>
      <c r="R1142">
        <v>1163</v>
      </c>
    </row>
    <row r="1143" spans="1:18" x14ac:dyDescent="0.25">
      <c r="A1143" t="s">
        <v>3835</v>
      </c>
      <c r="B1143" t="s">
        <v>3836</v>
      </c>
      <c r="C1143" t="s">
        <v>3837</v>
      </c>
      <c r="D1143" t="s">
        <v>3837</v>
      </c>
      <c r="E1143" t="s">
        <v>3837</v>
      </c>
      <c r="F1143" t="s">
        <v>21</v>
      </c>
      <c r="G1143" t="s">
        <v>63</v>
      </c>
      <c r="H1143" t="s">
        <v>53</v>
      </c>
      <c r="I1143" t="s">
        <v>471</v>
      </c>
      <c r="J1143">
        <v>2018</v>
      </c>
      <c r="K1143">
        <v>43698.521897777777</v>
      </c>
      <c r="L1143" t="s">
        <v>1005</v>
      </c>
      <c r="M1143" t="s">
        <v>1941</v>
      </c>
      <c r="N1143" t="s">
        <v>415</v>
      </c>
      <c r="O1143">
        <v>283251</v>
      </c>
      <c r="P1143">
        <v>43542.973773148151</v>
      </c>
      <c r="Q1143">
        <v>42996.500894097226</v>
      </c>
      <c r="R1143">
        <v>1164</v>
      </c>
    </row>
    <row r="1144" spans="1:18" x14ac:dyDescent="0.25">
      <c r="A1144" t="s">
        <v>3838</v>
      </c>
      <c r="B1144" t="s">
        <v>3839</v>
      </c>
      <c r="C1144" t="s">
        <v>3840</v>
      </c>
      <c r="D1144" t="s">
        <v>3840</v>
      </c>
      <c r="E1144" t="s">
        <v>3841</v>
      </c>
      <c r="F1144" t="s">
        <v>91</v>
      </c>
      <c r="G1144" t="s">
        <v>22</v>
      </c>
      <c r="H1144" t="s">
        <v>53</v>
      </c>
      <c r="I1144" t="s">
        <v>3006</v>
      </c>
      <c r="J1144">
        <v>2018</v>
      </c>
      <c r="K1144">
        <v>43698.521897777777</v>
      </c>
      <c r="L1144" t="s">
        <v>1978</v>
      </c>
      <c r="M1144" t="s">
        <v>154</v>
      </c>
      <c r="N1144" t="s">
        <v>523</v>
      </c>
      <c r="O1144">
        <v>346058</v>
      </c>
      <c r="P1144">
        <v>43698.521897777777</v>
      </c>
      <c r="Q1144">
        <v>42996.715801388891</v>
      </c>
      <c r="R1144">
        <v>1165</v>
      </c>
    </row>
    <row r="1145" spans="1:18" x14ac:dyDescent="0.25">
      <c r="A1145" t="s">
        <v>3842</v>
      </c>
      <c r="B1145" t="s">
        <v>3843</v>
      </c>
      <c r="C1145" t="s">
        <v>3844</v>
      </c>
      <c r="D1145" t="s">
        <v>3844</v>
      </c>
      <c r="E1145" t="s">
        <v>3845</v>
      </c>
      <c r="F1145" t="s">
        <v>91</v>
      </c>
      <c r="G1145" t="s">
        <v>22</v>
      </c>
      <c r="H1145" t="s">
        <v>53</v>
      </c>
      <c r="I1145" t="s">
        <v>3006</v>
      </c>
      <c r="J1145">
        <v>2018</v>
      </c>
      <c r="K1145">
        <v>43698.521897777777</v>
      </c>
      <c r="L1145" t="s">
        <v>1978</v>
      </c>
      <c r="M1145" t="s">
        <v>154</v>
      </c>
      <c r="N1145" t="s">
        <v>1305</v>
      </c>
      <c r="O1145">
        <v>345750</v>
      </c>
      <c r="P1145">
        <v>43698.521897777777</v>
      </c>
      <c r="Q1145">
        <v>42996.716702430553</v>
      </c>
      <c r="R1145">
        <v>1166</v>
      </c>
    </row>
    <row r="1146" spans="1:18" x14ac:dyDescent="0.25">
      <c r="A1146" t="s">
        <v>3846</v>
      </c>
      <c r="B1146" t="s">
        <v>3847</v>
      </c>
      <c r="C1146" t="s">
        <v>3848</v>
      </c>
      <c r="D1146" t="s">
        <v>3848</v>
      </c>
      <c r="E1146" t="s">
        <v>3849</v>
      </c>
      <c r="F1146" t="s">
        <v>91</v>
      </c>
      <c r="G1146" t="s">
        <v>22</v>
      </c>
      <c r="H1146" t="s">
        <v>53</v>
      </c>
      <c r="I1146" t="s">
        <v>3006</v>
      </c>
      <c r="J1146">
        <v>2018</v>
      </c>
      <c r="K1146">
        <v>43698.521897777777</v>
      </c>
      <c r="L1146" t="s">
        <v>899</v>
      </c>
      <c r="M1146" t="s">
        <v>154</v>
      </c>
      <c r="N1146" t="s">
        <v>1305</v>
      </c>
      <c r="O1146">
        <v>340283</v>
      </c>
      <c r="P1146">
        <v>43685.404363425929</v>
      </c>
      <c r="Q1146">
        <v>42996.718135995368</v>
      </c>
      <c r="R1146">
        <v>1167</v>
      </c>
    </row>
    <row r="1147" spans="1:18" x14ac:dyDescent="0.25">
      <c r="A1147" t="s">
        <v>3850</v>
      </c>
      <c r="B1147" t="s">
        <v>3851</v>
      </c>
      <c r="C1147" t="s">
        <v>3852</v>
      </c>
      <c r="D1147" t="s">
        <v>3852</v>
      </c>
      <c r="E1147" t="s">
        <v>3853</v>
      </c>
      <c r="F1147" t="s">
        <v>91</v>
      </c>
      <c r="G1147" t="s">
        <v>22</v>
      </c>
      <c r="H1147" t="s">
        <v>53</v>
      </c>
      <c r="I1147" t="s">
        <v>3006</v>
      </c>
      <c r="J1147">
        <v>2018</v>
      </c>
      <c r="K1147">
        <v>43698.521897777777</v>
      </c>
      <c r="L1147" t="s">
        <v>1978</v>
      </c>
      <c r="M1147" t="s">
        <v>154</v>
      </c>
      <c r="N1147" t="s">
        <v>523</v>
      </c>
      <c r="O1147">
        <v>345991</v>
      </c>
      <c r="P1147">
        <v>43698.521897777777</v>
      </c>
      <c r="Q1147">
        <v>42996.719111886574</v>
      </c>
      <c r="R1147">
        <v>1168</v>
      </c>
    </row>
    <row r="1148" spans="1:18" x14ac:dyDescent="0.25">
      <c r="A1148" t="s">
        <v>3854</v>
      </c>
      <c r="B1148" t="s">
        <v>3855</v>
      </c>
      <c r="C1148" t="s">
        <v>3856</v>
      </c>
      <c r="D1148" t="s">
        <v>3856</v>
      </c>
      <c r="E1148" t="s">
        <v>3856</v>
      </c>
      <c r="F1148" t="s">
        <v>21</v>
      </c>
      <c r="G1148" t="s">
        <v>63</v>
      </c>
      <c r="H1148" t="s">
        <v>34</v>
      </c>
      <c r="I1148" t="s">
        <v>35</v>
      </c>
      <c r="J1148">
        <v>2018</v>
      </c>
      <c r="K1148">
        <v>43698.521897777777</v>
      </c>
      <c r="L1148" t="s">
        <v>25</v>
      </c>
      <c r="M1148" t="s">
        <v>1941</v>
      </c>
      <c r="N1148" t="s">
        <v>415</v>
      </c>
      <c r="O1148">
        <v>159273</v>
      </c>
      <c r="P1148">
        <v>43141.883333333331</v>
      </c>
      <c r="Q1148">
        <v>42998.603035995373</v>
      </c>
      <c r="R1148">
        <v>1169</v>
      </c>
    </row>
    <row r="1149" spans="1:18" x14ac:dyDescent="0.25">
      <c r="A1149" t="s">
        <v>3857</v>
      </c>
      <c r="B1149" t="s">
        <v>616</v>
      </c>
      <c r="C1149" t="s">
        <v>3858</v>
      </c>
      <c r="D1149" t="s">
        <v>3858</v>
      </c>
      <c r="E1149" t="s">
        <v>3858</v>
      </c>
      <c r="F1149" t="s">
        <v>21</v>
      </c>
      <c r="G1149" t="s">
        <v>63</v>
      </c>
      <c r="H1149" t="s">
        <v>34</v>
      </c>
      <c r="I1149" t="s">
        <v>614</v>
      </c>
      <c r="J1149">
        <v>2014</v>
      </c>
      <c r="K1149">
        <v>43698.521897777777</v>
      </c>
      <c r="L1149" t="s">
        <v>1005</v>
      </c>
      <c r="M1149" t="s">
        <v>1733</v>
      </c>
      <c r="N1149" t="s">
        <v>415</v>
      </c>
      <c r="O1149">
        <v>179594</v>
      </c>
      <c r="P1149">
        <v>43224.168993055559</v>
      </c>
      <c r="Q1149">
        <v>42999.419609178243</v>
      </c>
      <c r="R1149">
        <v>1170</v>
      </c>
    </row>
    <row r="1150" spans="1:18" x14ac:dyDescent="0.25">
      <c r="A1150" t="s">
        <v>3859</v>
      </c>
      <c r="B1150" t="s">
        <v>3860</v>
      </c>
      <c r="C1150" t="s">
        <v>3861</v>
      </c>
      <c r="D1150" t="s">
        <v>3861</v>
      </c>
      <c r="E1150" t="s">
        <v>3862</v>
      </c>
      <c r="F1150" t="s">
        <v>91</v>
      </c>
      <c r="G1150" t="s">
        <v>22</v>
      </c>
      <c r="H1150" t="s">
        <v>53</v>
      </c>
      <c r="I1150" t="s">
        <v>3006</v>
      </c>
      <c r="J1150">
        <v>2018</v>
      </c>
      <c r="K1150">
        <v>43698.521897777777</v>
      </c>
      <c r="L1150" t="s">
        <v>466</v>
      </c>
      <c r="M1150" t="s">
        <v>154</v>
      </c>
      <c r="N1150" t="s">
        <v>1305</v>
      </c>
      <c r="O1150">
        <v>345814</v>
      </c>
      <c r="P1150">
        <v>43698.521897777777</v>
      </c>
      <c r="Q1150">
        <v>42999.804649502315</v>
      </c>
      <c r="R1150">
        <v>1171</v>
      </c>
    </row>
    <row r="1151" spans="1:18" x14ac:dyDescent="0.25">
      <c r="A1151" t="s">
        <v>3863</v>
      </c>
      <c r="B1151" t="s">
        <v>3864</v>
      </c>
      <c r="C1151" t="s">
        <v>3865</v>
      </c>
      <c r="D1151" t="s">
        <v>3865</v>
      </c>
      <c r="E1151" t="s">
        <v>3866</v>
      </c>
      <c r="F1151" t="s">
        <v>91</v>
      </c>
      <c r="G1151" t="s">
        <v>63</v>
      </c>
      <c r="H1151" t="s">
        <v>53</v>
      </c>
      <c r="I1151" t="s">
        <v>3006</v>
      </c>
      <c r="J1151">
        <v>2018</v>
      </c>
      <c r="K1151">
        <v>43698.521897777777</v>
      </c>
      <c r="L1151" t="s">
        <v>466</v>
      </c>
      <c r="M1151" t="s">
        <v>154</v>
      </c>
      <c r="N1151" t="s">
        <v>1305</v>
      </c>
      <c r="O1151">
        <v>345863</v>
      </c>
      <c r="P1151">
        <v>43698.521897777777</v>
      </c>
      <c r="Q1151">
        <v>42999.806269016204</v>
      </c>
      <c r="R1151">
        <v>1172</v>
      </c>
    </row>
    <row r="1152" spans="1:18" x14ac:dyDescent="0.25">
      <c r="A1152" t="s">
        <v>3867</v>
      </c>
      <c r="B1152" t="s">
        <v>57</v>
      </c>
      <c r="C1152" t="s">
        <v>3868</v>
      </c>
      <c r="D1152" t="s">
        <v>3868</v>
      </c>
      <c r="E1152" t="s">
        <v>3868</v>
      </c>
      <c r="F1152" t="s">
        <v>21</v>
      </c>
      <c r="G1152" t="s">
        <v>63</v>
      </c>
      <c r="H1152" t="s">
        <v>23</v>
      </c>
      <c r="I1152" t="s">
        <v>25</v>
      </c>
      <c r="J1152">
        <v>2007</v>
      </c>
      <c r="K1152">
        <v>43698.521897777777</v>
      </c>
      <c r="L1152" t="s">
        <v>466</v>
      </c>
      <c r="M1152" t="s">
        <v>154</v>
      </c>
      <c r="N1152" t="s">
        <v>1305</v>
      </c>
      <c r="O1152">
        <v>205173</v>
      </c>
      <c r="P1152">
        <v>43317.517083333332</v>
      </c>
      <c r="Q1152">
        <v>43000.533823530095</v>
      </c>
      <c r="R1152">
        <v>1173</v>
      </c>
    </row>
    <row r="1153" spans="1:18" x14ac:dyDescent="0.25">
      <c r="A1153" t="s">
        <v>3869</v>
      </c>
      <c r="B1153" t="s">
        <v>1565</v>
      </c>
      <c r="C1153" t="s">
        <v>3870</v>
      </c>
      <c r="D1153" t="s">
        <v>3870</v>
      </c>
      <c r="E1153" t="s">
        <v>3871</v>
      </c>
      <c r="F1153" t="s">
        <v>21</v>
      </c>
      <c r="G1153" t="s">
        <v>22</v>
      </c>
      <c r="H1153" t="s">
        <v>53</v>
      </c>
      <c r="I1153" t="s">
        <v>471</v>
      </c>
      <c r="J1153">
        <v>2016</v>
      </c>
      <c r="K1153">
        <v>43698.521897777777</v>
      </c>
      <c r="L1153" t="s">
        <v>1660</v>
      </c>
      <c r="M1153" t="s">
        <v>2777</v>
      </c>
      <c r="N1153" t="s">
        <v>415</v>
      </c>
      <c r="O1153">
        <v>190115</v>
      </c>
      <c r="P1153">
        <v>43260.044722222221</v>
      </c>
      <c r="Q1153">
        <v>43000.754405821761</v>
      </c>
      <c r="R1153">
        <v>1174</v>
      </c>
    </row>
    <row r="1154" spans="1:18" x14ac:dyDescent="0.25">
      <c r="A1154" t="s">
        <v>3872</v>
      </c>
      <c r="B1154" t="s">
        <v>2499</v>
      </c>
      <c r="C1154" t="s">
        <v>3873</v>
      </c>
      <c r="D1154" t="s">
        <v>3873</v>
      </c>
      <c r="E1154" t="s">
        <v>3874</v>
      </c>
      <c r="F1154" t="s">
        <v>21</v>
      </c>
      <c r="G1154" t="s">
        <v>22</v>
      </c>
      <c r="H1154" t="s">
        <v>53</v>
      </c>
      <c r="I1154" t="s">
        <v>471</v>
      </c>
      <c r="J1154">
        <v>2017</v>
      </c>
      <c r="K1154">
        <v>43698.521897777777</v>
      </c>
      <c r="L1154" t="s">
        <v>1660</v>
      </c>
      <c r="M1154" t="s">
        <v>2777</v>
      </c>
      <c r="N1154" t="s">
        <v>415</v>
      </c>
      <c r="O1154">
        <v>183793</v>
      </c>
      <c r="P1154">
        <v>43236.770138888889</v>
      </c>
      <c r="Q1154">
        <v>43001.593890891207</v>
      </c>
      <c r="R1154">
        <v>1175</v>
      </c>
    </row>
    <row r="1155" spans="1:18" x14ac:dyDescent="0.25">
      <c r="A1155" t="s">
        <v>3875</v>
      </c>
      <c r="B1155" t="s">
        <v>3876</v>
      </c>
      <c r="C1155" t="s">
        <v>3877</v>
      </c>
      <c r="D1155" t="s">
        <v>3877</v>
      </c>
      <c r="E1155" t="s">
        <v>3877</v>
      </c>
      <c r="F1155" t="s">
        <v>91</v>
      </c>
      <c r="G1155" t="s">
        <v>63</v>
      </c>
      <c r="H1155" t="s">
        <v>34</v>
      </c>
      <c r="I1155" t="s">
        <v>703</v>
      </c>
      <c r="J1155">
        <v>2014</v>
      </c>
      <c r="K1155">
        <v>43698.521897777777</v>
      </c>
      <c r="L1155" t="s">
        <v>422</v>
      </c>
      <c r="M1155" t="s">
        <v>2777</v>
      </c>
      <c r="N1155" t="s">
        <v>415</v>
      </c>
      <c r="O1155">
        <v>346974</v>
      </c>
      <c r="P1155">
        <v>43698.521897777777</v>
      </c>
      <c r="Q1155">
        <v>43001.596369409723</v>
      </c>
      <c r="R1155">
        <v>1176</v>
      </c>
    </row>
    <row r="1156" spans="1:18" x14ac:dyDescent="0.25">
      <c r="A1156" t="s">
        <v>3878</v>
      </c>
      <c r="B1156" t="s">
        <v>1744</v>
      </c>
      <c r="C1156" t="s">
        <v>3879</v>
      </c>
      <c r="D1156" t="s">
        <v>3879</v>
      </c>
      <c r="E1156" t="s">
        <v>3880</v>
      </c>
      <c r="F1156" t="s">
        <v>21</v>
      </c>
      <c r="G1156" t="s">
        <v>22</v>
      </c>
      <c r="H1156" t="s">
        <v>53</v>
      </c>
      <c r="I1156" t="s">
        <v>471</v>
      </c>
      <c r="J1156">
        <v>2016</v>
      </c>
      <c r="K1156">
        <v>43698.521897777777</v>
      </c>
      <c r="L1156" t="s">
        <v>1660</v>
      </c>
      <c r="M1156" t="s">
        <v>37</v>
      </c>
      <c r="N1156" t="s">
        <v>415</v>
      </c>
      <c r="Q1156">
        <v>43003.661685451392</v>
      </c>
      <c r="R1156">
        <v>1177</v>
      </c>
    </row>
    <row r="1157" spans="1:18" x14ac:dyDescent="0.25">
      <c r="A1157" t="s">
        <v>3881</v>
      </c>
      <c r="B1157" t="s">
        <v>1593</v>
      </c>
      <c r="C1157" t="s">
        <v>3882</v>
      </c>
      <c r="D1157" t="s">
        <v>3882</v>
      </c>
      <c r="E1157" t="s">
        <v>3883</v>
      </c>
      <c r="F1157" t="s">
        <v>21</v>
      </c>
      <c r="G1157" t="s">
        <v>22</v>
      </c>
      <c r="H1157" t="s">
        <v>53</v>
      </c>
      <c r="I1157" t="s">
        <v>471</v>
      </c>
      <c r="J1157">
        <v>2016</v>
      </c>
      <c r="K1157">
        <v>43698.521897777777</v>
      </c>
      <c r="L1157" t="s">
        <v>25</v>
      </c>
      <c r="M1157" t="s">
        <v>1733</v>
      </c>
      <c r="N1157" t="s">
        <v>415</v>
      </c>
      <c r="O1157">
        <v>182227</v>
      </c>
      <c r="P1157">
        <v>43231.7</v>
      </c>
      <c r="Q1157">
        <v>43003.709874502318</v>
      </c>
      <c r="R1157">
        <v>1178</v>
      </c>
    </row>
    <row r="1158" spans="1:18" x14ac:dyDescent="0.25">
      <c r="A1158" t="s">
        <v>3884</v>
      </c>
      <c r="B1158" t="s">
        <v>894</v>
      </c>
      <c r="C1158" t="s">
        <v>3885</v>
      </c>
      <c r="D1158" t="s">
        <v>3885</v>
      </c>
      <c r="E1158" t="s">
        <v>3886</v>
      </c>
      <c r="F1158" t="s">
        <v>21</v>
      </c>
      <c r="G1158" t="s">
        <v>22</v>
      </c>
      <c r="H1158" t="s">
        <v>34</v>
      </c>
      <c r="I1158" t="s">
        <v>886</v>
      </c>
      <c r="J1158">
        <v>2015</v>
      </c>
      <c r="K1158">
        <v>43698.521897777777</v>
      </c>
      <c r="L1158" t="s">
        <v>1716</v>
      </c>
      <c r="M1158" t="s">
        <v>1733</v>
      </c>
      <c r="N1158" t="s">
        <v>415</v>
      </c>
      <c r="Q1158">
        <v>43003.711757870369</v>
      </c>
      <c r="R1158">
        <v>1179</v>
      </c>
    </row>
    <row r="1159" spans="1:18" x14ac:dyDescent="0.25">
      <c r="A1159" t="s">
        <v>3887</v>
      </c>
      <c r="B1159" t="s">
        <v>3888</v>
      </c>
      <c r="C1159" t="s">
        <v>3889</v>
      </c>
      <c r="D1159" t="s">
        <v>3889</v>
      </c>
      <c r="E1159" t="s">
        <v>3890</v>
      </c>
      <c r="F1159" t="s">
        <v>91</v>
      </c>
      <c r="G1159" t="s">
        <v>22</v>
      </c>
      <c r="H1159" t="s">
        <v>53</v>
      </c>
      <c r="I1159" t="s">
        <v>3006</v>
      </c>
      <c r="J1159">
        <v>2018</v>
      </c>
      <c r="K1159">
        <v>43698.521897777777</v>
      </c>
      <c r="L1159" t="s">
        <v>1809</v>
      </c>
      <c r="M1159" t="s">
        <v>154</v>
      </c>
      <c r="N1159" t="s">
        <v>1305</v>
      </c>
      <c r="O1159">
        <v>346819</v>
      </c>
      <c r="P1159">
        <v>43698.521897777777</v>
      </c>
      <c r="Q1159">
        <v>43003.78900478009</v>
      </c>
      <c r="R1159">
        <v>1180</v>
      </c>
    </row>
    <row r="1160" spans="1:18" x14ac:dyDescent="0.25">
      <c r="A1160" t="s">
        <v>3891</v>
      </c>
      <c r="B1160" t="s">
        <v>3892</v>
      </c>
      <c r="C1160" t="s">
        <v>3893</v>
      </c>
      <c r="D1160" t="s">
        <v>3893</v>
      </c>
      <c r="E1160" t="s">
        <v>3894</v>
      </c>
      <c r="F1160" t="s">
        <v>91</v>
      </c>
      <c r="G1160" t="s">
        <v>22</v>
      </c>
      <c r="H1160" t="s">
        <v>53</v>
      </c>
      <c r="I1160" t="s">
        <v>3006</v>
      </c>
      <c r="J1160">
        <v>2018</v>
      </c>
      <c r="K1160">
        <v>43698.521897777777</v>
      </c>
      <c r="L1160" t="s">
        <v>1809</v>
      </c>
      <c r="M1160" t="s">
        <v>154</v>
      </c>
      <c r="N1160" t="s">
        <v>1305</v>
      </c>
      <c r="O1160">
        <v>346660</v>
      </c>
      <c r="P1160">
        <v>43698.061180555553</v>
      </c>
      <c r="Q1160">
        <v>43003.790005358795</v>
      </c>
      <c r="R1160">
        <v>1181</v>
      </c>
    </row>
    <row r="1161" spans="1:18" x14ac:dyDescent="0.25">
      <c r="A1161" t="s">
        <v>3895</v>
      </c>
      <c r="B1161" t="s">
        <v>3896</v>
      </c>
      <c r="C1161" t="s">
        <v>3897</v>
      </c>
      <c r="D1161" t="s">
        <v>3897</v>
      </c>
      <c r="E1161" t="s">
        <v>3898</v>
      </c>
      <c r="F1161" t="s">
        <v>91</v>
      </c>
      <c r="G1161" t="s">
        <v>22</v>
      </c>
      <c r="H1161" t="s">
        <v>53</v>
      </c>
      <c r="I1161" t="s">
        <v>3006</v>
      </c>
      <c r="J1161">
        <v>2018</v>
      </c>
      <c r="K1161">
        <v>43698.521897777777</v>
      </c>
      <c r="L1161" t="s">
        <v>522</v>
      </c>
      <c r="M1161" t="s">
        <v>154</v>
      </c>
      <c r="N1161" t="s">
        <v>523</v>
      </c>
      <c r="O1161">
        <v>347077</v>
      </c>
      <c r="P1161">
        <v>43698.521897777777</v>
      </c>
      <c r="Q1161">
        <v>43003.791021643519</v>
      </c>
      <c r="R1161">
        <v>1182</v>
      </c>
    </row>
    <row r="1162" spans="1:18" x14ac:dyDescent="0.25">
      <c r="A1162" t="s">
        <v>3899</v>
      </c>
      <c r="B1162" t="s">
        <v>3900</v>
      </c>
      <c r="C1162" t="s">
        <v>3901</v>
      </c>
      <c r="D1162" t="s">
        <v>3901</v>
      </c>
      <c r="E1162" t="s">
        <v>3901</v>
      </c>
      <c r="F1162" t="s">
        <v>91</v>
      </c>
      <c r="G1162" t="s">
        <v>63</v>
      </c>
      <c r="H1162" t="s">
        <v>34</v>
      </c>
      <c r="I1162" t="s">
        <v>35</v>
      </c>
      <c r="J1162">
        <v>2008</v>
      </c>
      <c r="K1162">
        <v>43698.521897777777</v>
      </c>
      <c r="L1162" t="s">
        <v>92</v>
      </c>
      <c r="M1162" t="s">
        <v>1941</v>
      </c>
      <c r="N1162" t="s">
        <v>415</v>
      </c>
      <c r="O1162">
        <v>339577</v>
      </c>
      <c r="P1162">
        <v>43686.875694444447</v>
      </c>
      <c r="Q1162">
        <v>43004.4644275463</v>
      </c>
      <c r="R1162">
        <v>1183</v>
      </c>
    </row>
    <row r="1163" spans="1:18" x14ac:dyDescent="0.25">
      <c r="A1163" t="s">
        <v>3902</v>
      </c>
      <c r="B1163" t="s">
        <v>1490</v>
      </c>
      <c r="C1163" t="s">
        <v>3903</v>
      </c>
      <c r="D1163" t="s">
        <v>3903</v>
      </c>
      <c r="E1163" t="s">
        <v>3904</v>
      </c>
      <c r="F1163" t="s">
        <v>21</v>
      </c>
      <c r="G1163" t="s">
        <v>22</v>
      </c>
      <c r="H1163" t="s">
        <v>53</v>
      </c>
      <c r="I1163" t="s">
        <v>471</v>
      </c>
      <c r="J1163">
        <v>2016</v>
      </c>
      <c r="K1163">
        <v>43698.521897777777</v>
      </c>
      <c r="L1163" t="s">
        <v>1716</v>
      </c>
      <c r="M1163" t="s">
        <v>42</v>
      </c>
      <c r="N1163" t="s">
        <v>415</v>
      </c>
      <c r="O1163">
        <v>209857</v>
      </c>
      <c r="P1163">
        <v>43326.679965277777</v>
      </c>
      <c r="Q1163">
        <v>43005.564697141206</v>
      </c>
      <c r="R1163">
        <v>1184</v>
      </c>
    </row>
    <row r="1164" spans="1:18" x14ac:dyDescent="0.25">
      <c r="A1164" t="s">
        <v>3905</v>
      </c>
      <c r="B1164" t="s">
        <v>3906</v>
      </c>
      <c r="C1164" t="s">
        <v>3907</v>
      </c>
      <c r="D1164" t="s">
        <v>3907</v>
      </c>
      <c r="E1164" t="s">
        <v>3908</v>
      </c>
      <c r="F1164" t="s">
        <v>91</v>
      </c>
      <c r="G1164" t="s">
        <v>22</v>
      </c>
      <c r="H1164" t="s">
        <v>53</v>
      </c>
      <c r="I1164" t="s">
        <v>3006</v>
      </c>
      <c r="J1164">
        <v>2018</v>
      </c>
      <c r="K1164">
        <v>43698.521897777777</v>
      </c>
      <c r="L1164" t="s">
        <v>1604</v>
      </c>
      <c r="M1164" t="s">
        <v>1738</v>
      </c>
      <c r="N1164" t="s">
        <v>1305</v>
      </c>
      <c r="O1164">
        <v>345718</v>
      </c>
      <c r="P1164">
        <v>43698.521897777777</v>
      </c>
      <c r="Q1164">
        <v>43006.479178935188</v>
      </c>
      <c r="R1164">
        <v>1185</v>
      </c>
    </row>
    <row r="1165" spans="1:18" x14ac:dyDescent="0.25">
      <c r="A1165" t="s">
        <v>3909</v>
      </c>
      <c r="B1165" t="s">
        <v>3910</v>
      </c>
      <c r="C1165" t="s">
        <v>3911</v>
      </c>
      <c r="D1165" t="s">
        <v>3911</v>
      </c>
      <c r="E1165" t="s">
        <v>3912</v>
      </c>
      <c r="F1165" t="s">
        <v>91</v>
      </c>
      <c r="G1165" t="s">
        <v>22</v>
      </c>
      <c r="H1165" t="s">
        <v>53</v>
      </c>
      <c r="I1165" t="s">
        <v>3006</v>
      </c>
      <c r="J1165">
        <v>2018</v>
      </c>
      <c r="K1165">
        <v>43698.521897777777</v>
      </c>
      <c r="L1165" t="s">
        <v>466</v>
      </c>
      <c r="M1165" t="s">
        <v>1738</v>
      </c>
      <c r="N1165" t="s">
        <v>1305</v>
      </c>
      <c r="O1165">
        <v>345755</v>
      </c>
      <c r="P1165">
        <v>43698.521897777777</v>
      </c>
      <c r="Q1165">
        <v>43006.480125844908</v>
      </c>
      <c r="R1165">
        <v>1186</v>
      </c>
    </row>
    <row r="1166" spans="1:18" x14ac:dyDescent="0.25">
      <c r="A1166" t="s">
        <v>3913</v>
      </c>
      <c r="B1166" t="s">
        <v>3914</v>
      </c>
      <c r="C1166" t="s">
        <v>3915</v>
      </c>
      <c r="D1166" t="s">
        <v>3915</v>
      </c>
      <c r="E1166" t="s">
        <v>3916</v>
      </c>
      <c r="F1166" t="s">
        <v>91</v>
      </c>
      <c r="G1166" t="s">
        <v>63</v>
      </c>
      <c r="H1166" t="s">
        <v>53</v>
      </c>
      <c r="I1166" t="s">
        <v>3006</v>
      </c>
      <c r="J1166">
        <v>2018</v>
      </c>
      <c r="K1166">
        <v>43698.521897777777</v>
      </c>
      <c r="L1166" t="s">
        <v>466</v>
      </c>
      <c r="M1166" t="s">
        <v>1738</v>
      </c>
      <c r="N1166" t="s">
        <v>1305</v>
      </c>
      <c r="O1166">
        <v>346181</v>
      </c>
      <c r="P1166">
        <v>43698.521897777777</v>
      </c>
      <c r="Q1166">
        <v>43006.480729317133</v>
      </c>
      <c r="R1166">
        <v>1187</v>
      </c>
    </row>
    <row r="1167" spans="1:18" x14ac:dyDescent="0.25">
      <c r="A1167" t="s">
        <v>3917</v>
      </c>
      <c r="B1167" t="s">
        <v>3918</v>
      </c>
      <c r="C1167" t="s">
        <v>3919</v>
      </c>
      <c r="D1167" t="s">
        <v>3919</v>
      </c>
      <c r="E1167" t="s">
        <v>3920</v>
      </c>
      <c r="F1167" t="s">
        <v>91</v>
      </c>
      <c r="G1167" t="s">
        <v>22</v>
      </c>
      <c r="H1167" t="s">
        <v>53</v>
      </c>
      <c r="I1167" t="s">
        <v>3006</v>
      </c>
      <c r="J1167">
        <v>2018</v>
      </c>
      <c r="K1167">
        <v>43698.521897777777</v>
      </c>
      <c r="L1167" t="s">
        <v>1978</v>
      </c>
      <c r="M1167" t="s">
        <v>1738</v>
      </c>
      <c r="N1167" t="s">
        <v>1305</v>
      </c>
      <c r="O1167">
        <v>346091</v>
      </c>
      <c r="P1167">
        <v>43698.521897777777</v>
      </c>
      <c r="Q1167">
        <v>43006.481371180555</v>
      </c>
      <c r="R1167">
        <v>1188</v>
      </c>
    </row>
    <row r="1168" spans="1:18" x14ac:dyDescent="0.25">
      <c r="A1168" t="s">
        <v>3921</v>
      </c>
      <c r="B1168" t="s">
        <v>3922</v>
      </c>
      <c r="C1168" t="s">
        <v>3923</v>
      </c>
      <c r="D1168" t="s">
        <v>3923</v>
      </c>
      <c r="E1168" t="s">
        <v>3924</v>
      </c>
      <c r="F1168" t="s">
        <v>91</v>
      </c>
      <c r="G1168" t="s">
        <v>22</v>
      </c>
      <c r="H1168" t="s">
        <v>53</v>
      </c>
      <c r="I1168" t="s">
        <v>3006</v>
      </c>
      <c r="J1168">
        <v>2018</v>
      </c>
      <c r="K1168">
        <v>43698.521897777777</v>
      </c>
      <c r="L1168" t="s">
        <v>899</v>
      </c>
      <c r="M1168" t="s">
        <v>1738</v>
      </c>
      <c r="N1168" t="s">
        <v>1305</v>
      </c>
      <c r="O1168">
        <v>347140</v>
      </c>
      <c r="P1168">
        <v>43698.521897777777</v>
      </c>
      <c r="Q1168">
        <v>43006.482183020831</v>
      </c>
      <c r="R1168">
        <v>1189</v>
      </c>
    </row>
    <row r="1169" spans="1:18" x14ac:dyDescent="0.25">
      <c r="A1169" t="s">
        <v>3925</v>
      </c>
      <c r="B1169" t="s">
        <v>3926</v>
      </c>
      <c r="C1169" t="s">
        <v>3927</v>
      </c>
      <c r="D1169" t="s">
        <v>3927</v>
      </c>
      <c r="E1169" t="s">
        <v>3928</v>
      </c>
      <c r="F1169" t="s">
        <v>91</v>
      </c>
      <c r="G1169" t="s">
        <v>22</v>
      </c>
      <c r="H1169" t="s">
        <v>53</v>
      </c>
      <c r="I1169" t="s">
        <v>3006</v>
      </c>
      <c r="J1169">
        <v>2018</v>
      </c>
      <c r="K1169">
        <v>43698.521897777777</v>
      </c>
      <c r="L1169" t="s">
        <v>3929</v>
      </c>
      <c r="M1169" t="s">
        <v>1738</v>
      </c>
      <c r="N1169" t="s">
        <v>467</v>
      </c>
      <c r="O1169">
        <v>336558</v>
      </c>
      <c r="P1169">
        <v>43679.677777777775</v>
      </c>
      <c r="Q1169">
        <v>43006.4837591088</v>
      </c>
      <c r="R1169">
        <v>1190</v>
      </c>
    </row>
    <row r="1170" spans="1:18" x14ac:dyDescent="0.25">
      <c r="A1170" t="s">
        <v>3930</v>
      </c>
      <c r="B1170" t="s">
        <v>1573</v>
      </c>
      <c r="C1170" t="s">
        <v>3931</v>
      </c>
      <c r="D1170" t="s">
        <v>3931</v>
      </c>
      <c r="E1170" t="s">
        <v>3932</v>
      </c>
      <c r="F1170" t="s">
        <v>21</v>
      </c>
      <c r="G1170" t="s">
        <v>22</v>
      </c>
      <c r="H1170" t="s">
        <v>998</v>
      </c>
      <c r="I1170" t="s">
        <v>471</v>
      </c>
      <c r="J1170">
        <v>2016</v>
      </c>
      <c r="K1170">
        <v>43698.521897777777</v>
      </c>
      <c r="L1170" t="s">
        <v>1660</v>
      </c>
      <c r="M1170" t="s">
        <v>37</v>
      </c>
      <c r="N1170" t="s">
        <v>415</v>
      </c>
      <c r="O1170">
        <v>203158</v>
      </c>
      <c r="P1170">
        <v>43305.420439814814</v>
      </c>
      <c r="Q1170">
        <v>43011.407615243057</v>
      </c>
      <c r="R1170">
        <v>1191</v>
      </c>
    </row>
    <row r="1171" spans="1:18" x14ac:dyDescent="0.25">
      <c r="A1171" t="s">
        <v>3933</v>
      </c>
      <c r="B1171" t="s">
        <v>1740</v>
      </c>
      <c r="C1171" t="s">
        <v>3934</v>
      </c>
      <c r="D1171" t="s">
        <v>3934</v>
      </c>
      <c r="E1171" t="s">
        <v>3935</v>
      </c>
      <c r="F1171" t="s">
        <v>21</v>
      </c>
      <c r="G1171" t="s">
        <v>22</v>
      </c>
      <c r="H1171" t="s">
        <v>53</v>
      </c>
      <c r="I1171" t="s">
        <v>471</v>
      </c>
      <c r="J1171">
        <v>2016</v>
      </c>
      <c r="K1171">
        <v>43698.521897777777</v>
      </c>
      <c r="L1171" t="s">
        <v>1660</v>
      </c>
      <c r="M1171" t="s">
        <v>37</v>
      </c>
      <c r="N1171" t="s">
        <v>415</v>
      </c>
      <c r="O1171">
        <v>182428</v>
      </c>
      <c r="P1171">
        <v>43231.790520833332</v>
      </c>
      <c r="Q1171">
        <v>43011.414320405092</v>
      </c>
      <c r="R1171">
        <v>1192</v>
      </c>
    </row>
    <row r="1172" spans="1:18" x14ac:dyDescent="0.25">
      <c r="A1172" t="s">
        <v>3936</v>
      </c>
      <c r="B1172" t="s">
        <v>2503</v>
      </c>
      <c r="C1172" t="s">
        <v>3937</v>
      </c>
      <c r="D1172" t="s">
        <v>3937</v>
      </c>
      <c r="E1172" t="s">
        <v>3938</v>
      </c>
      <c r="F1172" t="s">
        <v>21</v>
      </c>
      <c r="G1172" t="s">
        <v>22</v>
      </c>
      <c r="H1172" t="s">
        <v>53</v>
      </c>
      <c r="I1172" t="s">
        <v>471</v>
      </c>
      <c r="J1172">
        <v>2017</v>
      </c>
      <c r="K1172">
        <v>43698.521897777777</v>
      </c>
      <c r="L1172" t="s">
        <v>1660</v>
      </c>
      <c r="M1172" t="s">
        <v>37</v>
      </c>
      <c r="N1172" t="s">
        <v>415</v>
      </c>
      <c r="O1172">
        <v>194165</v>
      </c>
      <c r="P1172">
        <v>43273.879861111112</v>
      </c>
      <c r="Q1172">
        <v>43011.41769490741</v>
      </c>
      <c r="R1172">
        <v>1193</v>
      </c>
    </row>
    <row r="1173" spans="1:18" x14ac:dyDescent="0.25">
      <c r="A1173" t="s">
        <v>3939</v>
      </c>
      <c r="B1173" t="s">
        <v>2507</v>
      </c>
      <c r="C1173" t="s">
        <v>3940</v>
      </c>
      <c r="D1173" t="s">
        <v>3940</v>
      </c>
      <c r="E1173" t="s">
        <v>3941</v>
      </c>
      <c r="F1173" t="s">
        <v>21</v>
      </c>
      <c r="G1173" t="s">
        <v>22</v>
      </c>
      <c r="H1173" t="s">
        <v>53</v>
      </c>
      <c r="I1173" t="s">
        <v>471</v>
      </c>
      <c r="J1173">
        <v>2017</v>
      </c>
      <c r="K1173">
        <v>43698.521897777777</v>
      </c>
      <c r="L1173" t="s">
        <v>1660</v>
      </c>
      <c r="M1173" t="s">
        <v>37</v>
      </c>
      <c r="N1173" t="s">
        <v>415</v>
      </c>
      <c r="O1173">
        <v>215123</v>
      </c>
      <c r="P1173">
        <v>43342.781944444447</v>
      </c>
      <c r="Q1173">
        <v>43011.420360798613</v>
      </c>
      <c r="R1173">
        <v>1194</v>
      </c>
    </row>
    <row r="1174" spans="1:18" x14ac:dyDescent="0.25">
      <c r="A1174" t="s">
        <v>3942</v>
      </c>
      <c r="B1174" t="s">
        <v>2511</v>
      </c>
      <c r="C1174" t="s">
        <v>3943</v>
      </c>
      <c r="D1174" t="s">
        <v>3943</v>
      </c>
      <c r="E1174" t="s">
        <v>3944</v>
      </c>
      <c r="F1174" t="s">
        <v>21</v>
      </c>
      <c r="G1174" t="s">
        <v>22</v>
      </c>
      <c r="H1174" t="s">
        <v>53</v>
      </c>
      <c r="I1174" t="s">
        <v>471</v>
      </c>
      <c r="J1174">
        <v>2017</v>
      </c>
      <c r="K1174">
        <v>43698.521897777777</v>
      </c>
      <c r="L1174" t="s">
        <v>1660</v>
      </c>
      <c r="M1174" t="s">
        <v>37</v>
      </c>
      <c r="N1174" t="s">
        <v>415</v>
      </c>
      <c r="O1174">
        <v>215202</v>
      </c>
      <c r="P1174">
        <v>43342.50199074074</v>
      </c>
      <c r="Q1174">
        <v>43011.422455671294</v>
      </c>
      <c r="R1174">
        <v>1195</v>
      </c>
    </row>
    <row r="1175" spans="1:18" x14ac:dyDescent="0.25">
      <c r="A1175" t="s">
        <v>3945</v>
      </c>
      <c r="B1175" t="s">
        <v>3946</v>
      </c>
      <c r="C1175" t="s">
        <v>3947</v>
      </c>
      <c r="D1175" t="s">
        <v>3947</v>
      </c>
      <c r="E1175" t="s">
        <v>3948</v>
      </c>
      <c r="F1175" t="s">
        <v>91</v>
      </c>
      <c r="G1175" t="s">
        <v>22</v>
      </c>
      <c r="H1175" t="s">
        <v>53</v>
      </c>
      <c r="I1175" t="s">
        <v>3006</v>
      </c>
      <c r="J1175">
        <v>2018</v>
      </c>
      <c r="K1175">
        <v>43698.521897777777</v>
      </c>
      <c r="L1175" t="s">
        <v>1809</v>
      </c>
      <c r="M1175" t="s">
        <v>154</v>
      </c>
      <c r="N1175" t="s">
        <v>1305</v>
      </c>
      <c r="O1175">
        <v>346848</v>
      </c>
      <c r="P1175">
        <v>43698.521897777777</v>
      </c>
      <c r="Q1175">
        <v>43011.591894791665</v>
      </c>
      <c r="R1175">
        <v>1196</v>
      </c>
    </row>
    <row r="1176" spans="1:18" x14ac:dyDescent="0.25">
      <c r="A1176" t="s">
        <v>3949</v>
      </c>
      <c r="B1176" t="s">
        <v>3950</v>
      </c>
      <c r="C1176" t="s">
        <v>3951</v>
      </c>
      <c r="D1176" t="s">
        <v>3951</v>
      </c>
      <c r="E1176" t="s">
        <v>3952</v>
      </c>
      <c r="F1176" t="s">
        <v>91</v>
      </c>
      <c r="G1176" t="s">
        <v>22</v>
      </c>
      <c r="H1176" t="s">
        <v>53</v>
      </c>
      <c r="I1176" t="s">
        <v>3006</v>
      </c>
      <c r="J1176">
        <v>2018</v>
      </c>
      <c r="K1176">
        <v>43698.521897777777</v>
      </c>
      <c r="L1176" t="s">
        <v>1809</v>
      </c>
      <c r="M1176" t="s">
        <v>154</v>
      </c>
      <c r="N1176" t="s">
        <v>1305</v>
      </c>
      <c r="O1176">
        <v>346752</v>
      </c>
      <c r="P1176">
        <v>43698.521897777777</v>
      </c>
      <c r="Q1176">
        <v>43011.593309525466</v>
      </c>
      <c r="R1176">
        <v>1197</v>
      </c>
    </row>
    <row r="1177" spans="1:18" x14ac:dyDescent="0.25">
      <c r="A1177" t="s">
        <v>3953</v>
      </c>
      <c r="B1177" t="s">
        <v>3954</v>
      </c>
      <c r="C1177" t="s">
        <v>3955</v>
      </c>
      <c r="D1177" t="s">
        <v>3955</v>
      </c>
      <c r="E1177" t="s">
        <v>3955</v>
      </c>
      <c r="F1177" t="s">
        <v>91</v>
      </c>
      <c r="G1177" t="s">
        <v>63</v>
      </c>
      <c r="H1177" t="s">
        <v>34</v>
      </c>
      <c r="I1177" t="s">
        <v>35</v>
      </c>
      <c r="J1177">
        <v>2016</v>
      </c>
      <c r="K1177">
        <v>43698.521897777777</v>
      </c>
      <c r="L1177" t="s">
        <v>1005</v>
      </c>
      <c r="M1177" t="s">
        <v>1941</v>
      </c>
      <c r="N1177" t="s">
        <v>415</v>
      </c>
      <c r="O1177">
        <v>346742</v>
      </c>
      <c r="P1177">
        <v>43698.521897777777</v>
      </c>
      <c r="Q1177">
        <v>43012.552662847222</v>
      </c>
      <c r="R1177">
        <v>1198</v>
      </c>
    </row>
    <row r="1178" spans="1:18" x14ac:dyDescent="0.25">
      <c r="A1178" t="s">
        <v>3956</v>
      </c>
      <c r="B1178" t="s">
        <v>3957</v>
      </c>
      <c r="C1178" t="s">
        <v>3958</v>
      </c>
      <c r="D1178" t="s">
        <v>3958</v>
      </c>
      <c r="E1178" t="s">
        <v>3959</v>
      </c>
      <c r="F1178" t="s">
        <v>91</v>
      </c>
      <c r="G1178" t="s">
        <v>22</v>
      </c>
      <c r="H1178" t="s">
        <v>53</v>
      </c>
      <c r="I1178" t="s">
        <v>3006</v>
      </c>
      <c r="J1178">
        <v>2018</v>
      </c>
      <c r="K1178">
        <v>43698.521897777777</v>
      </c>
      <c r="L1178" t="s">
        <v>1978</v>
      </c>
      <c r="M1178" t="s">
        <v>154</v>
      </c>
      <c r="N1178" t="s">
        <v>523</v>
      </c>
      <c r="O1178">
        <v>337057</v>
      </c>
      <c r="P1178">
        <v>43675.131249999999</v>
      </c>
      <c r="Q1178">
        <v>43013.636737002314</v>
      </c>
      <c r="R1178">
        <v>1199</v>
      </c>
    </row>
    <row r="1179" spans="1:18" x14ac:dyDescent="0.25">
      <c r="A1179" t="s">
        <v>3960</v>
      </c>
      <c r="B1179" t="s">
        <v>3961</v>
      </c>
      <c r="C1179" t="s">
        <v>3962</v>
      </c>
      <c r="D1179" t="s">
        <v>3962</v>
      </c>
      <c r="E1179" t="s">
        <v>3963</v>
      </c>
      <c r="F1179" t="s">
        <v>91</v>
      </c>
      <c r="G1179" t="s">
        <v>22</v>
      </c>
      <c r="H1179" t="s">
        <v>53</v>
      </c>
      <c r="I1179" t="s">
        <v>3006</v>
      </c>
      <c r="J1179">
        <v>2018</v>
      </c>
      <c r="K1179">
        <v>43698.521897777777</v>
      </c>
      <c r="L1179" t="s">
        <v>466</v>
      </c>
      <c r="M1179" t="s">
        <v>154</v>
      </c>
      <c r="N1179" t="s">
        <v>1305</v>
      </c>
      <c r="O1179">
        <v>345519</v>
      </c>
      <c r="P1179">
        <v>43698.521897777777</v>
      </c>
      <c r="Q1179">
        <v>43013.639511574074</v>
      </c>
      <c r="R1179">
        <v>1200</v>
      </c>
    </row>
    <row r="1180" spans="1:18" x14ac:dyDescent="0.25">
      <c r="A1180" t="s">
        <v>3964</v>
      </c>
      <c r="B1180" t="s">
        <v>3965</v>
      </c>
      <c r="C1180" t="s">
        <v>3966</v>
      </c>
      <c r="D1180" t="s">
        <v>3966</v>
      </c>
      <c r="E1180" t="s">
        <v>3967</v>
      </c>
      <c r="F1180" t="s">
        <v>91</v>
      </c>
      <c r="G1180" t="s">
        <v>22</v>
      </c>
      <c r="H1180" t="s">
        <v>53</v>
      </c>
      <c r="I1180" t="s">
        <v>3006</v>
      </c>
      <c r="J1180">
        <v>2018</v>
      </c>
      <c r="K1180">
        <v>43698.521897777777</v>
      </c>
      <c r="L1180" t="s">
        <v>466</v>
      </c>
      <c r="M1180" t="s">
        <v>154</v>
      </c>
      <c r="N1180" t="s">
        <v>523</v>
      </c>
      <c r="O1180">
        <v>344183</v>
      </c>
      <c r="P1180">
        <v>43698.521897777777</v>
      </c>
      <c r="Q1180">
        <v>43013.642939351848</v>
      </c>
      <c r="R1180">
        <v>1201</v>
      </c>
    </row>
    <row r="1181" spans="1:18" x14ac:dyDescent="0.25">
      <c r="A1181" t="s">
        <v>3968</v>
      </c>
      <c r="B1181" t="s">
        <v>3969</v>
      </c>
      <c r="C1181" t="s">
        <v>3970</v>
      </c>
      <c r="D1181" t="s">
        <v>3970</v>
      </c>
      <c r="E1181" t="s">
        <v>3971</v>
      </c>
      <c r="F1181" t="s">
        <v>91</v>
      </c>
      <c r="G1181" t="s">
        <v>22</v>
      </c>
      <c r="H1181" t="s">
        <v>53</v>
      </c>
      <c r="I1181" t="s">
        <v>3006</v>
      </c>
      <c r="J1181">
        <v>2018</v>
      </c>
      <c r="K1181">
        <v>43698.521897777777</v>
      </c>
      <c r="L1181" t="s">
        <v>1809</v>
      </c>
      <c r="M1181" t="s">
        <v>154</v>
      </c>
      <c r="N1181" t="s">
        <v>1305</v>
      </c>
      <c r="O1181">
        <v>346743</v>
      </c>
      <c r="P1181">
        <v>43698.521897777777</v>
      </c>
      <c r="Q1181">
        <v>43015.756838738424</v>
      </c>
      <c r="R1181">
        <v>1202</v>
      </c>
    </row>
    <row r="1182" spans="1:18" x14ac:dyDescent="0.25">
      <c r="A1182" t="s">
        <v>3972</v>
      </c>
      <c r="B1182" t="s">
        <v>3973</v>
      </c>
      <c r="C1182" t="s">
        <v>3974</v>
      </c>
      <c r="D1182" t="s">
        <v>3974</v>
      </c>
      <c r="E1182" t="s">
        <v>3975</v>
      </c>
      <c r="F1182" t="s">
        <v>91</v>
      </c>
      <c r="G1182" t="s">
        <v>22</v>
      </c>
      <c r="H1182" t="s">
        <v>53</v>
      </c>
      <c r="I1182" t="s">
        <v>3006</v>
      </c>
      <c r="J1182">
        <v>2018</v>
      </c>
      <c r="K1182">
        <v>43698.521897777777</v>
      </c>
      <c r="L1182" t="s">
        <v>466</v>
      </c>
      <c r="M1182" t="s">
        <v>154</v>
      </c>
      <c r="N1182" t="s">
        <v>1305</v>
      </c>
      <c r="O1182">
        <v>342862</v>
      </c>
      <c r="P1182">
        <v>43698.521897777777</v>
      </c>
      <c r="Q1182">
        <v>43018.538043483793</v>
      </c>
      <c r="R1182">
        <v>1203</v>
      </c>
    </row>
    <row r="1183" spans="1:18" x14ac:dyDescent="0.25">
      <c r="A1183" t="s">
        <v>3976</v>
      </c>
      <c r="B1183" t="s">
        <v>3977</v>
      </c>
      <c r="C1183" t="s">
        <v>3978</v>
      </c>
      <c r="D1183" t="s">
        <v>3978</v>
      </c>
      <c r="E1183" t="s">
        <v>3979</v>
      </c>
      <c r="F1183" t="s">
        <v>91</v>
      </c>
      <c r="G1183" t="s">
        <v>22</v>
      </c>
      <c r="H1183" t="s">
        <v>53</v>
      </c>
      <c r="I1183" t="s">
        <v>3006</v>
      </c>
      <c r="J1183">
        <v>2018</v>
      </c>
      <c r="K1183">
        <v>43698.521897777777</v>
      </c>
      <c r="L1183" t="s">
        <v>1978</v>
      </c>
      <c r="M1183" t="s">
        <v>154</v>
      </c>
      <c r="N1183" t="s">
        <v>1305</v>
      </c>
      <c r="O1183">
        <v>334380</v>
      </c>
      <c r="P1183">
        <v>43672.838888888888</v>
      </c>
      <c r="Q1183">
        <v>43018.540028009258</v>
      </c>
      <c r="R1183">
        <v>1204</v>
      </c>
    </row>
    <row r="1184" spans="1:18" x14ac:dyDescent="0.25">
      <c r="A1184" t="s">
        <v>3980</v>
      </c>
      <c r="B1184" t="s">
        <v>3981</v>
      </c>
      <c r="C1184" t="s">
        <v>3982</v>
      </c>
      <c r="D1184" t="s">
        <v>3982</v>
      </c>
      <c r="E1184" t="s">
        <v>3983</v>
      </c>
      <c r="F1184" t="s">
        <v>91</v>
      </c>
      <c r="G1184" t="s">
        <v>22</v>
      </c>
      <c r="H1184" t="s">
        <v>53</v>
      </c>
      <c r="I1184" t="s">
        <v>3006</v>
      </c>
      <c r="J1184">
        <v>2018</v>
      </c>
      <c r="K1184">
        <v>43698.521897777777</v>
      </c>
      <c r="L1184" t="s">
        <v>1978</v>
      </c>
      <c r="M1184" t="s">
        <v>154</v>
      </c>
      <c r="N1184" t="s">
        <v>1305</v>
      </c>
      <c r="O1184">
        <v>346074</v>
      </c>
      <c r="P1184">
        <v>43698.521897777777</v>
      </c>
      <c r="Q1184">
        <v>43018.542707442131</v>
      </c>
      <c r="R1184">
        <v>1205</v>
      </c>
    </row>
    <row r="1185" spans="1:18" x14ac:dyDescent="0.25">
      <c r="A1185" t="s">
        <v>3984</v>
      </c>
      <c r="B1185" t="s">
        <v>3985</v>
      </c>
      <c r="C1185" t="s">
        <v>3986</v>
      </c>
      <c r="D1185" t="s">
        <v>3986</v>
      </c>
      <c r="E1185" t="s">
        <v>3987</v>
      </c>
      <c r="F1185" t="s">
        <v>91</v>
      </c>
      <c r="G1185" t="s">
        <v>22</v>
      </c>
      <c r="H1185" t="s">
        <v>53</v>
      </c>
      <c r="I1185" t="s">
        <v>3006</v>
      </c>
      <c r="J1185">
        <v>2018</v>
      </c>
      <c r="K1185">
        <v>43698.521897777777</v>
      </c>
      <c r="L1185" t="s">
        <v>466</v>
      </c>
      <c r="M1185" t="s">
        <v>154</v>
      </c>
      <c r="N1185" t="s">
        <v>1305</v>
      </c>
      <c r="O1185">
        <v>346719</v>
      </c>
      <c r="P1185">
        <v>43698.521897777777</v>
      </c>
      <c r="Q1185">
        <v>43018.543570636575</v>
      </c>
      <c r="R1185">
        <v>1206</v>
      </c>
    </row>
    <row r="1186" spans="1:18" x14ac:dyDescent="0.25">
      <c r="A1186" t="s">
        <v>3988</v>
      </c>
      <c r="B1186" t="s">
        <v>3989</v>
      </c>
      <c r="C1186" t="s">
        <v>3990</v>
      </c>
      <c r="D1186" t="s">
        <v>3990</v>
      </c>
      <c r="E1186" t="s">
        <v>3990</v>
      </c>
      <c r="F1186" t="s">
        <v>21</v>
      </c>
      <c r="G1186" t="s">
        <v>63</v>
      </c>
      <c r="H1186" t="s">
        <v>53</v>
      </c>
      <c r="I1186" t="s">
        <v>797</v>
      </c>
      <c r="J1186">
        <v>2007</v>
      </c>
      <c r="K1186">
        <v>43698.521897777777</v>
      </c>
      <c r="L1186" t="s">
        <v>422</v>
      </c>
      <c r="M1186" t="s">
        <v>2777</v>
      </c>
      <c r="N1186" t="s">
        <v>415</v>
      </c>
      <c r="O1186">
        <v>203668</v>
      </c>
      <c r="P1186">
        <v>43306.583333333336</v>
      </c>
      <c r="Q1186">
        <v>43019.661050659721</v>
      </c>
      <c r="R1186">
        <v>1207</v>
      </c>
    </row>
    <row r="1187" spans="1:18" x14ac:dyDescent="0.25">
      <c r="A1187" t="s">
        <v>3991</v>
      </c>
      <c r="B1187" t="s">
        <v>1585</v>
      </c>
      <c r="C1187" t="s">
        <v>3992</v>
      </c>
      <c r="D1187" t="s">
        <v>3992</v>
      </c>
      <c r="E1187" t="s">
        <v>3993</v>
      </c>
      <c r="F1187" t="s">
        <v>21</v>
      </c>
      <c r="G1187" t="s">
        <v>22</v>
      </c>
      <c r="H1187" t="s">
        <v>53</v>
      </c>
      <c r="I1187" t="s">
        <v>471</v>
      </c>
      <c r="J1187">
        <v>2016</v>
      </c>
      <c r="K1187">
        <v>43698.521897777777</v>
      </c>
      <c r="L1187" t="s">
        <v>1660</v>
      </c>
      <c r="M1187" t="s">
        <v>2777</v>
      </c>
      <c r="N1187" t="s">
        <v>415</v>
      </c>
      <c r="O1187">
        <v>185334</v>
      </c>
      <c r="P1187">
        <v>43242.637499999997</v>
      </c>
      <c r="Q1187">
        <v>43019.6693284375</v>
      </c>
      <c r="R1187">
        <v>1208</v>
      </c>
    </row>
    <row r="1188" spans="1:18" x14ac:dyDescent="0.25">
      <c r="A1188" t="s">
        <v>3994</v>
      </c>
      <c r="B1188" t="s">
        <v>1589</v>
      </c>
      <c r="C1188" t="s">
        <v>3995</v>
      </c>
      <c r="D1188" t="s">
        <v>3995</v>
      </c>
      <c r="E1188" t="s">
        <v>3996</v>
      </c>
      <c r="F1188" t="s">
        <v>21</v>
      </c>
      <c r="G1188" t="s">
        <v>22</v>
      </c>
      <c r="H1188" t="s">
        <v>53</v>
      </c>
      <c r="I1188" t="s">
        <v>471</v>
      </c>
      <c r="J1188">
        <v>2016</v>
      </c>
      <c r="K1188">
        <v>43698.521897777777</v>
      </c>
      <c r="L1188" t="s">
        <v>1660</v>
      </c>
      <c r="M1188" t="s">
        <v>2777</v>
      </c>
      <c r="N1188" t="s">
        <v>415</v>
      </c>
      <c r="O1188">
        <v>216849</v>
      </c>
      <c r="P1188">
        <v>43350.544444444444</v>
      </c>
      <c r="Q1188">
        <v>43019.673722453706</v>
      </c>
      <c r="R1188">
        <v>1209</v>
      </c>
    </row>
    <row r="1189" spans="1:18" x14ac:dyDescent="0.25">
      <c r="A1189" t="s">
        <v>3997</v>
      </c>
      <c r="B1189" t="s">
        <v>1597</v>
      </c>
      <c r="C1189" t="s">
        <v>3998</v>
      </c>
      <c r="D1189" t="s">
        <v>3998</v>
      </c>
      <c r="E1189" t="s">
        <v>3999</v>
      </c>
      <c r="F1189" t="s">
        <v>21</v>
      </c>
      <c r="G1189" t="s">
        <v>22</v>
      </c>
      <c r="H1189" t="s">
        <v>53</v>
      </c>
      <c r="I1189" t="s">
        <v>471</v>
      </c>
      <c r="J1189">
        <v>2016</v>
      </c>
      <c r="K1189">
        <v>43698.521897777777</v>
      </c>
      <c r="L1189" t="s">
        <v>2713</v>
      </c>
      <c r="M1189" t="s">
        <v>2777</v>
      </c>
      <c r="N1189" t="s">
        <v>415</v>
      </c>
      <c r="O1189">
        <v>203434</v>
      </c>
      <c r="P1189">
        <v>43312.63925925926</v>
      </c>
      <c r="Q1189">
        <v>43019.676959872682</v>
      </c>
      <c r="R1189">
        <v>1210</v>
      </c>
    </row>
    <row r="1190" spans="1:18" x14ac:dyDescent="0.25">
      <c r="A1190" t="s">
        <v>4000</v>
      </c>
      <c r="B1190" t="s">
        <v>4001</v>
      </c>
      <c r="C1190" t="s">
        <v>4002</v>
      </c>
      <c r="D1190" t="s">
        <v>4002</v>
      </c>
      <c r="E1190" t="s">
        <v>4003</v>
      </c>
      <c r="F1190" t="s">
        <v>91</v>
      </c>
      <c r="G1190" t="s">
        <v>22</v>
      </c>
      <c r="H1190" t="s">
        <v>53</v>
      </c>
      <c r="I1190" t="s">
        <v>3006</v>
      </c>
      <c r="J1190">
        <v>2018</v>
      </c>
      <c r="K1190">
        <v>43698.521897777777</v>
      </c>
      <c r="L1190" t="s">
        <v>466</v>
      </c>
      <c r="M1190" t="s">
        <v>1738</v>
      </c>
      <c r="N1190" t="s">
        <v>1305</v>
      </c>
      <c r="O1190">
        <v>346064</v>
      </c>
      <c r="P1190">
        <v>43698.521897777777</v>
      </c>
      <c r="Q1190">
        <v>43019.860856284722</v>
      </c>
      <c r="R1190">
        <v>1211</v>
      </c>
    </row>
    <row r="1191" spans="1:18" x14ac:dyDescent="0.25">
      <c r="A1191" t="s">
        <v>4004</v>
      </c>
      <c r="B1191" t="s">
        <v>2481</v>
      </c>
      <c r="C1191" t="s">
        <v>4005</v>
      </c>
      <c r="D1191" t="s">
        <v>4005</v>
      </c>
      <c r="E1191" t="s">
        <v>4006</v>
      </c>
      <c r="F1191" t="s">
        <v>21</v>
      </c>
      <c r="G1191" t="s">
        <v>22</v>
      </c>
      <c r="H1191" t="s">
        <v>53</v>
      </c>
      <c r="I1191" t="s">
        <v>471</v>
      </c>
      <c r="J1191">
        <v>2017</v>
      </c>
      <c r="K1191">
        <v>43698.521897777777</v>
      </c>
      <c r="L1191" t="s">
        <v>1660</v>
      </c>
      <c r="M1191" t="s">
        <v>2777</v>
      </c>
      <c r="N1191" t="s">
        <v>415</v>
      </c>
      <c r="O1191">
        <v>222333</v>
      </c>
      <c r="P1191">
        <v>43363.811111111114</v>
      </c>
      <c r="Q1191">
        <v>43020.444309837963</v>
      </c>
      <c r="R1191">
        <v>1212</v>
      </c>
    </row>
    <row r="1192" spans="1:18" x14ac:dyDescent="0.25">
      <c r="A1192" t="s">
        <v>4007</v>
      </c>
      <c r="B1192" t="s">
        <v>4008</v>
      </c>
      <c r="C1192" t="s">
        <v>4009</v>
      </c>
      <c r="D1192" t="s">
        <v>4009</v>
      </c>
      <c r="E1192" t="s">
        <v>4010</v>
      </c>
      <c r="F1192" t="s">
        <v>91</v>
      </c>
      <c r="G1192" t="s">
        <v>22</v>
      </c>
      <c r="H1192" t="s">
        <v>53</v>
      </c>
      <c r="I1192" t="s">
        <v>3006</v>
      </c>
      <c r="J1192">
        <v>2018</v>
      </c>
      <c r="K1192">
        <v>43698.521897777777</v>
      </c>
      <c r="L1192" t="s">
        <v>3929</v>
      </c>
      <c r="M1192" t="s">
        <v>1738</v>
      </c>
      <c r="N1192" t="s">
        <v>4011</v>
      </c>
      <c r="O1192">
        <v>345376</v>
      </c>
      <c r="P1192">
        <v>43698.521897777777</v>
      </c>
      <c r="Q1192">
        <v>43020.468505787037</v>
      </c>
      <c r="R1192">
        <v>1213</v>
      </c>
    </row>
    <row r="1193" spans="1:18" x14ac:dyDescent="0.25">
      <c r="A1193" t="s">
        <v>4012</v>
      </c>
      <c r="B1193" t="s">
        <v>4013</v>
      </c>
      <c r="C1193" t="s">
        <v>4014</v>
      </c>
      <c r="D1193" t="s">
        <v>4014</v>
      </c>
      <c r="E1193" t="s">
        <v>4015</v>
      </c>
      <c r="F1193" t="s">
        <v>91</v>
      </c>
      <c r="G1193" t="s">
        <v>22</v>
      </c>
      <c r="H1193" t="s">
        <v>53</v>
      </c>
      <c r="I1193" t="s">
        <v>3006</v>
      </c>
      <c r="J1193">
        <v>2018</v>
      </c>
      <c r="K1193">
        <v>43698.521897777777</v>
      </c>
      <c r="L1193" t="s">
        <v>466</v>
      </c>
      <c r="M1193" t="s">
        <v>1738</v>
      </c>
      <c r="N1193" t="s">
        <v>1305</v>
      </c>
      <c r="O1193">
        <v>345397</v>
      </c>
      <c r="P1193">
        <v>43698.521897777777</v>
      </c>
      <c r="Q1193">
        <v>43020.475088738429</v>
      </c>
      <c r="R1193">
        <v>1214</v>
      </c>
    </row>
    <row r="1194" spans="1:18" x14ac:dyDescent="0.25">
      <c r="A1194" t="s">
        <v>4016</v>
      </c>
      <c r="B1194" t="s">
        <v>4017</v>
      </c>
      <c r="C1194" t="s">
        <v>4018</v>
      </c>
      <c r="D1194" t="s">
        <v>4018</v>
      </c>
      <c r="E1194" t="s">
        <v>4019</v>
      </c>
      <c r="F1194" t="s">
        <v>91</v>
      </c>
      <c r="G1194" t="s">
        <v>22</v>
      </c>
      <c r="H1194" t="s">
        <v>53</v>
      </c>
      <c r="I1194" t="s">
        <v>3006</v>
      </c>
      <c r="J1194">
        <v>2018</v>
      </c>
      <c r="K1194">
        <v>43698.521897777777</v>
      </c>
      <c r="L1194" t="s">
        <v>1978</v>
      </c>
      <c r="M1194" t="s">
        <v>1738</v>
      </c>
      <c r="N1194" t="s">
        <v>1305</v>
      </c>
      <c r="O1194">
        <v>345829</v>
      </c>
      <c r="P1194">
        <v>43698.521897777777</v>
      </c>
      <c r="Q1194">
        <v>43020.477647719905</v>
      </c>
      <c r="R1194">
        <v>1215</v>
      </c>
    </row>
    <row r="1195" spans="1:18" x14ac:dyDescent="0.25">
      <c r="A1195" t="s">
        <v>4020</v>
      </c>
      <c r="B1195" t="s">
        <v>4021</v>
      </c>
      <c r="C1195" t="s">
        <v>4022</v>
      </c>
      <c r="D1195" t="s">
        <v>4022</v>
      </c>
      <c r="E1195" t="s">
        <v>4023</v>
      </c>
      <c r="F1195" t="s">
        <v>91</v>
      </c>
      <c r="G1195" t="s">
        <v>22</v>
      </c>
      <c r="H1195" t="s">
        <v>53</v>
      </c>
      <c r="I1195" t="s">
        <v>3006</v>
      </c>
      <c r="J1195">
        <v>2018</v>
      </c>
      <c r="K1195">
        <v>43698.521897777777</v>
      </c>
      <c r="L1195" t="s">
        <v>466</v>
      </c>
      <c r="M1195" t="s">
        <v>1738</v>
      </c>
      <c r="N1195" t="s">
        <v>1305</v>
      </c>
      <c r="O1195">
        <v>345845</v>
      </c>
      <c r="P1195">
        <v>43698.521897777777</v>
      </c>
      <c r="Q1195">
        <v>43020.479901122686</v>
      </c>
      <c r="R1195">
        <v>1216</v>
      </c>
    </row>
    <row r="1196" spans="1:18" x14ac:dyDescent="0.25">
      <c r="A1196" t="s">
        <v>4024</v>
      </c>
      <c r="B1196" t="s">
        <v>2477</v>
      </c>
      <c r="C1196" t="s">
        <v>4025</v>
      </c>
      <c r="D1196" t="s">
        <v>4025</v>
      </c>
      <c r="E1196" t="s">
        <v>4026</v>
      </c>
      <c r="F1196" t="s">
        <v>21</v>
      </c>
      <c r="G1196" t="s">
        <v>22</v>
      </c>
      <c r="H1196" t="s">
        <v>53</v>
      </c>
      <c r="I1196" t="s">
        <v>471</v>
      </c>
      <c r="J1196">
        <v>2017</v>
      </c>
      <c r="K1196">
        <v>43698.521897777777</v>
      </c>
      <c r="L1196" t="s">
        <v>1660</v>
      </c>
      <c r="M1196" t="s">
        <v>2777</v>
      </c>
      <c r="N1196" t="s">
        <v>415</v>
      </c>
      <c r="O1196">
        <v>219319</v>
      </c>
      <c r="P1196">
        <v>43355.715636574074</v>
      </c>
      <c r="Q1196">
        <v>43020.480169594906</v>
      </c>
      <c r="R1196">
        <v>1217</v>
      </c>
    </row>
    <row r="1197" spans="1:18" x14ac:dyDescent="0.25">
      <c r="A1197" t="s">
        <v>4027</v>
      </c>
      <c r="B1197" t="s">
        <v>4028</v>
      </c>
      <c r="C1197" t="s">
        <v>4029</v>
      </c>
      <c r="D1197" t="s">
        <v>4029</v>
      </c>
      <c r="E1197" t="s">
        <v>4030</v>
      </c>
      <c r="F1197" t="s">
        <v>91</v>
      </c>
      <c r="G1197" t="s">
        <v>22</v>
      </c>
      <c r="H1197" t="s">
        <v>53</v>
      </c>
      <c r="I1197" t="s">
        <v>3006</v>
      </c>
      <c r="J1197">
        <v>2018</v>
      </c>
      <c r="K1197">
        <v>43698.521897777777</v>
      </c>
      <c r="L1197" t="s">
        <v>1978</v>
      </c>
      <c r="M1197" t="s">
        <v>1738</v>
      </c>
      <c r="N1197" t="s">
        <v>1305</v>
      </c>
      <c r="O1197">
        <v>345856</v>
      </c>
      <c r="P1197">
        <v>43698.521897777777</v>
      </c>
      <c r="Q1197">
        <v>43020.481485497687</v>
      </c>
      <c r="R1197">
        <v>1218</v>
      </c>
    </row>
    <row r="1198" spans="1:18" x14ac:dyDescent="0.25">
      <c r="A1198" t="s">
        <v>4031</v>
      </c>
      <c r="B1198" t="s">
        <v>4032</v>
      </c>
      <c r="C1198" t="s">
        <v>4033</v>
      </c>
      <c r="D1198" t="s">
        <v>4033</v>
      </c>
      <c r="E1198" t="s">
        <v>4034</v>
      </c>
      <c r="F1198" t="s">
        <v>91</v>
      </c>
      <c r="G1198" t="s">
        <v>63</v>
      </c>
      <c r="H1198" t="s">
        <v>53</v>
      </c>
      <c r="I1198" t="s">
        <v>3006</v>
      </c>
      <c r="J1198">
        <v>2018</v>
      </c>
      <c r="K1198">
        <v>43698.521897777777</v>
      </c>
      <c r="L1198" t="s">
        <v>466</v>
      </c>
      <c r="M1198" t="s">
        <v>1738</v>
      </c>
      <c r="N1198" t="s">
        <v>1305</v>
      </c>
      <c r="O1198">
        <v>343912</v>
      </c>
      <c r="P1198">
        <v>43693.663194444445</v>
      </c>
      <c r="Q1198">
        <v>43020.483587962961</v>
      </c>
      <c r="R1198">
        <v>1219</v>
      </c>
    </row>
    <row r="1199" spans="1:18" x14ac:dyDescent="0.25">
      <c r="A1199" t="s">
        <v>4035</v>
      </c>
      <c r="B1199" t="s">
        <v>4036</v>
      </c>
      <c r="C1199" t="s">
        <v>4037</v>
      </c>
      <c r="D1199" t="s">
        <v>4037</v>
      </c>
      <c r="E1199" t="s">
        <v>4038</v>
      </c>
      <c r="F1199" t="s">
        <v>91</v>
      </c>
      <c r="G1199" t="s">
        <v>22</v>
      </c>
      <c r="H1199" t="s">
        <v>53</v>
      </c>
      <c r="I1199" t="s">
        <v>3006</v>
      </c>
      <c r="J1199">
        <v>2018</v>
      </c>
      <c r="K1199">
        <v>43698.521897777777</v>
      </c>
      <c r="L1199" t="s">
        <v>466</v>
      </c>
      <c r="M1199" t="s">
        <v>1738</v>
      </c>
      <c r="N1199" t="s">
        <v>1305</v>
      </c>
      <c r="O1199">
        <v>342867</v>
      </c>
      <c r="P1199">
        <v>43695.57435185185</v>
      </c>
      <c r="Q1199">
        <v>43020.485498414353</v>
      </c>
      <c r="R1199">
        <v>1220</v>
      </c>
    </row>
    <row r="1200" spans="1:18" x14ac:dyDescent="0.25">
      <c r="A1200" t="s">
        <v>4039</v>
      </c>
      <c r="B1200" t="s">
        <v>4040</v>
      </c>
      <c r="C1200" t="s">
        <v>4041</v>
      </c>
      <c r="D1200" t="s">
        <v>4041</v>
      </c>
      <c r="E1200" t="s">
        <v>4042</v>
      </c>
      <c r="F1200" t="s">
        <v>91</v>
      </c>
      <c r="G1200" t="s">
        <v>22</v>
      </c>
      <c r="H1200" t="s">
        <v>53</v>
      </c>
      <c r="I1200" t="s">
        <v>3006</v>
      </c>
      <c r="J1200">
        <v>2018</v>
      </c>
      <c r="K1200">
        <v>43698.521897777777</v>
      </c>
      <c r="L1200" t="s">
        <v>466</v>
      </c>
      <c r="M1200" t="s">
        <v>1738</v>
      </c>
      <c r="N1200" t="s">
        <v>1305</v>
      </c>
      <c r="O1200">
        <v>346249</v>
      </c>
      <c r="P1200">
        <v>43698.521897777777</v>
      </c>
      <c r="Q1200">
        <v>43020.487332094905</v>
      </c>
      <c r="R1200">
        <v>1221</v>
      </c>
    </row>
    <row r="1201" spans="1:18" x14ac:dyDescent="0.25">
      <c r="A1201" t="s">
        <v>4043</v>
      </c>
      <c r="B1201" t="s">
        <v>2493</v>
      </c>
      <c r="C1201" t="s">
        <v>4044</v>
      </c>
      <c r="D1201" t="s">
        <v>4044</v>
      </c>
      <c r="E1201" t="s">
        <v>4045</v>
      </c>
      <c r="F1201" t="s">
        <v>21</v>
      </c>
      <c r="G1201" t="s">
        <v>22</v>
      </c>
      <c r="H1201" t="s">
        <v>53</v>
      </c>
      <c r="I1201" t="s">
        <v>471</v>
      </c>
      <c r="J1201">
        <v>2017</v>
      </c>
      <c r="K1201">
        <v>43698.521897777777</v>
      </c>
      <c r="L1201" t="s">
        <v>1660</v>
      </c>
      <c r="M1201" t="s">
        <v>2777</v>
      </c>
      <c r="N1201" t="s">
        <v>415</v>
      </c>
      <c r="O1201">
        <v>180339</v>
      </c>
      <c r="P1201">
        <v>43223.954861111109</v>
      </c>
      <c r="Q1201">
        <v>43024.746040196762</v>
      </c>
      <c r="R1201">
        <v>1222</v>
      </c>
    </row>
    <row r="1202" spans="1:18" x14ac:dyDescent="0.25">
      <c r="A1202" t="s">
        <v>4046</v>
      </c>
      <c r="B1202" t="s">
        <v>2473</v>
      </c>
      <c r="C1202" t="s">
        <v>4047</v>
      </c>
      <c r="D1202" t="s">
        <v>4047</v>
      </c>
      <c r="E1202" t="s">
        <v>4048</v>
      </c>
      <c r="F1202" t="s">
        <v>21</v>
      </c>
      <c r="G1202" t="s">
        <v>22</v>
      </c>
      <c r="H1202" t="s">
        <v>53</v>
      </c>
      <c r="I1202" t="s">
        <v>471</v>
      </c>
      <c r="J1202">
        <v>2017</v>
      </c>
      <c r="K1202">
        <v>43698.521897777777</v>
      </c>
      <c r="L1202" t="s">
        <v>1660</v>
      </c>
      <c r="M1202" t="s">
        <v>37</v>
      </c>
      <c r="N1202" t="s">
        <v>415</v>
      </c>
      <c r="O1202">
        <v>204097</v>
      </c>
      <c r="P1202">
        <v>43307.844444444447</v>
      </c>
      <c r="Q1202">
        <v>43024.747164733795</v>
      </c>
      <c r="R1202">
        <v>1223</v>
      </c>
    </row>
    <row r="1203" spans="1:18" x14ac:dyDescent="0.25">
      <c r="A1203" t="s">
        <v>4049</v>
      </c>
      <c r="B1203" t="s">
        <v>4050</v>
      </c>
      <c r="C1203" t="s">
        <v>4051</v>
      </c>
      <c r="D1203" t="s">
        <v>4051</v>
      </c>
      <c r="E1203" t="s">
        <v>4051</v>
      </c>
      <c r="F1203" t="s">
        <v>91</v>
      </c>
      <c r="G1203" t="s">
        <v>63</v>
      </c>
      <c r="H1203" t="s">
        <v>53</v>
      </c>
      <c r="I1203" t="s">
        <v>4052</v>
      </c>
      <c r="J1203">
        <v>2006</v>
      </c>
      <c r="K1203">
        <v>43698.521897777777</v>
      </c>
      <c r="L1203" t="s">
        <v>193</v>
      </c>
      <c r="M1203" t="s">
        <v>1941</v>
      </c>
      <c r="N1203" t="s">
        <v>415</v>
      </c>
      <c r="O1203">
        <v>345447</v>
      </c>
      <c r="P1203">
        <v>43698.521897777777</v>
      </c>
      <c r="Q1203">
        <v>43027.488966585646</v>
      </c>
      <c r="R1203">
        <v>1224</v>
      </c>
    </row>
    <row r="1204" spans="1:18" x14ac:dyDescent="0.25">
      <c r="A1204" t="s">
        <v>4053</v>
      </c>
      <c r="B1204" t="s">
        <v>1959</v>
      </c>
      <c r="C1204" t="s">
        <v>4054</v>
      </c>
      <c r="D1204" t="s">
        <v>4054</v>
      </c>
      <c r="E1204" t="s">
        <v>4055</v>
      </c>
      <c r="F1204" t="s">
        <v>21</v>
      </c>
      <c r="G1204" t="s">
        <v>22</v>
      </c>
      <c r="H1204" t="s">
        <v>53</v>
      </c>
      <c r="I1204" t="s">
        <v>471</v>
      </c>
      <c r="J1204">
        <v>2016</v>
      </c>
      <c r="K1204">
        <v>43698.521897777777</v>
      </c>
      <c r="L1204" t="s">
        <v>1660</v>
      </c>
      <c r="M1204" t="s">
        <v>37</v>
      </c>
      <c r="N1204" t="s">
        <v>415</v>
      </c>
      <c r="O1204">
        <v>180542</v>
      </c>
      <c r="P1204">
        <v>43224.652083333334</v>
      </c>
      <c r="Q1204">
        <v>43028.511570983799</v>
      </c>
      <c r="R1204">
        <v>1225</v>
      </c>
    </row>
    <row r="1205" spans="1:18" x14ac:dyDescent="0.25">
      <c r="A1205" t="s">
        <v>4056</v>
      </c>
      <c r="B1205" t="s">
        <v>1963</v>
      </c>
      <c r="C1205" t="s">
        <v>4057</v>
      </c>
      <c r="D1205" t="s">
        <v>4057</v>
      </c>
      <c r="E1205" t="s">
        <v>4058</v>
      </c>
      <c r="F1205" t="s">
        <v>21</v>
      </c>
      <c r="G1205" t="s">
        <v>22</v>
      </c>
      <c r="H1205" t="s">
        <v>53</v>
      </c>
      <c r="I1205" t="s">
        <v>471</v>
      </c>
      <c r="J1205">
        <v>2016</v>
      </c>
      <c r="K1205">
        <v>43698.521897777777</v>
      </c>
      <c r="L1205" t="s">
        <v>1660</v>
      </c>
      <c r="M1205" t="s">
        <v>37</v>
      </c>
      <c r="N1205" t="s">
        <v>415</v>
      </c>
      <c r="O1205">
        <v>184629</v>
      </c>
      <c r="P1205">
        <v>43238.476388888892</v>
      </c>
      <c r="Q1205">
        <v>43028.512536493057</v>
      </c>
      <c r="R1205">
        <v>1226</v>
      </c>
    </row>
    <row r="1206" spans="1:18" x14ac:dyDescent="0.25">
      <c r="A1206" t="s">
        <v>4059</v>
      </c>
      <c r="B1206" t="s">
        <v>4060</v>
      </c>
      <c r="C1206" t="s">
        <v>4061</v>
      </c>
      <c r="D1206" t="s">
        <v>4061</v>
      </c>
      <c r="E1206" t="s">
        <v>4061</v>
      </c>
      <c r="F1206" t="s">
        <v>21</v>
      </c>
      <c r="G1206" t="s">
        <v>106</v>
      </c>
      <c r="H1206" t="s">
        <v>53</v>
      </c>
      <c r="I1206" t="s">
        <v>471</v>
      </c>
      <c r="J1206">
        <v>2018</v>
      </c>
      <c r="K1206">
        <v>43698.521897777777</v>
      </c>
      <c r="L1206" t="s">
        <v>25</v>
      </c>
      <c r="M1206" t="s">
        <v>154</v>
      </c>
      <c r="N1206" t="s">
        <v>27</v>
      </c>
      <c r="O1206">
        <v>138510</v>
      </c>
      <c r="P1206">
        <v>43030.970555555556</v>
      </c>
      <c r="Q1206">
        <v>43030.659562534725</v>
      </c>
      <c r="R1206">
        <v>1227</v>
      </c>
    </row>
    <row r="1207" spans="1:18" x14ac:dyDescent="0.25">
      <c r="A1207" t="s">
        <v>4062</v>
      </c>
      <c r="B1207" t="s">
        <v>4063</v>
      </c>
      <c r="C1207" t="s">
        <v>4064</v>
      </c>
      <c r="D1207" t="s">
        <v>4064</v>
      </c>
      <c r="E1207" t="s">
        <v>4065</v>
      </c>
      <c r="F1207" t="s">
        <v>91</v>
      </c>
      <c r="G1207" t="s">
        <v>22</v>
      </c>
      <c r="H1207" t="s">
        <v>53</v>
      </c>
      <c r="I1207" t="s">
        <v>3006</v>
      </c>
      <c r="J1207">
        <v>2018</v>
      </c>
      <c r="K1207">
        <v>43698.521897777777</v>
      </c>
      <c r="L1207" t="s">
        <v>466</v>
      </c>
      <c r="M1207" t="s">
        <v>1738</v>
      </c>
      <c r="N1207" t="s">
        <v>1305</v>
      </c>
      <c r="O1207">
        <v>342385</v>
      </c>
      <c r="P1207">
        <v>43694.537858796299</v>
      </c>
      <c r="Q1207">
        <v>43031.412223530089</v>
      </c>
      <c r="R1207">
        <v>1228</v>
      </c>
    </row>
    <row r="1208" spans="1:18" x14ac:dyDescent="0.25">
      <c r="A1208" t="s">
        <v>4066</v>
      </c>
      <c r="B1208" t="s">
        <v>4067</v>
      </c>
      <c r="C1208" t="s">
        <v>4068</v>
      </c>
      <c r="D1208" t="s">
        <v>4068</v>
      </c>
      <c r="E1208" t="s">
        <v>4069</v>
      </c>
      <c r="F1208" t="s">
        <v>91</v>
      </c>
      <c r="G1208" t="s">
        <v>22</v>
      </c>
      <c r="H1208" t="s">
        <v>53</v>
      </c>
      <c r="I1208" t="s">
        <v>3006</v>
      </c>
      <c r="J1208">
        <v>2018</v>
      </c>
      <c r="K1208">
        <v>43698.521897777777</v>
      </c>
      <c r="L1208" t="s">
        <v>466</v>
      </c>
      <c r="M1208" t="s">
        <v>1738</v>
      </c>
      <c r="N1208" t="s">
        <v>1305</v>
      </c>
      <c r="O1208">
        <v>344177</v>
      </c>
      <c r="P1208">
        <v>43698.521897777777</v>
      </c>
      <c r="Q1208">
        <v>43031.413228622689</v>
      </c>
      <c r="R1208">
        <v>1229</v>
      </c>
    </row>
    <row r="1209" spans="1:18" x14ac:dyDescent="0.25">
      <c r="A1209" t="s">
        <v>4070</v>
      </c>
      <c r="B1209" t="s">
        <v>4071</v>
      </c>
      <c r="C1209" t="s">
        <v>4072</v>
      </c>
      <c r="D1209" t="s">
        <v>4072</v>
      </c>
      <c r="E1209" t="s">
        <v>4073</v>
      </c>
      <c r="F1209" t="s">
        <v>91</v>
      </c>
      <c r="G1209" t="s">
        <v>22</v>
      </c>
      <c r="H1209" t="s">
        <v>53</v>
      </c>
      <c r="I1209" t="s">
        <v>3006</v>
      </c>
      <c r="J1209">
        <v>2018</v>
      </c>
      <c r="K1209">
        <v>43698.521897777777</v>
      </c>
      <c r="L1209" t="s">
        <v>466</v>
      </c>
      <c r="M1209" t="s">
        <v>1738</v>
      </c>
      <c r="N1209" t="s">
        <v>4011</v>
      </c>
      <c r="O1209">
        <v>342842</v>
      </c>
      <c r="P1209">
        <v>43698.521897777777</v>
      </c>
      <c r="Q1209">
        <v>43031.414022569443</v>
      </c>
      <c r="R1209">
        <v>1230</v>
      </c>
    </row>
    <row r="1210" spans="1:18" x14ac:dyDescent="0.25">
      <c r="A1210" t="s">
        <v>4074</v>
      </c>
      <c r="B1210" t="s">
        <v>4075</v>
      </c>
      <c r="C1210" t="s">
        <v>4076</v>
      </c>
      <c r="D1210" t="s">
        <v>4076</v>
      </c>
      <c r="E1210" t="s">
        <v>4077</v>
      </c>
      <c r="F1210" t="s">
        <v>91</v>
      </c>
      <c r="G1210" t="s">
        <v>22</v>
      </c>
      <c r="H1210" t="s">
        <v>53</v>
      </c>
      <c r="I1210" t="s">
        <v>3006</v>
      </c>
      <c r="J1210">
        <v>2018</v>
      </c>
      <c r="K1210">
        <v>43698.521897777777</v>
      </c>
      <c r="L1210" t="s">
        <v>1978</v>
      </c>
      <c r="M1210" t="s">
        <v>1738</v>
      </c>
      <c r="N1210" t="s">
        <v>1305</v>
      </c>
      <c r="O1210">
        <v>345843</v>
      </c>
      <c r="P1210">
        <v>43698.521897777777</v>
      </c>
      <c r="Q1210">
        <v>43031.415080011575</v>
      </c>
      <c r="R1210">
        <v>1231</v>
      </c>
    </row>
    <row r="1211" spans="1:18" x14ac:dyDescent="0.25">
      <c r="A1211" t="s">
        <v>4078</v>
      </c>
      <c r="B1211" t="s">
        <v>4079</v>
      </c>
      <c r="C1211" t="s">
        <v>4080</v>
      </c>
      <c r="D1211" t="s">
        <v>4080</v>
      </c>
      <c r="E1211" t="s">
        <v>4081</v>
      </c>
      <c r="F1211" t="s">
        <v>91</v>
      </c>
      <c r="G1211" t="s">
        <v>22</v>
      </c>
      <c r="H1211" t="s">
        <v>53</v>
      </c>
      <c r="I1211" t="s">
        <v>3006</v>
      </c>
      <c r="J1211">
        <v>2018</v>
      </c>
      <c r="K1211">
        <v>43698.521897777777</v>
      </c>
      <c r="L1211" t="s">
        <v>2783</v>
      </c>
      <c r="M1211" t="s">
        <v>2777</v>
      </c>
      <c r="N1211" t="s">
        <v>994</v>
      </c>
      <c r="O1211">
        <v>347035</v>
      </c>
      <c r="P1211">
        <v>43698.521897777777</v>
      </c>
      <c r="Q1211">
        <v>43031.418007094908</v>
      </c>
      <c r="R1211">
        <v>1232</v>
      </c>
    </row>
    <row r="1212" spans="1:18" x14ac:dyDescent="0.25">
      <c r="A1212" t="s">
        <v>4082</v>
      </c>
      <c r="B1212" t="s">
        <v>4083</v>
      </c>
      <c r="C1212" t="s">
        <v>4084</v>
      </c>
      <c r="D1212" t="s">
        <v>4084</v>
      </c>
      <c r="E1212" t="s">
        <v>4085</v>
      </c>
      <c r="F1212" t="s">
        <v>91</v>
      </c>
      <c r="G1212" t="s">
        <v>22</v>
      </c>
      <c r="H1212" t="s">
        <v>53</v>
      </c>
      <c r="I1212" t="s">
        <v>3006</v>
      </c>
      <c r="J1212">
        <v>2018</v>
      </c>
      <c r="K1212">
        <v>43698.521897777777</v>
      </c>
      <c r="L1212" t="s">
        <v>422</v>
      </c>
      <c r="M1212" t="s">
        <v>2777</v>
      </c>
      <c r="N1212" t="s">
        <v>415</v>
      </c>
      <c r="O1212">
        <v>347024</v>
      </c>
      <c r="P1212">
        <v>43698.521897777777</v>
      </c>
      <c r="Q1212">
        <v>43031.41933287037</v>
      </c>
      <c r="R1212">
        <v>1233</v>
      </c>
    </row>
    <row r="1213" spans="1:18" x14ac:dyDescent="0.25">
      <c r="A1213" t="s">
        <v>4086</v>
      </c>
      <c r="B1213" t="s">
        <v>4087</v>
      </c>
      <c r="C1213" t="s">
        <v>4088</v>
      </c>
      <c r="D1213" t="s">
        <v>4088</v>
      </c>
      <c r="E1213" t="s">
        <v>4089</v>
      </c>
      <c r="F1213" t="s">
        <v>91</v>
      </c>
      <c r="G1213" t="s">
        <v>22</v>
      </c>
      <c r="H1213" t="s">
        <v>53</v>
      </c>
      <c r="I1213" t="s">
        <v>3006</v>
      </c>
      <c r="J1213">
        <v>2018</v>
      </c>
      <c r="K1213">
        <v>43698.521897777777</v>
      </c>
      <c r="L1213" t="s">
        <v>422</v>
      </c>
      <c r="M1213" t="s">
        <v>2777</v>
      </c>
      <c r="N1213" t="s">
        <v>415</v>
      </c>
      <c r="O1213">
        <v>347009</v>
      </c>
      <c r="P1213">
        <v>43698.521897777777</v>
      </c>
      <c r="Q1213">
        <v>43031.420079317133</v>
      </c>
      <c r="R1213">
        <v>1234</v>
      </c>
    </row>
    <row r="1214" spans="1:18" x14ac:dyDescent="0.25">
      <c r="A1214" t="s">
        <v>4090</v>
      </c>
      <c r="B1214" t="s">
        <v>4091</v>
      </c>
      <c r="C1214" t="s">
        <v>4092</v>
      </c>
      <c r="D1214" t="s">
        <v>4092</v>
      </c>
      <c r="E1214" t="s">
        <v>4093</v>
      </c>
      <c r="F1214" t="s">
        <v>91</v>
      </c>
      <c r="G1214" t="s">
        <v>22</v>
      </c>
      <c r="H1214" t="s">
        <v>53</v>
      </c>
      <c r="I1214" t="s">
        <v>3006</v>
      </c>
      <c r="J1214">
        <v>2018</v>
      </c>
      <c r="K1214">
        <v>43698.521897777777</v>
      </c>
      <c r="L1214" t="s">
        <v>2783</v>
      </c>
      <c r="M1214" t="s">
        <v>2777</v>
      </c>
      <c r="N1214" t="s">
        <v>994</v>
      </c>
      <c r="O1214">
        <v>347071</v>
      </c>
      <c r="P1214">
        <v>43698.521897777777</v>
      </c>
      <c r="Q1214">
        <v>43031.420836458332</v>
      </c>
      <c r="R1214">
        <v>1235</v>
      </c>
    </row>
    <row r="1215" spans="1:18" x14ac:dyDescent="0.25">
      <c r="A1215" t="s">
        <v>4094</v>
      </c>
      <c r="B1215" t="s">
        <v>4095</v>
      </c>
      <c r="C1215" t="s">
        <v>4096</v>
      </c>
      <c r="D1215" t="s">
        <v>4096</v>
      </c>
      <c r="E1215" t="s">
        <v>4097</v>
      </c>
      <c r="F1215" t="s">
        <v>91</v>
      </c>
      <c r="G1215" t="s">
        <v>22</v>
      </c>
      <c r="H1215" t="s">
        <v>53</v>
      </c>
      <c r="I1215" t="s">
        <v>3006</v>
      </c>
      <c r="J1215">
        <v>2018</v>
      </c>
      <c r="K1215">
        <v>43698.521897777777</v>
      </c>
      <c r="L1215" t="s">
        <v>422</v>
      </c>
      <c r="M1215" t="s">
        <v>2777</v>
      </c>
      <c r="N1215" t="s">
        <v>415</v>
      </c>
      <c r="O1215">
        <v>347018</v>
      </c>
      <c r="P1215">
        <v>43698.521897777777</v>
      </c>
      <c r="Q1215">
        <v>43031.421805902777</v>
      </c>
      <c r="R1215">
        <v>1236</v>
      </c>
    </row>
    <row r="1216" spans="1:18" x14ac:dyDescent="0.25">
      <c r="A1216" t="s">
        <v>4098</v>
      </c>
      <c r="B1216" t="s">
        <v>4099</v>
      </c>
      <c r="C1216" t="s">
        <v>4100</v>
      </c>
      <c r="D1216" t="s">
        <v>4100</v>
      </c>
      <c r="E1216" t="s">
        <v>4101</v>
      </c>
      <c r="F1216" t="s">
        <v>91</v>
      </c>
      <c r="G1216" t="s">
        <v>22</v>
      </c>
      <c r="H1216" t="s">
        <v>53</v>
      </c>
      <c r="I1216" t="s">
        <v>3006</v>
      </c>
      <c r="J1216">
        <v>2018</v>
      </c>
      <c r="K1216">
        <v>43698.521897777777</v>
      </c>
      <c r="L1216" t="s">
        <v>422</v>
      </c>
      <c r="M1216" t="s">
        <v>2777</v>
      </c>
      <c r="N1216" t="s">
        <v>415</v>
      </c>
      <c r="O1216">
        <v>346981</v>
      </c>
      <c r="P1216">
        <v>43698.521897777777</v>
      </c>
      <c r="Q1216">
        <v>43031.422896180557</v>
      </c>
      <c r="R1216">
        <v>1237</v>
      </c>
    </row>
    <row r="1217" spans="1:18" x14ac:dyDescent="0.25">
      <c r="A1217" t="s">
        <v>4102</v>
      </c>
      <c r="B1217" t="s">
        <v>4103</v>
      </c>
      <c r="C1217" t="s">
        <v>4104</v>
      </c>
      <c r="D1217" t="s">
        <v>4104</v>
      </c>
      <c r="E1217" t="s">
        <v>4105</v>
      </c>
      <c r="F1217" t="s">
        <v>91</v>
      </c>
      <c r="G1217" t="s">
        <v>22</v>
      </c>
      <c r="H1217" t="s">
        <v>53</v>
      </c>
      <c r="I1217" t="s">
        <v>3006</v>
      </c>
      <c r="J1217">
        <v>2018</v>
      </c>
      <c r="K1217">
        <v>43698.521897777777</v>
      </c>
      <c r="L1217" t="s">
        <v>422</v>
      </c>
      <c r="M1217" t="s">
        <v>2777</v>
      </c>
      <c r="N1217" t="s">
        <v>415</v>
      </c>
      <c r="O1217">
        <v>346744</v>
      </c>
      <c r="P1217">
        <v>43698.260416666664</v>
      </c>
      <c r="Q1217">
        <v>43031.423633136576</v>
      </c>
      <c r="R1217">
        <v>1238</v>
      </c>
    </row>
    <row r="1218" spans="1:18" x14ac:dyDescent="0.25">
      <c r="A1218" t="s">
        <v>4106</v>
      </c>
      <c r="B1218" t="s">
        <v>4107</v>
      </c>
      <c r="C1218" t="s">
        <v>4108</v>
      </c>
      <c r="D1218" t="s">
        <v>4108</v>
      </c>
      <c r="E1218" t="s">
        <v>4108</v>
      </c>
      <c r="F1218" t="s">
        <v>21</v>
      </c>
      <c r="G1218" t="s">
        <v>63</v>
      </c>
      <c r="H1218" t="s">
        <v>53</v>
      </c>
      <c r="I1218" t="s">
        <v>471</v>
      </c>
      <c r="J1218">
        <v>2015</v>
      </c>
      <c r="K1218">
        <v>43698.521897777777</v>
      </c>
      <c r="L1218" t="s">
        <v>25</v>
      </c>
      <c r="M1218" t="s">
        <v>154</v>
      </c>
      <c r="N1218" t="s">
        <v>1305</v>
      </c>
      <c r="O1218">
        <v>154788</v>
      </c>
      <c r="P1218">
        <v>43121.863611111112</v>
      </c>
      <c r="Q1218">
        <v>43041.567405902781</v>
      </c>
      <c r="R1218">
        <v>1239</v>
      </c>
    </row>
    <row r="1219" spans="1:18" x14ac:dyDescent="0.25">
      <c r="A1219" t="s">
        <v>4109</v>
      </c>
      <c r="B1219" t="s">
        <v>4110</v>
      </c>
      <c r="C1219" t="s">
        <v>4111</v>
      </c>
      <c r="D1219" t="s">
        <v>4111</v>
      </c>
      <c r="E1219" t="s">
        <v>4111</v>
      </c>
      <c r="F1219" t="s">
        <v>91</v>
      </c>
      <c r="G1219" t="s">
        <v>63</v>
      </c>
      <c r="H1219" t="s">
        <v>34</v>
      </c>
      <c r="I1219" t="s">
        <v>35</v>
      </c>
      <c r="J1219">
        <v>2005</v>
      </c>
      <c r="K1219">
        <v>43698.521897777777</v>
      </c>
      <c r="L1219" t="s">
        <v>422</v>
      </c>
      <c r="M1219" t="s">
        <v>2777</v>
      </c>
      <c r="N1219" t="s">
        <v>415</v>
      </c>
      <c r="O1219">
        <v>347105</v>
      </c>
      <c r="P1219">
        <v>43698.521897777777</v>
      </c>
      <c r="Q1219">
        <v>43045.604752430554</v>
      </c>
      <c r="R1219">
        <v>1240</v>
      </c>
    </row>
    <row r="1220" spans="1:18" x14ac:dyDescent="0.25">
      <c r="A1220" t="s">
        <v>4112</v>
      </c>
      <c r="B1220" t="s">
        <v>4113</v>
      </c>
      <c r="C1220" t="s">
        <v>4114</v>
      </c>
      <c r="D1220" t="s">
        <v>4114</v>
      </c>
      <c r="E1220" t="s">
        <v>4114</v>
      </c>
      <c r="F1220" t="s">
        <v>91</v>
      </c>
      <c r="G1220" t="s">
        <v>63</v>
      </c>
      <c r="H1220" t="s">
        <v>53</v>
      </c>
      <c r="I1220" t="s">
        <v>810</v>
      </c>
      <c r="J1220">
        <v>2011</v>
      </c>
      <c r="K1220">
        <v>43698.521897777777</v>
      </c>
      <c r="L1220" t="s">
        <v>422</v>
      </c>
      <c r="M1220" t="s">
        <v>2777</v>
      </c>
      <c r="N1220" t="s">
        <v>415</v>
      </c>
      <c r="O1220">
        <v>347028</v>
      </c>
      <c r="P1220">
        <v>43698.521897777777</v>
      </c>
      <c r="Q1220">
        <v>43045.607753240743</v>
      </c>
      <c r="R1220">
        <v>1241</v>
      </c>
    </row>
    <row r="1221" spans="1:18" x14ac:dyDescent="0.25">
      <c r="A1221" t="s">
        <v>4115</v>
      </c>
      <c r="B1221" t="s">
        <v>4116</v>
      </c>
      <c r="C1221" t="s">
        <v>4117</v>
      </c>
      <c r="D1221" t="s">
        <v>4117</v>
      </c>
      <c r="E1221" t="s">
        <v>4118</v>
      </c>
      <c r="F1221" t="s">
        <v>91</v>
      </c>
      <c r="G1221" t="s">
        <v>22</v>
      </c>
      <c r="H1221" t="s">
        <v>53</v>
      </c>
      <c r="I1221" t="s">
        <v>3006</v>
      </c>
      <c r="J1221">
        <v>2018</v>
      </c>
      <c r="K1221">
        <v>43698.521897777777</v>
      </c>
      <c r="L1221" t="s">
        <v>466</v>
      </c>
      <c r="M1221" t="s">
        <v>1738</v>
      </c>
      <c r="N1221" t="s">
        <v>1305</v>
      </c>
      <c r="O1221">
        <v>334987</v>
      </c>
      <c r="P1221">
        <v>43672.916006944448</v>
      </c>
      <c r="Q1221">
        <v>43046.481211840277</v>
      </c>
      <c r="R1221">
        <v>1242</v>
      </c>
    </row>
    <row r="1222" spans="1:18" x14ac:dyDescent="0.25">
      <c r="A1222" t="s">
        <v>4119</v>
      </c>
      <c r="B1222" t="s">
        <v>4120</v>
      </c>
      <c r="C1222" t="s">
        <v>4121</v>
      </c>
      <c r="D1222" t="s">
        <v>4121</v>
      </c>
      <c r="E1222" t="s">
        <v>4122</v>
      </c>
      <c r="F1222" t="s">
        <v>91</v>
      </c>
      <c r="G1222" t="s">
        <v>22</v>
      </c>
      <c r="H1222" t="s">
        <v>53</v>
      </c>
      <c r="I1222" t="s">
        <v>3006</v>
      </c>
      <c r="J1222">
        <v>2018</v>
      </c>
      <c r="K1222">
        <v>43698.521897777777</v>
      </c>
      <c r="L1222" t="s">
        <v>899</v>
      </c>
      <c r="M1222" t="s">
        <v>1738</v>
      </c>
      <c r="N1222" t="s">
        <v>523</v>
      </c>
      <c r="O1222">
        <v>339853</v>
      </c>
      <c r="P1222">
        <v>43682.750462962962</v>
      </c>
      <c r="Q1222">
        <v>43046.48232959491</v>
      </c>
      <c r="R1222">
        <v>1243</v>
      </c>
    </row>
    <row r="1223" spans="1:18" x14ac:dyDescent="0.25">
      <c r="A1223" t="s">
        <v>4123</v>
      </c>
      <c r="B1223" t="s">
        <v>4124</v>
      </c>
      <c r="C1223" t="s">
        <v>4125</v>
      </c>
      <c r="D1223" t="s">
        <v>4125</v>
      </c>
      <c r="E1223" t="s">
        <v>4126</v>
      </c>
      <c r="F1223" t="s">
        <v>91</v>
      </c>
      <c r="G1223" t="s">
        <v>22</v>
      </c>
      <c r="H1223" t="s">
        <v>53</v>
      </c>
      <c r="I1223" t="s">
        <v>3006</v>
      </c>
      <c r="J1223">
        <v>2018</v>
      </c>
      <c r="K1223">
        <v>43698.521897777777</v>
      </c>
      <c r="L1223" t="s">
        <v>1978</v>
      </c>
      <c r="M1223" t="s">
        <v>1738</v>
      </c>
      <c r="N1223" t="s">
        <v>1305</v>
      </c>
      <c r="O1223">
        <v>337815</v>
      </c>
      <c r="P1223">
        <v>43678.527627314812</v>
      </c>
      <c r="Q1223">
        <v>43046.483113888891</v>
      </c>
      <c r="R1223">
        <v>1244</v>
      </c>
    </row>
    <row r="1224" spans="1:18" x14ac:dyDescent="0.25">
      <c r="A1224" t="s">
        <v>4127</v>
      </c>
      <c r="B1224" t="s">
        <v>4128</v>
      </c>
      <c r="C1224" t="s">
        <v>4129</v>
      </c>
      <c r="D1224" t="s">
        <v>4129</v>
      </c>
      <c r="E1224" t="s">
        <v>4130</v>
      </c>
      <c r="F1224" t="s">
        <v>91</v>
      </c>
      <c r="G1224" t="s">
        <v>22</v>
      </c>
      <c r="H1224" t="s">
        <v>53</v>
      </c>
      <c r="I1224" t="s">
        <v>3006</v>
      </c>
      <c r="J1224">
        <v>2018</v>
      </c>
      <c r="K1224">
        <v>43698.521897777777</v>
      </c>
      <c r="L1224" t="s">
        <v>1978</v>
      </c>
      <c r="M1224" t="s">
        <v>1738</v>
      </c>
      <c r="N1224" t="s">
        <v>1305</v>
      </c>
      <c r="O1224">
        <v>343169</v>
      </c>
      <c r="P1224">
        <v>43694.67355324074</v>
      </c>
      <c r="Q1224">
        <v>43046.484591863424</v>
      </c>
      <c r="R1224">
        <v>1245</v>
      </c>
    </row>
    <row r="1225" spans="1:18" x14ac:dyDescent="0.25">
      <c r="A1225" t="s">
        <v>4131</v>
      </c>
      <c r="B1225" t="s">
        <v>4132</v>
      </c>
      <c r="C1225" t="s">
        <v>4133</v>
      </c>
      <c r="D1225" t="s">
        <v>4133</v>
      </c>
      <c r="E1225" t="s">
        <v>4134</v>
      </c>
      <c r="F1225" t="s">
        <v>91</v>
      </c>
      <c r="G1225" t="s">
        <v>22</v>
      </c>
      <c r="H1225" t="s">
        <v>53</v>
      </c>
      <c r="I1225" t="s">
        <v>3006</v>
      </c>
      <c r="J1225">
        <v>2018</v>
      </c>
      <c r="K1225">
        <v>43698.521897777777</v>
      </c>
      <c r="L1225" t="s">
        <v>466</v>
      </c>
      <c r="M1225" t="s">
        <v>1738</v>
      </c>
      <c r="N1225" t="s">
        <v>1305</v>
      </c>
      <c r="O1225">
        <v>345682</v>
      </c>
      <c r="P1225">
        <v>43698.521897777777</v>
      </c>
      <c r="Q1225">
        <v>43046.485835613428</v>
      </c>
      <c r="R1225">
        <v>1246</v>
      </c>
    </row>
    <row r="1226" spans="1:18" x14ac:dyDescent="0.25">
      <c r="A1226" t="s">
        <v>4135</v>
      </c>
      <c r="B1226" t="s">
        <v>4136</v>
      </c>
      <c r="C1226" t="s">
        <v>4137</v>
      </c>
      <c r="D1226" t="s">
        <v>4137</v>
      </c>
      <c r="E1226" t="s">
        <v>4138</v>
      </c>
      <c r="F1226" t="s">
        <v>91</v>
      </c>
      <c r="G1226" t="s">
        <v>22</v>
      </c>
      <c r="H1226" t="s">
        <v>53</v>
      </c>
      <c r="I1226" t="s">
        <v>3006</v>
      </c>
      <c r="J1226">
        <v>2018</v>
      </c>
      <c r="K1226">
        <v>43698.521897777777</v>
      </c>
      <c r="L1226" t="s">
        <v>3929</v>
      </c>
      <c r="M1226" t="s">
        <v>1738</v>
      </c>
      <c r="N1226" t="s">
        <v>4011</v>
      </c>
      <c r="O1226">
        <v>346662</v>
      </c>
      <c r="P1226">
        <v>43698.521897777777</v>
      </c>
      <c r="Q1226">
        <v>43046.487061192129</v>
      </c>
      <c r="R1226">
        <v>1247</v>
      </c>
    </row>
    <row r="1227" spans="1:18" x14ac:dyDescent="0.25">
      <c r="A1227" t="s">
        <v>4139</v>
      </c>
      <c r="B1227" t="s">
        <v>4140</v>
      </c>
      <c r="C1227" t="s">
        <v>4141</v>
      </c>
      <c r="D1227" t="s">
        <v>4141</v>
      </c>
      <c r="E1227" t="s">
        <v>4142</v>
      </c>
      <c r="F1227" t="s">
        <v>91</v>
      </c>
      <c r="G1227" t="s">
        <v>22</v>
      </c>
      <c r="H1227" t="s">
        <v>53</v>
      </c>
      <c r="I1227" t="s">
        <v>3006</v>
      </c>
      <c r="J1227">
        <v>2018</v>
      </c>
      <c r="K1227">
        <v>43698.521897777777</v>
      </c>
      <c r="L1227" t="s">
        <v>466</v>
      </c>
      <c r="M1227" t="s">
        <v>1738</v>
      </c>
      <c r="N1227" t="s">
        <v>1305</v>
      </c>
      <c r="O1227">
        <v>335956</v>
      </c>
      <c r="P1227">
        <v>43674.673773148148</v>
      </c>
      <c r="Q1227">
        <v>43046.487777812501</v>
      </c>
      <c r="R1227">
        <v>1248</v>
      </c>
    </row>
    <row r="1228" spans="1:18" x14ac:dyDescent="0.25">
      <c r="A1228" t="s">
        <v>25</v>
      </c>
      <c r="B1228" t="s">
        <v>25</v>
      </c>
      <c r="C1228" t="s">
        <v>4143</v>
      </c>
      <c r="D1228" t="s">
        <v>4143</v>
      </c>
      <c r="E1228" t="s">
        <v>4143</v>
      </c>
      <c r="F1228" t="s">
        <v>21</v>
      </c>
      <c r="G1228" t="s">
        <v>106</v>
      </c>
      <c r="H1228" t="s">
        <v>25</v>
      </c>
      <c r="I1228" t="s">
        <v>25</v>
      </c>
      <c r="K1228">
        <v>43698.521897777777</v>
      </c>
      <c r="L1228" t="s">
        <v>422</v>
      </c>
      <c r="M1228" t="s">
        <v>42</v>
      </c>
      <c r="N1228" t="s">
        <v>415</v>
      </c>
      <c r="O1228">
        <v>258393</v>
      </c>
      <c r="P1228">
        <v>43470.635416666664</v>
      </c>
      <c r="Q1228">
        <v>43049.401257210651</v>
      </c>
      <c r="R1228">
        <v>1249</v>
      </c>
    </row>
    <row r="1229" spans="1:18" x14ac:dyDescent="0.25">
      <c r="A1229" t="s">
        <v>4144</v>
      </c>
      <c r="B1229" t="s">
        <v>4145</v>
      </c>
      <c r="C1229" t="s">
        <v>4146</v>
      </c>
      <c r="D1229" t="s">
        <v>4146</v>
      </c>
      <c r="E1229" t="s">
        <v>4146</v>
      </c>
      <c r="F1229" t="s">
        <v>21</v>
      </c>
      <c r="G1229" t="s">
        <v>106</v>
      </c>
      <c r="H1229" t="s">
        <v>25</v>
      </c>
      <c r="I1229" t="s">
        <v>25</v>
      </c>
      <c r="K1229">
        <v>43698.521897777777</v>
      </c>
      <c r="L1229" t="s">
        <v>25</v>
      </c>
      <c r="M1229" t="s">
        <v>2777</v>
      </c>
      <c r="N1229" t="s">
        <v>415</v>
      </c>
      <c r="O1229">
        <v>154406</v>
      </c>
      <c r="P1229">
        <v>43113.738888888889</v>
      </c>
      <c r="Q1229">
        <v>43049.402406712965</v>
      </c>
      <c r="R1229">
        <v>1250</v>
      </c>
    </row>
    <row r="1230" spans="1:18" x14ac:dyDescent="0.25">
      <c r="A1230" t="s">
        <v>25</v>
      </c>
      <c r="B1230" t="s">
        <v>25</v>
      </c>
      <c r="C1230" t="s">
        <v>4147</v>
      </c>
      <c r="D1230" t="s">
        <v>4147</v>
      </c>
      <c r="E1230" t="s">
        <v>4147</v>
      </c>
      <c r="F1230" t="s">
        <v>21</v>
      </c>
      <c r="G1230" t="s">
        <v>106</v>
      </c>
      <c r="H1230" t="s">
        <v>25</v>
      </c>
      <c r="I1230" t="s">
        <v>25</v>
      </c>
      <c r="K1230">
        <v>43698.521897777777</v>
      </c>
      <c r="L1230" t="s">
        <v>422</v>
      </c>
      <c r="M1230" t="s">
        <v>42</v>
      </c>
      <c r="N1230" t="s">
        <v>415</v>
      </c>
      <c r="O1230">
        <v>295956</v>
      </c>
      <c r="P1230">
        <v>43571.708333333336</v>
      </c>
      <c r="Q1230">
        <v>43049.402682326392</v>
      </c>
      <c r="R1230">
        <v>1251</v>
      </c>
    </row>
    <row r="1231" spans="1:18" x14ac:dyDescent="0.25">
      <c r="A1231" t="s">
        <v>25</v>
      </c>
      <c r="B1231" t="s">
        <v>25</v>
      </c>
      <c r="C1231" t="s">
        <v>4148</v>
      </c>
      <c r="D1231" t="s">
        <v>4148</v>
      </c>
      <c r="E1231" t="s">
        <v>4148</v>
      </c>
      <c r="F1231" t="s">
        <v>21</v>
      </c>
      <c r="G1231" t="s">
        <v>106</v>
      </c>
      <c r="H1231" t="s">
        <v>25</v>
      </c>
      <c r="I1231" t="s">
        <v>25</v>
      </c>
      <c r="K1231">
        <v>43698.521897777777</v>
      </c>
      <c r="L1231" t="s">
        <v>422</v>
      </c>
      <c r="M1231" t="s">
        <v>42</v>
      </c>
      <c r="N1231" t="s">
        <v>415</v>
      </c>
      <c r="O1231">
        <v>295922</v>
      </c>
      <c r="P1231">
        <v>43571.677083333336</v>
      </c>
      <c r="Q1231">
        <v>43049.403014351854</v>
      </c>
      <c r="R1231">
        <v>1252</v>
      </c>
    </row>
    <row r="1232" spans="1:18" x14ac:dyDescent="0.25">
      <c r="A1232" t="s">
        <v>25</v>
      </c>
      <c r="B1232" t="s">
        <v>25</v>
      </c>
      <c r="C1232" t="s">
        <v>4149</v>
      </c>
      <c r="D1232" t="s">
        <v>4149</v>
      </c>
      <c r="E1232" t="s">
        <v>4149</v>
      </c>
      <c r="F1232" t="s">
        <v>91</v>
      </c>
      <c r="G1232" t="s">
        <v>106</v>
      </c>
      <c r="H1232" t="s">
        <v>25</v>
      </c>
      <c r="I1232" t="s">
        <v>25</v>
      </c>
      <c r="K1232">
        <v>43698.521897777777</v>
      </c>
      <c r="L1232" t="s">
        <v>422</v>
      </c>
      <c r="M1232" t="s">
        <v>42</v>
      </c>
      <c r="N1232" t="s">
        <v>415</v>
      </c>
      <c r="O1232">
        <v>241595</v>
      </c>
      <c r="P1232">
        <v>43418.708333333336</v>
      </c>
      <c r="Q1232">
        <v>43049.403238622683</v>
      </c>
      <c r="R1232">
        <v>1253</v>
      </c>
    </row>
    <row r="1233" spans="1:18" x14ac:dyDescent="0.25">
      <c r="A1233" t="s">
        <v>4150</v>
      </c>
      <c r="B1233" t="s">
        <v>4151</v>
      </c>
      <c r="C1233" t="s">
        <v>4152</v>
      </c>
      <c r="D1233" t="s">
        <v>4152</v>
      </c>
      <c r="E1233" t="s">
        <v>4153</v>
      </c>
      <c r="F1233" t="s">
        <v>21</v>
      </c>
      <c r="G1233" t="s">
        <v>22</v>
      </c>
      <c r="H1233" t="s">
        <v>53</v>
      </c>
      <c r="I1233" t="s">
        <v>3006</v>
      </c>
      <c r="J1233">
        <v>2018</v>
      </c>
      <c r="K1233">
        <v>43698.521897777777</v>
      </c>
      <c r="L1233" t="s">
        <v>578</v>
      </c>
      <c r="M1233" t="s">
        <v>37</v>
      </c>
      <c r="N1233" t="s">
        <v>415</v>
      </c>
      <c r="O1233">
        <v>252652</v>
      </c>
      <c r="P1233">
        <v>43448.79583333333</v>
      </c>
      <c r="Q1233">
        <v>43052.653062650461</v>
      </c>
      <c r="R1233">
        <v>1254</v>
      </c>
    </row>
    <row r="1234" spans="1:18" x14ac:dyDescent="0.25">
      <c r="A1234" t="s">
        <v>4154</v>
      </c>
      <c r="B1234" t="s">
        <v>4155</v>
      </c>
      <c r="C1234" t="s">
        <v>4156</v>
      </c>
      <c r="D1234" t="s">
        <v>4156</v>
      </c>
      <c r="E1234" t="s">
        <v>4157</v>
      </c>
      <c r="F1234" t="s">
        <v>21</v>
      </c>
      <c r="G1234" t="s">
        <v>22</v>
      </c>
      <c r="H1234" t="s">
        <v>53</v>
      </c>
      <c r="I1234" t="s">
        <v>3006</v>
      </c>
      <c r="J1234">
        <v>2018</v>
      </c>
      <c r="K1234">
        <v>43698.521897777777</v>
      </c>
      <c r="L1234" t="s">
        <v>578</v>
      </c>
      <c r="M1234" t="s">
        <v>37</v>
      </c>
      <c r="N1234" t="s">
        <v>415</v>
      </c>
      <c r="O1234">
        <v>253272</v>
      </c>
      <c r="P1234">
        <v>43451.129988425928</v>
      </c>
      <c r="Q1234">
        <v>43052.653452696759</v>
      </c>
      <c r="R1234">
        <v>1255</v>
      </c>
    </row>
    <row r="1235" spans="1:18" x14ac:dyDescent="0.25">
      <c r="A1235" t="s">
        <v>4158</v>
      </c>
      <c r="B1235" t="s">
        <v>4159</v>
      </c>
      <c r="C1235" t="s">
        <v>4160</v>
      </c>
      <c r="D1235" t="s">
        <v>4160</v>
      </c>
      <c r="E1235" t="s">
        <v>4161</v>
      </c>
      <c r="F1235" t="s">
        <v>21</v>
      </c>
      <c r="G1235" t="s">
        <v>22</v>
      </c>
      <c r="H1235" t="s">
        <v>53</v>
      </c>
      <c r="I1235" t="s">
        <v>3006</v>
      </c>
      <c r="J1235">
        <v>2018</v>
      </c>
      <c r="K1235">
        <v>43698.521897777777</v>
      </c>
      <c r="L1235" t="s">
        <v>1660</v>
      </c>
      <c r="M1235" t="s">
        <v>37</v>
      </c>
      <c r="N1235" t="s">
        <v>415</v>
      </c>
      <c r="O1235">
        <v>254758</v>
      </c>
      <c r="P1235">
        <v>43454.126388888886</v>
      </c>
      <c r="Q1235">
        <v>43053.696942627314</v>
      </c>
      <c r="R1235">
        <v>1256</v>
      </c>
    </row>
    <row r="1236" spans="1:18" x14ac:dyDescent="0.25">
      <c r="A1236" t="s">
        <v>4162</v>
      </c>
      <c r="B1236" t="s">
        <v>4163</v>
      </c>
      <c r="C1236" t="s">
        <v>4164</v>
      </c>
      <c r="D1236" t="s">
        <v>4164</v>
      </c>
      <c r="E1236" t="s">
        <v>4165</v>
      </c>
      <c r="F1236" t="s">
        <v>21</v>
      </c>
      <c r="G1236" t="s">
        <v>22</v>
      </c>
      <c r="H1236" t="s">
        <v>53</v>
      </c>
      <c r="I1236" t="s">
        <v>3006</v>
      </c>
      <c r="J1236">
        <v>2018</v>
      </c>
      <c r="K1236">
        <v>43698.521897777777</v>
      </c>
      <c r="L1236" t="s">
        <v>1916</v>
      </c>
      <c r="M1236" t="s">
        <v>37</v>
      </c>
      <c r="N1236" t="s">
        <v>415</v>
      </c>
      <c r="O1236">
        <v>255972</v>
      </c>
      <c r="P1236">
        <v>43458.886805555558</v>
      </c>
      <c r="Q1236">
        <v>43053.701712766204</v>
      </c>
      <c r="R1236">
        <v>1257</v>
      </c>
    </row>
    <row r="1237" spans="1:18" x14ac:dyDescent="0.25">
      <c r="A1237" t="s">
        <v>4166</v>
      </c>
      <c r="B1237" t="s">
        <v>4167</v>
      </c>
      <c r="C1237" t="s">
        <v>4168</v>
      </c>
      <c r="D1237" t="s">
        <v>4168</v>
      </c>
      <c r="E1237" t="s">
        <v>4169</v>
      </c>
      <c r="F1237" t="s">
        <v>91</v>
      </c>
      <c r="G1237" t="s">
        <v>22</v>
      </c>
      <c r="H1237" t="s">
        <v>53</v>
      </c>
      <c r="I1237" t="s">
        <v>3006</v>
      </c>
      <c r="J1237">
        <v>2018</v>
      </c>
      <c r="K1237">
        <v>43698.521897777777</v>
      </c>
      <c r="L1237" t="s">
        <v>466</v>
      </c>
      <c r="M1237" t="s">
        <v>1738</v>
      </c>
      <c r="N1237" t="s">
        <v>1305</v>
      </c>
      <c r="O1237">
        <v>334365</v>
      </c>
      <c r="P1237">
        <v>43671.814699074072</v>
      </c>
      <c r="Q1237">
        <v>43053.71025625</v>
      </c>
      <c r="R1237">
        <v>1258</v>
      </c>
    </row>
    <row r="1238" spans="1:18" x14ac:dyDescent="0.25">
      <c r="A1238" t="s">
        <v>4170</v>
      </c>
      <c r="B1238" t="s">
        <v>4171</v>
      </c>
      <c r="C1238" t="s">
        <v>4172</v>
      </c>
      <c r="D1238" t="s">
        <v>4172</v>
      </c>
      <c r="E1238" t="s">
        <v>4173</v>
      </c>
      <c r="F1238" t="s">
        <v>91</v>
      </c>
      <c r="G1238" t="s">
        <v>22</v>
      </c>
      <c r="H1238" t="s">
        <v>53</v>
      </c>
      <c r="I1238" t="s">
        <v>3006</v>
      </c>
      <c r="J1238">
        <v>2018</v>
      </c>
      <c r="K1238">
        <v>43698.521897777777</v>
      </c>
      <c r="L1238" t="s">
        <v>1978</v>
      </c>
      <c r="M1238" t="s">
        <v>1738</v>
      </c>
      <c r="N1238" t="s">
        <v>1305</v>
      </c>
      <c r="O1238">
        <v>346062</v>
      </c>
      <c r="P1238">
        <v>43698.521897777777</v>
      </c>
      <c r="Q1238">
        <v>43053.711095983796</v>
      </c>
      <c r="R1238">
        <v>1259</v>
      </c>
    </row>
    <row r="1239" spans="1:18" x14ac:dyDescent="0.25">
      <c r="A1239" t="s">
        <v>4174</v>
      </c>
      <c r="B1239" t="s">
        <v>4175</v>
      </c>
      <c r="C1239" t="s">
        <v>4176</v>
      </c>
      <c r="D1239" t="s">
        <v>4176</v>
      </c>
      <c r="E1239" t="s">
        <v>4177</v>
      </c>
      <c r="F1239" t="s">
        <v>253</v>
      </c>
      <c r="G1239" t="s">
        <v>22</v>
      </c>
      <c r="H1239" t="s">
        <v>53</v>
      </c>
      <c r="I1239" t="s">
        <v>3006</v>
      </c>
      <c r="J1239">
        <v>2018</v>
      </c>
      <c r="K1239">
        <v>43698.521897777777</v>
      </c>
      <c r="L1239" t="s">
        <v>466</v>
      </c>
      <c r="M1239" t="s">
        <v>1738</v>
      </c>
      <c r="N1239" t="s">
        <v>1305</v>
      </c>
      <c r="O1239">
        <v>341103</v>
      </c>
      <c r="P1239">
        <v>43686.457638888889</v>
      </c>
      <c r="Q1239">
        <v>43053.712012233795</v>
      </c>
      <c r="R1239">
        <v>1260</v>
      </c>
    </row>
    <row r="1240" spans="1:18" x14ac:dyDescent="0.25">
      <c r="A1240" t="s">
        <v>4178</v>
      </c>
      <c r="B1240" t="s">
        <v>4179</v>
      </c>
      <c r="C1240" t="s">
        <v>4180</v>
      </c>
      <c r="D1240" t="s">
        <v>4180</v>
      </c>
      <c r="E1240" t="s">
        <v>4181</v>
      </c>
      <c r="F1240" t="s">
        <v>91</v>
      </c>
      <c r="G1240" t="s">
        <v>22</v>
      </c>
      <c r="H1240" t="s">
        <v>53</v>
      </c>
      <c r="I1240" t="s">
        <v>3006</v>
      </c>
      <c r="J1240">
        <v>2018</v>
      </c>
      <c r="K1240">
        <v>43698.521897777777</v>
      </c>
      <c r="L1240" t="s">
        <v>466</v>
      </c>
      <c r="M1240" t="s">
        <v>1738</v>
      </c>
      <c r="N1240" t="s">
        <v>1305</v>
      </c>
      <c r="O1240">
        <v>345340</v>
      </c>
      <c r="P1240">
        <v>43698.521897777777</v>
      </c>
      <c r="Q1240">
        <v>43053.712868946757</v>
      </c>
      <c r="R1240">
        <v>1261</v>
      </c>
    </row>
    <row r="1241" spans="1:18" x14ac:dyDescent="0.25">
      <c r="A1241" t="s">
        <v>4182</v>
      </c>
      <c r="B1241" t="s">
        <v>4183</v>
      </c>
      <c r="C1241" t="s">
        <v>4184</v>
      </c>
      <c r="D1241" t="s">
        <v>4184</v>
      </c>
      <c r="E1241" t="s">
        <v>4184</v>
      </c>
      <c r="F1241" t="s">
        <v>91</v>
      </c>
      <c r="G1241" t="s">
        <v>63</v>
      </c>
      <c r="H1241" t="s">
        <v>53</v>
      </c>
      <c r="I1241" t="s">
        <v>471</v>
      </c>
      <c r="J1241">
        <v>2012</v>
      </c>
      <c r="K1241">
        <v>43698.521897777777</v>
      </c>
      <c r="L1241" t="s">
        <v>1005</v>
      </c>
      <c r="M1241" t="s">
        <v>1941</v>
      </c>
      <c r="N1241" t="s">
        <v>415</v>
      </c>
      <c r="O1241">
        <v>346919</v>
      </c>
      <c r="P1241">
        <v>43698.521897777777</v>
      </c>
      <c r="Q1241">
        <v>43054.534340543978</v>
      </c>
      <c r="R1241">
        <v>1262</v>
      </c>
    </row>
    <row r="1242" spans="1:18" x14ac:dyDescent="0.25">
      <c r="A1242" t="s">
        <v>4185</v>
      </c>
      <c r="B1242" t="s">
        <v>4186</v>
      </c>
      <c r="C1242" t="s">
        <v>4187</v>
      </c>
      <c r="D1242" t="s">
        <v>4187</v>
      </c>
      <c r="E1242" t="s">
        <v>4187</v>
      </c>
      <c r="F1242" t="s">
        <v>91</v>
      </c>
      <c r="G1242" t="s">
        <v>63</v>
      </c>
      <c r="H1242" t="s">
        <v>53</v>
      </c>
      <c r="I1242" t="s">
        <v>471</v>
      </c>
      <c r="J1242">
        <v>2012</v>
      </c>
      <c r="K1242">
        <v>43698.521897777777</v>
      </c>
      <c r="L1242" t="s">
        <v>1005</v>
      </c>
      <c r="M1242" t="s">
        <v>1941</v>
      </c>
      <c r="N1242" t="s">
        <v>415</v>
      </c>
      <c r="Q1242">
        <v>43054.536253668979</v>
      </c>
      <c r="R1242">
        <v>1263</v>
      </c>
    </row>
    <row r="1243" spans="1:18" x14ac:dyDescent="0.25">
      <c r="A1243" t="s">
        <v>25</v>
      </c>
      <c r="B1243" t="s">
        <v>25</v>
      </c>
      <c r="C1243" t="s">
        <v>4188</v>
      </c>
      <c r="D1243" t="s">
        <v>4188</v>
      </c>
      <c r="E1243" t="s">
        <v>4188</v>
      </c>
      <c r="F1243" t="s">
        <v>91</v>
      </c>
      <c r="G1243" t="s">
        <v>106</v>
      </c>
      <c r="H1243" t="s">
        <v>25</v>
      </c>
      <c r="I1243" t="s">
        <v>25</v>
      </c>
      <c r="K1243">
        <v>43698.521897777777</v>
      </c>
      <c r="L1243" t="s">
        <v>422</v>
      </c>
      <c r="M1243" t="s">
        <v>42</v>
      </c>
      <c r="N1243" t="s">
        <v>415</v>
      </c>
      <c r="O1243">
        <v>345017</v>
      </c>
      <c r="P1243">
        <v>43693.84375</v>
      </c>
      <c r="Q1243">
        <v>43055.299431018517</v>
      </c>
      <c r="R1243">
        <v>1264</v>
      </c>
    </row>
    <row r="1244" spans="1:18" x14ac:dyDescent="0.25">
      <c r="A1244" t="s">
        <v>4189</v>
      </c>
      <c r="B1244" t="s">
        <v>4190</v>
      </c>
      <c r="C1244" t="s">
        <v>4191</v>
      </c>
      <c r="D1244" t="s">
        <v>4191</v>
      </c>
      <c r="E1244" t="s">
        <v>4191</v>
      </c>
      <c r="F1244" t="s">
        <v>21</v>
      </c>
      <c r="G1244" t="s">
        <v>63</v>
      </c>
      <c r="H1244" t="s">
        <v>53</v>
      </c>
      <c r="I1244" t="s">
        <v>4192</v>
      </c>
      <c r="J1244">
        <v>2005</v>
      </c>
      <c r="K1244">
        <v>43698.521897777777</v>
      </c>
      <c r="L1244" t="s">
        <v>422</v>
      </c>
      <c r="M1244" t="s">
        <v>2777</v>
      </c>
      <c r="N1244" t="s">
        <v>415</v>
      </c>
      <c r="O1244">
        <v>291190</v>
      </c>
      <c r="P1244">
        <v>43559.583333333336</v>
      </c>
      <c r="Q1244">
        <v>43055.523835300926</v>
      </c>
      <c r="R1244">
        <v>1265</v>
      </c>
    </row>
    <row r="1245" spans="1:18" x14ac:dyDescent="0.25">
      <c r="A1245" t="s">
        <v>4193</v>
      </c>
      <c r="B1245" t="s">
        <v>4194</v>
      </c>
      <c r="C1245" t="s">
        <v>4195</v>
      </c>
      <c r="D1245" t="s">
        <v>4195</v>
      </c>
      <c r="E1245" t="s">
        <v>4195</v>
      </c>
      <c r="F1245" t="s">
        <v>21</v>
      </c>
      <c r="G1245" t="s">
        <v>63</v>
      </c>
      <c r="H1245" t="s">
        <v>34</v>
      </c>
      <c r="I1245" t="s">
        <v>703</v>
      </c>
      <c r="J1245">
        <v>2006</v>
      </c>
      <c r="K1245">
        <v>43698.521897777777</v>
      </c>
      <c r="L1245" t="s">
        <v>422</v>
      </c>
      <c r="M1245" t="s">
        <v>2777</v>
      </c>
      <c r="N1245" t="s">
        <v>415</v>
      </c>
      <c r="O1245">
        <v>291241</v>
      </c>
      <c r="P1245">
        <v>43559.6875</v>
      </c>
      <c r="Q1245">
        <v>43055.524882291669</v>
      </c>
      <c r="R1245">
        <v>1266</v>
      </c>
    </row>
    <row r="1246" spans="1:18" x14ac:dyDescent="0.25">
      <c r="A1246" t="s">
        <v>4196</v>
      </c>
      <c r="B1246" t="s">
        <v>1951</v>
      </c>
      <c r="C1246" t="s">
        <v>4197</v>
      </c>
      <c r="D1246" t="s">
        <v>4197</v>
      </c>
      <c r="E1246" t="s">
        <v>4198</v>
      </c>
      <c r="F1246" t="s">
        <v>21</v>
      </c>
      <c r="G1246" t="s">
        <v>22</v>
      </c>
      <c r="H1246" t="s">
        <v>53</v>
      </c>
      <c r="I1246" t="s">
        <v>471</v>
      </c>
      <c r="J1246">
        <v>2016</v>
      </c>
      <c r="K1246">
        <v>43698.521897777777</v>
      </c>
      <c r="L1246" t="s">
        <v>1660</v>
      </c>
      <c r="M1246" t="s">
        <v>2777</v>
      </c>
      <c r="N1246" t="s">
        <v>415</v>
      </c>
      <c r="O1246">
        <v>181978</v>
      </c>
      <c r="P1246">
        <v>43229.754166666666</v>
      </c>
      <c r="Q1246">
        <v>43066.782626886576</v>
      </c>
      <c r="R1246">
        <v>1267</v>
      </c>
    </row>
    <row r="1247" spans="1:18" x14ac:dyDescent="0.25">
      <c r="A1247" t="s">
        <v>4199</v>
      </c>
      <c r="B1247" t="s">
        <v>2860</v>
      </c>
      <c r="C1247" t="s">
        <v>4200</v>
      </c>
      <c r="D1247" t="s">
        <v>4200</v>
      </c>
      <c r="E1247" t="s">
        <v>4201</v>
      </c>
      <c r="F1247" t="s">
        <v>21</v>
      </c>
      <c r="G1247" t="s">
        <v>22</v>
      </c>
      <c r="H1247" t="s">
        <v>53</v>
      </c>
      <c r="I1247" t="s">
        <v>471</v>
      </c>
      <c r="J1247">
        <v>2018</v>
      </c>
      <c r="K1247">
        <v>43698.521897777777</v>
      </c>
      <c r="L1247" t="s">
        <v>1660</v>
      </c>
      <c r="M1247" t="s">
        <v>2777</v>
      </c>
      <c r="N1247" t="s">
        <v>415</v>
      </c>
      <c r="O1247">
        <v>233487</v>
      </c>
      <c r="P1247">
        <v>43396.86041666667</v>
      </c>
      <c r="Q1247">
        <v>43066.783629976853</v>
      </c>
      <c r="R1247">
        <v>1268</v>
      </c>
    </row>
    <row r="1248" spans="1:18" x14ac:dyDescent="0.25">
      <c r="A1248" t="s">
        <v>4202</v>
      </c>
      <c r="B1248" t="s">
        <v>4203</v>
      </c>
      <c r="C1248" t="s">
        <v>4204</v>
      </c>
      <c r="D1248" t="s">
        <v>4204</v>
      </c>
      <c r="E1248" t="s">
        <v>4205</v>
      </c>
      <c r="F1248" t="s">
        <v>21</v>
      </c>
      <c r="G1248" t="s">
        <v>22</v>
      </c>
      <c r="H1248" t="s">
        <v>53</v>
      </c>
      <c r="I1248" t="s">
        <v>471</v>
      </c>
      <c r="J1248">
        <v>2016</v>
      </c>
      <c r="K1248">
        <v>43698.521897777777</v>
      </c>
      <c r="L1248" t="s">
        <v>1660</v>
      </c>
      <c r="M1248" t="s">
        <v>2777</v>
      </c>
      <c r="N1248" t="s">
        <v>415</v>
      </c>
      <c r="O1248">
        <v>179592</v>
      </c>
      <c r="P1248">
        <v>43221.607638888891</v>
      </c>
      <c r="Q1248">
        <v>43066.784598495367</v>
      </c>
      <c r="R1248">
        <v>1269</v>
      </c>
    </row>
    <row r="1249" spans="1:18" x14ac:dyDescent="0.25">
      <c r="A1249" t="s">
        <v>4206</v>
      </c>
      <c r="B1249" t="s">
        <v>2874</v>
      </c>
      <c r="C1249" t="s">
        <v>4207</v>
      </c>
      <c r="D1249" t="s">
        <v>4207</v>
      </c>
      <c r="E1249" t="s">
        <v>4208</v>
      </c>
      <c r="F1249" t="s">
        <v>21</v>
      </c>
      <c r="G1249" t="s">
        <v>22</v>
      </c>
      <c r="H1249" t="s">
        <v>53</v>
      </c>
      <c r="I1249" t="s">
        <v>471</v>
      </c>
      <c r="J1249">
        <v>2018</v>
      </c>
      <c r="K1249">
        <v>43698.521897777777</v>
      </c>
      <c r="L1249" t="s">
        <v>1660</v>
      </c>
      <c r="M1249" t="s">
        <v>2777</v>
      </c>
      <c r="N1249" t="s">
        <v>415</v>
      </c>
      <c r="O1249">
        <v>233470</v>
      </c>
      <c r="P1249">
        <v>43397.037499999999</v>
      </c>
      <c r="Q1249">
        <v>43066.785778043981</v>
      </c>
      <c r="R1249">
        <v>1270</v>
      </c>
    </row>
    <row r="1250" spans="1:18" x14ac:dyDescent="0.25">
      <c r="A1250" t="s">
        <v>25</v>
      </c>
      <c r="B1250" t="s">
        <v>25</v>
      </c>
      <c r="C1250" t="s">
        <v>4209</v>
      </c>
      <c r="D1250" t="s">
        <v>4209</v>
      </c>
      <c r="E1250" t="s">
        <v>4209</v>
      </c>
      <c r="F1250" t="s">
        <v>21</v>
      </c>
      <c r="G1250" t="s">
        <v>106</v>
      </c>
      <c r="H1250" t="s">
        <v>25</v>
      </c>
      <c r="I1250" t="s">
        <v>25</v>
      </c>
      <c r="K1250">
        <v>43698.521897777777</v>
      </c>
      <c r="L1250" t="s">
        <v>25</v>
      </c>
      <c r="M1250" t="s">
        <v>42</v>
      </c>
      <c r="N1250" t="s">
        <v>415</v>
      </c>
      <c r="O1250">
        <v>158446</v>
      </c>
      <c r="P1250">
        <v>43132.6875</v>
      </c>
      <c r="Q1250">
        <v>43067.338269409724</v>
      </c>
      <c r="R1250">
        <v>1271</v>
      </c>
    </row>
    <row r="1251" spans="1:18" x14ac:dyDescent="0.25">
      <c r="A1251" t="s">
        <v>4210</v>
      </c>
      <c r="B1251" t="s">
        <v>4211</v>
      </c>
      <c r="C1251" t="s">
        <v>4212</v>
      </c>
      <c r="D1251" t="s">
        <v>4212</v>
      </c>
      <c r="E1251" t="s">
        <v>4212</v>
      </c>
      <c r="F1251" t="s">
        <v>91</v>
      </c>
      <c r="G1251" t="s">
        <v>22</v>
      </c>
      <c r="H1251" t="s">
        <v>413</v>
      </c>
      <c r="I1251" t="s">
        <v>25</v>
      </c>
      <c r="J1251">
        <v>2010</v>
      </c>
      <c r="K1251">
        <v>43698.521897777777</v>
      </c>
      <c r="L1251" t="s">
        <v>25</v>
      </c>
      <c r="M1251" t="s">
        <v>154</v>
      </c>
      <c r="N1251" t="s">
        <v>1305</v>
      </c>
      <c r="Q1251">
        <v>43067.462149305553</v>
      </c>
      <c r="R1251">
        <v>1272</v>
      </c>
    </row>
    <row r="1252" spans="1:18" x14ac:dyDescent="0.25">
      <c r="A1252" t="s">
        <v>25</v>
      </c>
      <c r="B1252" t="s">
        <v>25</v>
      </c>
      <c r="C1252" t="s">
        <v>4213</v>
      </c>
      <c r="D1252" t="s">
        <v>4213</v>
      </c>
      <c r="E1252" t="s">
        <v>4213</v>
      </c>
      <c r="F1252" t="s">
        <v>253</v>
      </c>
      <c r="G1252" t="s">
        <v>22</v>
      </c>
      <c r="H1252" t="s">
        <v>25</v>
      </c>
      <c r="I1252" t="s">
        <v>25</v>
      </c>
      <c r="K1252">
        <v>43698.521897777777</v>
      </c>
      <c r="L1252" t="s">
        <v>25</v>
      </c>
      <c r="M1252" t="s">
        <v>154</v>
      </c>
      <c r="N1252" t="s">
        <v>1305</v>
      </c>
      <c r="Q1252">
        <v>43067.479647685184</v>
      </c>
      <c r="R1252">
        <v>1273</v>
      </c>
    </row>
    <row r="1253" spans="1:18" x14ac:dyDescent="0.25">
      <c r="A1253" t="s">
        <v>4214</v>
      </c>
      <c r="B1253" t="s">
        <v>4215</v>
      </c>
      <c r="C1253" t="s">
        <v>4216</v>
      </c>
      <c r="D1253" t="s">
        <v>4216</v>
      </c>
      <c r="E1253" t="s">
        <v>4217</v>
      </c>
      <c r="F1253" t="s">
        <v>21</v>
      </c>
      <c r="G1253" t="s">
        <v>22</v>
      </c>
      <c r="H1253" t="s">
        <v>53</v>
      </c>
      <c r="I1253" t="s">
        <v>3006</v>
      </c>
      <c r="J1253">
        <v>2018</v>
      </c>
      <c r="K1253">
        <v>43698.521897777777</v>
      </c>
      <c r="L1253" t="s">
        <v>193</v>
      </c>
      <c r="M1253" t="s">
        <v>37</v>
      </c>
      <c r="N1253" t="s">
        <v>415</v>
      </c>
      <c r="O1253">
        <v>258535</v>
      </c>
      <c r="P1253">
        <v>43471.165277777778</v>
      </c>
      <c r="Q1253">
        <v>43077.508849039354</v>
      </c>
      <c r="R1253">
        <v>1274</v>
      </c>
    </row>
    <row r="1254" spans="1:18" x14ac:dyDescent="0.25">
      <c r="A1254" t="s">
        <v>4218</v>
      </c>
      <c r="B1254" t="s">
        <v>4219</v>
      </c>
      <c r="C1254" t="s">
        <v>4220</v>
      </c>
      <c r="D1254" t="s">
        <v>4220</v>
      </c>
      <c r="E1254" t="s">
        <v>4221</v>
      </c>
      <c r="F1254" t="s">
        <v>21</v>
      </c>
      <c r="G1254" t="s">
        <v>22</v>
      </c>
      <c r="H1254" t="s">
        <v>53</v>
      </c>
      <c r="I1254" t="s">
        <v>3006</v>
      </c>
      <c r="J1254">
        <v>2018</v>
      </c>
      <c r="K1254">
        <v>43698.521897777777</v>
      </c>
      <c r="L1254" t="s">
        <v>1940</v>
      </c>
      <c r="M1254" t="s">
        <v>37</v>
      </c>
      <c r="N1254" t="s">
        <v>415</v>
      </c>
      <c r="O1254">
        <v>253025</v>
      </c>
      <c r="P1254">
        <v>43451.542361111111</v>
      </c>
      <c r="Q1254">
        <v>43077.509605671294</v>
      </c>
      <c r="R1254">
        <v>1275</v>
      </c>
    </row>
    <row r="1255" spans="1:18" x14ac:dyDescent="0.25">
      <c r="A1255" t="s">
        <v>4222</v>
      </c>
      <c r="B1255" t="s">
        <v>4223</v>
      </c>
      <c r="C1255" t="s">
        <v>4224</v>
      </c>
      <c r="D1255" t="s">
        <v>4224</v>
      </c>
      <c r="E1255" t="s">
        <v>4225</v>
      </c>
      <c r="F1255" t="s">
        <v>21</v>
      </c>
      <c r="G1255" t="s">
        <v>22</v>
      </c>
      <c r="H1255" t="s">
        <v>53</v>
      </c>
      <c r="I1255" t="s">
        <v>3006</v>
      </c>
      <c r="J1255">
        <v>2018</v>
      </c>
      <c r="K1255">
        <v>43698.521897777777</v>
      </c>
      <c r="L1255" t="s">
        <v>193</v>
      </c>
      <c r="M1255" t="s">
        <v>37</v>
      </c>
      <c r="N1255" t="s">
        <v>415</v>
      </c>
      <c r="O1255">
        <v>299409</v>
      </c>
      <c r="P1255">
        <v>43580.784722222219</v>
      </c>
      <c r="Q1255">
        <v>43077.51019710648</v>
      </c>
      <c r="R1255">
        <v>1276</v>
      </c>
    </row>
    <row r="1256" spans="1:18" x14ac:dyDescent="0.25">
      <c r="A1256" t="s">
        <v>4226</v>
      </c>
      <c r="B1256" t="s">
        <v>4227</v>
      </c>
      <c r="C1256" t="s">
        <v>4228</v>
      </c>
      <c r="D1256" t="s">
        <v>4228</v>
      </c>
      <c r="E1256" t="s">
        <v>4229</v>
      </c>
      <c r="F1256" t="s">
        <v>91</v>
      </c>
      <c r="G1256" t="s">
        <v>22</v>
      </c>
      <c r="H1256" t="s">
        <v>53</v>
      </c>
      <c r="I1256" t="s">
        <v>3006</v>
      </c>
      <c r="J1256">
        <v>2018</v>
      </c>
      <c r="K1256">
        <v>43698.521897777777</v>
      </c>
      <c r="L1256" t="s">
        <v>1916</v>
      </c>
      <c r="M1256" t="s">
        <v>37</v>
      </c>
      <c r="N1256" t="s">
        <v>415</v>
      </c>
      <c r="O1256">
        <v>346603</v>
      </c>
      <c r="P1256">
        <v>43698.521897777777</v>
      </c>
      <c r="Q1256">
        <v>43077.510921643516</v>
      </c>
      <c r="R1256">
        <v>1277</v>
      </c>
    </row>
    <row r="1257" spans="1:18" x14ac:dyDescent="0.25">
      <c r="A1257" t="s">
        <v>4230</v>
      </c>
      <c r="B1257" t="s">
        <v>4231</v>
      </c>
      <c r="C1257" t="s">
        <v>4232</v>
      </c>
      <c r="D1257" t="s">
        <v>4232</v>
      </c>
      <c r="E1257" t="s">
        <v>4233</v>
      </c>
      <c r="F1257" t="s">
        <v>91</v>
      </c>
      <c r="G1257" t="s">
        <v>22</v>
      </c>
      <c r="H1257" t="s">
        <v>53</v>
      </c>
      <c r="I1257" t="s">
        <v>3006</v>
      </c>
      <c r="J1257">
        <v>2018</v>
      </c>
      <c r="K1257">
        <v>43698.521897777777</v>
      </c>
      <c r="L1257" t="s">
        <v>193</v>
      </c>
      <c r="M1257" t="s">
        <v>37</v>
      </c>
      <c r="N1257" t="s">
        <v>415</v>
      </c>
      <c r="O1257">
        <v>346141</v>
      </c>
      <c r="P1257">
        <v>43698.521897777777</v>
      </c>
      <c r="Q1257">
        <v>43077.51149128472</v>
      </c>
      <c r="R1257">
        <v>1278</v>
      </c>
    </row>
    <row r="1258" spans="1:18" x14ac:dyDescent="0.25">
      <c r="A1258" t="s">
        <v>4234</v>
      </c>
      <c r="B1258" t="s">
        <v>4235</v>
      </c>
      <c r="C1258" t="s">
        <v>4236</v>
      </c>
      <c r="D1258" t="s">
        <v>4236</v>
      </c>
      <c r="E1258" t="s">
        <v>4237</v>
      </c>
      <c r="F1258" t="s">
        <v>91</v>
      </c>
      <c r="G1258" t="s">
        <v>22</v>
      </c>
      <c r="H1258" t="s">
        <v>53</v>
      </c>
      <c r="I1258" t="s">
        <v>3006</v>
      </c>
      <c r="J1258">
        <v>2018</v>
      </c>
      <c r="K1258">
        <v>43698.521897777777</v>
      </c>
      <c r="L1258" t="s">
        <v>193</v>
      </c>
      <c r="M1258" t="s">
        <v>37</v>
      </c>
      <c r="N1258" t="s">
        <v>415</v>
      </c>
      <c r="O1258">
        <v>347013</v>
      </c>
      <c r="P1258">
        <v>43698.521897777777</v>
      </c>
      <c r="Q1258">
        <v>43077.512009641207</v>
      </c>
      <c r="R1258">
        <v>1279</v>
      </c>
    </row>
    <row r="1259" spans="1:18" x14ac:dyDescent="0.25">
      <c r="A1259" t="s">
        <v>4238</v>
      </c>
      <c r="B1259" t="s">
        <v>4239</v>
      </c>
      <c r="C1259" t="s">
        <v>4240</v>
      </c>
      <c r="D1259" t="s">
        <v>4240</v>
      </c>
      <c r="E1259" t="s">
        <v>4241</v>
      </c>
      <c r="F1259" t="s">
        <v>91</v>
      </c>
      <c r="G1259" t="s">
        <v>22</v>
      </c>
      <c r="H1259" t="s">
        <v>53</v>
      </c>
      <c r="I1259" t="s">
        <v>3006</v>
      </c>
      <c r="J1259">
        <v>2018</v>
      </c>
      <c r="K1259">
        <v>43698.521897777777</v>
      </c>
      <c r="L1259" t="s">
        <v>193</v>
      </c>
      <c r="M1259" t="s">
        <v>37</v>
      </c>
      <c r="N1259" t="s">
        <v>415</v>
      </c>
      <c r="O1259">
        <v>346729</v>
      </c>
      <c r="P1259">
        <v>43698.521897777777</v>
      </c>
      <c r="Q1259">
        <v>43077.514409456016</v>
      </c>
      <c r="R1259">
        <v>1280</v>
      </c>
    </row>
    <row r="1260" spans="1:18" x14ac:dyDescent="0.25">
      <c r="A1260" t="s">
        <v>4242</v>
      </c>
      <c r="B1260" t="s">
        <v>4243</v>
      </c>
      <c r="C1260" t="s">
        <v>4244</v>
      </c>
      <c r="D1260" t="s">
        <v>4244</v>
      </c>
      <c r="E1260" t="s">
        <v>4245</v>
      </c>
      <c r="F1260" t="s">
        <v>21</v>
      </c>
      <c r="G1260" t="s">
        <v>22</v>
      </c>
      <c r="H1260" t="s">
        <v>53</v>
      </c>
      <c r="I1260" t="s">
        <v>3006</v>
      </c>
      <c r="J1260">
        <v>2018</v>
      </c>
      <c r="K1260">
        <v>43698.521897777777</v>
      </c>
      <c r="L1260" t="s">
        <v>1916</v>
      </c>
      <c r="M1260" t="s">
        <v>37</v>
      </c>
      <c r="N1260" t="s">
        <v>415</v>
      </c>
      <c r="O1260">
        <v>257895</v>
      </c>
      <c r="P1260">
        <v>43472.34375</v>
      </c>
      <c r="Q1260">
        <v>43077.515666898151</v>
      </c>
      <c r="R1260">
        <v>1281</v>
      </c>
    </row>
    <row r="1261" spans="1:18" x14ac:dyDescent="0.25">
      <c r="A1261" t="s">
        <v>4246</v>
      </c>
      <c r="B1261" t="s">
        <v>4247</v>
      </c>
      <c r="C1261" t="s">
        <v>4248</v>
      </c>
      <c r="D1261" t="s">
        <v>4248</v>
      </c>
      <c r="E1261" t="s">
        <v>4249</v>
      </c>
      <c r="F1261" t="s">
        <v>91</v>
      </c>
      <c r="G1261" t="s">
        <v>22</v>
      </c>
      <c r="H1261" t="s">
        <v>53</v>
      </c>
      <c r="I1261" t="s">
        <v>3006</v>
      </c>
      <c r="J1261">
        <v>2018</v>
      </c>
      <c r="K1261">
        <v>43698.521897777777</v>
      </c>
      <c r="L1261" t="s">
        <v>193</v>
      </c>
      <c r="M1261" t="s">
        <v>37</v>
      </c>
      <c r="N1261" t="s">
        <v>415</v>
      </c>
      <c r="O1261">
        <v>346054</v>
      </c>
      <c r="P1261">
        <v>43698.521897777777</v>
      </c>
      <c r="Q1261">
        <v>43077.516383599534</v>
      </c>
      <c r="R1261">
        <v>1282</v>
      </c>
    </row>
    <row r="1262" spans="1:18" x14ac:dyDescent="0.25">
      <c r="A1262" t="s">
        <v>4250</v>
      </c>
      <c r="B1262" t="s">
        <v>4251</v>
      </c>
      <c r="C1262" t="s">
        <v>4252</v>
      </c>
      <c r="D1262" t="s">
        <v>4252</v>
      </c>
      <c r="E1262" t="s">
        <v>4253</v>
      </c>
      <c r="F1262" t="s">
        <v>21</v>
      </c>
      <c r="G1262" t="s">
        <v>22</v>
      </c>
      <c r="H1262" t="s">
        <v>53</v>
      </c>
      <c r="I1262" t="s">
        <v>3006</v>
      </c>
      <c r="J1262">
        <v>2018</v>
      </c>
      <c r="K1262">
        <v>43698.521897777777</v>
      </c>
      <c r="L1262" t="s">
        <v>4254</v>
      </c>
      <c r="M1262" t="s">
        <v>37</v>
      </c>
      <c r="N1262" t="s">
        <v>415</v>
      </c>
      <c r="O1262">
        <v>299317</v>
      </c>
      <c r="P1262">
        <v>43580.729166666664</v>
      </c>
      <c r="Q1262">
        <v>43077.516964849536</v>
      </c>
      <c r="R1262">
        <v>1283</v>
      </c>
    </row>
    <row r="1263" spans="1:18" x14ac:dyDescent="0.25">
      <c r="A1263" t="s">
        <v>4255</v>
      </c>
      <c r="B1263" t="s">
        <v>4256</v>
      </c>
      <c r="C1263" t="s">
        <v>4257</v>
      </c>
      <c r="D1263" t="s">
        <v>4257</v>
      </c>
      <c r="E1263" t="s">
        <v>4257</v>
      </c>
      <c r="F1263" t="s">
        <v>21</v>
      </c>
      <c r="G1263" t="s">
        <v>63</v>
      </c>
      <c r="H1263" t="s">
        <v>34</v>
      </c>
      <c r="I1263" t="s">
        <v>703</v>
      </c>
      <c r="J1263">
        <v>2008</v>
      </c>
      <c r="K1263">
        <v>43698.521897777777</v>
      </c>
      <c r="L1263" t="s">
        <v>25</v>
      </c>
      <c r="M1263" t="s">
        <v>2777</v>
      </c>
      <c r="N1263" t="s">
        <v>415</v>
      </c>
      <c r="O1263">
        <v>184554</v>
      </c>
      <c r="P1263">
        <v>43238.916666666664</v>
      </c>
      <c r="Q1263">
        <v>43080.482957835651</v>
      </c>
      <c r="R1263">
        <v>1285</v>
      </c>
    </row>
    <row r="1264" spans="1:18" x14ac:dyDescent="0.25">
      <c r="A1264" t="s">
        <v>4258</v>
      </c>
      <c r="B1264" t="s">
        <v>4259</v>
      </c>
      <c r="C1264" t="s">
        <v>4260</v>
      </c>
      <c r="D1264" t="s">
        <v>4260</v>
      </c>
      <c r="E1264" t="s">
        <v>4260</v>
      </c>
      <c r="F1264" t="s">
        <v>91</v>
      </c>
      <c r="G1264" t="s">
        <v>63</v>
      </c>
      <c r="H1264" t="s">
        <v>4261</v>
      </c>
      <c r="I1264" t="s">
        <v>4262</v>
      </c>
      <c r="J1264">
        <v>2007</v>
      </c>
      <c r="K1264">
        <v>43698.521897777777</v>
      </c>
      <c r="L1264" t="s">
        <v>422</v>
      </c>
      <c r="M1264" t="s">
        <v>2777</v>
      </c>
      <c r="N1264" t="s">
        <v>415</v>
      </c>
      <c r="O1264">
        <v>347059</v>
      </c>
      <c r="P1264">
        <v>43698.521897777777</v>
      </c>
      <c r="Q1264">
        <v>43080.483418900461</v>
      </c>
      <c r="R1264">
        <v>1286</v>
      </c>
    </row>
    <row r="1265" spans="1:18" x14ac:dyDescent="0.25">
      <c r="A1265" t="s">
        <v>4263</v>
      </c>
      <c r="B1265" t="s">
        <v>4264</v>
      </c>
      <c r="C1265" t="s">
        <v>4265</v>
      </c>
      <c r="D1265" t="s">
        <v>4265</v>
      </c>
      <c r="E1265" t="s">
        <v>4265</v>
      </c>
      <c r="F1265" t="s">
        <v>91</v>
      </c>
      <c r="G1265" t="s">
        <v>63</v>
      </c>
      <c r="H1265" t="s">
        <v>53</v>
      </c>
      <c r="I1265" t="s">
        <v>4192</v>
      </c>
      <c r="J1265">
        <v>2007</v>
      </c>
      <c r="K1265">
        <v>43698.521897777777</v>
      </c>
      <c r="L1265" t="s">
        <v>193</v>
      </c>
      <c r="M1265" t="s">
        <v>37</v>
      </c>
      <c r="N1265" t="s">
        <v>415</v>
      </c>
      <c r="O1265">
        <v>346732</v>
      </c>
      <c r="P1265">
        <v>43698.521897777777</v>
      </c>
      <c r="Q1265">
        <v>43080.48377885417</v>
      </c>
      <c r="R1265">
        <v>1287</v>
      </c>
    </row>
    <row r="1266" spans="1:18" x14ac:dyDescent="0.25">
      <c r="A1266" t="s">
        <v>4266</v>
      </c>
      <c r="B1266" t="s">
        <v>4267</v>
      </c>
      <c r="C1266" t="s">
        <v>4268</v>
      </c>
      <c r="D1266" t="s">
        <v>4268</v>
      </c>
      <c r="E1266" t="s">
        <v>4269</v>
      </c>
      <c r="F1266" t="s">
        <v>91</v>
      </c>
      <c r="G1266" t="s">
        <v>22</v>
      </c>
      <c r="H1266" t="s">
        <v>53</v>
      </c>
      <c r="I1266" t="s">
        <v>3006</v>
      </c>
      <c r="J1266">
        <v>2018</v>
      </c>
      <c r="K1266">
        <v>43698.521897777777</v>
      </c>
      <c r="L1266" t="s">
        <v>3142</v>
      </c>
      <c r="M1266" t="s">
        <v>37</v>
      </c>
      <c r="N1266" t="s">
        <v>415</v>
      </c>
      <c r="O1266">
        <v>343035</v>
      </c>
      <c r="P1266">
        <v>43689.896527777775</v>
      </c>
      <c r="Q1266">
        <v>43080.781075613428</v>
      </c>
      <c r="R1266">
        <v>1288</v>
      </c>
    </row>
    <row r="1267" spans="1:18" x14ac:dyDescent="0.25">
      <c r="A1267" t="s">
        <v>4270</v>
      </c>
      <c r="B1267" t="s">
        <v>4271</v>
      </c>
      <c r="C1267" t="s">
        <v>4272</v>
      </c>
      <c r="D1267" t="s">
        <v>4272</v>
      </c>
      <c r="E1267" t="s">
        <v>4273</v>
      </c>
      <c r="F1267" t="s">
        <v>91</v>
      </c>
      <c r="G1267" t="s">
        <v>22</v>
      </c>
      <c r="H1267" t="s">
        <v>53</v>
      </c>
      <c r="I1267" t="s">
        <v>3006</v>
      </c>
      <c r="J1267">
        <v>2018</v>
      </c>
      <c r="K1267">
        <v>43698.521897777777</v>
      </c>
      <c r="L1267" t="s">
        <v>1916</v>
      </c>
      <c r="M1267" t="s">
        <v>37</v>
      </c>
      <c r="N1267" t="s">
        <v>415</v>
      </c>
      <c r="O1267">
        <v>347128</v>
      </c>
      <c r="P1267">
        <v>43698.521897777777</v>
      </c>
      <c r="Q1267">
        <v>43080.781784293984</v>
      </c>
      <c r="R1267">
        <v>1289</v>
      </c>
    </row>
    <row r="1268" spans="1:18" x14ac:dyDescent="0.25">
      <c r="A1268" t="s">
        <v>4274</v>
      </c>
      <c r="B1268" t="s">
        <v>4275</v>
      </c>
      <c r="C1268" t="s">
        <v>4276</v>
      </c>
      <c r="D1268" t="s">
        <v>4276</v>
      </c>
      <c r="E1268" t="s">
        <v>4277</v>
      </c>
      <c r="F1268" t="s">
        <v>21</v>
      </c>
      <c r="G1268" t="s">
        <v>22</v>
      </c>
      <c r="H1268" t="s">
        <v>53</v>
      </c>
      <c r="I1268" t="s">
        <v>3006</v>
      </c>
      <c r="J1268">
        <v>2018</v>
      </c>
      <c r="K1268">
        <v>43698.521897777777</v>
      </c>
      <c r="L1268" t="s">
        <v>193</v>
      </c>
      <c r="M1268" t="s">
        <v>37</v>
      </c>
      <c r="N1268" t="s">
        <v>415</v>
      </c>
      <c r="O1268">
        <v>298156</v>
      </c>
      <c r="P1268">
        <v>43579.796331018515</v>
      </c>
      <c r="Q1268">
        <v>43080.782484490737</v>
      </c>
      <c r="R1268">
        <v>1290</v>
      </c>
    </row>
    <row r="1269" spans="1:18" x14ac:dyDescent="0.25">
      <c r="A1269" t="s">
        <v>4278</v>
      </c>
      <c r="B1269" t="s">
        <v>4279</v>
      </c>
      <c r="C1269" t="s">
        <v>4280</v>
      </c>
      <c r="D1269" t="s">
        <v>4280</v>
      </c>
      <c r="E1269" t="s">
        <v>4281</v>
      </c>
      <c r="F1269" t="s">
        <v>91</v>
      </c>
      <c r="G1269" t="s">
        <v>22</v>
      </c>
      <c r="H1269" t="s">
        <v>53</v>
      </c>
      <c r="I1269" t="s">
        <v>3006</v>
      </c>
      <c r="J1269">
        <v>2018</v>
      </c>
      <c r="K1269">
        <v>43698.521897777777</v>
      </c>
      <c r="L1269" t="s">
        <v>193</v>
      </c>
      <c r="M1269" t="s">
        <v>37</v>
      </c>
      <c r="N1269" t="s">
        <v>415</v>
      </c>
      <c r="O1269">
        <v>344704</v>
      </c>
      <c r="P1269">
        <v>43694.706550925926</v>
      </c>
      <c r="Q1269">
        <v>43080.783214351854</v>
      </c>
      <c r="R1269">
        <v>1291</v>
      </c>
    </row>
    <row r="1270" spans="1:18" x14ac:dyDescent="0.25">
      <c r="A1270" t="s">
        <v>4282</v>
      </c>
      <c r="B1270" t="s">
        <v>4283</v>
      </c>
      <c r="C1270" t="s">
        <v>4284</v>
      </c>
      <c r="D1270" t="s">
        <v>4284</v>
      </c>
      <c r="E1270" t="s">
        <v>4285</v>
      </c>
      <c r="F1270" t="s">
        <v>21</v>
      </c>
      <c r="G1270" t="s">
        <v>22</v>
      </c>
      <c r="H1270" t="s">
        <v>53</v>
      </c>
      <c r="I1270" t="s">
        <v>3006</v>
      </c>
      <c r="J1270">
        <v>2018</v>
      </c>
      <c r="K1270">
        <v>43698.521897777777</v>
      </c>
      <c r="L1270" t="s">
        <v>193</v>
      </c>
      <c r="M1270" t="s">
        <v>37</v>
      </c>
      <c r="N1270" t="s">
        <v>415</v>
      </c>
      <c r="O1270">
        <v>254854</v>
      </c>
      <c r="P1270">
        <v>43455.48333333333</v>
      </c>
      <c r="Q1270">
        <v>43080.784022719905</v>
      </c>
      <c r="R1270">
        <v>1292</v>
      </c>
    </row>
    <row r="1271" spans="1:18" x14ac:dyDescent="0.25">
      <c r="A1271" t="s">
        <v>4286</v>
      </c>
      <c r="B1271" t="s">
        <v>4287</v>
      </c>
      <c r="C1271" t="s">
        <v>4288</v>
      </c>
      <c r="D1271" t="s">
        <v>4288</v>
      </c>
      <c r="E1271" t="s">
        <v>4289</v>
      </c>
      <c r="F1271" t="s">
        <v>91</v>
      </c>
      <c r="G1271" t="s">
        <v>22</v>
      </c>
      <c r="H1271" t="s">
        <v>53</v>
      </c>
      <c r="I1271" t="s">
        <v>3006</v>
      </c>
      <c r="J1271">
        <v>2018</v>
      </c>
      <c r="K1271">
        <v>43698.521897777777</v>
      </c>
      <c r="L1271" t="s">
        <v>193</v>
      </c>
      <c r="M1271" t="s">
        <v>37</v>
      </c>
      <c r="N1271" t="s">
        <v>415</v>
      </c>
      <c r="O1271">
        <v>345547</v>
      </c>
      <c r="P1271">
        <v>43698.521897777777</v>
      </c>
      <c r="Q1271">
        <v>43080.786789502316</v>
      </c>
      <c r="R1271">
        <v>1293</v>
      </c>
    </row>
    <row r="1272" spans="1:18" x14ac:dyDescent="0.25">
      <c r="A1272" t="s">
        <v>4290</v>
      </c>
      <c r="B1272" t="s">
        <v>4291</v>
      </c>
      <c r="C1272" t="s">
        <v>4292</v>
      </c>
      <c r="D1272" t="s">
        <v>4292</v>
      </c>
      <c r="E1272" t="s">
        <v>4293</v>
      </c>
      <c r="F1272" t="s">
        <v>91</v>
      </c>
      <c r="G1272" t="s">
        <v>22</v>
      </c>
      <c r="H1272" t="s">
        <v>53</v>
      </c>
      <c r="I1272" t="s">
        <v>3006</v>
      </c>
      <c r="J1272">
        <v>2018</v>
      </c>
      <c r="K1272">
        <v>43698.521897777777</v>
      </c>
      <c r="L1272" t="s">
        <v>193</v>
      </c>
      <c r="M1272" t="s">
        <v>37</v>
      </c>
      <c r="N1272" t="s">
        <v>415</v>
      </c>
      <c r="O1272">
        <v>346727</v>
      </c>
      <c r="P1272">
        <v>43698.521897777777</v>
      </c>
      <c r="Q1272">
        <v>43080.787494131946</v>
      </c>
      <c r="R1272">
        <v>1294</v>
      </c>
    </row>
    <row r="1273" spans="1:18" x14ac:dyDescent="0.25">
      <c r="A1273" t="s">
        <v>4294</v>
      </c>
      <c r="B1273" t="s">
        <v>4295</v>
      </c>
      <c r="C1273" t="s">
        <v>4296</v>
      </c>
      <c r="D1273" t="s">
        <v>4296</v>
      </c>
      <c r="E1273" t="s">
        <v>4297</v>
      </c>
      <c r="F1273" t="s">
        <v>91</v>
      </c>
      <c r="G1273" t="s">
        <v>22</v>
      </c>
      <c r="H1273" t="s">
        <v>53</v>
      </c>
      <c r="I1273" t="s">
        <v>3006</v>
      </c>
      <c r="J1273">
        <v>2018</v>
      </c>
      <c r="K1273">
        <v>43698.521897777777</v>
      </c>
      <c r="L1273" t="s">
        <v>193</v>
      </c>
      <c r="M1273" t="s">
        <v>37</v>
      </c>
      <c r="N1273" t="s">
        <v>415</v>
      </c>
      <c r="O1273">
        <v>346826</v>
      </c>
      <c r="P1273">
        <v>43698.521897777777</v>
      </c>
      <c r="Q1273">
        <v>43080.788643749998</v>
      </c>
      <c r="R1273">
        <v>1295</v>
      </c>
    </row>
    <row r="1274" spans="1:18" x14ac:dyDescent="0.25">
      <c r="A1274" t="s">
        <v>4298</v>
      </c>
      <c r="B1274" t="s">
        <v>4299</v>
      </c>
      <c r="C1274" t="s">
        <v>4300</v>
      </c>
      <c r="D1274" t="s">
        <v>4300</v>
      </c>
      <c r="E1274" t="s">
        <v>4301</v>
      </c>
      <c r="F1274" t="s">
        <v>21</v>
      </c>
      <c r="G1274" t="s">
        <v>22</v>
      </c>
      <c r="H1274" t="s">
        <v>53</v>
      </c>
      <c r="I1274" t="s">
        <v>3006</v>
      </c>
      <c r="J1274">
        <v>2018</v>
      </c>
      <c r="K1274">
        <v>43698.521897777777</v>
      </c>
      <c r="L1274" t="s">
        <v>1005</v>
      </c>
      <c r="M1274" t="s">
        <v>37</v>
      </c>
      <c r="N1274" t="s">
        <v>415</v>
      </c>
      <c r="O1274">
        <v>255462</v>
      </c>
      <c r="P1274">
        <v>43459.367361111108</v>
      </c>
      <c r="Q1274">
        <v>43080.789486724534</v>
      </c>
      <c r="R1274">
        <v>1296</v>
      </c>
    </row>
    <row r="1275" spans="1:18" x14ac:dyDescent="0.25">
      <c r="A1275" t="s">
        <v>4302</v>
      </c>
      <c r="B1275" t="s">
        <v>2485</v>
      </c>
      <c r="C1275" t="s">
        <v>4303</v>
      </c>
      <c r="D1275" t="s">
        <v>4303</v>
      </c>
      <c r="E1275" t="s">
        <v>4304</v>
      </c>
      <c r="F1275" t="s">
        <v>21</v>
      </c>
      <c r="G1275" t="s">
        <v>22</v>
      </c>
      <c r="H1275" t="s">
        <v>53</v>
      </c>
      <c r="I1275" t="s">
        <v>471</v>
      </c>
      <c r="J1275">
        <v>2017</v>
      </c>
      <c r="K1275">
        <v>43698.521897777777</v>
      </c>
      <c r="L1275" t="s">
        <v>1660</v>
      </c>
      <c r="M1275" t="s">
        <v>37</v>
      </c>
      <c r="N1275" t="s">
        <v>415</v>
      </c>
      <c r="O1275">
        <v>179215</v>
      </c>
      <c r="P1275">
        <v>43220.504166666666</v>
      </c>
      <c r="Q1275">
        <v>43088.747422604167</v>
      </c>
      <c r="R1275">
        <v>1297</v>
      </c>
    </row>
    <row r="1276" spans="1:18" x14ac:dyDescent="0.25">
      <c r="A1276" t="s">
        <v>4305</v>
      </c>
      <c r="B1276" t="s">
        <v>4306</v>
      </c>
      <c r="C1276" t="s">
        <v>4307</v>
      </c>
      <c r="D1276" t="s">
        <v>4307</v>
      </c>
      <c r="E1276" t="s">
        <v>4308</v>
      </c>
      <c r="F1276" t="s">
        <v>91</v>
      </c>
      <c r="G1276" t="s">
        <v>22</v>
      </c>
      <c r="H1276" t="s">
        <v>53</v>
      </c>
      <c r="I1276" t="s">
        <v>3006</v>
      </c>
      <c r="J1276">
        <v>2018</v>
      </c>
      <c r="K1276">
        <v>43698.521897777777</v>
      </c>
      <c r="L1276" t="s">
        <v>422</v>
      </c>
      <c r="M1276" t="s">
        <v>2777</v>
      </c>
      <c r="N1276" t="s">
        <v>415</v>
      </c>
      <c r="O1276">
        <v>347014</v>
      </c>
      <c r="P1276">
        <v>43698.521897777777</v>
      </c>
      <c r="Q1276">
        <v>43108.754261724534</v>
      </c>
      <c r="R1276">
        <v>1298</v>
      </c>
    </row>
    <row r="1277" spans="1:18" x14ac:dyDescent="0.25">
      <c r="A1277" t="s">
        <v>4309</v>
      </c>
      <c r="B1277" t="s">
        <v>4310</v>
      </c>
      <c r="C1277" t="s">
        <v>4311</v>
      </c>
      <c r="D1277" t="s">
        <v>4311</v>
      </c>
      <c r="E1277" t="s">
        <v>4312</v>
      </c>
      <c r="F1277" t="s">
        <v>91</v>
      </c>
      <c r="G1277" t="s">
        <v>22</v>
      </c>
      <c r="H1277" t="s">
        <v>53</v>
      </c>
      <c r="I1277" t="s">
        <v>3006</v>
      </c>
      <c r="J1277">
        <v>2018</v>
      </c>
      <c r="K1277">
        <v>43698.521897777777</v>
      </c>
      <c r="L1277" t="s">
        <v>422</v>
      </c>
      <c r="M1277" t="s">
        <v>2777</v>
      </c>
      <c r="N1277" t="s">
        <v>415</v>
      </c>
      <c r="O1277">
        <v>347021</v>
      </c>
      <c r="P1277">
        <v>43698.521897777777</v>
      </c>
      <c r="Q1277">
        <v>43108.754957291669</v>
      </c>
      <c r="R1277">
        <v>1299</v>
      </c>
    </row>
    <row r="1278" spans="1:18" x14ac:dyDescent="0.25">
      <c r="A1278" t="s">
        <v>4313</v>
      </c>
      <c r="B1278" t="s">
        <v>4314</v>
      </c>
      <c r="C1278" t="s">
        <v>4315</v>
      </c>
      <c r="D1278" t="s">
        <v>4315</v>
      </c>
      <c r="E1278" t="s">
        <v>4316</v>
      </c>
      <c r="F1278" t="s">
        <v>91</v>
      </c>
      <c r="G1278" t="s">
        <v>22</v>
      </c>
      <c r="H1278" t="s">
        <v>53</v>
      </c>
      <c r="I1278" t="s">
        <v>3006</v>
      </c>
      <c r="J1278">
        <v>2018</v>
      </c>
      <c r="K1278">
        <v>43698.521897777777</v>
      </c>
      <c r="L1278" t="s">
        <v>2783</v>
      </c>
      <c r="M1278" t="s">
        <v>2777</v>
      </c>
      <c r="N1278" t="s">
        <v>994</v>
      </c>
      <c r="O1278">
        <v>346885</v>
      </c>
      <c r="P1278">
        <v>43698.521897777777</v>
      </c>
      <c r="Q1278">
        <v>43108.756274189815</v>
      </c>
      <c r="R1278">
        <v>1300</v>
      </c>
    </row>
    <row r="1279" spans="1:18" x14ac:dyDescent="0.25">
      <c r="A1279" t="s">
        <v>4317</v>
      </c>
      <c r="B1279" t="s">
        <v>4318</v>
      </c>
      <c r="C1279" t="s">
        <v>4319</v>
      </c>
      <c r="D1279" t="s">
        <v>4319</v>
      </c>
      <c r="E1279" t="s">
        <v>4320</v>
      </c>
      <c r="F1279" t="s">
        <v>91</v>
      </c>
      <c r="G1279" t="s">
        <v>22</v>
      </c>
      <c r="H1279" t="s">
        <v>53</v>
      </c>
      <c r="I1279" t="s">
        <v>3006</v>
      </c>
      <c r="J1279">
        <v>2018</v>
      </c>
      <c r="K1279">
        <v>43698.521897777777</v>
      </c>
      <c r="L1279" t="s">
        <v>422</v>
      </c>
      <c r="M1279" t="s">
        <v>2777</v>
      </c>
      <c r="N1279" t="s">
        <v>415</v>
      </c>
      <c r="O1279">
        <v>346659</v>
      </c>
      <c r="P1279">
        <v>43698.052083333336</v>
      </c>
      <c r="Q1279">
        <v>43108.757412650462</v>
      </c>
      <c r="R1279">
        <v>1301</v>
      </c>
    </row>
    <row r="1280" spans="1:18" x14ac:dyDescent="0.25">
      <c r="A1280" t="s">
        <v>4321</v>
      </c>
      <c r="B1280" t="s">
        <v>4322</v>
      </c>
      <c r="C1280" t="s">
        <v>4323</v>
      </c>
      <c r="D1280" t="s">
        <v>4323</v>
      </c>
      <c r="E1280" t="s">
        <v>4324</v>
      </c>
      <c r="F1280" t="s">
        <v>91</v>
      </c>
      <c r="G1280" t="s">
        <v>22</v>
      </c>
      <c r="H1280" t="s">
        <v>53</v>
      </c>
      <c r="I1280" t="s">
        <v>3006</v>
      </c>
      <c r="J1280">
        <v>2018</v>
      </c>
      <c r="K1280">
        <v>43698.521897777777</v>
      </c>
      <c r="L1280" t="s">
        <v>422</v>
      </c>
      <c r="M1280" t="s">
        <v>2777</v>
      </c>
      <c r="N1280" t="s">
        <v>2778</v>
      </c>
      <c r="O1280">
        <v>346681</v>
      </c>
      <c r="P1280">
        <v>43698.135416666664</v>
      </c>
      <c r="Q1280">
        <v>43108.75803109954</v>
      </c>
      <c r="R1280">
        <v>1302</v>
      </c>
    </row>
    <row r="1281" spans="1:18" x14ac:dyDescent="0.25">
      <c r="A1281" t="s">
        <v>4325</v>
      </c>
      <c r="B1281" t="s">
        <v>4326</v>
      </c>
      <c r="C1281" t="s">
        <v>4327</v>
      </c>
      <c r="D1281" t="s">
        <v>4327</v>
      </c>
      <c r="E1281" t="s">
        <v>4328</v>
      </c>
      <c r="F1281" t="s">
        <v>91</v>
      </c>
      <c r="G1281" t="s">
        <v>22</v>
      </c>
      <c r="H1281" t="s">
        <v>53</v>
      </c>
      <c r="I1281" t="s">
        <v>3006</v>
      </c>
      <c r="J1281">
        <v>2018</v>
      </c>
      <c r="K1281">
        <v>43698.521897777777</v>
      </c>
      <c r="L1281" t="s">
        <v>422</v>
      </c>
      <c r="M1281" t="s">
        <v>2777</v>
      </c>
      <c r="N1281" t="s">
        <v>2778</v>
      </c>
      <c r="O1281">
        <v>346971</v>
      </c>
      <c r="P1281">
        <v>43698.521897777777</v>
      </c>
      <c r="Q1281">
        <v>43108.76064818287</v>
      </c>
      <c r="R1281">
        <v>1303</v>
      </c>
    </row>
    <row r="1282" spans="1:18" x14ac:dyDescent="0.25">
      <c r="A1282" t="s">
        <v>4329</v>
      </c>
      <c r="B1282" t="s">
        <v>4330</v>
      </c>
      <c r="C1282" t="s">
        <v>4331</v>
      </c>
      <c r="D1282" t="s">
        <v>4331</v>
      </c>
      <c r="E1282" t="s">
        <v>4332</v>
      </c>
      <c r="F1282" t="s">
        <v>91</v>
      </c>
      <c r="G1282" t="s">
        <v>22</v>
      </c>
      <c r="H1282" t="s">
        <v>53</v>
      </c>
      <c r="I1282" t="s">
        <v>3006</v>
      </c>
      <c r="J1282">
        <v>2018</v>
      </c>
      <c r="K1282">
        <v>43698.521897777777</v>
      </c>
      <c r="L1282" t="s">
        <v>422</v>
      </c>
      <c r="M1282" t="s">
        <v>2777</v>
      </c>
      <c r="N1282" t="s">
        <v>1439</v>
      </c>
      <c r="O1282">
        <v>347048</v>
      </c>
      <c r="P1282">
        <v>43698.521897777777</v>
      </c>
      <c r="Q1282">
        <v>43108.761281944448</v>
      </c>
      <c r="R1282">
        <v>1304</v>
      </c>
    </row>
    <row r="1283" spans="1:18" x14ac:dyDescent="0.25">
      <c r="A1283" t="s">
        <v>4333</v>
      </c>
      <c r="B1283" t="s">
        <v>4334</v>
      </c>
      <c r="C1283" t="s">
        <v>4335</v>
      </c>
      <c r="D1283" t="s">
        <v>4335</v>
      </c>
      <c r="E1283" t="s">
        <v>4336</v>
      </c>
      <c r="F1283" t="s">
        <v>91</v>
      </c>
      <c r="G1283" t="s">
        <v>22</v>
      </c>
      <c r="H1283" t="s">
        <v>53</v>
      </c>
      <c r="I1283" t="s">
        <v>3006</v>
      </c>
      <c r="J1283">
        <v>2018</v>
      </c>
      <c r="K1283">
        <v>43698.521897777777</v>
      </c>
      <c r="L1283" t="s">
        <v>422</v>
      </c>
      <c r="M1283" t="s">
        <v>2777</v>
      </c>
      <c r="N1283" t="s">
        <v>1439</v>
      </c>
      <c r="O1283">
        <v>346813</v>
      </c>
      <c r="P1283">
        <v>43698.28125</v>
      </c>
      <c r="Q1283">
        <v>43108.762665393515</v>
      </c>
      <c r="R1283">
        <v>1305</v>
      </c>
    </row>
    <row r="1284" spans="1:18" x14ac:dyDescent="0.25">
      <c r="A1284" t="s">
        <v>4337</v>
      </c>
      <c r="B1284" t="s">
        <v>4338</v>
      </c>
      <c r="C1284" t="s">
        <v>4339</v>
      </c>
      <c r="D1284" t="s">
        <v>4339</v>
      </c>
      <c r="E1284" t="s">
        <v>4340</v>
      </c>
      <c r="F1284" t="s">
        <v>91</v>
      </c>
      <c r="G1284" t="s">
        <v>22</v>
      </c>
      <c r="H1284" t="s">
        <v>53</v>
      </c>
      <c r="I1284" t="s">
        <v>3006</v>
      </c>
      <c r="J1284">
        <v>2018</v>
      </c>
      <c r="K1284">
        <v>43698.521897777777</v>
      </c>
      <c r="L1284" t="s">
        <v>422</v>
      </c>
      <c r="M1284" t="s">
        <v>2777</v>
      </c>
      <c r="N1284" t="s">
        <v>415</v>
      </c>
      <c r="O1284">
        <v>347005</v>
      </c>
      <c r="P1284">
        <v>43698.521897777777</v>
      </c>
      <c r="Q1284">
        <v>43108.763133136577</v>
      </c>
      <c r="R1284">
        <v>1306</v>
      </c>
    </row>
    <row r="1285" spans="1:18" x14ac:dyDescent="0.25">
      <c r="A1285" t="s">
        <v>4341</v>
      </c>
      <c r="B1285" t="s">
        <v>4342</v>
      </c>
      <c r="C1285" t="s">
        <v>4343</v>
      </c>
      <c r="D1285" t="s">
        <v>4343</v>
      </c>
      <c r="E1285" t="s">
        <v>4344</v>
      </c>
      <c r="F1285" t="s">
        <v>91</v>
      </c>
      <c r="G1285" t="s">
        <v>22</v>
      </c>
      <c r="H1285" t="s">
        <v>53</v>
      </c>
      <c r="I1285" t="s">
        <v>3006</v>
      </c>
      <c r="J1285">
        <v>2018</v>
      </c>
      <c r="K1285">
        <v>43698.521897777777</v>
      </c>
      <c r="L1285" t="s">
        <v>422</v>
      </c>
      <c r="M1285" t="s">
        <v>2777</v>
      </c>
      <c r="N1285" t="s">
        <v>415</v>
      </c>
      <c r="O1285">
        <v>346827</v>
      </c>
      <c r="P1285">
        <v>43698.354166666664</v>
      </c>
      <c r="Q1285">
        <v>43108.763817708335</v>
      </c>
      <c r="R1285">
        <v>1307</v>
      </c>
    </row>
    <row r="1286" spans="1:18" x14ac:dyDescent="0.25">
      <c r="A1286" t="s">
        <v>4345</v>
      </c>
      <c r="B1286" t="s">
        <v>4346</v>
      </c>
      <c r="C1286" t="s">
        <v>4347</v>
      </c>
      <c r="D1286" t="s">
        <v>4347</v>
      </c>
      <c r="E1286" t="s">
        <v>4348</v>
      </c>
      <c r="F1286" t="s">
        <v>91</v>
      </c>
      <c r="G1286" t="s">
        <v>22</v>
      </c>
      <c r="H1286" t="s">
        <v>53</v>
      </c>
      <c r="I1286" t="s">
        <v>3006</v>
      </c>
      <c r="J1286">
        <v>2018</v>
      </c>
      <c r="K1286">
        <v>43698.521897777777</v>
      </c>
      <c r="L1286" t="s">
        <v>2783</v>
      </c>
      <c r="M1286" t="s">
        <v>2777</v>
      </c>
      <c r="N1286" t="s">
        <v>994</v>
      </c>
      <c r="O1286">
        <v>346891</v>
      </c>
      <c r="P1286">
        <v>43698.521897777777</v>
      </c>
      <c r="Q1286">
        <v>43108.766094479164</v>
      </c>
      <c r="R1286">
        <v>1308</v>
      </c>
    </row>
    <row r="1287" spans="1:18" x14ac:dyDescent="0.25">
      <c r="A1287" t="s">
        <v>4349</v>
      </c>
      <c r="B1287" t="s">
        <v>4350</v>
      </c>
      <c r="C1287" t="s">
        <v>4351</v>
      </c>
      <c r="D1287" t="s">
        <v>4351</v>
      </c>
      <c r="E1287" t="s">
        <v>4352</v>
      </c>
      <c r="F1287" t="s">
        <v>91</v>
      </c>
      <c r="G1287" t="s">
        <v>22</v>
      </c>
      <c r="H1287" t="s">
        <v>53</v>
      </c>
      <c r="I1287" t="s">
        <v>3006</v>
      </c>
      <c r="J1287">
        <v>2018</v>
      </c>
      <c r="K1287">
        <v>43698.521897777777</v>
      </c>
      <c r="L1287" t="s">
        <v>422</v>
      </c>
      <c r="M1287" t="s">
        <v>2777</v>
      </c>
      <c r="N1287" t="s">
        <v>2778</v>
      </c>
      <c r="O1287">
        <v>346212</v>
      </c>
      <c r="P1287">
        <v>43697.166666666664</v>
      </c>
      <c r="Q1287">
        <v>43108.766824456019</v>
      </c>
      <c r="R1287">
        <v>1309</v>
      </c>
    </row>
    <row r="1288" spans="1:18" x14ac:dyDescent="0.25">
      <c r="A1288" t="s">
        <v>4353</v>
      </c>
      <c r="B1288" t="s">
        <v>4354</v>
      </c>
      <c r="C1288" t="s">
        <v>4355</v>
      </c>
      <c r="D1288" t="s">
        <v>4355</v>
      </c>
      <c r="E1288" t="s">
        <v>4356</v>
      </c>
      <c r="F1288" t="s">
        <v>91</v>
      </c>
      <c r="G1288" t="s">
        <v>22</v>
      </c>
      <c r="H1288" t="s">
        <v>53</v>
      </c>
      <c r="I1288" t="s">
        <v>3006</v>
      </c>
      <c r="J1288">
        <v>2018</v>
      </c>
      <c r="K1288">
        <v>43698.521897777777</v>
      </c>
      <c r="L1288" t="s">
        <v>422</v>
      </c>
      <c r="M1288" t="s">
        <v>2777</v>
      </c>
      <c r="N1288" t="s">
        <v>415</v>
      </c>
      <c r="O1288">
        <v>346948</v>
      </c>
      <c r="P1288">
        <v>43698.521897777777</v>
      </c>
      <c r="Q1288">
        <v>43108.767490046295</v>
      </c>
      <c r="R1288">
        <v>1310</v>
      </c>
    </row>
    <row r="1289" spans="1:18" x14ac:dyDescent="0.25">
      <c r="A1289" t="s">
        <v>4357</v>
      </c>
      <c r="B1289" t="s">
        <v>4358</v>
      </c>
      <c r="C1289" t="s">
        <v>4359</v>
      </c>
      <c r="D1289" t="s">
        <v>4359</v>
      </c>
      <c r="E1289" t="s">
        <v>4360</v>
      </c>
      <c r="F1289" t="s">
        <v>91</v>
      </c>
      <c r="G1289" t="s">
        <v>22</v>
      </c>
      <c r="H1289" t="s">
        <v>53</v>
      </c>
      <c r="I1289" t="s">
        <v>3006</v>
      </c>
      <c r="J1289">
        <v>2018</v>
      </c>
      <c r="K1289">
        <v>43698.521897777777</v>
      </c>
      <c r="L1289" t="s">
        <v>2783</v>
      </c>
      <c r="M1289" t="s">
        <v>2777</v>
      </c>
      <c r="N1289" t="s">
        <v>3293</v>
      </c>
      <c r="O1289">
        <v>346895</v>
      </c>
      <c r="P1289">
        <v>43698.521897777777</v>
      </c>
      <c r="Q1289">
        <v>43108.768436458333</v>
      </c>
      <c r="R1289">
        <v>1311</v>
      </c>
    </row>
    <row r="1290" spans="1:18" x14ac:dyDescent="0.25">
      <c r="A1290" t="s">
        <v>4361</v>
      </c>
      <c r="B1290" t="s">
        <v>4362</v>
      </c>
      <c r="C1290" t="s">
        <v>4363</v>
      </c>
      <c r="D1290" t="s">
        <v>4363</v>
      </c>
      <c r="E1290" t="s">
        <v>4364</v>
      </c>
      <c r="F1290" t="s">
        <v>91</v>
      </c>
      <c r="G1290" t="s">
        <v>22</v>
      </c>
      <c r="H1290" t="s">
        <v>53</v>
      </c>
      <c r="I1290" t="s">
        <v>3006</v>
      </c>
      <c r="J1290">
        <v>2018</v>
      </c>
      <c r="K1290">
        <v>43698.521897777777</v>
      </c>
      <c r="L1290" t="s">
        <v>422</v>
      </c>
      <c r="M1290" t="s">
        <v>2777</v>
      </c>
      <c r="N1290" t="s">
        <v>415</v>
      </c>
      <c r="O1290">
        <v>346842</v>
      </c>
      <c r="P1290">
        <v>43698.248611111114</v>
      </c>
      <c r="Q1290">
        <v>43108.769629895833</v>
      </c>
      <c r="R1290">
        <v>1312</v>
      </c>
    </row>
    <row r="1291" spans="1:18" x14ac:dyDescent="0.25">
      <c r="A1291" t="s">
        <v>4365</v>
      </c>
      <c r="B1291" t="s">
        <v>4366</v>
      </c>
      <c r="C1291" t="s">
        <v>4367</v>
      </c>
      <c r="D1291" t="s">
        <v>4367</v>
      </c>
      <c r="E1291" t="s">
        <v>4368</v>
      </c>
      <c r="F1291" t="s">
        <v>91</v>
      </c>
      <c r="G1291" t="s">
        <v>22</v>
      </c>
      <c r="H1291" t="s">
        <v>53</v>
      </c>
      <c r="I1291" t="s">
        <v>3006</v>
      </c>
      <c r="J1291">
        <v>2018</v>
      </c>
      <c r="K1291">
        <v>43698.521897777777</v>
      </c>
      <c r="L1291" t="s">
        <v>422</v>
      </c>
      <c r="M1291" t="s">
        <v>2777</v>
      </c>
      <c r="N1291" t="s">
        <v>1439</v>
      </c>
      <c r="O1291">
        <v>347011</v>
      </c>
      <c r="P1291">
        <v>43698.521897777777</v>
      </c>
      <c r="Q1291">
        <v>43108.770122881942</v>
      </c>
      <c r="R1291">
        <v>1313</v>
      </c>
    </row>
    <row r="1292" spans="1:18" x14ac:dyDescent="0.25">
      <c r="A1292" t="s">
        <v>4369</v>
      </c>
      <c r="B1292" t="s">
        <v>4370</v>
      </c>
      <c r="C1292" t="s">
        <v>4371</v>
      </c>
      <c r="D1292" t="s">
        <v>4371</v>
      </c>
      <c r="E1292" t="s">
        <v>4372</v>
      </c>
      <c r="F1292" t="s">
        <v>91</v>
      </c>
      <c r="G1292" t="s">
        <v>22</v>
      </c>
      <c r="H1292" t="s">
        <v>53</v>
      </c>
      <c r="I1292" t="s">
        <v>3006</v>
      </c>
      <c r="J1292">
        <v>2018</v>
      </c>
      <c r="K1292">
        <v>43698.521897777777</v>
      </c>
      <c r="L1292" t="s">
        <v>422</v>
      </c>
      <c r="M1292" t="s">
        <v>2777</v>
      </c>
      <c r="N1292" t="s">
        <v>1439</v>
      </c>
      <c r="O1292">
        <v>346964</v>
      </c>
      <c r="P1292">
        <v>43698.521897777777</v>
      </c>
      <c r="Q1292">
        <v>43108.770957488428</v>
      </c>
      <c r="R1292">
        <v>1314</v>
      </c>
    </row>
    <row r="1293" spans="1:18" x14ac:dyDescent="0.25">
      <c r="A1293" t="s">
        <v>4373</v>
      </c>
      <c r="B1293" t="s">
        <v>4374</v>
      </c>
      <c r="C1293" t="s">
        <v>4375</v>
      </c>
      <c r="D1293" t="s">
        <v>4375</v>
      </c>
      <c r="E1293" t="s">
        <v>4376</v>
      </c>
      <c r="F1293" t="s">
        <v>91</v>
      </c>
      <c r="G1293" t="s">
        <v>22</v>
      </c>
      <c r="H1293" t="s">
        <v>53</v>
      </c>
      <c r="I1293" t="s">
        <v>3006</v>
      </c>
      <c r="J1293">
        <v>2018</v>
      </c>
      <c r="K1293">
        <v>43698.521897777777</v>
      </c>
      <c r="L1293" t="s">
        <v>422</v>
      </c>
      <c r="M1293" t="s">
        <v>2777</v>
      </c>
      <c r="N1293" t="s">
        <v>2778</v>
      </c>
      <c r="O1293">
        <v>347045</v>
      </c>
      <c r="P1293">
        <v>43698.521897777777</v>
      </c>
      <c r="Q1293">
        <v>43108.771708333334</v>
      </c>
      <c r="R1293">
        <v>1315</v>
      </c>
    </row>
    <row r="1294" spans="1:18" x14ac:dyDescent="0.25">
      <c r="A1294" t="s">
        <v>4377</v>
      </c>
      <c r="B1294" t="s">
        <v>4378</v>
      </c>
      <c r="C1294" t="s">
        <v>4379</v>
      </c>
      <c r="D1294" t="s">
        <v>4379</v>
      </c>
      <c r="E1294" t="s">
        <v>4380</v>
      </c>
      <c r="F1294" t="s">
        <v>91</v>
      </c>
      <c r="G1294" t="s">
        <v>22</v>
      </c>
      <c r="H1294" t="s">
        <v>53</v>
      </c>
      <c r="I1294" t="s">
        <v>3006</v>
      </c>
      <c r="J1294">
        <v>2018</v>
      </c>
      <c r="K1294">
        <v>43698.521897777777</v>
      </c>
      <c r="L1294" t="s">
        <v>422</v>
      </c>
      <c r="M1294" t="s">
        <v>2777</v>
      </c>
      <c r="N1294" t="s">
        <v>415</v>
      </c>
      <c r="O1294">
        <v>346876</v>
      </c>
      <c r="P1294">
        <v>43698.427083333336</v>
      </c>
      <c r="Q1294">
        <v>43108.772667708334</v>
      </c>
      <c r="R1294">
        <v>1316</v>
      </c>
    </row>
    <row r="1295" spans="1:18" x14ac:dyDescent="0.25">
      <c r="A1295" t="s">
        <v>4381</v>
      </c>
      <c r="B1295" t="s">
        <v>4382</v>
      </c>
      <c r="C1295" t="s">
        <v>4383</v>
      </c>
      <c r="D1295" t="s">
        <v>4383</v>
      </c>
      <c r="E1295" t="s">
        <v>4384</v>
      </c>
      <c r="F1295" t="s">
        <v>91</v>
      </c>
      <c r="G1295" t="s">
        <v>22</v>
      </c>
      <c r="H1295" t="s">
        <v>53</v>
      </c>
      <c r="I1295" t="s">
        <v>3006</v>
      </c>
      <c r="J1295">
        <v>2018</v>
      </c>
      <c r="K1295">
        <v>43698.521897777777</v>
      </c>
      <c r="L1295" t="s">
        <v>422</v>
      </c>
      <c r="M1295" t="s">
        <v>2777</v>
      </c>
      <c r="N1295" t="s">
        <v>415</v>
      </c>
      <c r="O1295">
        <v>347058</v>
      </c>
      <c r="P1295">
        <v>43698.521897777777</v>
      </c>
      <c r="Q1295">
        <v>43108.773046064816</v>
      </c>
      <c r="R1295">
        <v>1317</v>
      </c>
    </row>
    <row r="1296" spans="1:18" x14ac:dyDescent="0.25">
      <c r="A1296" t="s">
        <v>4385</v>
      </c>
      <c r="B1296" t="s">
        <v>4386</v>
      </c>
      <c r="C1296" t="s">
        <v>4387</v>
      </c>
      <c r="D1296" t="s">
        <v>4387</v>
      </c>
      <c r="E1296" t="s">
        <v>4387</v>
      </c>
      <c r="F1296" t="s">
        <v>21</v>
      </c>
      <c r="G1296" t="s">
        <v>22</v>
      </c>
      <c r="H1296" t="s">
        <v>585</v>
      </c>
      <c r="I1296" t="s">
        <v>4388</v>
      </c>
      <c r="J1296">
        <v>2018</v>
      </c>
      <c r="K1296">
        <v>43698.521897777777</v>
      </c>
      <c r="L1296" t="s">
        <v>25</v>
      </c>
      <c r="M1296" t="s">
        <v>42</v>
      </c>
      <c r="N1296" t="s">
        <v>415</v>
      </c>
      <c r="O1296">
        <v>167772</v>
      </c>
      <c r="P1296">
        <v>43173.937303240738</v>
      </c>
      <c r="Q1296">
        <v>43110.847683483793</v>
      </c>
      <c r="R1296">
        <v>1318</v>
      </c>
    </row>
    <row r="1297" spans="1:18" x14ac:dyDescent="0.25">
      <c r="A1297" t="s">
        <v>4389</v>
      </c>
      <c r="B1297" t="s">
        <v>4390</v>
      </c>
      <c r="C1297" t="s">
        <v>4391</v>
      </c>
      <c r="D1297" t="s">
        <v>4391</v>
      </c>
      <c r="E1297" t="s">
        <v>4391</v>
      </c>
      <c r="F1297" t="s">
        <v>21</v>
      </c>
      <c r="G1297" t="s">
        <v>63</v>
      </c>
      <c r="H1297" t="s">
        <v>23</v>
      </c>
      <c r="I1297" t="s">
        <v>2666</v>
      </c>
      <c r="J1297">
        <v>2013</v>
      </c>
      <c r="K1297">
        <v>43698.521897777777</v>
      </c>
      <c r="L1297" t="s">
        <v>25</v>
      </c>
      <c r="M1297" t="s">
        <v>37</v>
      </c>
      <c r="N1297" t="s">
        <v>415</v>
      </c>
      <c r="O1297">
        <v>178298</v>
      </c>
      <c r="P1297">
        <v>43217.542164351849</v>
      </c>
      <c r="Q1297">
        <v>43111.471932060187</v>
      </c>
      <c r="R1297">
        <v>1319</v>
      </c>
    </row>
    <row r="1298" spans="1:18" x14ac:dyDescent="0.25">
      <c r="A1298" t="s">
        <v>4392</v>
      </c>
      <c r="B1298" t="s">
        <v>4393</v>
      </c>
      <c r="C1298" t="s">
        <v>4394</v>
      </c>
      <c r="D1298" t="s">
        <v>4394</v>
      </c>
      <c r="E1298" t="s">
        <v>4394</v>
      </c>
      <c r="F1298" t="s">
        <v>21</v>
      </c>
      <c r="G1298" t="s">
        <v>63</v>
      </c>
      <c r="H1298" t="s">
        <v>53</v>
      </c>
      <c r="I1298" t="s">
        <v>471</v>
      </c>
      <c r="J1298">
        <v>2012</v>
      </c>
      <c r="K1298">
        <v>43698.521897777777</v>
      </c>
      <c r="L1298" t="s">
        <v>1005</v>
      </c>
      <c r="M1298" t="s">
        <v>1941</v>
      </c>
      <c r="N1298" t="s">
        <v>415</v>
      </c>
      <c r="O1298">
        <v>189067</v>
      </c>
      <c r="P1298">
        <v>43259.931250000001</v>
      </c>
      <c r="Q1298">
        <v>43111.47499707176</v>
      </c>
      <c r="R1298">
        <v>1320</v>
      </c>
    </row>
    <row r="1299" spans="1:18" x14ac:dyDescent="0.25">
      <c r="A1299" t="s">
        <v>4395</v>
      </c>
      <c r="B1299" t="s">
        <v>4396</v>
      </c>
      <c r="C1299" t="s">
        <v>4397</v>
      </c>
      <c r="D1299" t="s">
        <v>4397</v>
      </c>
      <c r="E1299" t="s">
        <v>4397</v>
      </c>
      <c r="F1299" t="s">
        <v>91</v>
      </c>
      <c r="G1299" t="s">
        <v>63</v>
      </c>
      <c r="H1299" t="s">
        <v>23</v>
      </c>
      <c r="I1299" t="s">
        <v>41</v>
      </c>
      <c r="J1299">
        <v>2010</v>
      </c>
      <c r="K1299">
        <v>43698.521897777777</v>
      </c>
      <c r="L1299" t="s">
        <v>92</v>
      </c>
      <c r="M1299" t="s">
        <v>37</v>
      </c>
      <c r="N1299" t="s">
        <v>415</v>
      </c>
      <c r="O1299">
        <v>346102</v>
      </c>
      <c r="P1299">
        <v>43698.521897777777</v>
      </c>
      <c r="Q1299">
        <v>43112.604434837966</v>
      </c>
      <c r="R1299">
        <v>1321</v>
      </c>
    </row>
    <row r="1300" spans="1:18" x14ac:dyDescent="0.25">
      <c r="A1300" t="s">
        <v>4398</v>
      </c>
      <c r="B1300" t="s">
        <v>4399</v>
      </c>
      <c r="C1300" t="s">
        <v>4400</v>
      </c>
      <c r="D1300" t="s">
        <v>4400</v>
      </c>
      <c r="E1300" t="s">
        <v>4400</v>
      </c>
      <c r="F1300" t="s">
        <v>21</v>
      </c>
      <c r="G1300" t="s">
        <v>63</v>
      </c>
      <c r="H1300" t="s">
        <v>53</v>
      </c>
      <c r="I1300" t="s">
        <v>41</v>
      </c>
      <c r="J1300">
        <v>2003</v>
      </c>
      <c r="K1300">
        <v>43698.521897777777</v>
      </c>
      <c r="L1300" t="s">
        <v>25</v>
      </c>
      <c r="M1300" t="s">
        <v>2777</v>
      </c>
      <c r="N1300" t="s">
        <v>27</v>
      </c>
      <c r="O1300">
        <v>163013</v>
      </c>
      <c r="P1300">
        <v>43153.722222222219</v>
      </c>
      <c r="Q1300">
        <v>43112.607713159719</v>
      </c>
      <c r="R1300">
        <v>1322</v>
      </c>
    </row>
    <row r="1301" spans="1:18" x14ac:dyDescent="0.25">
      <c r="A1301" t="s">
        <v>4401</v>
      </c>
      <c r="B1301" t="s">
        <v>4402</v>
      </c>
      <c r="C1301" t="s">
        <v>4403</v>
      </c>
      <c r="D1301" t="s">
        <v>4403</v>
      </c>
      <c r="E1301" t="s">
        <v>4403</v>
      </c>
      <c r="F1301" t="s">
        <v>21</v>
      </c>
      <c r="G1301" t="s">
        <v>63</v>
      </c>
      <c r="H1301" t="s">
        <v>53</v>
      </c>
      <c r="I1301" t="s">
        <v>25</v>
      </c>
      <c r="J1301">
        <v>2006</v>
      </c>
      <c r="K1301">
        <v>43698.521897777777</v>
      </c>
      <c r="L1301" t="s">
        <v>466</v>
      </c>
      <c r="M1301" t="s">
        <v>154</v>
      </c>
      <c r="N1301" t="s">
        <v>1305</v>
      </c>
      <c r="O1301">
        <v>268470</v>
      </c>
      <c r="P1301">
        <v>43506.686331018522</v>
      </c>
      <c r="Q1301">
        <v>43112.754738854164</v>
      </c>
      <c r="R1301">
        <v>1323</v>
      </c>
    </row>
    <row r="1302" spans="1:18" x14ac:dyDescent="0.25">
      <c r="A1302" t="s">
        <v>4404</v>
      </c>
      <c r="B1302" t="s">
        <v>4405</v>
      </c>
      <c r="C1302" t="s">
        <v>4406</v>
      </c>
      <c r="D1302" t="s">
        <v>4406</v>
      </c>
      <c r="E1302" t="s">
        <v>4406</v>
      </c>
      <c r="F1302" t="s">
        <v>21</v>
      </c>
      <c r="G1302" t="s">
        <v>63</v>
      </c>
      <c r="H1302" t="s">
        <v>53</v>
      </c>
      <c r="I1302" t="s">
        <v>471</v>
      </c>
      <c r="J1302">
        <v>2006</v>
      </c>
      <c r="K1302">
        <v>43698.521897777777</v>
      </c>
      <c r="L1302" t="s">
        <v>25</v>
      </c>
      <c r="M1302" t="s">
        <v>154</v>
      </c>
      <c r="N1302" t="s">
        <v>1305</v>
      </c>
      <c r="O1302">
        <v>168683</v>
      </c>
      <c r="P1302">
        <v>43183.90902777778</v>
      </c>
      <c r="Q1302">
        <v>43112.756775312497</v>
      </c>
      <c r="R1302">
        <v>1324</v>
      </c>
    </row>
    <row r="1303" spans="1:18" x14ac:dyDescent="0.25">
      <c r="A1303" t="s">
        <v>4407</v>
      </c>
      <c r="B1303" t="s">
        <v>4408</v>
      </c>
      <c r="C1303" t="s">
        <v>4409</v>
      </c>
      <c r="D1303" t="s">
        <v>4409</v>
      </c>
      <c r="E1303" t="s">
        <v>4409</v>
      </c>
      <c r="F1303" t="s">
        <v>21</v>
      </c>
      <c r="G1303" t="s">
        <v>63</v>
      </c>
      <c r="H1303" t="s">
        <v>34</v>
      </c>
      <c r="I1303" t="s">
        <v>25</v>
      </c>
      <c r="J1303">
        <v>2012</v>
      </c>
      <c r="K1303">
        <v>43698.521897777777</v>
      </c>
      <c r="L1303" t="s">
        <v>466</v>
      </c>
      <c r="M1303" t="s">
        <v>154</v>
      </c>
      <c r="N1303" t="s">
        <v>1305</v>
      </c>
      <c r="O1303">
        <v>175562</v>
      </c>
      <c r="P1303">
        <v>43210.382638888892</v>
      </c>
      <c r="Q1303">
        <v>43112.759709224534</v>
      </c>
      <c r="R1303">
        <v>1325</v>
      </c>
    </row>
    <row r="1304" spans="1:18" x14ac:dyDescent="0.25">
      <c r="A1304" t="s">
        <v>4410</v>
      </c>
      <c r="B1304" t="s">
        <v>4411</v>
      </c>
      <c r="C1304" t="s">
        <v>4412</v>
      </c>
      <c r="D1304" t="s">
        <v>4412</v>
      </c>
      <c r="E1304" t="s">
        <v>4412</v>
      </c>
      <c r="F1304" t="s">
        <v>21</v>
      </c>
      <c r="G1304" t="s">
        <v>63</v>
      </c>
      <c r="H1304" t="s">
        <v>53</v>
      </c>
      <c r="I1304" t="s">
        <v>810</v>
      </c>
      <c r="J1304">
        <v>2016</v>
      </c>
      <c r="K1304">
        <v>43698.521897777777</v>
      </c>
      <c r="L1304" t="s">
        <v>1005</v>
      </c>
      <c r="M1304" t="s">
        <v>42</v>
      </c>
      <c r="N1304" t="s">
        <v>27</v>
      </c>
      <c r="O1304">
        <v>219956</v>
      </c>
      <c r="P1304">
        <v>43359.966527777775</v>
      </c>
      <c r="Q1304">
        <v>43116.530882256942</v>
      </c>
      <c r="R1304">
        <v>1326</v>
      </c>
    </row>
    <row r="1305" spans="1:18" x14ac:dyDescent="0.25">
      <c r="A1305" t="s">
        <v>4413</v>
      </c>
      <c r="B1305" t="s">
        <v>4414</v>
      </c>
      <c r="C1305" t="s">
        <v>4415</v>
      </c>
      <c r="D1305" t="s">
        <v>4415</v>
      </c>
      <c r="E1305" t="s">
        <v>4415</v>
      </c>
      <c r="F1305" t="s">
        <v>91</v>
      </c>
      <c r="G1305" t="s">
        <v>63</v>
      </c>
      <c r="H1305" t="s">
        <v>34</v>
      </c>
      <c r="I1305" t="s">
        <v>703</v>
      </c>
      <c r="J1305">
        <v>2007</v>
      </c>
      <c r="K1305">
        <v>43698.521897777777</v>
      </c>
      <c r="L1305" t="s">
        <v>422</v>
      </c>
      <c r="M1305" t="s">
        <v>2777</v>
      </c>
      <c r="N1305" t="s">
        <v>27</v>
      </c>
      <c r="O1305">
        <v>346995</v>
      </c>
      <c r="P1305">
        <v>43698.521897777777</v>
      </c>
      <c r="Q1305">
        <v>43118.611955092594</v>
      </c>
      <c r="R1305">
        <v>1327</v>
      </c>
    </row>
    <row r="1306" spans="1:18" x14ac:dyDescent="0.25">
      <c r="A1306" t="s">
        <v>4416</v>
      </c>
      <c r="B1306" t="s">
        <v>1993</v>
      </c>
      <c r="C1306" t="s">
        <v>4417</v>
      </c>
      <c r="D1306" t="s">
        <v>4417</v>
      </c>
      <c r="E1306" t="s">
        <v>4418</v>
      </c>
      <c r="F1306" t="s">
        <v>21</v>
      </c>
      <c r="G1306" t="s">
        <v>22</v>
      </c>
      <c r="H1306" t="s">
        <v>53</v>
      </c>
      <c r="I1306" t="s">
        <v>471</v>
      </c>
      <c r="J1306">
        <v>2016</v>
      </c>
      <c r="K1306">
        <v>43698.521897777777</v>
      </c>
      <c r="L1306" t="s">
        <v>466</v>
      </c>
      <c r="M1306" t="s">
        <v>154</v>
      </c>
      <c r="N1306" t="s">
        <v>1305</v>
      </c>
      <c r="O1306">
        <v>183289</v>
      </c>
      <c r="P1306">
        <v>43234.881944444445</v>
      </c>
      <c r="Q1306">
        <v>43119.40130096065</v>
      </c>
      <c r="R1306">
        <v>1328</v>
      </c>
    </row>
    <row r="1307" spans="1:18" x14ac:dyDescent="0.25">
      <c r="A1307" t="s">
        <v>4419</v>
      </c>
      <c r="B1307" t="s">
        <v>605</v>
      </c>
      <c r="C1307" t="s">
        <v>4420</v>
      </c>
      <c r="D1307" t="s">
        <v>4420</v>
      </c>
      <c r="E1307" t="s">
        <v>4421</v>
      </c>
      <c r="F1307" t="s">
        <v>21</v>
      </c>
      <c r="G1307" t="s">
        <v>63</v>
      </c>
      <c r="H1307" t="s">
        <v>236</v>
      </c>
      <c r="I1307" t="s">
        <v>556</v>
      </c>
      <c r="J1307">
        <v>2014</v>
      </c>
      <c r="K1307">
        <v>43698.521897777777</v>
      </c>
      <c r="L1307" t="s">
        <v>466</v>
      </c>
      <c r="M1307" t="s">
        <v>154</v>
      </c>
      <c r="N1307" t="s">
        <v>1305</v>
      </c>
      <c r="O1307">
        <v>233056</v>
      </c>
      <c r="P1307">
        <v>43403.510868055557</v>
      </c>
      <c r="Q1307">
        <v>43119.432473229164</v>
      </c>
      <c r="R1307">
        <v>1329</v>
      </c>
    </row>
    <row r="1308" spans="1:18" x14ac:dyDescent="0.25">
      <c r="A1308" t="s">
        <v>4422</v>
      </c>
      <c r="B1308" t="s">
        <v>599</v>
      </c>
      <c r="C1308" t="s">
        <v>4423</v>
      </c>
      <c r="D1308" t="s">
        <v>4423</v>
      </c>
      <c r="E1308" t="s">
        <v>4424</v>
      </c>
      <c r="F1308" t="s">
        <v>21</v>
      </c>
      <c r="G1308" t="s">
        <v>22</v>
      </c>
      <c r="H1308" t="s">
        <v>236</v>
      </c>
      <c r="I1308" t="s">
        <v>556</v>
      </c>
      <c r="J1308">
        <v>2014</v>
      </c>
      <c r="K1308">
        <v>43698.521897777777</v>
      </c>
      <c r="L1308" t="s">
        <v>1809</v>
      </c>
      <c r="M1308" t="s">
        <v>154</v>
      </c>
      <c r="N1308" t="s">
        <v>1305</v>
      </c>
      <c r="O1308">
        <v>244979</v>
      </c>
      <c r="P1308">
        <v>43427.791666666664</v>
      </c>
      <c r="Q1308">
        <v>43119.436076620368</v>
      </c>
      <c r="R1308">
        <v>1330</v>
      </c>
    </row>
    <row r="1309" spans="1:18" x14ac:dyDescent="0.25">
      <c r="A1309" t="s">
        <v>4425</v>
      </c>
      <c r="B1309" t="s">
        <v>646</v>
      </c>
      <c r="C1309" t="s">
        <v>4426</v>
      </c>
      <c r="D1309" t="s">
        <v>4426</v>
      </c>
      <c r="E1309" t="s">
        <v>4427</v>
      </c>
      <c r="F1309" t="s">
        <v>21</v>
      </c>
      <c r="G1309" t="s">
        <v>22</v>
      </c>
      <c r="H1309" t="s">
        <v>236</v>
      </c>
      <c r="I1309" t="s">
        <v>556</v>
      </c>
      <c r="J1309">
        <v>2014</v>
      </c>
      <c r="K1309">
        <v>43698.521897777777</v>
      </c>
      <c r="L1309" t="s">
        <v>466</v>
      </c>
      <c r="M1309" t="s">
        <v>154</v>
      </c>
      <c r="N1309" t="s">
        <v>1305</v>
      </c>
      <c r="O1309">
        <v>234602</v>
      </c>
      <c r="P1309">
        <v>43399.165208333332</v>
      </c>
      <c r="Q1309">
        <v>43119.440464155094</v>
      </c>
      <c r="R1309">
        <v>1331</v>
      </c>
    </row>
    <row r="1310" spans="1:18" x14ac:dyDescent="0.25">
      <c r="A1310" t="s">
        <v>4428</v>
      </c>
      <c r="B1310" t="s">
        <v>681</v>
      </c>
      <c r="C1310" t="s">
        <v>4429</v>
      </c>
      <c r="D1310" t="s">
        <v>4429</v>
      </c>
      <c r="E1310" t="s">
        <v>4430</v>
      </c>
      <c r="F1310" t="s">
        <v>21</v>
      </c>
      <c r="G1310" t="s">
        <v>22</v>
      </c>
      <c r="H1310" t="s">
        <v>236</v>
      </c>
      <c r="I1310" t="s">
        <v>556</v>
      </c>
      <c r="J1310">
        <v>2014</v>
      </c>
      <c r="K1310">
        <v>43698.521897777777</v>
      </c>
      <c r="L1310" t="s">
        <v>1809</v>
      </c>
      <c r="M1310" t="s">
        <v>154</v>
      </c>
      <c r="N1310" t="s">
        <v>1305</v>
      </c>
      <c r="O1310">
        <v>208231</v>
      </c>
      <c r="P1310">
        <v>43321.470092592594</v>
      </c>
      <c r="Q1310">
        <v>43119.4421806713</v>
      </c>
      <c r="R1310">
        <v>1332</v>
      </c>
    </row>
    <row r="1311" spans="1:18" x14ac:dyDescent="0.25">
      <c r="A1311" t="s">
        <v>4431</v>
      </c>
      <c r="B1311" t="s">
        <v>554</v>
      </c>
      <c r="C1311" t="s">
        <v>4432</v>
      </c>
      <c r="D1311" t="s">
        <v>4432</v>
      </c>
      <c r="E1311" t="s">
        <v>4433</v>
      </c>
      <c r="F1311" t="s">
        <v>21</v>
      </c>
      <c r="G1311" t="s">
        <v>22</v>
      </c>
      <c r="H1311" t="s">
        <v>236</v>
      </c>
      <c r="I1311" t="s">
        <v>556</v>
      </c>
      <c r="J1311">
        <v>2014</v>
      </c>
      <c r="K1311">
        <v>43698.521897777777</v>
      </c>
      <c r="L1311" t="s">
        <v>1809</v>
      </c>
      <c r="M1311" t="s">
        <v>154</v>
      </c>
      <c r="N1311" t="s">
        <v>1305</v>
      </c>
      <c r="O1311">
        <v>223534</v>
      </c>
      <c r="P1311">
        <v>43368.651724537034</v>
      </c>
      <c r="Q1311">
        <v>43119.447258136577</v>
      </c>
      <c r="R1311">
        <v>1333</v>
      </c>
    </row>
    <row r="1312" spans="1:18" x14ac:dyDescent="0.25">
      <c r="A1312" t="s">
        <v>4434</v>
      </c>
      <c r="B1312" t="s">
        <v>596</v>
      </c>
      <c r="C1312" t="s">
        <v>4435</v>
      </c>
      <c r="D1312" t="s">
        <v>4435</v>
      </c>
      <c r="E1312" t="s">
        <v>4436</v>
      </c>
      <c r="F1312" t="s">
        <v>21</v>
      </c>
      <c r="G1312" t="s">
        <v>22</v>
      </c>
      <c r="H1312" t="s">
        <v>236</v>
      </c>
      <c r="I1312" t="s">
        <v>556</v>
      </c>
      <c r="J1312">
        <v>2014</v>
      </c>
      <c r="K1312">
        <v>43698.521897777777</v>
      </c>
      <c r="L1312" t="s">
        <v>1809</v>
      </c>
      <c r="M1312" t="s">
        <v>154</v>
      </c>
      <c r="N1312" t="s">
        <v>1305</v>
      </c>
      <c r="O1312">
        <v>221736</v>
      </c>
      <c r="P1312">
        <v>43362.770833333336</v>
      </c>
      <c r="Q1312">
        <v>43119.449103587962</v>
      </c>
      <c r="R1312">
        <v>1334</v>
      </c>
    </row>
    <row r="1313" spans="1:18" x14ac:dyDescent="0.25">
      <c r="A1313" t="s">
        <v>4437</v>
      </c>
      <c r="B1313" t="s">
        <v>4438</v>
      </c>
      <c r="C1313" t="s">
        <v>4439</v>
      </c>
      <c r="D1313" t="s">
        <v>4439</v>
      </c>
      <c r="E1313" t="s">
        <v>4439</v>
      </c>
      <c r="F1313" t="s">
        <v>21</v>
      </c>
      <c r="G1313" t="s">
        <v>63</v>
      </c>
      <c r="H1313" t="s">
        <v>53</v>
      </c>
      <c r="I1313" t="s">
        <v>4440</v>
      </c>
      <c r="J1313">
        <v>2007</v>
      </c>
      <c r="K1313">
        <v>43698.521897777777</v>
      </c>
      <c r="L1313" t="s">
        <v>25</v>
      </c>
      <c r="M1313" t="s">
        <v>154</v>
      </c>
      <c r="N1313" t="s">
        <v>1305</v>
      </c>
      <c r="O1313">
        <v>162252</v>
      </c>
      <c r="P1313">
        <v>43152.67931712963</v>
      </c>
      <c r="Q1313">
        <v>43119.471422881943</v>
      </c>
      <c r="R1313">
        <v>1335</v>
      </c>
    </row>
    <row r="1314" spans="1:18" x14ac:dyDescent="0.25">
      <c r="A1314" t="s">
        <v>4441</v>
      </c>
      <c r="B1314" t="s">
        <v>4442</v>
      </c>
      <c r="C1314" t="s">
        <v>4443</v>
      </c>
      <c r="D1314" t="s">
        <v>4443</v>
      </c>
      <c r="E1314" t="s">
        <v>4443</v>
      </c>
      <c r="F1314" t="s">
        <v>21</v>
      </c>
      <c r="G1314" t="s">
        <v>106</v>
      </c>
      <c r="H1314" t="s">
        <v>236</v>
      </c>
      <c r="I1314" t="s">
        <v>41</v>
      </c>
      <c r="J1314">
        <v>2015</v>
      </c>
      <c r="K1314">
        <v>43698.521897777777</v>
      </c>
      <c r="L1314" t="s">
        <v>25</v>
      </c>
      <c r="M1314" t="s">
        <v>42</v>
      </c>
      <c r="N1314" t="s">
        <v>415</v>
      </c>
      <c r="Q1314">
        <v>43120.863627395833</v>
      </c>
      <c r="R1314">
        <v>1336</v>
      </c>
    </row>
    <row r="1315" spans="1:18" x14ac:dyDescent="0.25">
      <c r="A1315" t="s">
        <v>4444</v>
      </c>
      <c r="B1315" t="s">
        <v>4445</v>
      </c>
      <c r="C1315" t="s">
        <v>4446</v>
      </c>
      <c r="D1315" t="s">
        <v>4446</v>
      </c>
      <c r="E1315" t="s">
        <v>4446</v>
      </c>
      <c r="F1315" t="s">
        <v>21</v>
      </c>
      <c r="G1315" t="s">
        <v>106</v>
      </c>
      <c r="H1315" t="s">
        <v>236</v>
      </c>
      <c r="I1315" t="s">
        <v>41</v>
      </c>
      <c r="J1315">
        <v>2018</v>
      </c>
      <c r="K1315">
        <v>43698.521897777777</v>
      </c>
      <c r="L1315" t="s">
        <v>25</v>
      </c>
      <c r="M1315" t="s">
        <v>42</v>
      </c>
      <c r="N1315" t="s">
        <v>415</v>
      </c>
      <c r="O1315">
        <v>159294</v>
      </c>
      <c r="P1315">
        <v>43136.793749999997</v>
      </c>
      <c r="Q1315">
        <v>43120.868399884261</v>
      </c>
      <c r="R1315">
        <v>1337</v>
      </c>
    </row>
    <row r="1316" spans="1:18" x14ac:dyDescent="0.25">
      <c r="A1316" t="s">
        <v>4447</v>
      </c>
      <c r="B1316" t="s">
        <v>4448</v>
      </c>
      <c r="C1316" t="s">
        <v>4449</v>
      </c>
      <c r="D1316" t="s">
        <v>4449</v>
      </c>
      <c r="E1316" t="s">
        <v>4449</v>
      </c>
      <c r="F1316" t="s">
        <v>21</v>
      </c>
      <c r="G1316" t="s">
        <v>106</v>
      </c>
      <c r="H1316" t="s">
        <v>236</v>
      </c>
      <c r="I1316" t="s">
        <v>41</v>
      </c>
      <c r="J1316">
        <v>2015</v>
      </c>
      <c r="K1316">
        <v>43698.521897777777</v>
      </c>
      <c r="L1316" t="s">
        <v>25</v>
      </c>
      <c r="M1316" t="s">
        <v>42</v>
      </c>
      <c r="N1316" t="s">
        <v>415</v>
      </c>
      <c r="Q1316">
        <v>43120.87632372685</v>
      </c>
      <c r="R1316">
        <v>1338</v>
      </c>
    </row>
    <row r="1317" spans="1:18" x14ac:dyDescent="0.25">
      <c r="A1317" t="s">
        <v>4450</v>
      </c>
      <c r="B1317" t="s">
        <v>4451</v>
      </c>
      <c r="C1317" t="s">
        <v>4452</v>
      </c>
      <c r="D1317" t="s">
        <v>4452</v>
      </c>
      <c r="E1317" t="s">
        <v>4452</v>
      </c>
      <c r="F1317" t="s">
        <v>21</v>
      </c>
      <c r="G1317" t="s">
        <v>106</v>
      </c>
      <c r="H1317" t="s">
        <v>236</v>
      </c>
      <c r="I1317" t="s">
        <v>41</v>
      </c>
      <c r="J1317">
        <v>2015</v>
      </c>
      <c r="K1317">
        <v>43698.521897777777</v>
      </c>
      <c r="L1317" t="s">
        <v>25</v>
      </c>
      <c r="M1317" t="s">
        <v>42</v>
      </c>
      <c r="N1317" t="s">
        <v>415</v>
      </c>
      <c r="Q1317">
        <v>43120.880165277777</v>
      </c>
      <c r="R1317">
        <v>1339</v>
      </c>
    </row>
    <row r="1318" spans="1:18" x14ac:dyDescent="0.25">
      <c r="A1318" t="s">
        <v>4453</v>
      </c>
      <c r="B1318" t="s">
        <v>4454</v>
      </c>
      <c r="C1318" t="s">
        <v>4455</v>
      </c>
      <c r="D1318" t="s">
        <v>4455</v>
      </c>
      <c r="E1318" t="s">
        <v>4455</v>
      </c>
      <c r="F1318" t="s">
        <v>91</v>
      </c>
      <c r="G1318" t="s">
        <v>63</v>
      </c>
      <c r="H1318" t="s">
        <v>53</v>
      </c>
      <c r="I1318" t="s">
        <v>471</v>
      </c>
      <c r="J1318">
        <v>2013</v>
      </c>
      <c r="K1318">
        <v>43698.521897777777</v>
      </c>
      <c r="L1318" t="s">
        <v>193</v>
      </c>
      <c r="M1318" t="s">
        <v>37</v>
      </c>
      <c r="N1318" t="s">
        <v>415</v>
      </c>
      <c r="O1318">
        <v>346516</v>
      </c>
      <c r="P1318">
        <v>43698.521897777777</v>
      </c>
      <c r="Q1318">
        <v>43123.46937230324</v>
      </c>
      <c r="R1318">
        <v>1340</v>
      </c>
    </row>
    <row r="1319" spans="1:18" x14ac:dyDescent="0.25">
      <c r="A1319" t="s">
        <v>4456</v>
      </c>
      <c r="B1319" t="s">
        <v>4457</v>
      </c>
      <c r="C1319" t="s">
        <v>4458</v>
      </c>
      <c r="D1319" t="s">
        <v>4458</v>
      </c>
      <c r="E1319" t="s">
        <v>4458</v>
      </c>
      <c r="F1319" t="s">
        <v>21</v>
      </c>
      <c r="G1319" t="s">
        <v>63</v>
      </c>
      <c r="H1319" t="s">
        <v>53</v>
      </c>
      <c r="I1319" t="s">
        <v>471</v>
      </c>
      <c r="J1319">
        <v>2007</v>
      </c>
      <c r="K1319">
        <v>43698.521897777777</v>
      </c>
      <c r="L1319" t="s">
        <v>193</v>
      </c>
      <c r="M1319" t="s">
        <v>37</v>
      </c>
      <c r="N1319" t="s">
        <v>415</v>
      </c>
      <c r="O1319">
        <v>196544</v>
      </c>
      <c r="P1319">
        <v>43284.821770833332</v>
      </c>
      <c r="Q1319">
        <v>43123.471710532409</v>
      </c>
      <c r="R1319">
        <v>1341</v>
      </c>
    </row>
    <row r="1320" spans="1:18" x14ac:dyDescent="0.25">
      <c r="A1320" t="s">
        <v>4459</v>
      </c>
      <c r="B1320" t="s">
        <v>4460</v>
      </c>
      <c r="C1320" t="s">
        <v>4461</v>
      </c>
      <c r="D1320" t="s">
        <v>4461</v>
      </c>
      <c r="E1320" t="s">
        <v>4461</v>
      </c>
      <c r="F1320" t="s">
        <v>21</v>
      </c>
      <c r="G1320" t="s">
        <v>63</v>
      </c>
      <c r="H1320" t="s">
        <v>53</v>
      </c>
      <c r="I1320" t="s">
        <v>471</v>
      </c>
      <c r="J1320">
        <v>2012</v>
      </c>
      <c r="K1320">
        <v>43698.521897777777</v>
      </c>
      <c r="L1320" t="s">
        <v>25</v>
      </c>
      <c r="M1320" t="s">
        <v>2777</v>
      </c>
      <c r="N1320" t="s">
        <v>27</v>
      </c>
      <c r="O1320">
        <v>171520</v>
      </c>
      <c r="P1320">
        <v>43188.416666666664</v>
      </c>
      <c r="Q1320">
        <v>43123.473186030089</v>
      </c>
      <c r="R1320">
        <v>1342</v>
      </c>
    </row>
    <row r="1321" spans="1:18" x14ac:dyDescent="0.25">
      <c r="A1321" t="s">
        <v>4462</v>
      </c>
      <c r="B1321" t="s">
        <v>4463</v>
      </c>
      <c r="C1321" t="s">
        <v>4464</v>
      </c>
      <c r="D1321" t="s">
        <v>4464</v>
      </c>
      <c r="E1321" t="s">
        <v>4465</v>
      </c>
      <c r="F1321" t="s">
        <v>21</v>
      </c>
      <c r="G1321" t="s">
        <v>22</v>
      </c>
      <c r="H1321" t="s">
        <v>53</v>
      </c>
      <c r="I1321" t="s">
        <v>3006</v>
      </c>
      <c r="J1321">
        <v>2018</v>
      </c>
      <c r="K1321">
        <v>43698.521897777777</v>
      </c>
      <c r="L1321" t="s">
        <v>1916</v>
      </c>
      <c r="M1321" t="s">
        <v>37</v>
      </c>
      <c r="N1321" t="s">
        <v>415</v>
      </c>
      <c r="O1321">
        <v>251991</v>
      </c>
      <c r="P1321">
        <v>43448.125069444446</v>
      </c>
      <c r="Q1321">
        <v>43123.724790590277</v>
      </c>
      <c r="R1321">
        <v>1343</v>
      </c>
    </row>
    <row r="1322" spans="1:18" x14ac:dyDescent="0.25">
      <c r="A1322" t="s">
        <v>4466</v>
      </c>
      <c r="B1322" t="s">
        <v>4467</v>
      </c>
      <c r="C1322" t="s">
        <v>4468</v>
      </c>
      <c r="D1322" t="s">
        <v>4468</v>
      </c>
      <c r="E1322" t="s">
        <v>4469</v>
      </c>
      <c r="F1322" t="s">
        <v>21</v>
      </c>
      <c r="G1322" t="s">
        <v>22</v>
      </c>
      <c r="H1322" t="s">
        <v>53</v>
      </c>
      <c r="I1322" t="s">
        <v>3006</v>
      </c>
      <c r="J1322">
        <v>2018</v>
      </c>
      <c r="K1322">
        <v>43698.521897777777</v>
      </c>
      <c r="L1322" t="s">
        <v>193</v>
      </c>
      <c r="M1322" t="s">
        <v>37</v>
      </c>
      <c r="N1322" t="s">
        <v>415</v>
      </c>
      <c r="O1322">
        <v>256028</v>
      </c>
      <c r="P1322">
        <v>43461.597222222219</v>
      </c>
      <c r="Q1322">
        <v>43123.72539521991</v>
      </c>
      <c r="R1322">
        <v>1344</v>
      </c>
    </row>
    <row r="1323" spans="1:18" x14ac:dyDescent="0.25">
      <c r="A1323" t="s">
        <v>4470</v>
      </c>
      <c r="B1323" t="s">
        <v>4471</v>
      </c>
      <c r="C1323" t="s">
        <v>4472</v>
      </c>
      <c r="D1323" t="s">
        <v>4472</v>
      </c>
      <c r="E1323" t="s">
        <v>4472</v>
      </c>
      <c r="F1323" t="s">
        <v>91</v>
      </c>
      <c r="G1323" t="s">
        <v>63</v>
      </c>
      <c r="H1323" t="s">
        <v>53</v>
      </c>
      <c r="I1323" t="s">
        <v>471</v>
      </c>
      <c r="J1323">
        <v>2007</v>
      </c>
      <c r="K1323">
        <v>43698.521897777777</v>
      </c>
      <c r="L1323" t="s">
        <v>466</v>
      </c>
      <c r="M1323" t="s">
        <v>154</v>
      </c>
      <c r="N1323" t="s">
        <v>1305</v>
      </c>
      <c r="O1323">
        <v>345855</v>
      </c>
      <c r="P1323">
        <v>43698.521897777777</v>
      </c>
      <c r="Q1323">
        <v>43126.709377511572</v>
      </c>
      <c r="R1323">
        <v>1345</v>
      </c>
    </row>
    <row r="1324" spans="1:18" x14ac:dyDescent="0.25">
      <c r="A1324" t="s">
        <v>4473</v>
      </c>
      <c r="B1324" t="s">
        <v>4474</v>
      </c>
      <c r="C1324" t="s">
        <v>4475</v>
      </c>
      <c r="D1324" t="s">
        <v>4475</v>
      </c>
      <c r="E1324" t="s">
        <v>4475</v>
      </c>
      <c r="F1324" t="s">
        <v>253</v>
      </c>
      <c r="G1324" t="s">
        <v>63</v>
      </c>
      <c r="H1324" t="s">
        <v>53</v>
      </c>
      <c r="I1324" t="s">
        <v>471</v>
      </c>
      <c r="J1324">
        <v>2015</v>
      </c>
      <c r="K1324">
        <v>43698.521897777777</v>
      </c>
      <c r="L1324" t="s">
        <v>193</v>
      </c>
      <c r="M1324" t="s">
        <v>37</v>
      </c>
      <c r="N1324" t="s">
        <v>415</v>
      </c>
      <c r="O1324">
        <v>346508</v>
      </c>
      <c r="P1324">
        <v>43698.521897777777</v>
      </c>
      <c r="Q1324">
        <v>43130.514714039353</v>
      </c>
      <c r="R1324">
        <v>1346</v>
      </c>
    </row>
    <row r="1325" spans="1:18" x14ac:dyDescent="0.25">
      <c r="A1325" t="s">
        <v>4476</v>
      </c>
      <c r="B1325" t="s">
        <v>4477</v>
      </c>
      <c r="C1325" t="s">
        <v>4478</v>
      </c>
      <c r="D1325" t="s">
        <v>4478</v>
      </c>
      <c r="E1325" t="s">
        <v>4478</v>
      </c>
      <c r="F1325" t="s">
        <v>21</v>
      </c>
      <c r="G1325" t="s">
        <v>63</v>
      </c>
      <c r="H1325" t="s">
        <v>53</v>
      </c>
      <c r="I1325" t="s">
        <v>471</v>
      </c>
      <c r="J1325">
        <v>2009</v>
      </c>
      <c r="K1325">
        <v>43698.521897777777</v>
      </c>
      <c r="L1325" t="s">
        <v>578</v>
      </c>
      <c r="M1325" t="s">
        <v>37</v>
      </c>
      <c r="N1325" t="s">
        <v>415</v>
      </c>
      <c r="O1325">
        <v>182269</v>
      </c>
      <c r="P1325">
        <v>43230.881944444445</v>
      </c>
      <c r="Q1325">
        <v>43130.537380127316</v>
      </c>
      <c r="R1325">
        <v>1347</v>
      </c>
    </row>
    <row r="1326" spans="1:18" x14ac:dyDescent="0.25">
      <c r="A1326" t="s">
        <v>4479</v>
      </c>
      <c r="B1326" t="s">
        <v>4480</v>
      </c>
      <c r="C1326" t="s">
        <v>4481</v>
      </c>
      <c r="D1326" t="s">
        <v>4481</v>
      </c>
      <c r="E1326" t="s">
        <v>4481</v>
      </c>
      <c r="F1326" t="s">
        <v>91</v>
      </c>
      <c r="G1326" t="s">
        <v>63</v>
      </c>
      <c r="H1326" t="s">
        <v>53</v>
      </c>
      <c r="I1326" t="s">
        <v>471</v>
      </c>
      <c r="J1326">
        <v>2014</v>
      </c>
      <c r="K1326">
        <v>43698.521897777777</v>
      </c>
      <c r="L1326" t="s">
        <v>193</v>
      </c>
      <c r="M1326" t="s">
        <v>37</v>
      </c>
      <c r="N1326" t="s">
        <v>415</v>
      </c>
      <c r="O1326">
        <v>347015</v>
      </c>
      <c r="P1326">
        <v>43698.521897777777</v>
      </c>
      <c r="Q1326">
        <v>43136.571042280091</v>
      </c>
      <c r="R1326">
        <v>1348</v>
      </c>
    </row>
    <row r="1327" spans="1:18" x14ac:dyDescent="0.25">
      <c r="A1327" t="s">
        <v>4482</v>
      </c>
      <c r="B1327" t="s">
        <v>4483</v>
      </c>
      <c r="C1327" t="s">
        <v>4484</v>
      </c>
      <c r="D1327" t="s">
        <v>4484</v>
      </c>
      <c r="E1327" t="s">
        <v>4484</v>
      </c>
      <c r="F1327" t="s">
        <v>91</v>
      </c>
      <c r="G1327" t="s">
        <v>63</v>
      </c>
      <c r="H1327" t="s">
        <v>23</v>
      </c>
      <c r="I1327" t="s">
        <v>2666</v>
      </c>
      <c r="J1327">
        <v>2007</v>
      </c>
      <c r="K1327">
        <v>43698.521897777777</v>
      </c>
      <c r="L1327" t="s">
        <v>193</v>
      </c>
      <c r="M1327" t="s">
        <v>37</v>
      </c>
      <c r="N1327" t="s">
        <v>415</v>
      </c>
      <c r="O1327">
        <v>346736</v>
      </c>
      <c r="P1327">
        <v>43698.521897777777</v>
      </c>
      <c r="Q1327">
        <v>43136.575536458331</v>
      </c>
      <c r="R1327">
        <v>1349</v>
      </c>
    </row>
    <row r="1328" spans="1:18" x14ac:dyDescent="0.25">
      <c r="A1328" t="s">
        <v>4485</v>
      </c>
      <c r="B1328" t="s">
        <v>4486</v>
      </c>
      <c r="C1328" t="s">
        <v>4487</v>
      </c>
      <c r="D1328" t="s">
        <v>4487</v>
      </c>
      <c r="E1328" t="s">
        <v>4487</v>
      </c>
      <c r="F1328" t="s">
        <v>21</v>
      </c>
      <c r="G1328" t="s">
        <v>63</v>
      </c>
      <c r="H1328" t="s">
        <v>53</v>
      </c>
      <c r="I1328" t="s">
        <v>471</v>
      </c>
      <c r="J1328">
        <v>2015</v>
      </c>
      <c r="K1328">
        <v>43698.521897777777</v>
      </c>
      <c r="L1328" t="s">
        <v>1660</v>
      </c>
      <c r="M1328" t="s">
        <v>37</v>
      </c>
      <c r="N1328" t="s">
        <v>415</v>
      </c>
      <c r="O1328">
        <v>172776</v>
      </c>
      <c r="P1328">
        <v>43195.418055555558</v>
      </c>
      <c r="Q1328">
        <v>43136.577133831015</v>
      </c>
      <c r="R1328">
        <v>1350</v>
      </c>
    </row>
    <row r="1329" spans="1:18" x14ac:dyDescent="0.25">
      <c r="A1329" t="s">
        <v>4488</v>
      </c>
      <c r="B1329" t="s">
        <v>4489</v>
      </c>
      <c r="C1329" t="s">
        <v>4490</v>
      </c>
      <c r="D1329" t="s">
        <v>4490</v>
      </c>
      <c r="E1329" t="s">
        <v>4490</v>
      </c>
      <c r="F1329" t="s">
        <v>21</v>
      </c>
      <c r="G1329" t="s">
        <v>63</v>
      </c>
      <c r="H1329" t="s">
        <v>34</v>
      </c>
      <c r="I1329" t="s">
        <v>703</v>
      </c>
      <c r="J1329">
        <v>2011</v>
      </c>
      <c r="K1329">
        <v>43698.521897777777</v>
      </c>
      <c r="L1329" t="s">
        <v>25</v>
      </c>
      <c r="M1329" t="s">
        <v>2777</v>
      </c>
      <c r="N1329" t="s">
        <v>27</v>
      </c>
      <c r="O1329">
        <v>167334</v>
      </c>
      <c r="P1329">
        <v>43172.947916666664</v>
      </c>
      <c r="Q1329">
        <v>43136.581984837961</v>
      </c>
      <c r="R1329">
        <v>1351</v>
      </c>
    </row>
    <row r="1330" spans="1:18" x14ac:dyDescent="0.25">
      <c r="A1330" t="s">
        <v>4491</v>
      </c>
      <c r="B1330" t="s">
        <v>4492</v>
      </c>
      <c r="C1330" t="s">
        <v>4493</v>
      </c>
      <c r="D1330" t="s">
        <v>4493</v>
      </c>
      <c r="E1330" t="s">
        <v>4493</v>
      </c>
      <c r="F1330" t="s">
        <v>21</v>
      </c>
      <c r="G1330" t="s">
        <v>63</v>
      </c>
      <c r="H1330" t="s">
        <v>53</v>
      </c>
      <c r="I1330" t="s">
        <v>471</v>
      </c>
      <c r="J1330">
        <v>2006</v>
      </c>
      <c r="K1330">
        <v>43698.521897777777</v>
      </c>
      <c r="L1330" t="s">
        <v>1660</v>
      </c>
      <c r="M1330" t="s">
        <v>2777</v>
      </c>
      <c r="N1330" t="s">
        <v>27</v>
      </c>
      <c r="Q1330">
        <v>43136.584881331015</v>
      </c>
      <c r="R1330">
        <v>1352</v>
      </c>
    </row>
    <row r="1331" spans="1:18" x14ac:dyDescent="0.25">
      <c r="A1331" t="s">
        <v>25</v>
      </c>
      <c r="B1331" t="s">
        <v>25</v>
      </c>
      <c r="C1331" t="s">
        <v>4494</v>
      </c>
      <c r="D1331" t="s">
        <v>4494</v>
      </c>
      <c r="E1331" t="s">
        <v>4495</v>
      </c>
      <c r="F1331" t="s">
        <v>21</v>
      </c>
      <c r="G1331" t="s">
        <v>106</v>
      </c>
      <c r="H1331" t="s">
        <v>25</v>
      </c>
      <c r="I1331" t="s">
        <v>25</v>
      </c>
      <c r="K1331">
        <v>43698.521897777777</v>
      </c>
      <c r="L1331" t="s">
        <v>422</v>
      </c>
      <c r="M1331" t="s">
        <v>42</v>
      </c>
      <c r="N1331" t="s">
        <v>415</v>
      </c>
      <c r="O1331">
        <v>289631</v>
      </c>
      <c r="P1331">
        <v>43556.291666666664</v>
      </c>
      <c r="Q1331">
        <v>43136.600187731485</v>
      </c>
      <c r="R1331">
        <v>1353</v>
      </c>
    </row>
    <row r="1332" spans="1:18" x14ac:dyDescent="0.25">
      <c r="A1332" t="s">
        <v>25</v>
      </c>
      <c r="B1332" t="s">
        <v>25</v>
      </c>
      <c r="C1332" t="s">
        <v>4494</v>
      </c>
      <c r="D1332" t="s">
        <v>4494</v>
      </c>
      <c r="E1332" t="s">
        <v>4496</v>
      </c>
      <c r="F1332" t="s">
        <v>21</v>
      </c>
      <c r="G1332" t="s">
        <v>106</v>
      </c>
      <c r="H1332" t="s">
        <v>25</v>
      </c>
      <c r="I1332" t="s">
        <v>25</v>
      </c>
      <c r="K1332">
        <v>43698.521897777777</v>
      </c>
      <c r="L1332" t="s">
        <v>422</v>
      </c>
      <c r="M1332" t="s">
        <v>42</v>
      </c>
      <c r="N1332" t="s">
        <v>415</v>
      </c>
      <c r="O1332">
        <v>187976</v>
      </c>
      <c r="P1332">
        <v>43251.729166666664</v>
      </c>
      <c r="Q1332">
        <v>43136.600679976851</v>
      </c>
      <c r="R1332">
        <v>1354</v>
      </c>
    </row>
    <row r="1333" spans="1:18" x14ac:dyDescent="0.25">
      <c r="A1333" t="s">
        <v>25</v>
      </c>
      <c r="B1333" t="s">
        <v>25</v>
      </c>
      <c r="C1333" t="s">
        <v>4497</v>
      </c>
      <c r="D1333" t="s">
        <v>4497</v>
      </c>
      <c r="E1333" t="s">
        <v>4498</v>
      </c>
      <c r="F1333" t="s">
        <v>21</v>
      </c>
      <c r="G1333" t="s">
        <v>106</v>
      </c>
      <c r="H1333" t="s">
        <v>25</v>
      </c>
      <c r="I1333" t="s">
        <v>25</v>
      </c>
      <c r="K1333">
        <v>43698.521897777777</v>
      </c>
      <c r="L1333" t="s">
        <v>422</v>
      </c>
      <c r="M1333" t="s">
        <v>42</v>
      </c>
      <c r="N1333" t="s">
        <v>415</v>
      </c>
      <c r="O1333">
        <v>178108</v>
      </c>
      <c r="P1333">
        <v>43215.145833333336</v>
      </c>
      <c r="Q1333">
        <v>43136.601425891204</v>
      </c>
      <c r="R1333">
        <v>1355</v>
      </c>
    </row>
    <row r="1334" spans="1:18" x14ac:dyDescent="0.25">
      <c r="A1334" t="s">
        <v>4499</v>
      </c>
      <c r="B1334" t="s">
        <v>4500</v>
      </c>
      <c r="C1334" t="s">
        <v>4501</v>
      </c>
      <c r="D1334" t="s">
        <v>4501</v>
      </c>
      <c r="E1334" t="s">
        <v>4502</v>
      </c>
      <c r="F1334" t="s">
        <v>21</v>
      </c>
      <c r="G1334" t="s">
        <v>22</v>
      </c>
      <c r="H1334" t="s">
        <v>53</v>
      </c>
      <c r="I1334" t="s">
        <v>3006</v>
      </c>
      <c r="J1334">
        <v>2018</v>
      </c>
      <c r="K1334">
        <v>43698.521897777777</v>
      </c>
      <c r="L1334" t="s">
        <v>1005</v>
      </c>
      <c r="M1334" t="s">
        <v>37</v>
      </c>
      <c r="N1334" t="s">
        <v>1305</v>
      </c>
      <c r="O1334">
        <v>185079</v>
      </c>
      <c r="P1334">
        <v>43242.037407407406</v>
      </c>
      <c r="Q1334">
        <v>43136.778990358798</v>
      </c>
      <c r="R1334">
        <v>1356</v>
      </c>
    </row>
    <row r="1335" spans="1:18" x14ac:dyDescent="0.25">
      <c r="A1335" t="s">
        <v>4503</v>
      </c>
      <c r="B1335" t="s">
        <v>4504</v>
      </c>
      <c r="C1335" t="s">
        <v>4505</v>
      </c>
      <c r="D1335" t="s">
        <v>4505</v>
      </c>
      <c r="E1335" t="s">
        <v>4506</v>
      </c>
      <c r="F1335" t="s">
        <v>21</v>
      </c>
      <c r="G1335" t="s">
        <v>22</v>
      </c>
      <c r="H1335" t="s">
        <v>53</v>
      </c>
      <c r="I1335" t="s">
        <v>3006</v>
      </c>
      <c r="J1335">
        <v>2018</v>
      </c>
      <c r="K1335">
        <v>43698.521897777777</v>
      </c>
      <c r="L1335" t="s">
        <v>899</v>
      </c>
      <c r="M1335" t="s">
        <v>1738</v>
      </c>
      <c r="N1335" t="s">
        <v>1305</v>
      </c>
      <c r="O1335">
        <v>299584</v>
      </c>
      <c r="P1335">
        <v>43581.365972222222</v>
      </c>
      <c r="Q1335">
        <v>43136.780710648149</v>
      </c>
      <c r="R1335">
        <v>1357</v>
      </c>
    </row>
    <row r="1336" spans="1:18" x14ac:dyDescent="0.25">
      <c r="A1336" t="s">
        <v>4507</v>
      </c>
      <c r="B1336" t="s">
        <v>4508</v>
      </c>
      <c r="C1336" t="s">
        <v>4509</v>
      </c>
      <c r="D1336" t="s">
        <v>4509</v>
      </c>
      <c r="E1336" t="s">
        <v>4510</v>
      </c>
      <c r="F1336" t="s">
        <v>21</v>
      </c>
      <c r="G1336" t="s">
        <v>22</v>
      </c>
      <c r="H1336" t="s">
        <v>53</v>
      </c>
      <c r="I1336" t="s">
        <v>3006</v>
      </c>
      <c r="J1336">
        <v>2018</v>
      </c>
      <c r="K1336">
        <v>43698.521897777777</v>
      </c>
      <c r="L1336" t="s">
        <v>466</v>
      </c>
      <c r="M1336" t="s">
        <v>1738</v>
      </c>
      <c r="N1336" t="s">
        <v>1305</v>
      </c>
      <c r="O1336">
        <v>301536</v>
      </c>
      <c r="P1336">
        <v>43586.478750000002</v>
      </c>
      <c r="Q1336">
        <v>43136.781983946756</v>
      </c>
      <c r="R1336">
        <v>1358</v>
      </c>
    </row>
    <row r="1337" spans="1:18" x14ac:dyDescent="0.25">
      <c r="A1337" t="s">
        <v>4511</v>
      </c>
      <c r="B1337" t="s">
        <v>4512</v>
      </c>
      <c r="C1337" t="s">
        <v>4513</v>
      </c>
      <c r="D1337" t="s">
        <v>4513</v>
      </c>
      <c r="E1337" t="s">
        <v>4514</v>
      </c>
      <c r="F1337" t="s">
        <v>21</v>
      </c>
      <c r="G1337" t="s">
        <v>22</v>
      </c>
      <c r="H1337" t="s">
        <v>53</v>
      </c>
      <c r="I1337" t="s">
        <v>3006</v>
      </c>
      <c r="J1337">
        <v>2018</v>
      </c>
      <c r="K1337">
        <v>43698.521897777777</v>
      </c>
      <c r="L1337" t="s">
        <v>466</v>
      </c>
      <c r="M1337" t="s">
        <v>1738</v>
      </c>
      <c r="N1337" t="s">
        <v>4011</v>
      </c>
      <c r="O1337">
        <v>297934</v>
      </c>
      <c r="P1337">
        <v>43577.95208333333</v>
      </c>
      <c r="Q1337">
        <v>43136.783186377317</v>
      </c>
      <c r="R1337">
        <v>1359</v>
      </c>
    </row>
    <row r="1338" spans="1:18" x14ac:dyDescent="0.25">
      <c r="A1338" t="s">
        <v>4515</v>
      </c>
      <c r="B1338" t="s">
        <v>4516</v>
      </c>
      <c r="C1338" t="s">
        <v>4517</v>
      </c>
      <c r="D1338" t="s">
        <v>4517</v>
      </c>
      <c r="E1338" t="s">
        <v>4518</v>
      </c>
      <c r="F1338" t="s">
        <v>21</v>
      </c>
      <c r="G1338" t="s">
        <v>22</v>
      </c>
      <c r="H1338" t="s">
        <v>53</v>
      </c>
      <c r="I1338" t="s">
        <v>3006</v>
      </c>
      <c r="J1338">
        <v>2018</v>
      </c>
      <c r="K1338">
        <v>43698.521897777777</v>
      </c>
      <c r="L1338" t="s">
        <v>466</v>
      </c>
      <c r="M1338" t="s">
        <v>1738</v>
      </c>
      <c r="N1338" t="s">
        <v>1305</v>
      </c>
      <c r="O1338">
        <v>297904</v>
      </c>
      <c r="P1338">
        <v>43577.961747685185</v>
      </c>
      <c r="Q1338">
        <v>43136.784562037035</v>
      </c>
      <c r="R1338">
        <v>1360</v>
      </c>
    </row>
    <row r="1339" spans="1:18" x14ac:dyDescent="0.25">
      <c r="A1339" t="s">
        <v>4519</v>
      </c>
      <c r="B1339" t="s">
        <v>4520</v>
      </c>
      <c r="C1339" t="s">
        <v>4521</v>
      </c>
      <c r="D1339" t="s">
        <v>4521</v>
      </c>
      <c r="E1339" t="s">
        <v>4522</v>
      </c>
      <c r="F1339" t="s">
        <v>21</v>
      </c>
      <c r="G1339" t="s">
        <v>22</v>
      </c>
      <c r="H1339" t="s">
        <v>53</v>
      </c>
      <c r="I1339" t="s">
        <v>3006</v>
      </c>
      <c r="J1339">
        <v>2018</v>
      </c>
      <c r="K1339">
        <v>43698.521897777777</v>
      </c>
      <c r="L1339" t="s">
        <v>466</v>
      </c>
      <c r="M1339" t="s">
        <v>1738</v>
      </c>
      <c r="N1339" t="s">
        <v>1305</v>
      </c>
      <c r="O1339">
        <v>296582</v>
      </c>
      <c r="P1339">
        <v>43572.525000000001</v>
      </c>
      <c r="Q1339">
        <v>43136.786626388886</v>
      </c>
      <c r="R1339">
        <v>1361</v>
      </c>
    </row>
    <row r="1340" spans="1:18" x14ac:dyDescent="0.25">
      <c r="A1340" t="s">
        <v>4523</v>
      </c>
      <c r="B1340" t="s">
        <v>4524</v>
      </c>
      <c r="C1340" t="s">
        <v>4525</v>
      </c>
      <c r="D1340" t="s">
        <v>4525</v>
      </c>
      <c r="E1340" t="s">
        <v>4526</v>
      </c>
      <c r="F1340" t="s">
        <v>21</v>
      </c>
      <c r="G1340" t="s">
        <v>22</v>
      </c>
      <c r="H1340" t="s">
        <v>53</v>
      </c>
      <c r="I1340" t="s">
        <v>3006</v>
      </c>
      <c r="J1340">
        <v>2018</v>
      </c>
      <c r="K1340">
        <v>43698.521897777777</v>
      </c>
      <c r="L1340" t="s">
        <v>466</v>
      </c>
      <c r="M1340" t="s">
        <v>1738</v>
      </c>
      <c r="N1340" t="s">
        <v>1305</v>
      </c>
      <c r="O1340">
        <v>301534</v>
      </c>
      <c r="P1340">
        <v>43588.233923611115</v>
      </c>
      <c r="Q1340">
        <v>43136.788292094905</v>
      </c>
      <c r="R1340">
        <v>1362</v>
      </c>
    </row>
    <row r="1341" spans="1:18" x14ac:dyDescent="0.25">
      <c r="A1341" t="s">
        <v>4527</v>
      </c>
      <c r="B1341" t="s">
        <v>4528</v>
      </c>
      <c r="C1341" t="s">
        <v>4529</v>
      </c>
      <c r="D1341" t="s">
        <v>4529</v>
      </c>
      <c r="E1341" t="s">
        <v>4530</v>
      </c>
      <c r="F1341" t="s">
        <v>21</v>
      </c>
      <c r="G1341" t="s">
        <v>22</v>
      </c>
      <c r="H1341" t="s">
        <v>53</v>
      </c>
      <c r="I1341" t="s">
        <v>3006</v>
      </c>
      <c r="J1341">
        <v>2018</v>
      </c>
      <c r="K1341">
        <v>43698.521897777777</v>
      </c>
      <c r="L1341" t="s">
        <v>1005</v>
      </c>
      <c r="M1341" t="s">
        <v>37</v>
      </c>
      <c r="N1341" t="s">
        <v>1305</v>
      </c>
      <c r="O1341">
        <v>186187</v>
      </c>
      <c r="P1341">
        <v>43244.838194444441</v>
      </c>
      <c r="Q1341">
        <v>43136.789211493058</v>
      </c>
      <c r="R1341">
        <v>1363</v>
      </c>
    </row>
    <row r="1342" spans="1:18" x14ac:dyDescent="0.25">
      <c r="A1342" t="s">
        <v>4531</v>
      </c>
      <c r="B1342" t="s">
        <v>4532</v>
      </c>
      <c r="C1342" t="s">
        <v>4533</v>
      </c>
      <c r="D1342" t="s">
        <v>4533</v>
      </c>
      <c r="E1342" t="s">
        <v>4534</v>
      </c>
      <c r="F1342" t="s">
        <v>21</v>
      </c>
      <c r="G1342" t="s">
        <v>22</v>
      </c>
      <c r="H1342" t="s">
        <v>53</v>
      </c>
      <c r="I1342" t="s">
        <v>3006</v>
      </c>
      <c r="J1342">
        <v>2018</v>
      </c>
      <c r="K1342">
        <v>43698.521897777777</v>
      </c>
      <c r="L1342" t="s">
        <v>899</v>
      </c>
      <c r="M1342" t="s">
        <v>1738</v>
      </c>
      <c r="N1342" t="s">
        <v>1305</v>
      </c>
      <c r="O1342">
        <v>299586</v>
      </c>
      <c r="P1342">
        <v>43581.482025462959</v>
      </c>
      <c r="Q1342">
        <v>43136.790286724536</v>
      </c>
      <c r="R1342">
        <v>1364</v>
      </c>
    </row>
    <row r="1343" spans="1:18" x14ac:dyDescent="0.25">
      <c r="A1343" t="s">
        <v>4535</v>
      </c>
      <c r="B1343" t="s">
        <v>4536</v>
      </c>
      <c r="C1343" t="s">
        <v>4537</v>
      </c>
      <c r="D1343" t="s">
        <v>4537</v>
      </c>
      <c r="E1343" t="s">
        <v>4538</v>
      </c>
      <c r="F1343" t="s">
        <v>21</v>
      </c>
      <c r="G1343" t="s">
        <v>22</v>
      </c>
      <c r="H1343" t="s">
        <v>53</v>
      </c>
      <c r="I1343" t="s">
        <v>3006</v>
      </c>
      <c r="J1343">
        <v>2018</v>
      </c>
      <c r="K1343">
        <v>43698.521897777777</v>
      </c>
      <c r="L1343" t="s">
        <v>1005</v>
      </c>
      <c r="M1343" t="s">
        <v>37</v>
      </c>
      <c r="N1343" t="s">
        <v>1305</v>
      </c>
      <c r="O1343">
        <v>185675</v>
      </c>
      <c r="P1343">
        <v>43243.836805555555</v>
      </c>
      <c r="Q1343">
        <v>43136.794496180555</v>
      </c>
      <c r="R1343">
        <v>1365</v>
      </c>
    </row>
    <row r="1344" spans="1:18" x14ac:dyDescent="0.25">
      <c r="A1344" t="s">
        <v>4539</v>
      </c>
      <c r="B1344" t="s">
        <v>4540</v>
      </c>
      <c r="C1344" t="s">
        <v>4541</v>
      </c>
      <c r="D1344" t="s">
        <v>4541</v>
      </c>
      <c r="E1344" t="s">
        <v>4542</v>
      </c>
      <c r="F1344" t="s">
        <v>21</v>
      </c>
      <c r="G1344" t="s">
        <v>22</v>
      </c>
      <c r="H1344" t="s">
        <v>53</v>
      </c>
      <c r="I1344" t="s">
        <v>3006</v>
      </c>
      <c r="J1344">
        <v>2018</v>
      </c>
      <c r="K1344">
        <v>43698.521897777777</v>
      </c>
      <c r="L1344" t="s">
        <v>466</v>
      </c>
      <c r="M1344" t="s">
        <v>1738</v>
      </c>
      <c r="N1344" t="s">
        <v>1305</v>
      </c>
      <c r="O1344">
        <v>305663</v>
      </c>
      <c r="P1344">
        <v>43595.922442129631</v>
      </c>
      <c r="Q1344">
        <v>43136.79539378472</v>
      </c>
      <c r="R1344">
        <v>1366</v>
      </c>
    </row>
    <row r="1345" spans="1:18" x14ac:dyDescent="0.25">
      <c r="A1345" t="s">
        <v>4543</v>
      </c>
      <c r="B1345" t="s">
        <v>4544</v>
      </c>
      <c r="C1345" t="s">
        <v>4545</v>
      </c>
      <c r="D1345" t="s">
        <v>4545</v>
      </c>
      <c r="E1345" t="s">
        <v>4546</v>
      </c>
      <c r="F1345" t="s">
        <v>21</v>
      </c>
      <c r="G1345" t="s">
        <v>22</v>
      </c>
      <c r="H1345" t="s">
        <v>53</v>
      </c>
      <c r="I1345" t="s">
        <v>3006</v>
      </c>
      <c r="J1345">
        <v>2018</v>
      </c>
      <c r="K1345">
        <v>43698.521897777777</v>
      </c>
      <c r="L1345" t="s">
        <v>466</v>
      </c>
      <c r="M1345" t="s">
        <v>1738</v>
      </c>
      <c r="N1345" t="s">
        <v>1305</v>
      </c>
      <c r="O1345">
        <v>294598</v>
      </c>
      <c r="P1345">
        <v>43567.690694444442</v>
      </c>
      <c r="Q1345">
        <v>43136.796456863427</v>
      </c>
      <c r="R1345">
        <v>1367</v>
      </c>
    </row>
    <row r="1346" spans="1:18" x14ac:dyDescent="0.25">
      <c r="A1346" t="s">
        <v>4547</v>
      </c>
      <c r="B1346" t="s">
        <v>4548</v>
      </c>
      <c r="C1346" t="s">
        <v>4549</v>
      </c>
      <c r="D1346" t="s">
        <v>4549</v>
      </c>
      <c r="E1346" t="s">
        <v>4550</v>
      </c>
      <c r="F1346" t="s">
        <v>21</v>
      </c>
      <c r="G1346" t="s">
        <v>22</v>
      </c>
      <c r="H1346" t="s">
        <v>53</v>
      </c>
      <c r="I1346" t="s">
        <v>3006</v>
      </c>
      <c r="J1346">
        <v>2018</v>
      </c>
      <c r="K1346">
        <v>43698.521897777777</v>
      </c>
      <c r="L1346" t="s">
        <v>466</v>
      </c>
      <c r="M1346" t="s">
        <v>1738</v>
      </c>
      <c r="N1346" t="s">
        <v>1305</v>
      </c>
      <c r="O1346">
        <v>301535</v>
      </c>
      <c r="P1346">
        <v>43586.462395833332</v>
      </c>
      <c r="Q1346">
        <v>43136.797580011575</v>
      </c>
      <c r="R1346">
        <v>1368</v>
      </c>
    </row>
    <row r="1347" spans="1:18" x14ac:dyDescent="0.25">
      <c r="A1347" t="s">
        <v>4551</v>
      </c>
      <c r="B1347" t="s">
        <v>4552</v>
      </c>
      <c r="C1347" t="s">
        <v>4553</v>
      </c>
      <c r="D1347" t="s">
        <v>4553</v>
      </c>
      <c r="E1347" t="s">
        <v>4554</v>
      </c>
      <c r="F1347" t="s">
        <v>21</v>
      </c>
      <c r="G1347" t="s">
        <v>22</v>
      </c>
      <c r="H1347" t="s">
        <v>53</v>
      </c>
      <c r="I1347" t="s">
        <v>3006</v>
      </c>
      <c r="J1347">
        <v>2018</v>
      </c>
      <c r="K1347">
        <v>43698.521897777777</v>
      </c>
      <c r="L1347" t="s">
        <v>466</v>
      </c>
      <c r="M1347" t="s">
        <v>1738</v>
      </c>
      <c r="N1347" t="s">
        <v>1305</v>
      </c>
      <c r="O1347">
        <v>304352</v>
      </c>
      <c r="P1347">
        <v>43593.044444444444</v>
      </c>
      <c r="Q1347">
        <v>43136.798538229166</v>
      </c>
      <c r="R1347">
        <v>1369</v>
      </c>
    </row>
    <row r="1348" spans="1:18" x14ac:dyDescent="0.25">
      <c r="A1348" t="s">
        <v>4555</v>
      </c>
      <c r="B1348" t="s">
        <v>4556</v>
      </c>
      <c r="C1348" t="s">
        <v>4557</v>
      </c>
      <c r="D1348" t="s">
        <v>4557</v>
      </c>
      <c r="E1348" t="s">
        <v>4558</v>
      </c>
      <c r="F1348" t="s">
        <v>21</v>
      </c>
      <c r="G1348" t="s">
        <v>22</v>
      </c>
      <c r="H1348" t="s">
        <v>53</v>
      </c>
      <c r="I1348" t="s">
        <v>3006</v>
      </c>
      <c r="J1348">
        <v>2018</v>
      </c>
      <c r="K1348">
        <v>43698.521897777777</v>
      </c>
      <c r="L1348" t="s">
        <v>1005</v>
      </c>
      <c r="M1348" t="s">
        <v>1738</v>
      </c>
      <c r="N1348" t="s">
        <v>1305</v>
      </c>
      <c r="O1348">
        <v>185967</v>
      </c>
      <c r="P1348">
        <v>43244.875</v>
      </c>
      <c r="Q1348">
        <v>43136.799481747687</v>
      </c>
      <c r="R1348">
        <v>1370</v>
      </c>
    </row>
    <row r="1349" spans="1:18" x14ac:dyDescent="0.25">
      <c r="A1349" t="s">
        <v>4559</v>
      </c>
      <c r="B1349" t="s">
        <v>4560</v>
      </c>
      <c r="C1349" t="s">
        <v>4561</v>
      </c>
      <c r="D1349" t="s">
        <v>4561</v>
      </c>
      <c r="E1349" t="s">
        <v>4562</v>
      </c>
      <c r="F1349" t="s">
        <v>21</v>
      </c>
      <c r="G1349" t="s">
        <v>22</v>
      </c>
      <c r="H1349" t="s">
        <v>53</v>
      </c>
      <c r="I1349" t="s">
        <v>3006</v>
      </c>
      <c r="J1349">
        <v>2018</v>
      </c>
      <c r="K1349">
        <v>43698.521897777777</v>
      </c>
      <c r="L1349" t="s">
        <v>899</v>
      </c>
      <c r="M1349" t="s">
        <v>1738</v>
      </c>
      <c r="N1349" t="s">
        <v>523</v>
      </c>
      <c r="O1349">
        <v>306541</v>
      </c>
      <c r="P1349">
        <v>43599.073611111111</v>
      </c>
      <c r="Q1349">
        <v>43136.800425347225</v>
      </c>
      <c r="R1349">
        <v>1371</v>
      </c>
    </row>
    <row r="1350" spans="1:18" x14ac:dyDescent="0.25">
      <c r="A1350" t="s">
        <v>4563</v>
      </c>
      <c r="B1350" t="s">
        <v>4564</v>
      </c>
      <c r="C1350" t="s">
        <v>4565</v>
      </c>
      <c r="D1350" t="s">
        <v>4565</v>
      </c>
      <c r="E1350" t="s">
        <v>4566</v>
      </c>
      <c r="F1350" t="s">
        <v>21</v>
      </c>
      <c r="G1350" t="s">
        <v>22</v>
      </c>
      <c r="H1350" t="s">
        <v>53</v>
      </c>
      <c r="I1350" t="s">
        <v>3006</v>
      </c>
      <c r="J1350">
        <v>2018</v>
      </c>
      <c r="K1350">
        <v>43698.521897777777</v>
      </c>
      <c r="L1350" t="s">
        <v>1005</v>
      </c>
      <c r="M1350" t="s">
        <v>37</v>
      </c>
      <c r="N1350" t="s">
        <v>1305</v>
      </c>
      <c r="O1350">
        <v>184865</v>
      </c>
      <c r="P1350">
        <v>43243.958993055552</v>
      </c>
      <c r="Q1350">
        <v>43136.801610381946</v>
      </c>
      <c r="R1350">
        <v>1372</v>
      </c>
    </row>
    <row r="1351" spans="1:18" x14ac:dyDescent="0.25">
      <c r="A1351" t="s">
        <v>4567</v>
      </c>
      <c r="B1351" t="s">
        <v>4568</v>
      </c>
      <c r="C1351" t="s">
        <v>4569</v>
      </c>
      <c r="D1351" t="s">
        <v>4569</v>
      </c>
      <c r="E1351" t="s">
        <v>4570</v>
      </c>
      <c r="F1351" t="s">
        <v>21</v>
      </c>
      <c r="G1351" t="s">
        <v>22</v>
      </c>
      <c r="H1351" t="s">
        <v>53</v>
      </c>
      <c r="I1351" t="s">
        <v>3006</v>
      </c>
      <c r="J1351">
        <v>2018</v>
      </c>
      <c r="K1351">
        <v>43698.521897777777</v>
      </c>
      <c r="L1351" t="s">
        <v>899</v>
      </c>
      <c r="M1351" t="s">
        <v>1738</v>
      </c>
      <c r="N1351" t="s">
        <v>523</v>
      </c>
      <c r="O1351">
        <v>297864</v>
      </c>
      <c r="P1351">
        <v>43577.793749999997</v>
      </c>
      <c r="Q1351">
        <v>43136.80265416667</v>
      </c>
      <c r="R1351">
        <v>1373</v>
      </c>
    </row>
    <row r="1352" spans="1:18" x14ac:dyDescent="0.25">
      <c r="A1352" t="s">
        <v>4571</v>
      </c>
      <c r="B1352" t="s">
        <v>4572</v>
      </c>
      <c r="C1352" t="s">
        <v>4573</v>
      </c>
      <c r="D1352" t="s">
        <v>4573</v>
      </c>
      <c r="E1352" t="s">
        <v>4574</v>
      </c>
      <c r="F1352" t="s">
        <v>21</v>
      </c>
      <c r="G1352" t="s">
        <v>22</v>
      </c>
      <c r="H1352" t="s">
        <v>53</v>
      </c>
      <c r="I1352" t="s">
        <v>3006</v>
      </c>
      <c r="J1352">
        <v>2018</v>
      </c>
      <c r="K1352">
        <v>43698.521897777777</v>
      </c>
      <c r="L1352" t="s">
        <v>466</v>
      </c>
      <c r="M1352" t="s">
        <v>1738</v>
      </c>
      <c r="N1352" t="s">
        <v>27</v>
      </c>
      <c r="O1352">
        <v>295731</v>
      </c>
      <c r="P1352">
        <v>43571.021527777775</v>
      </c>
      <c r="Q1352">
        <v>43136.803642210645</v>
      </c>
      <c r="R1352">
        <v>1374</v>
      </c>
    </row>
    <row r="1353" spans="1:18" x14ac:dyDescent="0.25">
      <c r="A1353" t="s">
        <v>4575</v>
      </c>
      <c r="B1353" t="s">
        <v>4576</v>
      </c>
      <c r="C1353" t="s">
        <v>4577</v>
      </c>
      <c r="D1353" t="s">
        <v>4577</v>
      </c>
      <c r="E1353" t="s">
        <v>4578</v>
      </c>
      <c r="F1353" t="s">
        <v>21</v>
      </c>
      <c r="G1353" t="s">
        <v>22</v>
      </c>
      <c r="H1353" t="s">
        <v>53</v>
      </c>
      <c r="I1353" t="s">
        <v>3006</v>
      </c>
      <c r="J1353">
        <v>2018</v>
      </c>
      <c r="K1353">
        <v>43698.521897777777</v>
      </c>
      <c r="L1353" t="s">
        <v>466</v>
      </c>
      <c r="M1353" t="s">
        <v>1738</v>
      </c>
      <c r="N1353" t="s">
        <v>1305</v>
      </c>
      <c r="O1353">
        <v>294019</v>
      </c>
      <c r="P1353">
        <v>43566.535416666666</v>
      </c>
      <c r="Q1353">
        <v>43136.804670451391</v>
      </c>
      <c r="R1353">
        <v>1375</v>
      </c>
    </row>
    <row r="1354" spans="1:18" x14ac:dyDescent="0.25">
      <c r="A1354" t="s">
        <v>25</v>
      </c>
      <c r="B1354" t="s">
        <v>25</v>
      </c>
      <c r="C1354" t="s">
        <v>4579</v>
      </c>
      <c r="D1354" t="s">
        <v>4579</v>
      </c>
      <c r="E1354" t="s">
        <v>4580</v>
      </c>
      <c r="F1354" t="s">
        <v>21</v>
      </c>
      <c r="G1354" t="s">
        <v>63</v>
      </c>
      <c r="H1354" t="s">
        <v>25</v>
      </c>
      <c r="I1354" t="s">
        <v>25</v>
      </c>
      <c r="K1354">
        <v>43698.521897777777</v>
      </c>
      <c r="L1354" t="s">
        <v>25</v>
      </c>
      <c r="M1354" t="s">
        <v>42</v>
      </c>
      <c r="N1354" t="s">
        <v>2778</v>
      </c>
      <c r="Q1354">
        <v>43136.934818518515</v>
      </c>
      <c r="R1354">
        <v>1376</v>
      </c>
    </row>
    <row r="1355" spans="1:18" x14ac:dyDescent="0.25">
      <c r="A1355" t="s">
        <v>4581</v>
      </c>
      <c r="B1355" t="s">
        <v>4582</v>
      </c>
      <c r="C1355" t="s">
        <v>4583</v>
      </c>
      <c r="D1355" t="s">
        <v>4583</v>
      </c>
      <c r="E1355" t="s">
        <v>4584</v>
      </c>
      <c r="F1355" t="s">
        <v>21</v>
      </c>
      <c r="G1355" t="s">
        <v>22</v>
      </c>
      <c r="H1355" t="s">
        <v>53</v>
      </c>
      <c r="I1355" t="s">
        <v>3006</v>
      </c>
      <c r="J1355">
        <v>2018</v>
      </c>
      <c r="K1355">
        <v>43698.521897777777</v>
      </c>
      <c r="L1355" t="s">
        <v>466</v>
      </c>
      <c r="M1355" t="s">
        <v>1738</v>
      </c>
      <c r="N1355" t="s">
        <v>1305</v>
      </c>
      <c r="O1355">
        <v>303206</v>
      </c>
      <c r="P1355">
        <v>43593.9294212963</v>
      </c>
      <c r="Q1355">
        <v>43137.511637847223</v>
      </c>
      <c r="R1355">
        <v>1377</v>
      </c>
    </row>
    <row r="1356" spans="1:18" x14ac:dyDescent="0.25">
      <c r="A1356" t="s">
        <v>4585</v>
      </c>
      <c r="B1356" t="s">
        <v>4586</v>
      </c>
      <c r="C1356" t="s">
        <v>4587</v>
      </c>
      <c r="D1356" t="s">
        <v>4587</v>
      </c>
      <c r="E1356" t="s">
        <v>4588</v>
      </c>
      <c r="F1356" t="s">
        <v>21</v>
      </c>
      <c r="G1356" t="s">
        <v>22</v>
      </c>
      <c r="H1356" t="s">
        <v>53</v>
      </c>
      <c r="I1356" t="s">
        <v>3006</v>
      </c>
      <c r="J1356">
        <v>2018</v>
      </c>
      <c r="K1356">
        <v>43698.521897777777</v>
      </c>
      <c r="L1356" t="s">
        <v>1005</v>
      </c>
      <c r="M1356" t="s">
        <v>37</v>
      </c>
      <c r="N1356" t="s">
        <v>1305</v>
      </c>
      <c r="Q1356">
        <v>43137.51676875</v>
      </c>
      <c r="R1356">
        <v>1378</v>
      </c>
    </row>
    <row r="1357" spans="1:18" x14ac:dyDescent="0.25">
      <c r="A1357" t="s">
        <v>4589</v>
      </c>
      <c r="B1357" t="s">
        <v>4590</v>
      </c>
      <c r="C1357" t="s">
        <v>4591</v>
      </c>
      <c r="D1357" t="s">
        <v>4591</v>
      </c>
      <c r="E1357" t="s">
        <v>4592</v>
      </c>
      <c r="F1357" t="s">
        <v>21</v>
      </c>
      <c r="G1357" t="s">
        <v>22</v>
      </c>
      <c r="H1357" t="s">
        <v>53</v>
      </c>
      <c r="I1357" t="s">
        <v>3006</v>
      </c>
      <c r="J1357">
        <v>2018</v>
      </c>
      <c r="K1357">
        <v>43698.521897777777</v>
      </c>
      <c r="L1357" t="s">
        <v>466</v>
      </c>
      <c r="M1357" t="s">
        <v>1738</v>
      </c>
      <c r="N1357" t="s">
        <v>1305</v>
      </c>
      <c r="O1357">
        <v>300528</v>
      </c>
      <c r="P1357">
        <v>43584.428472222222</v>
      </c>
      <c r="Q1357">
        <v>43137.521134756942</v>
      </c>
      <c r="R1357">
        <v>1379</v>
      </c>
    </row>
    <row r="1358" spans="1:18" x14ac:dyDescent="0.25">
      <c r="A1358" t="s">
        <v>4593</v>
      </c>
      <c r="B1358" t="s">
        <v>4594</v>
      </c>
      <c r="C1358" t="s">
        <v>4595</v>
      </c>
      <c r="D1358" t="s">
        <v>4595</v>
      </c>
      <c r="E1358" t="s">
        <v>4596</v>
      </c>
      <c r="F1358" t="s">
        <v>21</v>
      </c>
      <c r="G1358" t="s">
        <v>22</v>
      </c>
      <c r="H1358" t="s">
        <v>53</v>
      </c>
      <c r="I1358" t="s">
        <v>3006</v>
      </c>
      <c r="J1358">
        <v>2018</v>
      </c>
      <c r="K1358">
        <v>43698.521897777777</v>
      </c>
      <c r="L1358" t="s">
        <v>899</v>
      </c>
      <c r="M1358" t="s">
        <v>1738</v>
      </c>
      <c r="N1358" t="s">
        <v>1305</v>
      </c>
      <c r="O1358">
        <v>297267</v>
      </c>
      <c r="P1358">
        <v>43576.077777777777</v>
      </c>
      <c r="Q1358">
        <v>43137.524310879628</v>
      </c>
      <c r="R1358">
        <v>1380</v>
      </c>
    </row>
    <row r="1359" spans="1:18" x14ac:dyDescent="0.25">
      <c r="A1359" t="s">
        <v>4597</v>
      </c>
      <c r="B1359" t="s">
        <v>4598</v>
      </c>
      <c r="C1359" t="s">
        <v>4599</v>
      </c>
      <c r="D1359" t="s">
        <v>4599</v>
      </c>
      <c r="E1359" t="s">
        <v>4600</v>
      </c>
      <c r="F1359" t="s">
        <v>21</v>
      </c>
      <c r="G1359" t="s">
        <v>22</v>
      </c>
      <c r="H1359" t="s">
        <v>53</v>
      </c>
      <c r="I1359" t="s">
        <v>3006</v>
      </c>
      <c r="J1359">
        <v>2018</v>
      </c>
      <c r="K1359">
        <v>43698.521897777777</v>
      </c>
      <c r="L1359" t="s">
        <v>1005</v>
      </c>
      <c r="M1359" t="s">
        <v>37</v>
      </c>
      <c r="N1359" t="s">
        <v>1305</v>
      </c>
      <c r="O1359">
        <v>184877</v>
      </c>
      <c r="P1359">
        <v>43244.049861111111</v>
      </c>
      <c r="Q1359">
        <v>43137.525550891201</v>
      </c>
      <c r="R1359">
        <v>1381</v>
      </c>
    </row>
    <row r="1360" spans="1:18" x14ac:dyDescent="0.25">
      <c r="A1360" t="s">
        <v>4601</v>
      </c>
      <c r="B1360" t="s">
        <v>4602</v>
      </c>
      <c r="C1360" t="s">
        <v>4603</v>
      </c>
      <c r="D1360" t="s">
        <v>4603</v>
      </c>
      <c r="E1360" t="s">
        <v>4603</v>
      </c>
      <c r="F1360" t="s">
        <v>91</v>
      </c>
      <c r="G1360" t="s">
        <v>63</v>
      </c>
      <c r="H1360" t="s">
        <v>34</v>
      </c>
      <c r="I1360" t="s">
        <v>35</v>
      </c>
      <c r="J1360">
        <v>2012</v>
      </c>
      <c r="K1360">
        <v>43698.521897777777</v>
      </c>
      <c r="L1360" t="s">
        <v>422</v>
      </c>
      <c r="M1360" t="s">
        <v>1941</v>
      </c>
      <c r="N1360" t="s">
        <v>415</v>
      </c>
      <c r="O1360">
        <v>345912</v>
      </c>
      <c r="P1360">
        <v>43696.53125</v>
      </c>
      <c r="Q1360">
        <v>43139.610024502312</v>
      </c>
      <c r="R1360">
        <v>1382</v>
      </c>
    </row>
    <row r="1361" spans="1:18" x14ac:dyDescent="0.25">
      <c r="A1361" t="s">
        <v>4604</v>
      </c>
      <c r="B1361" t="s">
        <v>4605</v>
      </c>
      <c r="C1361" t="s">
        <v>4606</v>
      </c>
      <c r="D1361" t="s">
        <v>4606</v>
      </c>
      <c r="E1361" t="s">
        <v>4606</v>
      </c>
      <c r="F1361" t="s">
        <v>21</v>
      </c>
      <c r="G1361" t="s">
        <v>63</v>
      </c>
      <c r="H1361" t="s">
        <v>53</v>
      </c>
      <c r="I1361" t="s">
        <v>3693</v>
      </c>
      <c r="J1361">
        <v>2018</v>
      </c>
      <c r="K1361">
        <v>43698.521897777777</v>
      </c>
      <c r="L1361" t="s">
        <v>1005</v>
      </c>
      <c r="M1361" t="s">
        <v>1941</v>
      </c>
      <c r="N1361" t="s">
        <v>415</v>
      </c>
      <c r="O1361">
        <v>196651</v>
      </c>
      <c r="P1361">
        <v>43286.102083333331</v>
      </c>
      <c r="Q1361">
        <v>43139.620002118056</v>
      </c>
      <c r="R1361">
        <v>1383</v>
      </c>
    </row>
    <row r="1362" spans="1:18" x14ac:dyDescent="0.25">
      <c r="A1362" t="s">
        <v>4607</v>
      </c>
      <c r="B1362" t="s">
        <v>4608</v>
      </c>
      <c r="C1362" t="s">
        <v>4609</v>
      </c>
      <c r="D1362" t="s">
        <v>4609</v>
      </c>
      <c r="E1362" t="s">
        <v>4609</v>
      </c>
      <c r="F1362" t="s">
        <v>21</v>
      </c>
      <c r="G1362" t="s">
        <v>63</v>
      </c>
      <c r="H1362" t="s">
        <v>34</v>
      </c>
      <c r="I1362" t="s">
        <v>703</v>
      </c>
      <c r="J1362">
        <v>2007</v>
      </c>
      <c r="K1362">
        <v>43698.521897777777</v>
      </c>
      <c r="L1362" t="s">
        <v>422</v>
      </c>
      <c r="M1362" t="s">
        <v>2777</v>
      </c>
      <c r="N1362" t="s">
        <v>27</v>
      </c>
      <c r="O1362">
        <v>192259</v>
      </c>
      <c r="P1362">
        <v>43266.375</v>
      </c>
      <c r="Q1362">
        <v>43144.433508796297</v>
      </c>
      <c r="R1362">
        <v>1384</v>
      </c>
    </row>
    <row r="1363" spans="1:18" x14ac:dyDescent="0.25">
      <c r="A1363" t="s">
        <v>4610</v>
      </c>
      <c r="B1363" t="s">
        <v>4611</v>
      </c>
      <c r="C1363" t="s">
        <v>4612</v>
      </c>
      <c r="D1363" t="s">
        <v>4612</v>
      </c>
      <c r="E1363" t="s">
        <v>4612</v>
      </c>
      <c r="F1363" t="s">
        <v>21</v>
      </c>
      <c r="G1363" t="s">
        <v>63</v>
      </c>
      <c r="H1363" t="s">
        <v>34</v>
      </c>
      <c r="I1363" t="s">
        <v>703</v>
      </c>
      <c r="J1363">
        <v>2003</v>
      </c>
      <c r="K1363">
        <v>43698.521897777777</v>
      </c>
      <c r="L1363" t="s">
        <v>422</v>
      </c>
      <c r="M1363" t="s">
        <v>2777</v>
      </c>
      <c r="N1363" t="s">
        <v>27</v>
      </c>
      <c r="O1363">
        <v>192911</v>
      </c>
      <c r="P1363">
        <v>43269.447916666664</v>
      </c>
      <c r="Q1363">
        <v>43144.436084803237</v>
      </c>
      <c r="R1363">
        <v>1385</v>
      </c>
    </row>
    <row r="1364" spans="1:18" x14ac:dyDescent="0.25">
      <c r="A1364" t="s">
        <v>4613</v>
      </c>
      <c r="B1364" t="s">
        <v>4614</v>
      </c>
      <c r="C1364" t="s">
        <v>4615</v>
      </c>
      <c r="D1364" t="s">
        <v>4615</v>
      </c>
      <c r="E1364" t="s">
        <v>4615</v>
      </c>
      <c r="F1364" t="s">
        <v>21</v>
      </c>
      <c r="G1364" t="s">
        <v>63</v>
      </c>
      <c r="H1364" t="s">
        <v>34</v>
      </c>
      <c r="I1364" t="s">
        <v>703</v>
      </c>
      <c r="J1364">
        <v>2013</v>
      </c>
      <c r="K1364">
        <v>43698.521897777777</v>
      </c>
      <c r="L1364" t="s">
        <v>1660</v>
      </c>
      <c r="M1364" t="s">
        <v>2777</v>
      </c>
      <c r="N1364" t="s">
        <v>27</v>
      </c>
      <c r="O1364">
        <v>186285</v>
      </c>
      <c r="P1364">
        <v>43245.90625</v>
      </c>
      <c r="Q1364">
        <v>43144.441673611109</v>
      </c>
      <c r="R1364">
        <v>1386</v>
      </c>
    </row>
    <row r="1365" spans="1:18" x14ac:dyDescent="0.25">
      <c r="A1365" t="s">
        <v>4616</v>
      </c>
      <c r="B1365" t="s">
        <v>4617</v>
      </c>
      <c r="C1365" t="s">
        <v>4618</v>
      </c>
      <c r="D1365" t="s">
        <v>4618</v>
      </c>
      <c r="E1365" t="s">
        <v>4618</v>
      </c>
      <c r="F1365" t="s">
        <v>21</v>
      </c>
      <c r="G1365" t="s">
        <v>63</v>
      </c>
      <c r="H1365" t="s">
        <v>53</v>
      </c>
      <c r="I1365" t="s">
        <v>4619</v>
      </c>
      <c r="J1365">
        <v>2007</v>
      </c>
      <c r="K1365">
        <v>43698.521897777777</v>
      </c>
      <c r="L1365" t="s">
        <v>25</v>
      </c>
      <c r="M1365" t="s">
        <v>2777</v>
      </c>
      <c r="N1365" t="s">
        <v>27</v>
      </c>
      <c r="O1365">
        <v>171531</v>
      </c>
      <c r="P1365">
        <v>43188.916666666664</v>
      </c>
      <c r="Q1365">
        <v>43144.447495057873</v>
      </c>
      <c r="R1365">
        <v>1387</v>
      </c>
    </row>
    <row r="1366" spans="1:18" x14ac:dyDescent="0.25">
      <c r="A1366" t="s">
        <v>4620</v>
      </c>
      <c r="B1366" t="s">
        <v>4621</v>
      </c>
      <c r="C1366" t="s">
        <v>4622</v>
      </c>
      <c r="D1366" t="s">
        <v>4622</v>
      </c>
      <c r="E1366" t="s">
        <v>4622</v>
      </c>
      <c r="F1366" t="s">
        <v>91</v>
      </c>
      <c r="G1366" t="s">
        <v>63</v>
      </c>
      <c r="H1366" t="s">
        <v>53</v>
      </c>
      <c r="I1366" t="s">
        <v>3693</v>
      </c>
      <c r="J1366">
        <v>2018</v>
      </c>
      <c r="K1366">
        <v>43698.521897777777</v>
      </c>
      <c r="L1366" t="s">
        <v>1005</v>
      </c>
      <c r="M1366" t="s">
        <v>1941</v>
      </c>
      <c r="N1366" t="s">
        <v>415</v>
      </c>
      <c r="O1366">
        <v>346089</v>
      </c>
      <c r="P1366">
        <v>43698.521897777777</v>
      </c>
      <c r="Q1366">
        <v>43146.548933101854</v>
      </c>
      <c r="R1366">
        <v>1388</v>
      </c>
    </row>
    <row r="1367" spans="1:18" x14ac:dyDescent="0.25">
      <c r="A1367" t="s">
        <v>4623</v>
      </c>
      <c r="B1367" t="s">
        <v>4624</v>
      </c>
      <c r="C1367" t="s">
        <v>4625</v>
      </c>
      <c r="D1367" t="s">
        <v>4625</v>
      </c>
      <c r="E1367" t="s">
        <v>4625</v>
      </c>
      <c r="F1367" t="s">
        <v>21</v>
      </c>
      <c r="G1367" t="s">
        <v>63</v>
      </c>
      <c r="H1367" t="s">
        <v>34</v>
      </c>
      <c r="I1367" t="s">
        <v>703</v>
      </c>
      <c r="J1367">
        <v>2010</v>
      </c>
      <c r="K1367">
        <v>43698.521897777777</v>
      </c>
      <c r="L1367" t="s">
        <v>1660</v>
      </c>
      <c r="M1367" t="s">
        <v>2777</v>
      </c>
      <c r="N1367" t="s">
        <v>415</v>
      </c>
      <c r="O1367">
        <v>233430</v>
      </c>
      <c r="P1367">
        <v>43396.705555555556</v>
      </c>
      <c r="Q1367">
        <v>43147.528739733796</v>
      </c>
      <c r="R1367">
        <v>1389</v>
      </c>
    </row>
    <row r="1368" spans="1:18" x14ac:dyDescent="0.25">
      <c r="A1368" t="s">
        <v>4626</v>
      </c>
      <c r="B1368" t="s">
        <v>4627</v>
      </c>
      <c r="C1368" t="s">
        <v>4628</v>
      </c>
      <c r="D1368" t="s">
        <v>4628</v>
      </c>
      <c r="E1368" t="s">
        <v>4628</v>
      </c>
      <c r="F1368" t="s">
        <v>21</v>
      </c>
      <c r="G1368" t="s">
        <v>63</v>
      </c>
      <c r="H1368" t="s">
        <v>53</v>
      </c>
      <c r="I1368" t="s">
        <v>4192</v>
      </c>
      <c r="J1368">
        <v>2007</v>
      </c>
      <c r="K1368">
        <v>43698.521897777777</v>
      </c>
      <c r="L1368" t="s">
        <v>1660</v>
      </c>
      <c r="M1368" t="s">
        <v>2777</v>
      </c>
      <c r="N1368" t="s">
        <v>415</v>
      </c>
      <c r="O1368">
        <v>260505</v>
      </c>
      <c r="P1368">
        <v>43476.908333333333</v>
      </c>
      <c r="Q1368">
        <v>43147.529483333332</v>
      </c>
      <c r="R1368">
        <v>1390</v>
      </c>
    </row>
    <row r="1369" spans="1:18" x14ac:dyDescent="0.25">
      <c r="A1369" t="s">
        <v>4629</v>
      </c>
      <c r="B1369" t="s">
        <v>4630</v>
      </c>
      <c r="C1369" t="s">
        <v>4631</v>
      </c>
      <c r="D1369" t="s">
        <v>4631</v>
      </c>
      <c r="E1369" t="s">
        <v>4631</v>
      </c>
      <c r="F1369" t="s">
        <v>21</v>
      </c>
      <c r="G1369" t="s">
        <v>63</v>
      </c>
      <c r="H1369" t="s">
        <v>80</v>
      </c>
      <c r="I1369" t="s">
        <v>3268</v>
      </c>
      <c r="J1369">
        <v>2006</v>
      </c>
      <c r="K1369">
        <v>43698.521897777777</v>
      </c>
      <c r="L1369" t="s">
        <v>25</v>
      </c>
      <c r="M1369" t="s">
        <v>2777</v>
      </c>
      <c r="N1369" t="s">
        <v>415</v>
      </c>
      <c r="O1369">
        <v>165753</v>
      </c>
      <c r="P1369">
        <v>43165.885416666664</v>
      </c>
      <c r="Q1369">
        <v>43147.53179641204</v>
      </c>
      <c r="R1369">
        <v>1391</v>
      </c>
    </row>
    <row r="1370" spans="1:18" x14ac:dyDescent="0.25">
      <c r="A1370" t="s">
        <v>4632</v>
      </c>
      <c r="B1370" t="s">
        <v>4633</v>
      </c>
      <c r="C1370" t="s">
        <v>4634</v>
      </c>
      <c r="D1370" t="s">
        <v>4634</v>
      </c>
      <c r="E1370" t="s">
        <v>4634</v>
      </c>
      <c r="F1370" t="s">
        <v>91</v>
      </c>
      <c r="G1370" t="s">
        <v>63</v>
      </c>
      <c r="H1370" t="s">
        <v>53</v>
      </c>
      <c r="I1370" t="s">
        <v>3689</v>
      </c>
      <c r="J1370">
        <v>2010</v>
      </c>
      <c r="K1370">
        <v>43698.521897777777</v>
      </c>
      <c r="L1370" t="s">
        <v>422</v>
      </c>
      <c r="M1370" t="s">
        <v>2777</v>
      </c>
      <c r="N1370" t="s">
        <v>415</v>
      </c>
      <c r="O1370">
        <v>347029</v>
      </c>
      <c r="P1370">
        <v>43698.521897777777</v>
      </c>
      <c r="Q1370">
        <v>43147.532462384261</v>
      </c>
      <c r="R1370">
        <v>1392</v>
      </c>
    </row>
    <row r="1371" spans="1:18" x14ac:dyDescent="0.25">
      <c r="A1371" t="s">
        <v>4635</v>
      </c>
      <c r="B1371" t="s">
        <v>4636</v>
      </c>
      <c r="C1371" t="s">
        <v>4637</v>
      </c>
      <c r="D1371" t="s">
        <v>4637</v>
      </c>
      <c r="E1371" t="s">
        <v>4637</v>
      </c>
      <c r="F1371" t="s">
        <v>91</v>
      </c>
      <c r="G1371" t="s">
        <v>63</v>
      </c>
      <c r="H1371" t="s">
        <v>34</v>
      </c>
      <c r="I1371" t="s">
        <v>703</v>
      </c>
      <c r="J1371">
        <v>2013</v>
      </c>
      <c r="K1371">
        <v>43698.521897777777</v>
      </c>
      <c r="L1371" t="s">
        <v>1660</v>
      </c>
      <c r="M1371" t="s">
        <v>37</v>
      </c>
      <c r="N1371" t="s">
        <v>415</v>
      </c>
      <c r="O1371">
        <v>346978</v>
      </c>
      <c r="P1371">
        <v>43698.521897777777</v>
      </c>
      <c r="Q1371">
        <v>43151.432406215281</v>
      </c>
      <c r="R1371">
        <v>1393</v>
      </c>
    </row>
    <row r="1372" spans="1:18" x14ac:dyDescent="0.25">
      <c r="A1372" t="s">
        <v>4638</v>
      </c>
      <c r="B1372" t="s">
        <v>4639</v>
      </c>
      <c r="C1372" t="s">
        <v>4640</v>
      </c>
      <c r="D1372" t="s">
        <v>4640</v>
      </c>
      <c r="E1372" t="s">
        <v>4640</v>
      </c>
      <c r="F1372" t="s">
        <v>91</v>
      </c>
      <c r="G1372" t="s">
        <v>63</v>
      </c>
      <c r="H1372" t="s">
        <v>53</v>
      </c>
      <c r="I1372" t="s">
        <v>4641</v>
      </c>
      <c r="J1372">
        <v>2018</v>
      </c>
      <c r="K1372">
        <v>43698.521897777777</v>
      </c>
      <c r="L1372" t="s">
        <v>1056</v>
      </c>
      <c r="M1372" t="s">
        <v>1941</v>
      </c>
      <c r="N1372" t="s">
        <v>415</v>
      </c>
      <c r="O1372">
        <v>346975</v>
      </c>
      <c r="P1372">
        <v>43698.521897777777</v>
      </c>
      <c r="Q1372">
        <v>43152.585628935187</v>
      </c>
      <c r="R1372">
        <v>1395</v>
      </c>
    </row>
    <row r="1373" spans="1:18" x14ac:dyDescent="0.25">
      <c r="A1373" t="s">
        <v>4642</v>
      </c>
      <c r="B1373" t="s">
        <v>4643</v>
      </c>
      <c r="C1373" t="s">
        <v>4644</v>
      </c>
      <c r="D1373" t="s">
        <v>4644</v>
      </c>
      <c r="E1373" t="s">
        <v>4645</v>
      </c>
      <c r="F1373" t="s">
        <v>91</v>
      </c>
      <c r="G1373" t="s">
        <v>22</v>
      </c>
      <c r="H1373" t="s">
        <v>53</v>
      </c>
      <c r="I1373" t="s">
        <v>3006</v>
      </c>
      <c r="J1373">
        <v>2019</v>
      </c>
      <c r="K1373">
        <v>43698.521897777777</v>
      </c>
      <c r="L1373" t="s">
        <v>2783</v>
      </c>
      <c r="M1373" t="s">
        <v>2777</v>
      </c>
      <c r="N1373" t="s">
        <v>994</v>
      </c>
      <c r="O1373">
        <v>347118</v>
      </c>
      <c r="P1373">
        <v>43698.521897777777</v>
      </c>
      <c r="Q1373">
        <v>43153.555397800927</v>
      </c>
      <c r="R1373">
        <v>1396</v>
      </c>
    </row>
    <row r="1374" spans="1:18" x14ac:dyDescent="0.25">
      <c r="A1374" t="s">
        <v>4646</v>
      </c>
      <c r="B1374" t="s">
        <v>4647</v>
      </c>
      <c r="C1374" t="s">
        <v>4648</v>
      </c>
      <c r="D1374" t="s">
        <v>4648</v>
      </c>
      <c r="E1374" t="s">
        <v>4649</v>
      </c>
      <c r="F1374" t="s">
        <v>91</v>
      </c>
      <c r="G1374" t="s">
        <v>22</v>
      </c>
      <c r="H1374" t="s">
        <v>53</v>
      </c>
      <c r="I1374" t="s">
        <v>3006</v>
      </c>
      <c r="J1374">
        <v>2019</v>
      </c>
      <c r="K1374">
        <v>43698.521897777777</v>
      </c>
      <c r="L1374" t="s">
        <v>2783</v>
      </c>
      <c r="M1374" t="s">
        <v>2777</v>
      </c>
      <c r="N1374" t="s">
        <v>994</v>
      </c>
      <c r="O1374">
        <v>346890</v>
      </c>
      <c r="P1374">
        <v>43698.521897777777</v>
      </c>
      <c r="Q1374">
        <v>43153.557592557867</v>
      </c>
      <c r="R1374">
        <v>1397</v>
      </c>
    </row>
    <row r="1375" spans="1:18" x14ac:dyDescent="0.25">
      <c r="A1375" t="s">
        <v>4650</v>
      </c>
      <c r="B1375" t="s">
        <v>4651</v>
      </c>
      <c r="C1375" t="s">
        <v>4652</v>
      </c>
      <c r="D1375" t="s">
        <v>4652</v>
      </c>
      <c r="E1375" t="s">
        <v>4653</v>
      </c>
      <c r="F1375" t="s">
        <v>91</v>
      </c>
      <c r="G1375" t="s">
        <v>22</v>
      </c>
      <c r="H1375" t="s">
        <v>53</v>
      </c>
      <c r="I1375" t="s">
        <v>3006</v>
      </c>
      <c r="J1375">
        <v>2019</v>
      </c>
      <c r="K1375">
        <v>43698.521897777777</v>
      </c>
      <c r="L1375" t="s">
        <v>422</v>
      </c>
      <c r="M1375" t="s">
        <v>2777</v>
      </c>
      <c r="N1375" t="s">
        <v>415</v>
      </c>
      <c r="O1375">
        <v>347087</v>
      </c>
      <c r="P1375">
        <v>43698.521897777777</v>
      </c>
      <c r="Q1375">
        <v>43153.563347418982</v>
      </c>
      <c r="R1375">
        <v>1398</v>
      </c>
    </row>
    <row r="1376" spans="1:18" x14ac:dyDescent="0.25">
      <c r="A1376" t="s">
        <v>4654</v>
      </c>
      <c r="B1376" t="s">
        <v>4655</v>
      </c>
      <c r="C1376" t="s">
        <v>4656</v>
      </c>
      <c r="D1376" t="s">
        <v>4656</v>
      </c>
      <c r="E1376" t="s">
        <v>4657</v>
      </c>
      <c r="F1376" t="s">
        <v>91</v>
      </c>
      <c r="G1376" t="s">
        <v>22</v>
      </c>
      <c r="H1376" t="s">
        <v>53</v>
      </c>
      <c r="I1376" t="s">
        <v>3006</v>
      </c>
      <c r="J1376">
        <v>2019</v>
      </c>
      <c r="K1376">
        <v>43698.521897777777</v>
      </c>
      <c r="L1376" t="s">
        <v>2783</v>
      </c>
      <c r="M1376" t="s">
        <v>2777</v>
      </c>
      <c r="N1376" t="s">
        <v>4658</v>
      </c>
      <c r="O1376">
        <v>347114</v>
      </c>
      <c r="P1376">
        <v>43698.521897777777</v>
      </c>
      <c r="Q1376">
        <v>43153.565952696757</v>
      </c>
      <c r="R1376">
        <v>1399</v>
      </c>
    </row>
    <row r="1377" spans="1:18" x14ac:dyDescent="0.25">
      <c r="A1377" t="s">
        <v>4659</v>
      </c>
      <c r="B1377" t="s">
        <v>4660</v>
      </c>
      <c r="C1377" t="s">
        <v>4661</v>
      </c>
      <c r="D1377" t="s">
        <v>4661</v>
      </c>
      <c r="E1377" t="s">
        <v>4662</v>
      </c>
      <c r="F1377" t="s">
        <v>91</v>
      </c>
      <c r="G1377" t="s">
        <v>22</v>
      </c>
      <c r="H1377" t="s">
        <v>53</v>
      </c>
      <c r="I1377" t="s">
        <v>3006</v>
      </c>
      <c r="J1377">
        <v>2019</v>
      </c>
      <c r="K1377">
        <v>43698.521897777777</v>
      </c>
      <c r="L1377" t="s">
        <v>1660</v>
      </c>
      <c r="M1377" t="s">
        <v>2777</v>
      </c>
      <c r="N1377" t="s">
        <v>3293</v>
      </c>
      <c r="O1377">
        <v>346651</v>
      </c>
      <c r="P1377">
        <v>43698.111111111109</v>
      </c>
      <c r="Q1377">
        <v>43153.566799537039</v>
      </c>
      <c r="R1377">
        <v>1400</v>
      </c>
    </row>
    <row r="1378" spans="1:18" x14ac:dyDescent="0.25">
      <c r="A1378" t="s">
        <v>4663</v>
      </c>
      <c r="B1378" t="s">
        <v>4664</v>
      </c>
      <c r="C1378" t="s">
        <v>4665</v>
      </c>
      <c r="D1378" t="s">
        <v>4665</v>
      </c>
      <c r="E1378" t="s">
        <v>4666</v>
      </c>
      <c r="F1378" t="s">
        <v>91</v>
      </c>
      <c r="G1378" t="s">
        <v>22</v>
      </c>
      <c r="H1378" t="s">
        <v>53</v>
      </c>
      <c r="I1378" t="s">
        <v>3006</v>
      </c>
      <c r="J1378">
        <v>2019</v>
      </c>
      <c r="K1378">
        <v>43698.521897777777</v>
      </c>
      <c r="L1378" t="s">
        <v>2783</v>
      </c>
      <c r="M1378" t="s">
        <v>2777</v>
      </c>
      <c r="N1378" t="s">
        <v>994</v>
      </c>
      <c r="O1378">
        <v>346893</v>
      </c>
      <c r="P1378">
        <v>43698.521897777777</v>
      </c>
      <c r="Q1378">
        <v>43153.567759837963</v>
      </c>
      <c r="R1378">
        <v>1401</v>
      </c>
    </row>
    <row r="1379" spans="1:18" x14ac:dyDescent="0.25">
      <c r="A1379" t="s">
        <v>4667</v>
      </c>
      <c r="B1379" t="s">
        <v>4668</v>
      </c>
      <c r="C1379" t="s">
        <v>4669</v>
      </c>
      <c r="D1379" t="s">
        <v>4669</v>
      </c>
      <c r="E1379" t="s">
        <v>4670</v>
      </c>
      <c r="F1379" t="s">
        <v>91</v>
      </c>
      <c r="G1379" t="s">
        <v>22</v>
      </c>
      <c r="H1379" t="s">
        <v>53</v>
      </c>
      <c r="I1379" t="s">
        <v>3006</v>
      </c>
      <c r="J1379">
        <v>2019</v>
      </c>
      <c r="K1379">
        <v>43698.521897777777</v>
      </c>
      <c r="L1379" t="s">
        <v>2783</v>
      </c>
      <c r="M1379" t="s">
        <v>2777</v>
      </c>
      <c r="N1379" t="s">
        <v>994</v>
      </c>
      <c r="O1379">
        <v>347103</v>
      </c>
      <c r="P1379">
        <v>43698.521897777777</v>
      </c>
      <c r="Q1379">
        <v>43153.571669907411</v>
      </c>
      <c r="R1379">
        <v>1402</v>
      </c>
    </row>
    <row r="1380" spans="1:18" x14ac:dyDescent="0.25">
      <c r="A1380" t="s">
        <v>4671</v>
      </c>
      <c r="B1380" t="s">
        <v>4672</v>
      </c>
      <c r="C1380" t="s">
        <v>4673</v>
      </c>
      <c r="D1380" t="s">
        <v>4673</v>
      </c>
      <c r="E1380" t="s">
        <v>4674</v>
      </c>
      <c r="F1380" t="s">
        <v>91</v>
      </c>
      <c r="G1380" t="s">
        <v>22</v>
      </c>
      <c r="H1380" t="s">
        <v>53</v>
      </c>
      <c r="I1380" t="s">
        <v>3006</v>
      </c>
      <c r="J1380">
        <v>2019</v>
      </c>
      <c r="K1380">
        <v>43698.521897777777</v>
      </c>
      <c r="L1380" t="s">
        <v>422</v>
      </c>
      <c r="M1380" t="s">
        <v>42</v>
      </c>
      <c r="N1380" t="s">
        <v>415</v>
      </c>
      <c r="O1380">
        <v>346968</v>
      </c>
      <c r="P1380">
        <v>43698.521897777777</v>
      </c>
      <c r="Q1380">
        <v>43153.600066898151</v>
      </c>
      <c r="R1380">
        <v>1403</v>
      </c>
    </row>
    <row r="1381" spans="1:18" x14ac:dyDescent="0.25">
      <c r="A1381" t="s">
        <v>4675</v>
      </c>
      <c r="B1381" t="s">
        <v>4676</v>
      </c>
      <c r="C1381" t="s">
        <v>4677</v>
      </c>
      <c r="D1381" t="s">
        <v>4677</v>
      </c>
      <c r="E1381" t="s">
        <v>4678</v>
      </c>
      <c r="F1381" t="s">
        <v>91</v>
      </c>
      <c r="G1381" t="s">
        <v>22</v>
      </c>
      <c r="H1381" t="s">
        <v>53</v>
      </c>
      <c r="I1381" t="s">
        <v>3006</v>
      </c>
      <c r="J1381">
        <v>2019</v>
      </c>
      <c r="K1381">
        <v>43698.521897777777</v>
      </c>
      <c r="L1381" t="s">
        <v>422</v>
      </c>
      <c r="M1381" t="s">
        <v>42</v>
      </c>
      <c r="N1381" t="s">
        <v>415</v>
      </c>
      <c r="O1381">
        <v>347054</v>
      </c>
      <c r="P1381">
        <v>43698.521897777777</v>
      </c>
      <c r="Q1381">
        <v>43153.601306481483</v>
      </c>
      <c r="R1381">
        <v>1404</v>
      </c>
    </row>
    <row r="1382" spans="1:18" x14ac:dyDescent="0.25">
      <c r="A1382" t="s">
        <v>4679</v>
      </c>
      <c r="B1382" t="s">
        <v>4680</v>
      </c>
      <c r="C1382" t="s">
        <v>4681</v>
      </c>
      <c r="D1382" t="s">
        <v>4681</v>
      </c>
      <c r="E1382" t="s">
        <v>4682</v>
      </c>
      <c r="F1382" t="s">
        <v>91</v>
      </c>
      <c r="G1382" t="s">
        <v>22</v>
      </c>
      <c r="H1382" t="s">
        <v>53</v>
      </c>
      <c r="I1382" t="s">
        <v>3006</v>
      </c>
      <c r="J1382">
        <v>2019</v>
      </c>
      <c r="K1382">
        <v>43698.521897777777</v>
      </c>
      <c r="L1382" t="s">
        <v>422</v>
      </c>
      <c r="M1382" t="s">
        <v>42</v>
      </c>
      <c r="N1382" t="s">
        <v>415</v>
      </c>
      <c r="O1382">
        <v>347001</v>
      </c>
      <c r="P1382">
        <v>43698.521897777777</v>
      </c>
      <c r="Q1382">
        <v>43153.603553321758</v>
      </c>
      <c r="R1382">
        <v>1405</v>
      </c>
    </row>
    <row r="1383" spans="1:18" x14ac:dyDescent="0.25">
      <c r="A1383" t="s">
        <v>4683</v>
      </c>
      <c r="B1383" t="s">
        <v>4684</v>
      </c>
      <c r="C1383" t="s">
        <v>4685</v>
      </c>
      <c r="D1383" t="s">
        <v>4685</v>
      </c>
      <c r="E1383" t="s">
        <v>4686</v>
      </c>
      <c r="F1383" t="s">
        <v>91</v>
      </c>
      <c r="G1383" t="s">
        <v>22</v>
      </c>
      <c r="H1383" t="s">
        <v>53</v>
      </c>
      <c r="I1383" t="s">
        <v>3006</v>
      </c>
      <c r="J1383">
        <v>2019</v>
      </c>
      <c r="K1383">
        <v>43698.521897777777</v>
      </c>
      <c r="L1383" t="s">
        <v>422</v>
      </c>
      <c r="M1383" t="s">
        <v>42</v>
      </c>
      <c r="N1383" t="s">
        <v>415</v>
      </c>
      <c r="O1383">
        <v>346900</v>
      </c>
      <c r="P1383">
        <v>43698.521897777777</v>
      </c>
      <c r="Q1383">
        <v>43153.604635682874</v>
      </c>
      <c r="R1383">
        <v>1406</v>
      </c>
    </row>
    <row r="1384" spans="1:18" x14ac:dyDescent="0.25">
      <c r="A1384" t="s">
        <v>4687</v>
      </c>
      <c r="B1384" t="s">
        <v>4688</v>
      </c>
      <c r="C1384" t="s">
        <v>4689</v>
      </c>
      <c r="D1384" t="s">
        <v>4689</v>
      </c>
      <c r="E1384" t="s">
        <v>4690</v>
      </c>
      <c r="F1384" t="s">
        <v>91</v>
      </c>
      <c r="G1384" t="s">
        <v>22</v>
      </c>
      <c r="H1384" t="s">
        <v>53</v>
      </c>
      <c r="I1384" t="s">
        <v>3006</v>
      </c>
      <c r="J1384">
        <v>2019</v>
      </c>
      <c r="K1384">
        <v>43698.521897777777</v>
      </c>
      <c r="L1384" t="s">
        <v>422</v>
      </c>
      <c r="M1384" t="s">
        <v>42</v>
      </c>
      <c r="N1384" t="s">
        <v>415</v>
      </c>
      <c r="O1384">
        <v>346967</v>
      </c>
      <c r="P1384">
        <v>43698.521897777777</v>
      </c>
      <c r="Q1384">
        <v>43153.607050381943</v>
      </c>
      <c r="R1384">
        <v>1407</v>
      </c>
    </row>
    <row r="1385" spans="1:18" x14ac:dyDescent="0.25">
      <c r="A1385" t="s">
        <v>4691</v>
      </c>
      <c r="B1385" t="s">
        <v>4692</v>
      </c>
      <c r="C1385" t="s">
        <v>4693</v>
      </c>
      <c r="D1385" t="s">
        <v>4693</v>
      </c>
      <c r="E1385" t="s">
        <v>4694</v>
      </c>
      <c r="F1385" t="s">
        <v>91</v>
      </c>
      <c r="G1385" t="s">
        <v>22</v>
      </c>
      <c r="H1385" t="s">
        <v>53</v>
      </c>
      <c r="I1385" t="s">
        <v>3006</v>
      </c>
      <c r="J1385">
        <v>2019</v>
      </c>
      <c r="K1385">
        <v>43698.521897777777</v>
      </c>
      <c r="L1385" t="s">
        <v>522</v>
      </c>
      <c r="M1385" t="s">
        <v>154</v>
      </c>
      <c r="N1385" t="s">
        <v>1305</v>
      </c>
      <c r="O1385">
        <v>346695</v>
      </c>
      <c r="P1385">
        <v>43698.521897777777</v>
      </c>
      <c r="Q1385">
        <v>43153.61170775463</v>
      </c>
      <c r="R1385">
        <v>1408</v>
      </c>
    </row>
    <row r="1386" spans="1:18" x14ac:dyDescent="0.25">
      <c r="A1386" t="s">
        <v>4695</v>
      </c>
      <c r="B1386" t="s">
        <v>4696</v>
      </c>
      <c r="C1386" t="s">
        <v>4697</v>
      </c>
      <c r="D1386" t="s">
        <v>4697</v>
      </c>
      <c r="E1386" t="s">
        <v>4698</v>
      </c>
      <c r="F1386" t="s">
        <v>91</v>
      </c>
      <c r="G1386" t="s">
        <v>22</v>
      </c>
      <c r="H1386" t="s">
        <v>53</v>
      </c>
      <c r="I1386" t="s">
        <v>3006</v>
      </c>
      <c r="J1386">
        <v>2019</v>
      </c>
      <c r="K1386">
        <v>43698.521897777777</v>
      </c>
      <c r="L1386" t="s">
        <v>1809</v>
      </c>
      <c r="M1386" t="s">
        <v>154</v>
      </c>
      <c r="N1386" t="s">
        <v>1305</v>
      </c>
      <c r="O1386">
        <v>347089</v>
      </c>
      <c r="P1386">
        <v>43698.521897777777</v>
      </c>
      <c r="Q1386">
        <v>43153.612897997686</v>
      </c>
      <c r="R1386">
        <v>1409</v>
      </c>
    </row>
    <row r="1387" spans="1:18" x14ac:dyDescent="0.25">
      <c r="A1387" t="s">
        <v>4699</v>
      </c>
      <c r="B1387" t="s">
        <v>4700</v>
      </c>
      <c r="C1387" t="s">
        <v>4701</v>
      </c>
      <c r="D1387" t="s">
        <v>4701</v>
      </c>
      <c r="E1387" t="s">
        <v>4702</v>
      </c>
      <c r="F1387" t="s">
        <v>91</v>
      </c>
      <c r="G1387" t="s">
        <v>22</v>
      </c>
      <c r="H1387" t="s">
        <v>53</v>
      </c>
      <c r="I1387" t="s">
        <v>3006</v>
      </c>
      <c r="J1387">
        <v>2019</v>
      </c>
      <c r="K1387">
        <v>43698.521897777777</v>
      </c>
      <c r="L1387" t="s">
        <v>522</v>
      </c>
      <c r="M1387" t="s">
        <v>154</v>
      </c>
      <c r="N1387" t="s">
        <v>1305</v>
      </c>
      <c r="O1387">
        <v>347121</v>
      </c>
      <c r="P1387">
        <v>43698.521897777777</v>
      </c>
      <c r="Q1387">
        <v>43153.614074652774</v>
      </c>
      <c r="R1387">
        <v>1410</v>
      </c>
    </row>
    <row r="1388" spans="1:18" x14ac:dyDescent="0.25">
      <c r="A1388" t="s">
        <v>4703</v>
      </c>
      <c r="B1388" t="s">
        <v>4704</v>
      </c>
      <c r="C1388" t="s">
        <v>4705</v>
      </c>
      <c r="D1388" t="s">
        <v>4705</v>
      </c>
      <c r="E1388" t="s">
        <v>4706</v>
      </c>
      <c r="F1388" t="s">
        <v>91</v>
      </c>
      <c r="G1388" t="s">
        <v>22</v>
      </c>
      <c r="H1388" t="s">
        <v>53</v>
      </c>
      <c r="I1388" t="s">
        <v>3006</v>
      </c>
      <c r="J1388">
        <v>2019</v>
      </c>
      <c r="K1388">
        <v>43698.521897777777</v>
      </c>
      <c r="L1388" t="s">
        <v>1809</v>
      </c>
      <c r="M1388" t="s">
        <v>154</v>
      </c>
      <c r="N1388" t="s">
        <v>1305</v>
      </c>
      <c r="O1388">
        <v>345658</v>
      </c>
      <c r="P1388">
        <v>43695.895833333336</v>
      </c>
      <c r="Q1388">
        <v>43153.615682256946</v>
      </c>
      <c r="R1388">
        <v>1411</v>
      </c>
    </row>
    <row r="1389" spans="1:18" x14ac:dyDescent="0.25">
      <c r="A1389" t="s">
        <v>4707</v>
      </c>
      <c r="B1389" t="s">
        <v>4708</v>
      </c>
      <c r="C1389" t="s">
        <v>4709</v>
      </c>
      <c r="D1389" t="s">
        <v>4709</v>
      </c>
      <c r="E1389" t="s">
        <v>4710</v>
      </c>
      <c r="F1389" t="s">
        <v>91</v>
      </c>
      <c r="G1389" t="s">
        <v>22</v>
      </c>
      <c r="H1389" t="s">
        <v>53</v>
      </c>
      <c r="I1389" t="s">
        <v>3006</v>
      </c>
      <c r="J1389">
        <v>2019</v>
      </c>
      <c r="K1389">
        <v>43698.521897777777</v>
      </c>
      <c r="L1389" t="s">
        <v>422</v>
      </c>
      <c r="M1389" t="s">
        <v>154</v>
      </c>
      <c r="N1389" t="s">
        <v>1305</v>
      </c>
      <c r="O1389">
        <v>346808</v>
      </c>
      <c r="P1389">
        <v>43698.521897777777</v>
      </c>
      <c r="Q1389">
        <v>43153.617094594905</v>
      </c>
      <c r="R1389">
        <v>1412</v>
      </c>
    </row>
    <row r="1390" spans="1:18" x14ac:dyDescent="0.25">
      <c r="A1390" t="s">
        <v>4711</v>
      </c>
      <c r="B1390" t="s">
        <v>4712</v>
      </c>
      <c r="C1390" t="s">
        <v>4713</v>
      </c>
      <c r="D1390" t="s">
        <v>4713</v>
      </c>
      <c r="E1390" t="s">
        <v>4714</v>
      </c>
      <c r="F1390" t="s">
        <v>91</v>
      </c>
      <c r="G1390" t="s">
        <v>22</v>
      </c>
      <c r="H1390" t="s">
        <v>53</v>
      </c>
      <c r="I1390" t="s">
        <v>3006</v>
      </c>
      <c r="J1390">
        <v>2019</v>
      </c>
      <c r="K1390">
        <v>43698.521897777777</v>
      </c>
      <c r="L1390" t="s">
        <v>1809</v>
      </c>
      <c r="M1390" t="s">
        <v>154</v>
      </c>
      <c r="N1390" t="s">
        <v>1305</v>
      </c>
      <c r="O1390">
        <v>346792</v>
      </c>
      <c r="P1390">
        <v>43698.521897777777</v>
      </c>
      <c r="Q1390">
        <v>43153.618544409721</v>
      </c>
      <c r="R1390">
        <v>1413</v>
      </c>
    </row>
    <row r="1391" spans="1:18" x14ac:dyDescent="0.25">
      <c r="A1391" t="s">
        <v>4715</v>
      </c>
      <c r="B1391" t="s">
        <v>4716</v>
      </c>
      <c r="C1391" t="s">
        <v>4717</v>
      </c>
      <c r="D1391" t="s">
        <v>4717</v>
      </c>
      <c r="E1391" t="s">
        <v>4718</v>
      </c>
      <c r="F1391" t="s">
        <v>91</v>
      </c>
      <c r="G1391" t="s">
        <v>22</v>
      </c>
      <c r="H1391" t="s">
        <v>53</v>
      </c>
      <c r="I1391" t="s">
        <v>3006</v>
      </c>
      <c r="J1391">
        <v>2019</v>
      </c>
      <c r="K1391">
        <v>43698.521897777777</v>
      </c>
      <c r="L1391" t="s">
        <v>522</v>
      </c>
      <c r="M1391" t="s">
        <v>154</v>
      </c>
      <c r="N1391" t="s">
        <v>523</v>
      </c>
      <c r="O1391">
        <v>346564</v>
      </c>
      <c r="P1391">
        <v>43698.521897777777</v>
      </c>
      <c r="Q1391">
        <v>43153.620962650464</v>
      </c>
      <c r="R1391">
        <v>1414</v>
      </c>
    </row>
    <row r="1392" spans="1:18" x14ac:dyDescent="0.25">
      <c r="A1392" t="s">
        <v>4719</v>
      </c>
      <c r="B1392" t="s">
        <v>4720</v>
      </c>
      <c r="C1392" t="s">
        <v>4721</v>
      </c>
      <c r="D1392" t="s">
        <v>4721</v>
      </c>
      <c r="E1392" t="s">
        <v>4722</v>
      </c>
      <c r="F1392" t="s">
        <v>21</v>
      </c>
      <c r="G1392" t="s">
        <v>22</v>
      </c>
      <c r="H1392" t="s">
        <v>53</v>
      </c>
      <c r="I1392" t="s">
        <v>3006</v>
      </c>
      <c r="J1392">
        <v>2019</v>
      </c>
      <c r="K1392">
        <v>43698.521897777777</v>
      </c>
      <c r="L1392" t="s">
        <v>1809</v>
      </c>
      <c r="M1392" t="s">
        <v>154</v>
      </c>
      <c r="N1392" t="s">
        <v>1305</v>
      </c>
      <c r="O1392">
        <v>264503</v>
      </c>
      <c r="P1392">
        <v>43488.291666666664</v>
      </c>
      <c r="Q1392">
        <v>43153.62206415509</v>
      </c>
      <c r="R1392">
        <v>1415</v>
      </c>
    </row>
    <row r="1393" spans="1:18" x14ac:dyDescent="0.25">
      <c r="A1393" t="s">
        <v>4723</v>
      </c>
      <c r="B1393" t="s">
        <v>4724</v>
      </c>
      <c r="C1393" t="s">
        <v>4725</v>
      </c>
      <c r="D1393" t="s">
        <v>4725</v>
      </c>
      <c r="E1393" t="s">
        <v>4725</v>
      </c>
      <c r="F1393" t="s">
        <v>21</v>
      </c>
      <c r="G1393" t="s">
        <v>63</v>
      </c>
      <c r="H1393" t="s">
        <v>53</v>
      </c>
      <c r="I1393" t="s">
        <v>4192</v>
      </c>
      <c r="J1393">
        <v>2007</v>
      </c>
      <c r="K1393">
        <v>43698.521897777777</v>
      </c>
      <c r="L1393" t="s">
        <v>422</v>
      </c>
      <c r="M1393" t="s">
        <v>2777</v>
      </c>
      <c r="N1393" t="s">
        <v>415</v>
      </c>
      <c r="O1393">
        <v>179481</v>
      </c>
      <c r="P1393">
        <v>43220.604166666664</v>
      </c>
      <c r="Q1393">
        <v>43154.534455057874</v>
      </c>
      <c r="R1393">
        <v>1416</v>
      </c>
    </row>
    <row r="1394" spans="1:18" x14ac:dyDescent="0.25">
      <c r="A1394" t="s">
        <v>4726</v>
      </c>
      <c r="B1394" t="s">
        <v>4727</v>
      </c>
      <c r="C1394" t="s">
        <v>4728</v>
      </c>
      <c r="D1394" t="s">
        <v>4728</v>
      </c>
      <c r="E1394" t="s">
        <v>4728</v>
      </c>
      <c r="F1394" t="s">
        <v>21</v>
      </c>
      <c r="G1394" t="s">
        <v>63</v>
      </c>
      <c r="H1394" t="s">
        <v>53</v>
      </c>
      <c r="I1394" t="s">
        <v>471</v>
      </c>
      <c r="J1394">
        <v>2016</v>
      </c>
      <c r="K1394">
        <v>43698.521897777777</v>
      </c>
      <c r="L1394" t="s">
        <v>193</v>
      </c>
      <c r="M1394" t="s">
        <v>42</v>
      </c>
      <c r="N1394" t="s">
        <v>27</v>
      </c>
      <c r="O1394">
        <v>209289</v>
      </c>
      <c r="P1394">
        <v>43328.700138888889</v>
      </c>
      <c r="Q1394">
        <v>43154.676893483796</v>
      </c>
      <c r="R1394">
        <v>1417</v>
      </c>
    </row>
    <row r="1395" spans="1:18" x14ac:dyDescent="0.25">
      <c r="A1395" t="s">
        <v>4729</v>
      </c>
      <c r="B1395" t="s">
        <v>4730</v>
      </c>
      <c r="C1395" t="s">
        <v>4731</v>
      </c>
      <c r="D1395" t="s">
        <v>4731</v>
      </c>
      <c r="E1395" t="s">
        <v>4731</v>
      </c>
      <c r="F1395" t="s">
        <v>21</v>
      </c>
      <c r="G1395" t="s">
        <v>63</v>
      </c>
      <c r="H1395" t="s">
        <v>53</v>
      </c>
      <c r="I1395" t="s">
        <v>3693</v>
      </c>
      <c r="J1395">
        <v>2018</v>
      </c>
      <c r="K1395">
        <v>43698.521897777777</v>
      </c>
      <c r="L1395" t="s">
        <v>193</v>
      </c>
      <c r="M1395" t="s">
        <v>1941</v>
      </c>
      <c r="N1395" t="s">
        <v>415</v>
      </c>
      <c r="O1395">
        <v>190309</v>
      </c>
      <c r="P1395">
        <v>43260.945451388892</v>
      </c>
      <c r="Q1395">
        <v>43160.698265046296</v>
      </c>
      <c r="R1395">
        <v>1418</v>
      </c>
    </row>
    <row r="1396" spans="1:18" x14ac:dyDescent="0.25">
      <c r="A1396" t="s">
        <v>4732</v>
      </c>
      <c r="B1396" t="s">
        <v>4733</v>
      </c>
      <c r="C1396" t="s">
        <v>4734</v>
      </c>
      <c r="D1396" t="s">
        <v>4734</v>
      </c>
      <c r="E1396" t="s">
        <v>4734</v>
      </c>
      <c r="F1396" t="s">
        <v>21</v>
      </c>
      <c r="G1396" t="s">
        <v>63</v>
      </c>
      <c r="H1396" t="s">
        <v>53</v>
      </c>
      <c r="I1396" t="s">
        <v>471</v>
      </c>
      <c r="J1396">
        <v>2010</v>
      </c>
      <c r="K1396">
        <v>43698.521897777777</v>
      </c>
      <c r="L1396" t="s">
        <v>193</v>
      </c>
      <c r="M1396" t="s">
        <v>1941</v>
      </c>
      <c r="N1396" t="s">
        <v>415</v>
      </c>
      <c r="O1396">
        <v>299796</v>
      </c>
      <c r="P1396">
        <v>43584.914120370369</v>
      </c>
      <c r="Q1396">
        <v>43160.698952928244</v>
      </c>
      <c r="R1396">
        <v>1419</v>
      </c>
    </row>
    <row r="1397" spans="1:18" x14ac:dyDescent="0.25">
      <c r="A1397" t="s">
        <v>4735</v>
      </c>
      <c r="B1397" t="s">
        <v>4736</v>
      </c>
      <c r="C1397" t="s">
        <v>4737</v>
      </c>
      <c r="D1397" t="s">
        <v>4737</v>
      </c>
      <c r="E1397" t="s">
        <v>4737</v>
      </c>
      <c r="F1397" t="s">
        <v>21</v>
      </c>
      <c r="G1397" t="s">
        <v>63</v>
      </c>
      <c r="H1397" t="s">
        <v>23</v>
      </c>
      <c r="I1397" t="s">
        <v>41</v>
      </c>
      <c r="J1397">
        <v>2015</v>
      </c>
      <c r="K1397">
        <v>43698.521897777777</v>
      </c>
      <c r="L1397" t="s">
        <v>193</v>
      </c>
      <c r="M1397" t="s">
        <v>1941</v>
      </c>
      <c r="N1397" t="s">
        <v>415</v>
      </c>
      <c r="O1397">
        <v>214910</v>
      </c>
      <c r="P1397">
        <v>43341.986446759256</v>
      </c>
      <c r="Q1397">
        <v>43160.699772604166</v>
      </c>
      <c r="R1397">
        <v>1420</v>
      </c>
    </row>
    <row r="1398" spans="1:18" x14ac:dyDescent="0.25">
      <c r="A1398" t="s">
        <v>4738</v>
      </c>
      <c r="B1398" t="s">
        <v>4739</v>
      </c>
      <c r="C1398" t="s">
        <v>4740</v>
      </c>
      <c r="D1398" t="s">
        <v>4740</v>
      </c>
      <c r="E1398" t="s">
        <v>4740</v>
      </c>
      <c r="F1398" t="s">
        <v>91</v>
      </c>
      <c r="G1398" t="s">
        <v>63</v>
      </c>
      <c r="H1398" t="s">
        <v>53</v>
      </c>
      <c r="I1398" t="s">
        <v>41</v>
      </c>
      <c r="J1398">
        <v>2006</v>
      </c>
      <c r="K1398">
        <v>43698.521897777777</v>
      </c>
      <c r="L1398" t="s">
        <v>578</v>
      </c>
      <c r="M1398" t="s">
        <v>1941</v>
      </c>
      <c r="N1398" t="s">
        <v>415</v>
      </c>
      <c r="O1398">
        <v>346904</v>
      </c>
      <c r="P1398">
        <v>43698.521897777777</v>
      </c>
      <c r="Q1398">
        <v>43160.70042184028</v>
      </c>
      <c r="R1398">
        <v>1421</v>
      </c>
    </row>
    <row r="1399" spans="1:18" x14ac:dyDescent="0.25">
      <c r="A1399" t="s">
        <v>4741</v>
      </c>
      <c r="B1399" t="s">
        <v>4742</v>
      </c>
      <c r="C1399" t="s">
        <v>4743</v>
      </c>
      <c r="D1399" t="s">
        <v>4743</v>
      </c>
      <c r="E1399" t="s">
        <v>4743</v>
      </c>
      <c r="F1399" t="s">
        <v>21</v>
      </c>
      <c r="G1399" t="s">
        <v>63</v>
      </c>
      <c r="H1399" t="s">
        <v>34</v>
      </c>
      <c r="I1399" t="s">
        <v>35</v>
      </c>
      <c r="J1399">
        <v>2019</v>
      </c>
      <c r="K1399">
        <v>43698.521897777777</v>
      </c>
      <c r="L1399" t="s">
        <v>1005</v>
      </c>
      <c r="M1399" t="s">
        <v>1941</v>
      </c>
      <c r="N1399" t="s">
        <v>415</v>
      </c>
      <c r="O1399">
        <v>248986</v>
      </c>
      <c r="P1399">
        <v>43441.9452662037</v>
      </c>
      <c r="Q1399">
        <v>43160.701144363426</v>
      </c>
      <c r="R1399">
        <v>1422</v>
      </c>
    </row>
    <row r="1400" spans="1:18" x14ac:dyDescent="0.25">
      <c r="A1400" t="s">
        <v>4744</v>
      </c>
      <c r="B1400" t="s">
        <v>4745</v>
      </c>
      <c r="C1400" t="s">
        <v>4746</v>
      </c>
      <c r="D1400" t="s">
        <v>4746</v>
      </c>
      <c r="E1400" t="s">
        <v>4746</v>
      </c>
      <c r="F1400" t="s">
        <v>21</v>
      </c>
      <c r="G1400" t="s">
        <v>63</v>
      </c>
      <c r="H1400" t="s">
        <v>34</v>
      </c>
      <c r="I1400" t="s">
        <v>35</v>
      </c>
      <c r="J1400">
        <v>2019</v>
      </c>
      <c r="K1400">
        <v>43698.521897777777</v>
      </c>
      <c r="L1400" t="s">
        <v>1005</v>
      </c>
      <c r="M1400" t="s">
        <v>42</v>
      </c>
      <c r="N1400" t="s">
        <v>27</v>
      </c>
      <c r="O1400">
        <v>191465</v>
      </c>
      <c r="P1400">
        <v>43267.045069444444</v>
      </c>
      <c r="Q1400">
        <v>43160.735242013892</v>
      </c>
      <c r="R1400">
        <v>1424</v>
      </c>
    </row>
    <row r="1401" spans="1:18" x14ac:dyDescent="0.25">
      <c r="A1401" t="s">
        <v>4747</v>
      </c>
      <c r="B1401" t="s">
        <v>2417</v>
      </c>
      <c r="C1401" t="s">
        <v>4748</v>
      </c>
      <c r="D1401" t="s">
        <v>4748</v>
      </c>
      <c r="E1401" t="s">
        <v>4749</v>
      </c>
      <c r="F1401" t="s">
        <v>91</v>
      </c>
      <c r="G1401" t="s">
        <v>22</v>
      </c>
      <c r="H1401" t="s">
        <v>520</v>
      </c>
      <c r="I1401" t="s">
        <v>521</v>
      </c>
      <c r="K1401">
        <v>43698.521897777777</v>
      </c>
      <c r="L1401" t="s">
        <v>422</v>
      </c>
      <c r="M1401" t="s">
        <v>42</v>
      </c>
      <c r="N1401" t="s">
        <v>415</v>
      </c>
      <c r="O1401">
        <v>218453</v>
      </c>
      <c r="P1401">
        <v>43353.25</v>
      </c>
      <c r="Q1401">
        <v>43161.700209259259</v>
      </c>
      <c r="R1401">
        <v>1425</v>
      </c>
    </row>
    <row r="1402" spans="1:18" x14ac:dyDescent="0.25">
      <c r="A1402" t="s">
        <v>4750</v>
      </c>
      <c r="B1402" t="s">
        <v>4751</v>
      </c>
      <c r="C1402" t="s">
        <v>4752</v>
      </c>
      <c r="D1402" t="s">
        <v>4752</v>
      </c>
      <c r="E1402" t="s">
        <v>4753</v>
      </c>
      <c r="F1402" t="s">
        <v>253</v>
      </c>
      <c r="G1402" t="s">
        <v>22</v>
      </c>
      <c r="H1402" t="s">
        <v>520</v>
      </c>
      <c r="I1402" t="s">
        <v>4754</v>
      </c>
      <c r="J1402">
        <v>2017</v>
      </c>
      <c r="K1402">
        <v>43698.521897777777</v>
      </c>
      <c r="L1402" t="s">
        <v>522</v>
      </c>
      <c r="M1402" t="s">
        <v>154</v>
      </c>
      <c r="N1402" t="s">
        <v>523</v>
      </c>
      <c r="Q1402">
        <v>43161.703063969908</v>
      </c>
      <c r="R1402">
        <v>1426</v>
      </c>
    </row>
    <row r="1403" spans="1:18" x14ac:dyDescent="0.25">
      <c r="A1403" t="s">
        <v>4755</v>
      </c>
      <c r="B1403" t="s">
        <v>4756</v>
      </c>
      <c r="C1403" t="s">
        <v>4757</v>
      </c>
      <c r="D1403" t="s">
        <v>4757</v>
      </c>
      <c r="E1403" t="s">
        <v>4758</v>
      </c>
      <c r="F1403" t="s">
        <v>253</v>
      </c>
      <c r="G1403" t="s">
        <v>22</v>
      </c>
      <c r="H1403" t="s">
        <v>520</v>
      </c>
      <c r="I1403" t="s">
        <v>4754</v>
      </c>
      <c r="J1403">
        <v>2017</v>
      </c>
      <c r="K1403">
        <v>43698.521897777777</v>
      </c>
      <c r="L1403" t="s">
        <v>522</v>
      </c>
      <c r="M1403" t="s">
        <v>154</v>
      </c>
      <c r="N1403" t="s">
        <v>523</v>
      </c>
      <c r="Q1403">
        <v>43161.704210914351</v>
      </c>
      <c r="R1403">
        <v>1427</v>
      </c>
    </row>
    <row r="1404" spans="1:18" x14ac:dyDescent="0.25">
      <c r="A1404" t="s">
        <v>4759</v>
      </c>
      <c r="B1404" t="s">
        <v>4760</v>
      </c>
      <c r="C1404" t="s">
        <v>4761</v>
      </c>
      <c r="D1404" t="s">
        <v>4761</v>
      </c>
      <c r="E1404" t="s">
        <v>4761</v>
      </c>
      <c r="F1404" t="s">
        <v>91</v>
      </c>
      <c r="G1404" t="s">
        <v>63</v>
      </c>
      <c r="H1404" t="s">
        <v>53</v>
      </c>
      <c r="I1404" t="s">
        <v>41</v>
      </c>
      <c r="J1404">
        <v>2007</v>
      </c>
      <c r="K1404">
        <v>43698.521897777777</v>
      </c>
      <c r="L1404" t="s">
        <v>578</v>
      </c>
      <c r="M1404" t="s">
        <v>1941</v>
      </c>
      <c r="N1404" t="s">
        <v>415</v>
      </c>
      <c r="O1404">
        <v>346940</v>
      </c>
      <c r="P1404">
        <v>43698.521897777777</v>
      </c>
      <c r="Q1404">
        <v>43168.655843981483</v>
      </c>
      <c r="R1404">
        <v>1428</v>
      </c>
    </row>
    <row r="1405" spans="1:18" x14ac:dyDescent="0.25">
      <c r="A1405" t="s">
        <v>4762</v>
      </c>
      <c r="B1405" t="s">
        <v>4763</v>
      </c>
      <c r="C1405" t="s">
        <v>4764</v>
      </c>
      <c r="D1405" t="s">
        <v>4764</v>
      </c>
      <c r="E1405" t="s">
        <v>4764</v>
      </c>
      <c r="F1405" t="s">
        <v>21</v>
      </c>
      <c r="G1405" t="s">
        <v>63</v>
      </c>
      <c r="H1405" t="s">
        <v>34</v>
      </c>
      <c r="I1405" t="s">
        <v>35</v>
      </c>
      <c r="J1405">
        <v>2013</v>
      </c>
      <c r="K1405">
        <v>43698.521897777777</v>
      </c>
      <c r="L1405" t="s">
        <v>1660</v>
      </c>
      <c r="M1405" t="s">
        <v>37</v>
      </c>
      <c r="N1405" t="s">
        <v>415</v>
      </c>
      <c r="O1405">
        <v>217076</v>
      </c>
      <c r="P1405">
        <v>43359.762152777781</v>
      </c>
      <c r="Q1405">
        <v>43168.65676878472</v>
      </c>
      <c r="R1405">
        <v>1429</v>
      </c>
    </row>
    <row r="1406" spans="1:18" x14ac:dyDescent="0.25">
      <c r="A1406" t="s">
        <v>4765</v>
      </c>
      <c r="B1406" t="s">
        <v>4766</v>
      </c>
      <c r="C1406" t="s">
        <v>4767</v>
      </c>
      <c r="D1406" t="s">
        <v>4767</v>
      </c>
      <c r="E1406" t="s">
        <v>4767</v>
      </c>
      <c r="F1406" t="s">
        <v>21</v>
      </c>
      <c r="G1406" t="s">
        <v>63</v>
      </c>
      <c r="H1406" t="s">
        <v>34</v>
      </c>
      <c r="I1406" t="s">
        <v>35</v>
      </c>
      <c r="J1406">
        <v>2015</v>
      </c>
      <c r="K1406">
        <v>43698.521897777777</v>
      </c>
      <c r="L1406" t="s">
        <v>1660</v>
      </c>
      <c r="M1406" t="s">
        <v>37</v>
      </c>
      <c r="N1406" t="s">
        <v>415</v>
      </c>
      <c r="O1406">
        <v>184610</v>
      </c>
      <c r="P1406">
        <v>43238.770833333336</v>
      </c>
      <c r="Q1406">
        <v>43168.660849456021</v>
      </c>
      <c r="R1406">
        <v>1430</v>
      </c>
    </row>
    <row r="1407" spans="1:18" x14ac:dyDescent="0.25">
      <c r="A1407" t="s">
        <v>4768</v>
      </c>
      <c r="B1407" t="s">
        <v>4769</v>
      </c>
      <c r="C1407" t="s">
        <v>4770</v>
      </c>
      <c r="D1407" t="s">
        <v>4770</v>
      </c>
      <c r="E1407" t="s">
        <v>4770</v>
      </c>
      <c r="F1407" t="s">
        <v>21</v>
      </c>
      <c r="G1407" t="s">
        <v>63</v>
      </c>
      <c r="H1407" t="s">
        <v>34</v>
      </c>
      <c r="I1407" t="s">
        <v>35</v>
      </c>
      <c r="J1407">
        <v>2007</v>
      </c>
      <c r="K1407">
        <v>43698.521897777777</v>
      </c>
      <c r="L1407" t="s">
        <v>578</v>
      </c>
      <c r="M1407" t="s">
        <v>1941</v>
      </c>
      <c r="N1407" t="s">
        <v>415</v>
      </c>
      <c r="O1407">
        <v>236070</v>
      </c>
      <c r="P1407">
        <v>43403.631053240744</v>
      </c>
      <c r="Q1407">
        <v>43168.66633133102</v>
      </c>
      <c r="R1407">
        <v>1431</v>
      </c>
    </row>
    <row r="1408" spans="1:18" x14ac:dyDescent="0.25">
      <c r="A1408" t="s">
        <v>4771</v>
      </c>
      <c r="B1408" t="s">
        <v>4772</v>
      </c>
      <c r="C1408" t="s">
        <v>4773</v>
      </c>
      <c r="D1408" t="s">
        <v>4773</v>
      </c>
      <c r="E1408" t="s">
        <v>4773</v>
      </c>
      <c r="F1408" t="s">
        <v>21</v>
      </c>
      <c r="G1408" t="s">
        <v>63</v>
      </c>
      <c r="H1408" t="s">
        <v>34</v>
      </c>
      <c r="I1408" t="s">
        <v>703</v>
      </c>
      <c r="J1408">
        <v>2013</v>
      </c>
      <c r="K1408">
        <v>43698.521897777777</v>
      </c>
      <c r="L1408" t="s">
        <v>25</v>
      </c>
      <c r="M1408" t="s">
        <v>2777</v>
      </c>
      <c r="N1408" t="s">
        <v>415</v>
      </c>
      <c r="O1408">
        <v>170022</v>
      </c>
      <c r="P1408">
        <v>43182.8125</v>
      </c>
      <c r="Q1408">
        <v>43168.675146493057</v>
      </c>
      <c r="R1408">
        <v>1432</v>
      </c>
    </row>
    <row r="1409" spans="1:18" x14ac:dyDescent="0.25">
      <c r="A1409" t="s">
        <v>4774</v>
      </c>
      <c r="B1409" t="s">
        <v>159</v>
      </c>
      <c r="C1409" t="s">
        <v>4775</v>
      </c>
      <c r="D1409" t="s">
        <v>4775</v>
      </c>
      <c r="E1409" t="s">
        <v>4775</v>
      </c>
      <c r="F1409" t="s">
        <v>21</v>
      </c>
      <c r="G1409" t="s">
        <v>22</v>
      </c>
      <c r="H1409" t="s">
        <v>4776</v>
      </c>
      <c r="I1409" t="s">
        <v>490</v>
      </c>
      <c r="J1409">
        <v>2004</v>
      </c>
      <c r="K1409">
        <v>43698.521897777777</v>
      </c>
      <c r="L1409" t="s">
        <v>1264</v>
      </c>
      <c r="M1409" t="s">
        <v>154</v>
      </c>
      <c r="N1409" t="s">
        <v>1305</v>
      </c>
      <c r="O1409">
        <v>167831</v>
      </c>
      <c r="P1409">
        <v>43173.854166666664</v>
      </c>
      <c r="Q1409">
        <v>43171.005605671293</v>
      </c>
      <c r="R1409">
        <v>1433</v>
      </c>
    </row>
    <row r="1410" spans="1:18" x14ac:dyDescent="0.25">
      <c r="A1410" t="s">
        <v>4777</v>
      </c>
      <c r="B1410" t="s">
        <v>4778</v>
      </c>
      <c r="C1410" t="s">
        <v>4779</v>
      </c>
      <c r="D1410" t="s">
        <v>4779</v>
      </c>
      <c r="E1410" t="s">
        <v>4780</v>
      </c>
      <c r="F1410" t="s">
        <v>91</v>
      </c>
      <c r="G1410" t="s">
        <v>22</v>
      </c>
      <c r="H1410" t="s">
        <v>53</v>
      </c>
      <c r="I1410" t="s">
        <v>3006</v>
      </c>
      <c r="J1410">
        <v>2019</v>
      </c>
      <c r="K1410">
        <v>43698.521897777777</v>
      </c>
      <c r="L1410" t="s">
        <v>466</v>
      </c>
      <c r="M1410" t="s">
        <v>154</v>
      </c>
      <c r="N1410" t="s">
        <v>1305</v>
      </c>
      <c r="O1410">
        <v>343248</v>
      </c>
      <c r="P1410">
        <v>43692.74722222222</v>
      </c>
      <c r="Q1410">
        <v>43171.607871493055</v>
      </c>
      <c r="R1410">
        <v>1434</v>
      </c>
    </row>
    <row r="1411" spans="1:18" x14ac:dyDescent="0.25">
      <c r="A1411" t="s">
        <v>4781</v>
      </c>
      <c r="B1411" t="s">
        <v>4782</v>
      </c>
      <c r="C1411" t="s">
        <v>4783</v>
      </c>
      <c r="D1411" t="s">
        <v>4783</v>
      </c>
      <c r="E1411" t="s">
        <v>4783</v>
      </c>
      <c r="F1411" t="s">
        <v>253</v>
      </c>
      <c r="G1411" t="s">
        <v>63</v>
      </c>
      <c r="H1411" t="s">
        <v>53</v>
      </c>
      <c r="I1411" t="s">
        <v>25</v>
      </c>
      <c r="J1411">
        <v>2015</v>
      </c>
      <c r="K1411">
        <v>43698.521897777777</v>
      </c>
      <c r="L1411" t="s">
        <v>466</v>
      </c>
      <c r="M1411" t="s">
        <v>154</v>
      </c>
      <c r="N1411" t="s">
        <v>1305</v>
      </c>
      <c r="O1411">
        <v>309025</v>
      </c>
      <c r="P1411">
        <v>43610.689583333333</v>
      </c>
      <c r="Q1411">
        <v>43171.626522916667</v>
      </c>
      <c r="R1411">
        <v>1435</v>
      </c>
    </row>
    <row r="1412" spans="1:18" x14ac:dyDescent="0.25">
      <c r="A1412" t="s">
        <v>4784</v>
      </c>
      <c r="B1412" t="s">
        <v>4785</v>
      </c>
      <c r="C1412" t="s">
        <v>4786</v>
      </c>
      <c r="D1412" t="s">
        <v>4786</v>
      </c>
      <c r="E1412" t="s">
        <v>4787</v>
      </c>
      <c r="F1412" t="s">
        <v>91</v>
      </c>
      <c r="G1412" t="s">
        <v>22</v>
      </c>
      <c r="H1412" t="s">
        <v>53</v>
      </c>
      <c r="I1412" t="s">
        <v>3006</v>
      </c>
      <c r="J1412">
        <v>2019</v>
      </c>
      <c r="K1412">
        <v>43698.521897777777</v>
      </c>
      <c r="L1412" t="s">
        <v>193</v>
      </c>
      <c r="M1412" t="s">
        <v>37</v>
      </c>
      <c r="N1412" t="s">
        <v>415</v>
      </c>
      <c r="O1412">
        <v>347004</v>
      </c>
      <c r="P1412">
        <v>43698.521897777777</v>
      </c>
      <c r="Q1412">
        <v>43171.770103506948</v>
      </c>
      <c r="R1412">
        <v>1436</v>
      </c>
    </row>
    <row r="1413" spans="1:18" x14ac:dyDescent="0.25">
      <c r="A1413" t="s">
        <v>4788</v>
      </c>
      <c r="B1413" t="s">
        <v>4789</v>
      </c>
      <c r="C1413" t="s">
        <v>4790</v>
      </c>
      <c r="D1413" t="s">
        <v>4790</v>
      </c>
      <c r="E1413" t="s">
        <v>4791</v>
      </c>
      <c r="F1413" t="s">
        <v>91</v>
      </c>
      <c r="G1413" t="s">
        <v>22</v>
      </c>
      <c r="H1413" t="s">
        <v>53</v>
      </c>
      <c r="I1413" t="s">
        <v>3006</v>
      </c>
      <c r="J1413">
        <v>2019</v>
      </c>
      <c r="K1413">
        <v>43698.521897777777</v>
      </c>
      <c r="L1413" t="s">
        <v>578</v>
      </c>
      <c r="M1413" t="s">
        <v>37</v>
      </c>
      <c r="N1413" t="s">
        <v>415</v>
      </c>
      <c r="O1413">
        <v>346831</v>
      </c>
      <c r="P1413">
        <v>43698.259201388886</v>
      </c>
      <c r="Q1413">
        <v>43171.791525844907</v>
      </c>
      <c r="R1413">
        <v>1437</v>
      </c>
    </row>
    <row r="1414" spans="1:18" x14ac:dyDescent="0.25">
      <c r="A1414" t="s">
        <v>4792</v>
      </c>
      <c r="B1414" t="s">
        <v>4793</v>
      </c>
      <c r="C1414" t="s">
        <v>4794</v>
      </c>
      <c r="D1414" t="s">
        <v>4794</v>
      </c>
      <c r="E1414" t="s">
        <v>4795</v>
      </c>
      <c r="F1414" t="s">
        <v>91</v>
      </c>
      <c r="G1414" t="s">
        <v>22</v>
      </c>
      <c r="H1414" t="s">
        <v>53</v>
      </c>
      <c r="I1414" t="s">
        <v>3006</v>
      </c>
      <c r="J1414">
        <v>2019</v>
      </c>
      <c r="K1414">
        <v>43698.521897777777</v>
      </c>
      <c r="L1414" t="s">
        <v>466</v>
      </c>
      <c r="M1414" t="s">
        <v>154</v>
      </c>
      <c r="N1414" t="s">
        <v>1305</v>
      </c>
      <c r="O1414">
        <v>336975</v>
      </c>
      <c r="P1414">
        <v>43676.489583333336</v>
      </c>
      <c r="Q1414">
        <v>43171.792660416664</v>
      </c>
      <c r="R1414">
        <v>1438</v>
      </c>
    </row>
    <row r="1415" spans="1:18" x14ac:dyDescent="0.25">
      <c r="A1415" t="s">
        <v>4796</v>
      </c>
      <c r="B1415" t="s">
        <v>4797</v>
      </c>
      <c r="C1415" t="s">
        <v>4798</v>
      </c>
      <c r="D1415" t="s">
        <v>4798</v>
      </c>
      <c r="E1415" t="s">
        <v>4799</v>
      </c>
      <c r="F1415" t="s">
        <v>91</v>
      </c>
      <c r="G1415" t="s">
        <v>22</v>
      </c>
      <c r="H1415" t="s">
        <v>53</v>
      </c>
      <c r="I1415" t="s">
        <v>3006</v>
      </c>
      <c r="J1415">
        <v>2019</v>
      </c>
      <c r="K1415">
        <v>43698.521897777777</v>
      </c>
      <c r="L1415" t="s">
        <v>193</v>
      </c>
      <c r="M1415" t="s">
        <v>37</v>
      </c>
      <c r="N1415" t="s">
        <v>415</v>
      </c>
      <c r="O1415">
        <v>343801</v>
      </c>
      <c r="P1415">
        <v>43691.48709490741</v>
      </c>
      <c r="Q1415">
        <v>43171.796239467592</v>
      </c>
      <c r="R1415">
        <v>1439</v>
      </c>
    </row>
    <row r="1416" spans="1:18" x14ac:dyDescent="0.25">
      <c r="A1416" t="s">
        <v>4800</v>
      </c>
      <c r="B1416" t="s">
        <v>4801</v>
      </c>
      <c r="C1416" t="s">
        <v>4802</v>
      </c>
      <c r="D1416" t="s">
        <v>4802</v>
      </c>
      <c r="E1416" t="s">
        <v>4803</v>
      </c>
      <c r="F1416" t="s">
        <v>21</v>
      </c>
      <c r="G1416" t="s">
        <v>22</v>
      </c>
      <c r="H1416" t="s">
        <v>53</v>
      </c>
      <c r="I1416" t="s">
        <v>3006</v>
      </c>
      <c r="J1416">
        <v>2019</v>
      </c>
      <c r="K1416">
        <v>43698.521897777777</v>
      </c>
      <c r="L1416" t="s">
        <v>3142</v>
      </c>
      <c r="M1416" t="s">
        <v>37</v>
      </c>
      <c r="N1416" t="s">
        <v>415</v>
      </c>
      <c r="O1416">
        <v>311976</v>
      </c>
      <c r="P1416">
        <v>43612.788194444445</v>
      </c>
      <c r="Q1416">
        <v>43171.798018946756</v>
      </c>
      <c r="R1416">
        <v>1440</v>
      </c>
    </row>
    <row r="1417" spans="1:18" x14ac:dyDescent="0.25">
      <c r="A1417" t="s">
        <v>4804</v>
      </c>
      <c r="B1417" t="s">
        <v>4805</v>
      </c>
      <c r="C1417" t="s">
        <v>4806</v>
      </c>
      <c r="D1417" t="s">
        <v>4806</v>
      </c>
      <c r="E1417" t="s">
        <v>4807</v>
      </c>
      <c r="F1417" t="s">
        <v>91</v>
      </c>
      <c r="G1417" t="s">
        <v>22</v>
      </c>
      <c r="H1417" t="s">
        <v>53</v>
      </c>
      <c r="I1417" t="s">
        <v>3006</v>
      </c>
      <c r="J1417">
        <v>2019</v>
      </c>
      <c r="K1417">
        <v>43698.521897777777</v>
      </c>
      <c r="L1417" t="s">
        <v>1978</v>
      </c>
      <c r="M1417" t="s">
        <v>154</v>
      </c>
      <c r="N1417" t="s">
        <v>1305</v>
      </c>
      <c r="O1417">
        <v>334298</v>
      </c>
      <c r="P1417">
        <v>43671.487500000003</v>
      </c>
      <c r="Q1417">
        <v>43171.804774884258</v>
      </c>
      <c r="R1417">
        <v>1441</v>
      </c>
    </row>
    <row r="1418" spans="1:18" x14ac:dyDescent="0.25">
      <c r="A1418" t="s">
        <v>4808</v>
      </c>
      <c r="B1418" t="s">
        <v>4809</v>
      </c>
      <c r="C1418" t="s">
        <v>4810</v>
      </c>
      <c r="D1418" t="s">
        <v>4810</v>
      </c>
      <c r="E1418" t="s">
        <v>4811</v>
      </c>
      <c r="F1418" t="s">
        <v>91</v>
      </c>
      <c r="G1418" t="s">
        <v>22</v>
      </c>
      <c r="H1418" t="s">
        <v>53</v>
      </c>
      <c r="I1418" t="s">
        <v>3006</v>
      </c>
      <c r="J1418">
        <v>2019</v>
      </c>
      <c r="K1418">
        <v>43698.521897777777</v>
      </c>
      <c r="L1418" t="s">
        <v>466</v>
      </c>
      <c r="M1418" t="s">
        <v>154</v>
      </c>
      <c r="N1418" t="s">
        <v>1305</v>
      </c>
      <c r="O1418">
        <v>346003</v>
      </c>
      <c r="P1418">
        <v>43698.521897777777</v>
      </c>
      <c r="Q1418">
        <v>43171.806034374997</v>
      </c>
      <c r="R1418">
        <v>1442</v>
      </c>
    </row>
    <row r="1419" spans="1:18" x14ac:dyDescent="0.25">
      <c r="A1419" t="s">
        <v>4812</v>
      </c>
      <c r="B1419" t="s">
        <v>4813</v>
      </c>
      <c r="C1419" t="s">
        <v>4814</v>
      </c>
      <c r="D1419" t="s">
        <v>4814</v>
      </c>
      <c r="E1419" t="s">
        <v>4815</v>
      </c>
      <c r="F1419" t="s">
        <v>91</v>
      </c>
      <c r="G1419" t="s">
        <v>22</v>
      </c>
      <c r="H1419" t="s">
        <v>53</v>
      </c>
      <c r="I1419" t="s">
        <v>3006</v>
      </c>
      <c r="J1419">
        <v>2019</v>
      </c>
      <c r="K1419">
        <v>43698.521897777777</v>
      </c>
      <c r="L1419" t="s">
        <v>193</v>
      </c>
      <c r="M1419" t="s">
        <v>37</v>
      </c>
      <c r="N1419" t="s">
        <v>415</v>
      </c>
      <c r="O1419">
        <v>346545</v>
      </c>
      <c r="P1419">
        <v>43698.188715277778</v>
      </c>
      <c r="Q1419">
        <v>43171.808445219911</v>
      </c>
      <c r="R1419">
        <v>1443</v>
      </c>
    </row>
    <row r="1420" spans="1:18" x14ac:dyDescent="0.25">
      <c r="A1420" t="s">
        <v>4816</v>
      </c>
      <c r="B1420" t="s">
        <v>4817</v>
      </c>
      <c r="C1420" t="s">
        <v>4818</v>
      </c>
      <c r="D1420" t="s">
        <v>4818</v>
      </c>
      <c r="E1420" t="s">
        <v>4819</v>
      </c>
      <c r="F1420" t="s">
        <v>21</v>
      </c>
      <c r="G1420" t="s">
        <v>22</v>
      </c>
      <c r="H1420" t="s">
        <v>53</v>
      </c>
      <c r="I1420" t="s">
        <v>3006</v>
      </c>
      <c r="J1420">
        <v>2019</v>
      </c>
      <c r="K1420">
        <v>43698.521897777777</v>
      </c>
      <c r="L1420" t="s">
        <v>193</v>
      </c>
      <c r="M1420" t="s">
        <v>37</v>
      </c>
      <c r="N1420" t="s">
        <v>415</v>
      </c>
      <c r="O1420">
        <v>343096</v>
      </c>
      <c r="P1420">
        <v>43691.967523148145</v>
      </c>
      <c r="Q1420">
        <v>43171.810146180556</v>
      </c>
      <c r="R1420">
        <v>1444</v>
      </c>
    </row>
    <row r="1421" spans="1:18" x14ac:dyDescent="0.25">
      <c r="A1421" t="s">
        <v>4820</v>
      </c>
      <c r="B1421" t="s">
        <v>4821</v>
      </c>
      <c r="C1421" t="s">
        <v>4822</v>
      </c>
      <c r="D1421" t="s">
        <v>4822</v>
      </c>
      <c r="E1421" t="s">
        <v>4823</v>
      </c>
      <c r="F1421" t="s">
        <v>91</v>
      </c>
      <c r="G1421" t="s">
        <v>22</v>
      </c>
      <c r="H1421" t="s">
        <v>53</v>
      </c>
      <c r="I1421" t="s">
        <v>3006</v>
      </c>
      <c r="J1421">
        <v>2019</v>
      </c>
      <c r="K1421">
        <v>43698.521897777777</v>
      </c>
      <c r="L1421" t="s">
        <v>193</v>
      </c>
      <c r="M1421" t="s">
        <v>37</v>
      </c>
      <c r="N1421" t="s">
        <v>415</v>
      </c>
      <c r="O1421">
        <v>346225</v>
      </c>
      <c r="P1421">
        <v>43698.521897777777</v>
      </c>
      <c r="Q1421">
        <v>43171.811730092595</v>
      </c>
      <c r="R1421">
        <v>1445</v>
      </c>
    </row>
    <row r="1422" spans="1:18" x14ac:dyDescent="0.25">
      <c r="A1422" t="s">
        <v>4824</v>
      </c>
      <c r="B1422" t="s">
        <v>4825</v>
      </c>
      <c r="C1422" t="s">
        <v>4826</v>
      </c>
      <c r="D1422" t="s">
        <v>4826</v>
      </c>
      <c r="E1422" t="s">
        <v>4827</v>
      </c>
      <c r="F1422" t="s">
        <v>91</v>
      </c>
      <c r="G1422" t="s">
        <v>22</v>
      </c>
      <c r="H1422" t="s">
        <v>53</v>
      </c>
      <c r="I1422" t="s">
        <v>3006</v>
      </c>
      <c r="J1422">
        <v>2019</v>
      </c>
      <c r="K1422">
        <v>43698.521897777777</v>
      </c>
      <c r="L1422" t="s">
        <v>578</v>
      </c>
      <c r="M1422" t="s">
        <v>37</v>
      </c>
      <c r="N1422" t="s">
        <v>415</v>
      </c>
      <c r="O1422">
        <v>345295</v>
      </c>
      <c r="P1422">
        <v>43698.378472222219</v>
      </c>
      <c r="Q1422">
        <v>43171.813313043982</v>
      </c>
      <c r="R1422">
        <v>1446</v>
      </c>
    </row>
    <row r="1423" spans="1:18" x14ac:dyDescent="0.25">
      <c r="A1423" t="s">
        <v>4828</v>
      </c>
      <c r="B1423" t="s">
        <v>4829</v>
      </c>
      <c r="C1423" t="s">
        <v>4830</v>
      </c>
      <c r="D1423" t="s">
        <v>4830</v>
      </c>
      <c r="E1423" t="s">
        <v>4831</v>
      </c>
      <c r="F1423" t="s">
        <v>91</v>
      </c>
      <c r="G1423" t="s">
        <v>22</v>
      </c>
      <c r="H1423" t="s">
        <v>53</v>
      </c>
      <c r="I1423" t="s">
        <v>3006</v>
      </c>
      <c r="J1423">
        <v>2019</v>
      </c>
      <c r="K1423">
        <v>43698.521897777777</v>
      </c>
      <c r="L1423" t="s">
        <v>466</v>
      </c>
      <c r="M1423" t="s">
        <v>154</v>
      </c>
      <c r="N1423" t="s">
        <v>1305</v>
      </c>
      <c r="O1423">
        <v>345685</v>
      </c>
      <c r="P1423">
        <v>43698.521897777777</v>
      </c>
      <c r="Q1423">
        <v>43171.816922453705</v>
      </c>
      <c r="R1423">
        <v>1447</v>
      </c>
    </row>
    <row r="1424" spans="1:18" x14ac:dyDescent="0.25">
      <c r="A1424" t="s">
        <v>4832</v>
      </c>
      <c r="B1424" t="s">
        <v>4833</v>
      </c>
      <c r="C1424" t="s">
        <v>4834</v>
      </c>
      <c r="D1424" t="s">
        <v>4834</v>
      </c>
      <c r="E1424" t="s">
        <v>4835</v>
      </c>
      <c r="F1424" t="s">
        <v>91</v>
      </c>
      <c r="G1424" t="s">
        <v>22</v>
      </c>
      <c r="H1424" t="s">
        <v>53</v>
      </c>
      <c r="I1424" t="s">
        <v>3006</v>
      </c>
      <c r="J1424">
        <v>2019</v>
      </c>
      <c r="K1424">
        <v>43698.521897777777</v>
      </c>
      <c r="L1424" t="s">
        <v>1978</v>
      </c>
      <c r="M1424" t="s">
        <v>154</v>
      </c>
      <c r="N1424" t="s">
        <v>523</v>
      </c>
      <c r="O1424">
        <v>342810</v>
      </c>
      <c r="P1424">
        <v>43698.521897777777</v>
      </c>
      <c r="Q1424">
        <v>43171.822134837967</v>
      </c>
      <c r="R1424">
        <v>1448</v>
      </c>
    </row>
    <row r="1425" spans="1:18" x14ac:dyDescent="0.25">
      <c r="A1425" t="s">
        <v>4836</v>
      </c>
      <c r="B1425" t="s">
        <v>4837</v>
      </c>
      <c r="C1425" t="s">
        <v>4838</v>
      </c>
      <c r="D1425" t="s">
        <v>4838</v>
      </c>
      <c r="E1425" t="s">
        <v>4839</v>
      </c>
      <c r="F1425" t="s">
        <v>91</v>
      </c>
      <c r="G1425" t="s">
        <v>22</v>
      </c>
      <c r="H1425" t="s">
        <v>53</v>
      </c>
      <c r="I1425" t="s">
        <v>3006</v>
      </c>
      <c r="J1425">
        <v>2019</v>
      </c>
      <c r="K1425">
        <v>43698.521897777777</v>
      </c>
      <c r="L1425" t="s">
        <v>1916</v>
      </c>
      <c r="M1425" t="s">
        <v>37</v>
      </c>
      <c r="N1425" t="s">
        <v>415</v>
      </c>
      <c r="O1425">
        <v>346600</v>
      </c>
      <c r="P1425">
        <v>43698.521897777777</v>
      </c>
      <c r="Q1425">
        <v>43171.825396377317</v>
      </c>
      <c r="R1425">
        <v>1449</v>
      </c>
    </row>
    <row r="1426" spans="1:18" x14ac:dyDescent="0.25">
      <c r="A1426" t="s">
        <v>4840</v>
      </c>
      <c r="B1426" t="s">
        <v>4841</v>
      </c>
      <c r="C1426" t="s">
        <v>4842</v>
      </c>
      <c r="D1426" t="s">
        <v>4842</v>
      </c>
      <c r="E1426" t="s">
        <v>4843</v>
      </c>
      <c r="F1426" t="s">
        <v>91</v>
      </c>
      <c r="G1426" t="s">
        <v>22</v>
      </c>
      <c r="H1426" t="s">
        <v>53</v>
      </c>
      <c r="I1426" t="s">
        <v>3006</v>
      </c>
      <c r="J1426">
        <v>2019</v>
      </c>
      <c r="K1426">
        <v>43698.521897777777</v>
      </c>
      <c r="L1426" t="s">
        <v>466</v>
      </c>
      <c r="M1426" t="s">
        <v>154</v>
      </c>
      <c r="N1426" t="s">
        <v>1305</v>
      </c>
      <c r="O1426">
        <v>345822</v>
      </c>
      <c r="P1426">
        <v>43698.521897777777</v>
      </c>
      <c r="Q1426">
        <v>43171.826865937503</v>
      </c>
      <c r="R1426">
        <v>1450</v>
      </c>
    </row>
    <row r="1427" spans="1:18" x14ac:dyDescent="0.25">
      <c r="A1427" t="s">
        <v>4844</v>
      </c>
      <c r="B1427" t="s">
        <v>4845</v>
      </c>
      <c r="C1427" t="s">
        <v>4846</v>
      </c>
      <c r="D1427" t="s">
        <v>4846</v>
      </c>
      <c r="E1427" t="s">
        <v>4847</v>
      </c>
      <c r="F1427" t="s">
        <v>91</v>
      </c>
      <c r="G1427" t="s">
        <v>22</v>
      </c>
      <c r="H1427" t="s">
        <v>53</v>
      </c>
      <c r="I1427" t="s">
        <v>3006</v>
      </c>
      <c r="J1427">
        <v>2019</v>
      </c>
      <c r="K1427">
        <v>43698.521897777777</v>
      </c>
      <c r="L1427" t="s">
        <v>466</v>
      </c>
      <c r="M1427" t="s">
        <v>154</v>
      </c>
      <c r="N1427" t="s">
        <v>523</v>
      </c>
      <c r="O1427">
        <v>345736</v>
      </c>
      <c r="P1427">
        <v>43698.521897777777</v>
      </c>
      <c r="Q1427">
        <v>43171.828360266205</v>
      </c>
      <c r="R1427">
        <v>1451</v>
      </c>
    </row>
    <row r="1428" spans="1:18" x14ac:dyDescent="0.25">
      <c r="A1428" t="s">
        <v>4848</v>
      </c>
      <c r="B1428" t="s">
        <v>4849</v>
      </c>
      <c r="C1428" t="s">
        <v>4850</v>
      </c>
      <c r="D1428" t="s">
        <v>4850</v>
      </c>
      <c r="E1428" t="s">
        <v>4851</v>
      </c>
      <c r="F1428" t="s">
        <v>91</v>
      </c>
      <c r="G1428" t="s">
        <v>22</v>
      </c>
      <c r="H1428" t="s">
        <v>53</v>
      </c>
      <c r="I1428" t="s">
        <v>3006</v>
      </c>
      <c r="J1428">
        <v>2019</v>
      </c>
      <c r="K1428">
        <v>43698.521897777777</v>
      </c>
      <c r="L1428" t="s">
        <v>466</v>
      </c>
      <c r="M1428" t="s">
        <v>154</v>
      </c>
      <c r="N1428" t="s">
        <v>1305</v>
      </c>
      <c r="O1428">
        <v>346566</v>
      </c>
      <c r="P1428">
        <v>43698.521897777777</v>
      </c>
      <c r="Q1428">
        <v>43171.82991443287</v>
      </c>
      <c r="R1428">
        <v>1452</v>
      </c>
    </row>
    <row r="1429" spans="1:18" x14ac:dyDescent="0.25">
      <c r="A1429" t="s">
        <v>4852</v>
      </c>
      <c r="B1429" t="s">
        <v>4853</v>
      </c>
      <c r="C1429" t="s">
        <v>4854</v>
      </c>
      <c r="D1429" t="s">
        <v>4854</v>
      </c>
      <c r="E1429" t="s">
        <v>4855</v>
      </c>
      <c r="F1429" t="s">
        <v>91</v>
      </c>
      <c r="G1429" t="s">
        <v>22</v>
      </c>
      <c r="H1429" t="s">
        <v>53</v>
      </c>
      <c r="I1429" t="s">
        <v>3006</v>
      </c>
      <c r="J1429">
        <v>2019</v>
      </c>
      <c r="K1429">
        <v>43698.521897777777</v>
      </c>
      <c r="L1429" t="s">
        <v>466</v>
      </c>
      <c r="M1429" t="s">
        <v>154</v>
      </c>
      <c r="N1429" t="s">
        <v>1305</v>
      </c>
      <c r="O1429">
        <v>346846</v>
      </c>
      <c r="P1429">
        <v>43698.521897777777</v>
      </c>
      <c r="Q1429">
        <v>43171.830907951386</v>
      </c>
      <c r="R1429">
        <v>1453</v>
      </c>
    </row>
    <row r="1430" spans="1:18" x14ac:dyDescent="0.25">
      <c r="A1430" t="s">
        <v>4856</v>
      </c>
      <c r="B1430" t="s">
        <v>4857</v>
      </c>
      <c r="C1430" t="s">
        <v>4858</v>
      </c>
      <c r="D1430" t="s">
        <v>4858</v>
      </c>
      <c r="E1430" t="s">
        <v>4859</v>
      </c>
      <c r="F1430" t="s">
        <v>91</v>
      </c>
      <c r="G1430" t="s">
        <v>22</v>
      </c>
      <c r="H1430" t="s">
        <v>53</v>
      </c>
      <c r="I1430" t="s">
        <v>3006</v>
      </c>
      <c r="J1430">
        <v>2019</v>
      </c>
      <c r="K1430">
        <v>43698.521897777777</v>
      </c>
      <c r="L1430" t="s">
        <v>466</v>
      </c>
      <c r="M1430" t="s">
        <v>154</v>
      </c>
      <c r="N1430" t="s">
        <v>1305</v>
      </c>
      <c r="O1430">
        <v>345870</v>
      </c>
      <c r="P1430">
        <v>43698.521897777777</v>
      </c>
      <c r="Q1430">
        <v>43171.83181585648</v>
      </c>
      <c r="R1430">
        <v>1454</v>
      </c>
    </row>
    <row r="1431" spans="1:18" x14ac:dyDescent="0.25">
      <c r="A1431" t="s">
        <v>4860</v>
      </c>
      <c r="B1431" t="s">
        <v>4861</v>
      </c>
      <c r="C1431" t="s">
        <v>4862</v>
      </c>
      <c r="D1431" t="s">
        <v>4862</v>
      </c>
      <c r="E1431" t="s">
        <v>4863</v>
      </c>
      <c r="F1431" t="s">
        <v>91</v>
      </c>
      <c r="G1431" t="s">
        <v>22</v>
      </c>
      <c r="H1431" t="s">
        <v>53</v>
      </c>
      <c r="I1431" t="s">
        <v>3006</v>
      </c>
      <c r="J1431">
        <v>2019</v>
      </c>
      <c r="K1431">
        <v>43698.521897777777</v>
      </c>
      <c r="L1431" t="s">
        <v>193</v>
      </c>
      <c r="M1431" t="s">
        <v>37</v>
      </c>
      <c r="N1431" t="s">
        <v>415</v>
      </c>
      <c r="O1431">
        <v>346776</v>
      </c>
      <c r="P1431">
        <v>43698.521897777777</v>
      </c>
      <c r="Q1431">
        <v>43171.832718483798</v>
      </c>
      <c r="R1431">
        <v>1455</v>
      </c>
    </row>
    <row r="1432" spans="1:18" x14ac:dyDescent="0.25">
      <c r="A1432" t="s">
        <v>4864</v>
      </c>
      <c r="B1432" t="s">
        <v>4865</v>
      </c>
      <c r="C1432" t="s">
        <v>4866</v>
      </c>
      <c r="D1432" t="s">
        <v>4866</v>
      </c>
      <c r="E1432" t="s">
        <v>4867</v>
      </c>
      <c r="F1432" t="s">
        <v>91</v>
      </c>
      <c r="G1432" t="s">
        <v>22</v>
      </c>
      <c r="H1432" t="s">
        <v>53</v>
      </c>
      <c r="I1432" t="s">
        <v>3006</v>
      </c>
      <c r="J1432">
        <v>2019</v>
      </c>
      <c r="K1432">
        <v>43698.521897777777</v>
      </c>
      <c r="L1432" t="s">
        <v>1978</v>
      </c>
      <c r="M1432" t="s">
        <v>154</v>
      </c>
      <c r="N1432" t="s">
        <v>523</v>
      </c>
      <c r="O1432">
        <v>347106</v>
      </c>
      <c r="P1432">
        <v>43698.521897777777</v>
      </c>
      <c r="Q1432">
        <v>43171.832986574074</v>
      </c>
      <c r="R1432">
        <v>1456</v>
      </c>
    </row>
    <row r="1433" spans="1:18" x14ac:dyDescent="0.25">
      <c r="A1433" t="s">
        <v>4868</v>
      </c>
      <c r="B1433" t="s">
        <v>4869</v>
      </c>
      <c r="C1433" t="s">
        <v>4870</v>
      </c>
      <c r="D1433" t="s">
        <v>4870</v>
      </c>
      <c r="E1433" t="s">
        <v>4871</v>
      </c>
      <c r="F1433" t="s">
        <v>91</v>
      </c>
      <c r="G1433" t="s">
        <v>22</v>
      </c>
      <c r="H1433" t="s">
        <v>53</v>
      </c>
      <c r="I1433" t="s">
        <v>3006</v>
      </c>
      <c r="J1433">
        <v>2019</v>
      </c>
      <c r="K1433">
        <v>43698.521897777777</v>
      </c>
      <c r="L1433" t="s">
        <v>466</v>
      </c>
      <c r="M1433" t="s">
        <v>154</v>
      </c>
      <c r="N1433" t="s">
        <v>1305</v>
      </c>
      <c r="O1433">
        <v>346084</v>
      </c>
      <c r="P1433">
        <v>43698.521897777777</v>
      </c>
      <c r="Q1433">
        <v>43171.833907673608</v>
      </c>
      <c r="R1433">
        <v>1457</v>
      </c>
    </row>
    <row r="1434" spans="1:18" x14ac:dyDescent="0.25">
      <c r="A1434" t="s">
        <v>4872</v>
      </c>
      <c r="B1434" t="s">
        <v>4873</v>
      </c>
      <c r="C1434" t="s">
        <v>4874</v>
      </c>
      <c r="D1434" t="s">
        <v>4874</v>
      </c>
      <c r="E1434" t="s">
        <v>4875</v>
      </c>
      <c r="F1434" t="s">
        <v>21</v>
      </c>
      <c r="G1434" t="s">
        <v>22</v>
      </c>
      <c r="H1434" t="s">
        <v>53</v>
      </c>
      <c r="I1434" t="s">
        <v>3006</v>
      </c>
      <c r="J1434">
        <v>2019</v>
      </c>
      <c r="K1434">
        <v>43698.521897777777</v>
      </c>
      <c r="L1434" t="s">
        <v>466</v>
      </c>
      <c r="M1434" t="s">
        <v>154</v>
      </c>
      <c r="N1434" t="s">
        <v>1305</v>
      </c>
      <c r="O1434">
        <v>327134</v>
      </c>
      <c r="P1434">
        <v>43649.611111111109</v>
      </c>
      <c r="Q1434">
        <v>43171.835142592594</v>
      </c>
      <c r="R1434">
        <v>1458</v>
      </c>
    </row>
    <row r="1435" spans="1:18" x14ac:dyDescent="0.25">
      <c r="A1435" t="s">
        <v>4876</v>
      </c>
      <c r="B1435" t="s">
        <v>4877</v>
      </c>
      <c r="C1435" t="s">
        <v>4878</v>
      </c>
      <c r="D1435" t="s">
        <v>4878</v>
      </c>
      <c r="E1435" t="s">
        <v>4879</v>
      </c>
      <c r="F1435" t="s">
        <v>253</v>
      </c>
      <c r="G1435" t="s">
        <v>22</v>
      </c>
      <c r="H1435" t="s">
        <v>53</v>
      </c>
      <c r="I1435" t="s">
        <v>3006</v>
      </c>
      <c r="J1435">
        <v>2019</v>
      </c>
      <c r="K1435">
        <v>43698.521897777777</v>
      </c>
      <c r="L1435" t="s">
        <v>466</v>
      </c>
      <c r="M1435" t="s">
        <v>154</v>
      </c>
      <c r="N1435" t="s">
        <v>415</v>
      </c>
      <c r="O1435">
        <v>323118</v>
      </c>
      <c r="P1435">
        <v>43646.491319444445</v>
      </c>
      <c r="Q1435">
        <v>43171.836351006947</v>
      </c>
      <c r="R1435">
        <v>1459</v>
      </c>
    </row>
    <row r="1436" spans="1:18" x14ac:dyDescent="0.25">
      <c r="A1436" t="s">
        <v>4880</v>
      </c>
      <c r="B1436" t="s">
        <v>4881</v>
      </c>
      <c r="C1436" t="s">
        <v>4882</v>
      </c>
      <c r="D1436" t="s">
        <v>4882</v>
      </c>
      <c r="E1436" t="s">
        <v>4883</v>
      </c>
      <c r="F1436" t="s">
        <v>91</v>
      </c>
      <c r="G1436" t="s">
        <v>22</v>
      </c>
      <c r="H1436" t="s">
        <v>53</v>
      </c>
      <c r="I1436" t="s">
        <v>3006</v>
      </c>
      <c r="J1436">
        <v>2019</v>
      </c>
      <c r="K1436">
        <v>43698.521897777777</v>
      </c>
      <c r="L1436" t="s">
        <v>466</v>
      </c>
      <c r="M1436" t="s">
        <v>154</v>
      </c>
      <c r="N1436" t="s">
        <v>467</v>
      </c>
      <c r="O1436">
        <v>346685</v>
      </c>
      <c r="P1436">
        <v>43698.521897777777</v>
      </c>
      <c r="Q1436">
        <v>43171.837471956016</v>
      </c>
      <c r="R1436">
        <v>1460</v>
      </c>
    </row>
    <row r="1437" spans="1:18" x14ac:dyDescent="0.25">
      <c r="A1437" t="s">
        <v>4884</v>
      </c>
      <c r="B1437" t="s">
        <v>4885</v>
      </c>
      <c r="C1437" t="s">
        <v>4886</v>
      </c>
      <c r="D1437" t="s">
        <v>4886</v>
      </c>
      <c r="E1437" t="s">
        <v>4887</v>
      </c>
      <c r="F1437" t="s">
        <v>91</v>
      </c>
      <c r="G1437" t="s">
        <v>22</v>
      </c>
      <c r="H1437" t="s">
        <v>53</v>
      </c>
      <c r="I1437" t="s">
        <v>3006</v>
      </c>
      <c r="J1437">
        <v>2019</v>
      </c>
      <c r="K1437">
        <v>43698.521897777777</v>
      </c>
      <c r="L1437" t="s">
        <v>466</v>
      </c>
      <c r="M1437" t="s">
        <v>154</v>
      </c>
      <c r="N1437" t="s">
        <v>1305</v>
      </c>
      <c r="O1437">
        <v>345776</v>
      </c>
      <c r="P1437">
        <v>43698.521897777777</v>
      </c>
      <c r="Q1437">
        <v>43171.838388622687</v>
      </c>
      <c r="R1437">
        <v>1461</v>
      </c>
    </row>
    <row r="1438" spans="1:18" x14ac:dyDescent="0.25">
      <c r="A1438" t="s">
        <v>4888</v>
      </c>
      <c r="B1438" t="s">
        <v>4889</v>
      </c>
      <c r="C1438" t="s">
        <v>4890</v>
      </c>
      <c r="D1438" t="s">
        <v>4890</v>
      </c>
      <c r="E1438" t="s">
        <v>4891</v>
      </c>
      <c r="F1438" t="s">
        <v>21</v>
      </c>
      <c r="G1438" t="s">
        <v>22</v>
      </c>
      <c r="H1438" t="s">
        <v>53</v>
      </c>
      <c r="I1438" t="s">
        <v>3006</v>
      </c>
      <c r="J1438">
        <v>2019</v>
      </c>
      <c r="K1438">
        <v>43698.521897777777</v>
      </c>
      <c r="L1438" t="s">
        <v>466</v>
      </c>
      <c r="M1438" t="s">
        <v>154</v>
      </c>
      <c r="N1438" t="s">
        <v>1305</v>
      </c>
      <c r="Q1438">
        <v>43171.839781331022</v>
      </c>
      <c r="R1438">
        <v>1462</v>
      </c>
    </row>
    <row r="1439" spans="1:18" x14ac:dyDescent="0.25">
      <c r="A1439" t="s">
        <v>4892</v>
      </c>
      <c r="B1439" t="s">
        <v>4893</v>
      </c>
      <c r="C1439" t="s">
        <v>4894</v>
      </c>
      <c r="D1439" t="s">
        <v>4894</v>
      </c>
      <c r="E1439" t="s">
        <v>4895</v>
      </c>
      <c r="F1439" t="s">
        <v>21</v>
      </c>
      <c r="G1439" t="s">
        <v>22</v>
      </c>
      <c r="H1439" t="s">
        <v>53</v>
      </c>
      <c r="I1439" t="s">
        <v>3006</v>
      </c>
      <c r="J1439">
        <v>2019</v>
      </c>
      <c r="K1439">
        <v>43698.521897777777</v>
      </c>
      <c r="L1439" t="s">
        <v>466</v>
      </c>
      <c r="M1439" t="s">
        <v>154</v>
      </c>
      <c r="N1439" t="s">
        <v>1305</v>
      </c>
      <c r="O1439">
        <v>329308</v>
      </c>
      <c r="P1439">
        <v>43655.833333333336</v>
      </c>
      <c r="Q1439">
        <v>43171.840551851848</v>
      </c>
      <c r="R1439">
        <v>1463</v>
      </c>
    </row>
    <row r="1440" spans="1:18" x14ac:dyDescent="0.25">
      <c r="A1440" t="s">
        <v>4896</v>
      </c>
      <c r="B1440" t="s">
        <v>4897</v>
      </c>
      <c r="C1440" t="s">
        <v>4898</v>
      </c>
      <c r="D1440" t="s">
        <v>4898</v>
      </c>
      <c r="E1440" t="s">
        <v>4899</v>
      </c>
      <c r="F1440" t="s">
        <v>21</v>
      </c>
      <c r="G1440" t="s">
        <v>22</v>
      </c>
      <c r="H1440" t="s">
        <v>53</v>
      </c>
      <c r="I1440" t="s">
        <v>3006</v>
      </c>
      <c r="J1440">
        <v>2019</v>
      </c>
      <c r="K1440">
        <v>43698.521897777777</v>
      </c>
      <c r="L1440" t="s">
        <v>193</v>
      </c>
      <c r="M1440" t="s">
        <v>37</v>
      </c>
      <c r="N1440" t="s">
        <v>415</v>
      </c>
      <c r="O1440">
        <v>321565</v>
      </c>
      <c r="P1440">
        <v>43636.977777777778</v>
      </c>
      <c r="Q1440">
        <v>43171.841664120373</v>
      </c>
      <c r="R1440">
        <v>1464</v>
      </c>
    </row>
    <row r="1441" spans="1:18" x14ac:dyDescent="0.25">
      <c r="A1441" t="s">
        <v>4900</v>
      </c>
      <c r="B1441" t="s">
        <v>4901</v>
      </c>
      <c r="C1441" t="s">
        <v>4902</v>
      </c>
      <c r="D1441" t="s">
        <v>4902</v>
      </c>
      <c r="E1441" t="s">
        <v>4903</v>
      </c>
      <c r="F1441" t="s">
        <v>21</v>
      </c>
      <c r="G1441" t="s">
        <v>22</v>
      </c>
      <c r="H1441" t="s">
        <v>53</v>
      </c>
      <c r="I1441" t="s">
        <v>3006</v>
      </c>
      <c r="J1441">
        <v>2019</v>
      </c>
      <c r="K1441">
        <v>43698.521897777777</v>
      </c>
      <c r="L1441" t="s">
        <v>193</v>
      </c>
      <c r="M1441" t="s">
        <v>37</v>
      </c>
      <c r="N1441" t="s">
        <v>415</v>
      </c>
      <c r="O1441">
        <v>306610</v>
      </c>
      <c r="P1441">
        <v>43599.176666666666</v>
      </c>
      <c r="Q1441">
        <v>43171.842412997685</v>
      </c>
      <c r="R1441">
        <v>1465</v>
      </c>
    </row>
    <row r="1442" spans="1:18" x14ac:dyDescent="0.25">
      <c r="A1442" t="s">
        <v>4904</v>
      </c>
      <c r="B1442" t="s">
        <v>4905</v>
      </c>
      <c r="C1442" t="s">
        <v>4906</v>
      </c>
      <c r="D1442" t="s">
        <v>4906</v>
      </c>
      <c r="E1442" t="s">
        <v>4907</v>
      </c>
      <c r="F1442" t="s">
        <v>91</v>
      </c>
      <c r="G1442" t="s">
        <v>22</v>
      </c>
      <c r="H1442" t="s">
        <v>53</v>
      </c>
      <c r="I1442" t="s">
        <v>3006</v>
      </c>
      <c r="J1442">
        <v>2019</v>
      </c>
      <c r="K1442">
        <v>43698.521897777777</v>
      </c>
      <c r="L1442" t="s">
        <v>466</v>
      </c>
      <c r="M1442" t="s">
        <v>154</v>
      </c>
      <c r="N1442" t="s">
        <v>1305</v>
      </c>
      <c r="O1442">
        <v>343891</v>
      </c>
      <c r="P1442">
        <v>43694.126793981479</v>
      </c>
      <c r="Q1442">
        <v>43171.843460416669</v>
      </c>
      <c r="R1442">
        <v>1466</v>
      </c>
    </row>
    <row r="1443" spans="1:18" x14ac:dyDescent="0.25">
      <c r="A1443" t="s">
        <v>4908</v>
      </c>
      <c r="B1443" t="s">
        <v>4909</v>
      </c>
      <c r="C1443" t="s">
        <v>4910</v>
      </c>
      <c r="D1443" t="s">
        <v>4910</v>
      </c>
      <c r="E1443" t="s">
        <v>4911</v>
      </c>
      <c r="F1443" t="s">
        <v>91</v>
      </c>
      <c r="G1443" t="s">
        <v>22</v>
      </c>
      <c r="H1443" t="s">
        <v>53</v>
      </c>
      <c r="I1443" t="s">
        <v>3006</v>
      </c>
      <c r="J1443">
        <v>2019</v>
      </c>
      <c r="K1443">
        <v>43698.521897777777</v>
      </c>
      <c r="L1443" t="s">
        <v>1660</v>
      </c>
      <c r="M1443" t="s">
        <v>37</v>
      </c>
      <c r="N1443" t="s">
        <v>415</v>
      </c>
      <c r="O1443">
        <v>346728</v>
      </c>
      <c r="P1443">
        <v>43698.521897777777</v>
      </c>
      <c r="Q1443">
        <v>43171.844069756946</v>
      </c>
      <c r="R1443">
        <v>1467</v>
      </c>
    </row>
    <row r="1444" spans="1:18" x14ac:dyDescent="0.25">
      <c r="A1444" t="s">
        <v>4912</v>
      </c>
      <c r="B1444" t="s">
        <v>4913</v>
      </c>
      <c r="C1444" t="s">
        <v>4914</v>
      </c>
      <c r="D1444" t="s">
        <v>4914</v>
      </c>
      <c r="E1444" t="s">
        <v>4915</v>
      </c>
      <c r="F1444" t="s">
        <v>91</v>
      </c>
      <c r="G1444" t="s">
        <v>22</v>
      </c>
      <c r="H1444" t="s">
        <v>53</v>
      </c>
      <c r="I1444" t="s">
        <v>3006</v>
      </c>
      <c r="J1444">
        <v>2019</v>
      </c>
      <c r="K1444">
        <v>43698.521897777777</v>
      </c>
      <c r="L1444" t="s">
        <v>578</v>
      </c>
      <c r="M1444" t="s">
        <v>37</v>
      </c>
      <c r="N1444" t="s">
        <v>415</v>
      </c>
      <c r="O1444">
        <v>346906</v>
      </c>
      <c r="P1444">
        <v>43698.521897777777</v>
      </c>
      <c r="Q1444">
        <v>43171.844471990742</v>
      </c>
      <c r="R1444">
        <v>1468</v>
      </c>
    </row>
    <row r="1445" spans="1:18" x14ac:dyDescent="0.25">
      <c r="A1445" t="s">
        <v>4916</v>
      </c>
      <c r="B1445" t="s">
        <v>4917</v>
      </c>
      <c r="C1445" t="s">
        <v>4918</v>
      </c>
      <c r="D1445" t="s">
        <v>4918</v>
      </c>
      <c r="E1445" t="s">
        <v>4919</v>
      </c>
      <c r="F1445" t="s">
        <v>21</v>
      </c>
      <c r="G1445" t="s">
        <v>22</v>
      </c>
      <c r="H1445" t="s">
        <v>53</v>
      </c>
      <c r="I1445" t="s">
        <v>3006</v>
      </c>
      <c r="J1445">
        <v>2019</v>
      </c>
      <c r="K1445">
        <v>43698.521897777777</v>
      </c>
      <c r="L1445" t="s">
        <v>193</v>
      </c>
      <c r="M1445" t="s">
        <v>42</v>
      </c>
      <c r="N1445" t="s">
        <v>415</v>
      </c>
      <c r="O1445">
        <v>310982</v>
      </c>
      <c r="P1445">
        <v>43609.615972222222</v>
      </c>
      <c r="Q1445">
        <v>43171.848439120367</v>
      </c>
      <c r="R1445">
        <v>1469</v>
      </c>
    </row>
    <row r="1446" spans="1:18" x14ac:dyDescent="0.25">
      <c r="A1446" t="s">
        <v>4920</v>
      </c>
      <c r="B1446" t="s">
        <v>4921</v>
      </c>
      <c r="C1446" t="s">
        <v>4922</v>
      </c>
      <c r="D1446" t="s">
        <v>4922</v>
      </c>
      <c r="E1446" t="s">
        <v>4923</v>
      </c>
      <c r="F1446" t="s">
        <v>21</v>
      </c>
      <c r="G1446" t="s">
        <v>22</v>
      </c>
      <c r="H1446" t="s">
        <v>53</v>
      </c>
      <c r="I1446" t="s">
        <v>3006</v>
      </c>
      <c r="J1446">
        <v>2019</v>
      </c>
      <c r="K1446">
        <v>43698.521897777777</v>
      </c>
      <c r="L1446" t="s">
        <v>193</v>
      </c>
      <c r="M1446" t="s">
        <v>42</v>
      </c>
      <c r="N1446" t="s">
        <v>415</v>
      </c>
      <c r="O1446">
        <v>324294</v>
      </c>
      <c r="P1446">
        <v>43642.957638888889</v>
      </c>
      <c r="Q1446">
        <v>43171.84968521991</v>
      </c>
      <c r="R1446">
        <v>1470</v>
      </c>
    </row>
    <row r="1447" spans="1:18" x14ac:dyDescent="0.25">
      <c r="A1447" t="s">
        <v>4924</v>
      </c>
      <c r="B1447" t="s">
        <v>4925</v>
      </c>
      <c r="C1447" t="s">
        <v>4926</v>
      </c>
      <c r="D1447" t="s">
        <v>4926</v>
      </c>
      <c r="E1447" t="s">
        <v>4927</v>
      </c>
      <c r="F1447" t="s">
        <v>21</v>
      </c>
      <c r="G1447" t="s">
        <v>22</v>
      </c>
      <c r="H1447" t="s">
        <v>53</v>
      </c>
      <c r="I1447" t="s">
        <v>3006</v>
      </c>
      <c r="J1447">
        <v>2019</v>
      </c>
      <c r="K1447">
        <v>43698.521897777777</v>
      </c>
      <c r="L1447" t="s">
        <v>193</v>
      </c>
      <c r="M1447" t="s">
        <v>42</v>
      </c>
      <c r="N1447" t="s">
        <v>415</v>
      </c>
      <c r="O1447">
        <v>305835</v>
      </c>
      <c r="P1447">
        <v>43596.946527777778</v>
      </c>
      <c r="Q1447">
        <v>43171.850497025465</v>
      </c>
      <c r="R1447">
        <v>1471</v>
      </c>
    </row>
    <row r="1448" spans="1:18" x14ac:dyDescent="0.25">
      <c r="A1448" t="s">
        <v>4928</v>
      </c>
      <c r="B1448" t="s">
        <v>4929</v>
      </c>
      <c r="C1448" t="s">
        <v>4930</v>
      </c>
      <c r="D1448" t="s">
        <v>4930</v>
      </c>
      <c r="E1448" t="s">
        <v>4931</v>
      </c>
      <c r="F1448" t="s">
        <v>21</v>
      </c>
      <c r="G1448" t="s">
        <v>22</v>
      </c>
      <c r="H1448" t="s">
        <v>53</v>
      </c>
      <c r="I1448" t="s">
        <v>3006</v>
      </c>
      <c r="J1448">
        <v>2019</v>
      </c>
      <c r="K1448">
        <v>43698.521897777777</v>
      </c>
      <c r="L1448" t="s">
        <v>193</v>
      </c>
      <c r="M1448" t="s">
        <v>42</v>
      </c>
      <c r="N1448" t="s">
        <v>415</v>
      </c>
      <c r="O1448">
        <v>322059</v>
      </c>
      <c r="P1448">
        <v>43637.841666666667</v>
      </c>
      <c r="Q1448">
        <v>43171.856811724538</v>
      </c>
      <c r="R1448">
        <v>1472</v>
      </c>
    </row>
    <row r="1449" spans="1:18" x14ac:dyDescent="0.25">
      <c r="A1449" t="s">
        <v>4932</v>
      </c>
      <c r="B1449" t="s">
        <v>4933</v>
      </c>
      <c r="C1449" t="s">
        <v>4934</v>
      </c>
      <c r="D1449" t="s">
        <v>4934</v>
      </c>
      <c r="E1449" t="s">
        <v>4935</v>
      </c>
      <c r="F1449" t="s">
        <v>21</v>
      </c>
      <c r="G1449" t="s">
        <v>22</v>
      </c>
      <c r="H1449" t="s">
        <v>53</v>
      </c>
      <c r="I1449" t="s">
        <v>3006</v>
      </c>
      <c r="J1449">
        <v>2019</v>
      </c>
      <c r="K1449">
        <v>43698.521897777777</v>
      </c>
      <c r="L1449" t="s">
        <v>193</v>
      </c>
      <c r="M1449" t="s">
        <v>42</v>
      </c>
      <c r="N1449" t="s">
        <v>415</v>
      </c>
      <c r="O1449">
        <v>322081</v>
      </c>
      <c r="P1449">
        <v>43637.634664351855</v>
      </c>
      <c r="Q1449">
        <v>43171.85891357639</v>
      </c>
      <c r="R1449">
        <v>1473</v>
      </c>
    </row>
    <row r="1450" spans="1:18" x14ac:dyDescent="0.25">
      <c r="A1450" t="s">
        <v>4936</v>
      </c>
      <c r="B1450" t="s">
        <v>4937</v>
      </c>
      <c r="C1450" t="s">
        <v>4938</v>
      </c>
      <c r="D1450" t="s">
        <v>4938</v>
      </c>
      <c r="E1450" t="s">
        <v>4939</v>
      </c>
      <c r="F1450" t="s">
        <v>91</v>
      </c>
      <c r="G1450" t="s">
        <v>22</v>
      </c>
      <c r="H1450" t="s">
        <v>53</v>
      </c>
      <c r="I1450" t="s">
        <v>3006</v>
      </c>
      <c r="J1450">
        <v>2019</v>
      </c>
      <c r="K1450">
        <v>43698.521897777777</v>
      </c>
      <c r="L1450" t="s">
        <v>193</v>
      </c>
      <c r="M1450" t="s">
        <v>42</v>
      </c>
      <c r="N1450" t="s">
        <v>415</v>
      </c>
      <c r="O1450">
        <v>342571</v>
      </c>
      <c r="P1450">
        <v>43691.036111111112</v>
      </c>
      <c r="Q1450">
        <v>43171.862473182868</v>
      </c>
      <c r="R1450">
        <v>1474</v>
      </c>
    </row>
    <row r="1451" spans="1:18" x14ac:dyDescent="0.25">
      <c r="A1451" t="s">
        <v>4940</v>
      </c>
      <c r="B1451" t="s">
        <v>4941</v>
      </c>
      <c r="C1451" t="s">
        <v>4942</v>
      </c>
      <c r="D1451" t="s">
        <v>4942</v>
      </c>
      <c r="E1451" t="s">
        <v>4943</v>
      </c>
      <c r="F1451" t="s">
        <v>21</v>
      </c>
      <c r="G1451" t="s">
        <v>22</v>
      </c>
      <c r="H1451" t="s">
        <v>53</v>
      </c>
      <c r="I1451" t="s">
        <v>3006</v>
      </c>
      <c r="J1451">
        <v>2019</v>
      </c>
      <c r="K1451">
        <v>43698.521897777777</v>
      </c>
      <c r="L1451" t="s">
        <v>1916</v>
      </c>
      <c r="M1451" t="s">
        <v>37</v>
      </c>
      <c r="N1451" t="s">
        <v>415</v>
      </c>
      <c r="O1451">
        <v>269579</v>
      </c>
      <c r="P1451">
        <v>43503.972222222219</v>
      </c>
      <c r="Q1451">
        <v>43171.871717164351</v>
      </c>
      <c r="R1451">
        <v>1475</v>
      </c>
    </row>
    <row r="1452" spans="1:18" x14ac:dyDescent="0.25">
      <c r="A1452" t="s">
        <v>4944</v>
      </c>
      <c r="B1452" t="s">
        <v>4945</v>
      </c>
      <c r="C1452" t="s">
        <v>4946</v>
      </c>
      <c r="D1452" t="s">
        <v>4946</v>
      </c>
      <c r="E1452" t="s">
        <v>4947</v>
      </c>
      <c r="F1452" t="s">
        <v>21</v>
      </c>
      <c r="G1452" t="s">
        <v>22</v>
      </c>
      <c r="H1452" t="s">
        <v>53</v>
      </c>
      <c r="I1452" t="s">
        <v>3006</v>
      </c>
      <c r="J1452">
        <v>2019</v>
      </c>
      <c r="K1452">
        <v>43698.521897777777</v>
      </c>
      <c r="L1452" t="s">
        <v>193</v>
      </c>
      <c r="M1452" t="s">
        <v>37</v>
      </c>
      <c r="N1452" t="s">
        <v>415</v>
      </c>
      <c r="O1452">
        <v>331927</v>
      </c>
      <c r="P1452">
        <v>43662.895891203705</v>
      </c>
      <c r="Q1452">
        <v>43171.87865366898</v>
      </c>
      <c r="R1452">
        <v>1476</v>
      </c>
    </row>
    <row r="1453" spans="1:18" x14ac:dyDescent="0.25">
      <c r="A1453" t="s">
        <v>4948</v>
      </c>
      <c r="B1453" t="s">
        <v>4949</v>
      </c>
      <c r="C1453" t="s">
        <v>4950</v>
      </c>
      <c r="D1453" t="s">
        <v>4950</v>
      </c>
      <c r="E1453" t="s">
        <v>4951</v>
      </c>
      <c r="F1453" t="s">
        <v>21</v>
      </c>
      <c r="G1453" t="s">
        <v>22</v>
      </c>
      <c r="H1453" t="s">
        <v>53</v>
      </c>
      <c r="I1453" t="s">
        <v>3006</v>
      </c>
      <c r="J1453">
        <v>2019</v>
      </c>
      <c r="K1453">
        <v>43698.521897777777</v>
      </c>
      <c r="L1453" t="s">
        <v>193</v>
      </c>
      <c r="M1453" t="s">
        <v>37</v>
      </c>
      <c r="N1453" t="s">
        <v>415</v>
      </c>
      <c r="O1453">
        <v>343893</v>
      </c>
      <c r="P1453">
        <v>43690.909814814811</v>
      </c>
      <c r="Q1453">
        <v>43171.89327847222</v>
      </c>
      <c r="R1453">
        <v>1477</v>
      </c>
    </row>
    <row r="1454" spans="1:18" x14ac:dyDescent="0.25">
      <c r="A1454" t="s">
        <v>4952</v>
      </c>
      <c r="B1454" t="s">
        <v>4953</v>
      </c>
      <c r="C1454" t="s">
        <v>4954</v>
      </c>
      <c r="D1454" t="s">
        <v>4954</v>
      </c>
      <c r="E1454" t="s">
        <v>4955</v>
      </c>
      <c r="F1454" t="s">
        <v>21</v>
      </c>
      <c r="G1454" t="s">
        <v>22</v>
      </c>
      <c r="H1454" t="s">
        <v>53</v>
      </c>
      <c r="I1454" t="s">
        <v>3006</v>
      </c>
      <c r="J1454">
        <v>2019</v>
      </c>
      <c r="K1454">
        <v>43698.521897777777</v>
      </c>
      <c r="L1454" t="s">
        <v>193</v>
      </c>
      <c r="M1454" t="s">
        <v>37</v>
      </c>
      <c r="N1454" t="s">
        <v>415</v>
      </c>
      <c r="O1454">
        <v>324747</v>
      </c>
      <c r="P1454">
        <v>43644.15320601852</v>
      </c>
      <c r="Q1454">
        <v>43171.894593634257</v>
      </c>
      <c r="R1454">
        <v>1478</v>
      </c>
    </row>
    <row r="1455" spans="1:18" x14ac:dyDescent="0.25">
      <c r="A1455" t="s">
        <v>4956</v>
      </c>
      <c r="B1455" t="s">
        <v>4957</v>
      </c>
      <c r="C1455" t="s">
        <v>4958</v>
      </c>
      <c r="D1455" t="s">
        <v>4958</v>
      </c>
      <c r="E1455" t="s">
        <v>4959</v>
      </c>
      <c r="F1455" t="s">
        <v>21</v>
      </c>
      <c r="G1455" t="s">
        <v>22</v>
      </c>
      <c r="H1455" t="s">
        <v>53</v>
      </c>
      <c r="I1455" t="s">
        <v>3006</v>
      </c>
      <c r="J1455">
        <v>2019</v>
      </c>
      <c r="K1455">
        <v>43698.521897777777</v>
      </c>
      <c r="L1455" t="s">
        <v>193</v>
      </c>
      <c r="M1455" t="s">
        <v>37</v>
      </c>
      <c r="N1455" t="s">
        <v>415</v>
      </c>
      <c r="O1455">
        <v>344199</v>
      </c>
      <c r="P1455">
        <v>43691.78125</v>
      </c>
      <c r="Q1455">
        <v>43171.8956869213</v>
      </c>
      <c r="R1455">
        <v>1479</v>
      </c>
    </row>
    <row r="1456" spans="1:18" x14ac:dyDescent="0.25">
      <c r="A1456" t="s">
        <v>4960</v>
      </c>
      <c r="B1456" t="s">
        <v>4961</v>
      </c>
      <c r="C1456" t="s">
        <v>4962</v>
      </c>
      <c r="D1456" t="s">
        <v>4962</v>
      </c>
      <c r="E1456" t="s">
        <v>4963</v>
      </c>
      <c r="F1456" t="s">
        <v>21</v>
      </c>
      <c r="G1456" t="s">
        <v>22</v>
      </c>
      <c r="H1456" t="s">
        <v>53</v>
      </c>
      <c r="I1456" t="s">
        <v>3006</v>
      </c>
      <c r="J1456">
        <v>2019</v>
      </c>
      <c r="K1456">
        <v>43698.521897777777</v>
      </c>
      <c r="L1456" t="s">
        <v>2713</v>
      </c>
      <c r="M1456" t="s">
        <v>37</v>
      </c>
      <c r="N1456" t="s">
        <v>415</v>
      </c>
      <c r="O1456">
        <v>341360</v>
      </c>
      <c r="P1456">
        <v>43685.588194444441</v>
      </c>
      <c r="Q1456">
        <v>43171.896929710645</v>
      </c>
      <c r="R1456">
        <v>1480</v>
      </c>
    </row>
    <row r="1457" spans="1:18" x14ac:dyDescent="0.25">
      <c r="A1457" t="s">
        <v>4964</v>
      </c>
      <c r="B1457" t="s">
        <v>4965</v>
      </c>
      <c r="C1457" t="s">
        <v>4966</v>
      </c>
      <c r="D1457" t="s">
        <v>4966</v>
      </c>
      <c r="E1457" t="s">
        <v>4967</v>
      </c>
      <c r="F1457" t="s">
        <v>91</v>
      </c>
      <c r="G1457" t="s">
        <v>22</v>
      </c>
      <c r="H1457" t="s">
        <v>53</v>
      </c>
      <c r="I1457" t="s">
        <v>3006</v>
      </c>
      <c r="J1457">
        <v>2019</v>
      </c>
      <c r="K1457">
        <v>43698.521897777777</v>
      </c>
      <c r="L1457" t="s">
        <v>1916</v>
      </c>
      <c r="M1457" t="s">
        <v>37</v>
      </c>
      <c r="N1457" t="s">
        <v>415</v>
      </c>
      <c r="O1457">
        <v>346986</v>
      </c>
      <c r="P1457">
        <v>43698.521897777777</v>
      </c>
      <c r="Q1457">
        <v>43171.897814155091</v>
      </c>
      <c r="R1457">
        <v>1481</v>
      </c>
    </row>
    <row r="1458" spans="1:18" x14ac:dyDescent="0.25">
      <c r="A1458" t="s">
        <v>4968</v>
      </c>
      <c r="B1458" t="s">
        <v>4969</v>
      </c>
      <c r="C1458" t="s">
        <v>4970</v>
      </c>
      <c r="D1458" t="s">
        <v>4970</v>
      </c>
      <c r="E1458" t="s">
        <v>4971</v>
      </c>
      <c r="F1458" t="s">
        <v>91</v>
      </c>
      <c r="G1458" t="s">
        <v>22</v>
      </c>
      <c r="H1458" t="s">
        <v>53</v>
      </c>
      <c r="I1458" t="s">
        <v>3006</v>
      </c>
      <c r="J1458">
        <v>2019</v>
      </c>
      <c r="K1458">
        <v>43698.521897777777</v>
      </c>
      <c r="L1458" t="s">
        <v>1916</v>
      </c>
      <c r="M1458" t="s">
        <v>37</v>
      </c>
      <c r="N1458" t="s">
        <v>415</v>
      </c>
      <c r="O1458">
        <v>346021</v>
      </c>
      <c r="P1458">
        <v>43698.245833333334</v>
      </c>
      <c r="Q1458">
        <v>43171.907333368057</v>
      </c>
      <c r="R1458">
        <v>1482</v>
      </c>
    </row>
    <row r="1459" spans="1:18" x14ac:dyDescent="0.25">
      <c r="A1459" t="s">
        <v>4972</v>
      </c>
      <c r="B1459" t="s">
        <v>4973</v>
      </c>
      <c r="C1459" t="s">
        <v>4974</v>
      </c>
      <c r="D1459" t="s">
        <v>4974</v>
      </c>
      <c r="E1459" t="s">
        <v>4975</v>
      </c>
      <c r="F1459" t="s">
        <v>91</v>
      </c>
      <c r="G1459" t="s">
        <v>22</v>
      </c>
      <c r="H1459" t="s">
        <v>53</v>
      </c>
      <c r="I1459" t="s">
        <v>3006</v>
      </c>
      <c r="J1459">
        <v>2019</v>
      </c>
      <c r="K1459">
        <v>43698.521897777777</v>
      </c>
      <c r="L1459" t="s">
        <v>193</v>
      </c>
      <c r="M1459" t="s">
        <v>37</v>
      </c>
      <c r="N1459" t="s">
        <v>415</v>
      </c>
      <c r="O1459">
        <v>346724</v>
      </c>
      <c r="P1459">
        <v>43698.521897777777</v>
      </c>
      <c r="Q1459">
        <v>43171.908363888891</v>
      </c>
      <c r="R1459">
        <v>1483</v>
      </c>
    </row>
    <row r="1460" spans="1:18" x14ac:dyDescent="0.25">
      <c r="A1460" t="s">
        <v>4976</v>
      </c>
      <c r="B1460" t="s">
        <v>4977</v>
      </c>
      <c r="C1460" t="s">
        <v>4978</v>
      </c>
      <c r="D1460" t="s">
        <v>4978</v>
      </c>
      <c r="E1460" t="s">
        <v>4979</v>
      </c>
      <c r="F1460" t="s">
        <v>91</v>
      </c>
      <c r="G1460" t="s">
        <v>22</v>
      </c>
      <c r="H1460" t="s">
        <v>53</v>
      </c>
      <c r="I1460" t="s">
        <v>3006</v>
      </c>
      <c r="J1460">
        <v>2019</v>
      </c>
      <c r="K1460">
        <v>43698.521897777777</v>
      </c>
      <c r="L1460" t="s">
        <v>193</v>
      </c>
      <c r="M1460" t="s">
        <v>37</v>
      </c>
      <c r="N1460" t="s">
        <v>415</v>
      </c>
      <c r="O1460">
        <v>346518</v>
      </c>
      <c r="P1460">
        <v>43698.521897777777</v>
      </c>
      <c r="Q1460">
        <v>43171.909390972221</v>
      </c>
      <c r="R1460">
        <v>1484</v>
      </c>
    </row>
    <row r="1461" spans="1:18" x14ac:dyDescent="0.25">
      <c r="A1461" t="s">
        <v>4980</v>
      </c>
      <c r="B1461" t="s">
        <v>4981</v>
      </c>
      <c r="C1461" t="s">
        <v>4982</v>
      </c>
      <c r="D1461" t="s">
        <v>4982</v>
      </c>
      <c r="E1461" t="s">
        <v>4983</v>
      </c>
      <c r="F1461" t="s">
        <v>91</v>
      </c>
      <c r="G1461" t="s">
        <v>22</v>
      </c>
      <c r="H1461" t="s">
        <v>53</v>
      </c>
      <c r="I1461" t="s">
        <v>3006</v>
      </c>
      <c r="J1461">
        <v>2019</v>
      </c>
      <c r="K1461">
        <v>43698.521897777777</v>
      </c>
      <c r="L1461" t="s">
        <v>193</v>
      </c>
      <c r="M1461" t="s">
        <v>37</v>
      </c>
      <c r="N1461" t="s">
        <v>415</v>
      </c>
      <c r="O1461">
        <v>347119</v>
      </c>
      <c r="P1461">
        <v>43698.521897777777</v>
      </c>
      <c r="Q1461">
        <v>43171.915349849536</v>
      </c>
      <c r="R1461">
        <v>1485</v>
      </c>
    </row>
    <row r="1462" spans="1:18" x14ac:dyDescent="0.25">
      <c r="A1462" t="s">
        <v>4984</v>
      </c>
      <c r="B1462" t="s">
        <v>4985</v>
      </c>
      <c r="C1462" t="s">
        <v>4986</v>
      </c>
      <c r="D1462" t="s">
        <v>4986</v>
      </c>
      <c r="E1462" t="s">
        <v>4987</v>
      </c>
      <c r="F1462" t="s">
        <v>21</v>
      </c>
      <c r="G1462" t="s">
        <v>22</v>
      </c>
      <c r="H1462" t="s">
        <v>53</v>
      </c>
      <c r="I1462" t="s">
        <v>3006</v>
      </c>
      <c r="J1462">
        <v>2019</v>
      </c>
      <c r="K1462">
        <v>43698.521897777777</v>
      </c>
      <c r="L1462" t="s">
        <v>193</v>
      </c>
      <c r="M1462" t="s">
        <v>37</v>
      </c>
      <c r="N1462" t="s">
        <v>415</v>
      </c>
      <c r="O1462">
        <v>290836</v>
      </c>
      <c r="P1462">
        <v>43559.856689814813</v>
      </c>
      <c r="Q1462">
        <v>43171.92100130787</v>
      </c>
      <c r="R1462">
        <v>1486</v>
      </c>
    </row>
    <row r="1463" spans="1:18" x14ac:dyDescent="0.25">
      <c r="A1463" t="s">
        <v>4988</v>
      </c>
      <c r="B1463" t="s">
        <v>4989</v>
      </c>
      <c r="C1463" t="s">
        <v>4990</v>
      </c>
      <c r="D1463" t="s">
        <v>4990</v>
      </c>
      <c r="E1463" t="s">
        <v>4991</v>
      </c>
      <c r="F1463" t="s">
        <v>91</v>
      </c>
      <c r="G1463" t="s">
        <v>22</v>
      </c>
      <c r="H1463" t="s">
        <v>53</v>
      </c>
      <c r="I1463" t="s">
        <v>3006</v>
      </c>
      <c r="J1463">
        <v>2019</v>
      </c>
      <c r="K1463">
        <v>43698.521897777777</v>
      </c>
      <c r="L1463" t="s">
        <v>1916</v>
      </c>
      <c r="M1463" t="s">
        <v>37</v>
      </c>
      <c r="N1463" t="s">
        <v>415</v>
      </c>
      <c r="O1463">
        <v>347065</v>
      </c>
      <c r="P1463">
        <v>43698.521897777777</v>
      </c>
      <c r="Q1463">
        <v>43171.922341469908</v>
      </c>
      <c r="R1463">
        <v>1487</v>
      </c>
    </row>
    <row r="1464" spans="1:18" x14ac:dyDescent="0.25">
      <c r="A1464" t="s">
        <v>4992</v>
      </c>
      <c r="B1464" t="s">
        <v>4993</v>
      </c>
      <c r="C1464" t="s">
        <v>4994</v>
      </c>
      <c r="D1464" t="s">
        <v>4994</v>
      </c>
      <c r="E1464" t="s">
        <v>4995</v>
      </c>
      <c r="F1464" t="s">
        <v>21</v>
      </c>
      <c r="G1464" t="s">
        <v>22</v>
      </c>
      <c r="H1464" t="s">
        <v>53</v>
      </c>
      <c r="I1464" t="s">
        <v>3006</v>
      </c>
      <c r="J1464">
        <v>2019</v>
      </c>
      <c r="K1464">
        <v>43698.521897777777</v>
      </c>
      <c r="L1464" t="s">
        <v>1916</v>
      </c>
      <c r="M1464" t="s">
        <v>37</v>
      </c>
      <c r="N1464" t="s">
        <v>415</v>
      </c>
      <c r="O1464">
        <v>271900</v>
      </c>
      <c r="P1464">
        <v>43510.822916666664</v>
      </c>
      <c r="Q1464">
        <v>43171.923305439814</v>
      </c>
      <c r="R1464">
        <v>1488</v>
      </c>
    </row>
    <row r="1465" spans="1:18" x14ac:dyDescent="0.25">
      <c r="A1465" t="s">
        <v>4996</v>
      </c>
      <c r="B1465" t="s">
        <v>4997</v>
      </c>
      <c r="C1465" t="s">
        <v>4998</v>
      </c>
      <c r="D1465" t="s">
        <v>4998</v>
      </c>
      <c r="E1465" t="s">
        <v>4999</v>
      </c>
      <c r="F1465" t="s">
        <v>91</v>
      </c>
      <c r="G1465" t="s">
        <v>22</v>
      </c>
      <c r="H1465" t="s">
        <v>53</v>
      </c>
      <c r="I1465" t="s">
        <v>3006</v>
      </c>
      <c r="J1465">
        <v>2019</v>
      </c>
      <c r="K1465">
        <v>43698.521897777777</v>
      </c>
      <c r="L1465" t="s">
        <v>92</v>
      </c>
      <c r="M1465" t="s">
        <v>37</v>
      </c>
      <c r="N1465" t="s">
        <v>415</v>
      </c>
      <c r="O1465">
        <v>345066</v>
      </c>
      <c r="P1465">
        <v>43698.521897777777</v>
      </c>
      <c r="Q1465">
        <v>43171.959734456017</v>
      </c>
      <c r="R1465">
        <v>1489</v>
      </c>
    </row>
    <row r="1466" spans="1:18" x14ac:dyDescent="0.25">
      <c r="A1466" t="s">
        <v>5000</v>
      </c>
      <c r="B1466" t="s">
        <v>5001</v>
      </c>
      <c r="C1466" t="s">
        <v>5002</v>
      </c>
      <c r="D1466" t="s">
        <v>5002</v>
      </c>
      <c r="E1466" t="s">
        <v>5003</v>
      </c>
      <c r="F1466" t="s">
        <v>21</v>
      </c>
      <c r="G1466" t="s">
        <v>22</v>
      </c>
      <c r="H1466" t="s">
        <v>53</v>
      </c>
      <c r="I1466" t="s">
        <v>3006</v>
      </c>
      <c r="J1466">
        <v>2019</v>
      </c>
      <c r="K1466">
        <v>43698.521897777777</v>
      </c>
      <c r="L1466" t="s">
        <v>193</v>
      </c>
      <c r="M1466" t="s">
        <v>37</v>
      </c>
      <c r="N1466" t="s">
        <v>415</v>
      </c>
      <c r="O1466">
        <v>280761</v>
      </c>
      <c r="P1466">
        <v>43536.144444444442</v>
      </c>
      <c r="Q1466">
        <v>43171.961113391204</v>
      </c>
      <c r="R1466">
        <v>1490</v>
      </c>
    </row>
    <row r="1467" spans="1:18" x14ac:dyDescent="0.25">
      <c r="A1467" t="s">
        <v>5004</v>
      </c>
      <c r="B1467" t="s">
        <v>5005</v>
      </c>
      <c r="C1467" t="s">
        <v>5006</v>
      </c>
      <c r="D1467" t="s">
        <v>5006</v>
      </c>
      <c r="E1467" t="s">
        <v>5007</v>
      </c>
      <c r="F1467" t="s">
        <v>21</v>
      </c>
      <c r="G1467" t="s">
        <v>22</v>
      </c>
      <c r="H1467" t="s">
        <v>53</v>
      </c>
      <c r="I1467" t="s">
        <v>3006</v>
      </c>
      <c r="J1467">
        <v>2019</v>
      </c>
      <c r="K1467">
        <v>43698.521897777777</v>
      </c>
      <c r="L1467" t="s">
        <v>193</v>
      </c>
      <c r="M1467" t="s">
        <v>37</v>
      </c>
      <c r="N1467" t="s">
        <v>415</v>
      </c>
      <c r="O1467">
        <v>278052</v>
      </c>
      <c r="P1467">
        <v>43529.196203703701</v>
      </c>
      <c r="Q1467">
        <v>43171.965709374999</v>
      </c>
      <c r="R1467">
        <v>1491</v>
      </c>
    </row>
    <row r="1468" spans="1:18" x14ac:dyDescent="0.25">
      <c r="A1468" t="s">
        <v>5008</v>
      </c>
      <c r="B1468" t="s">
        <v>5009</v>
      </c>
      <c r="C1468" t="s">
        <v>5010</v>
      </c>
      <c r="D1468" t="s">
        <v>5010</v>
      </c>
      <c r="E1468" t="s">
        <v>5011</v>
      </c>
      <c r="F1468" t="s">
        <v>21</v>
      </c>
      <c r="G1468" t="s">
        <v>22</v>
      </c>
      <c r="H1468" t="s">
        <v>53</v>
      </c>
      <c r="I1468" t="s">
        <v>3006</v>
      </c>
      <c r="J1468">
        <v>2019</v>
      </c>
      <c r="K1468">
        <v>43698.521897777777</v>
      </c>
      <c r="L1468" t="s">
        <v>193</v>
      </c>
      <c r="M1468" t="s">
        <v>37</v>
      </c>
      <c r="N1468" t="s">
        <v>415</v>
      </c>
      <c r="O1468">
        <v>280405</v>
      </c>
      <c r="P1468">
        <v>43533.76458333333</v>
      </c>
      <c r="Q1468">
        <v>43171.966824039351</v>
      </c>
      <c r="R1468">
        <v>1492</v>
      </c>
    </row>
    <row r="1469" spans="1:18" x14ac:dyDescent="0.25">
      <c r="A1469" t="s">
        <v>5012</v>
      </c>
      <c r="B1469" t="s">
        <v>5013</v>
      </c>
      <c r="C1469" t="s">
        <v>5014</v>
      </c>
      <c r="D1469" t="s">
        <v>5014</v>
      </c>
      <c r="E1469" t="s">
        <v>5015</v>
      </c>
      <c r="F1469" t="s">
        <v>21</v>
      </c>
      <c r="G1469" t="s">
        <v>22</v>
      </c>
      <c r="H1469" t="s">
        <v>53</v>
      </c>
      <c r="I1469" t="s">
        <v>3006</v>
      </c>
      <c r="J1469">
        <v>2019</v>
      </c>
      <c r="K1469">
        <v>43698.521897777777</v>
      </c>
      <c r="L1469" t="s">
        <v>193</v>
      </c>
      <c r="M1469" t="s">
        <v>37</v>
      </c>
      <c r="N1469" t="s">
        <v>415</v>
      </c>
      <c r="O1469">
        <v>280861</v>
      </c>
      <c r="P1469">
        <v>43535.939583333333</v>
      </c>
      <c r="Q1469">
        <v>43172.424879942133</v>
      </c>
      <c r="R1469">
        <v>1493</v>
      </c>
    </row>
    <row r="1470" spans="1:18" x14ac:dyDescent="0.25">
      <c r="A1470" t="s">
        <v>5016</v>
      </c>
      <c r="B1470" t="s">
        <v>5017</v>
      </c>
      <c r="C1470" t="s">
        <v>5018</v>
      </c>
      <c r="D1470" t="s">
        <v>5018</v>
      </c>
      <c r="E1470" t="s">
        <v>5019</v>
      </c>
      <c r="F1470" t="s">
        <v>21</v>
      </c>
      <c r="G1470" t="s">
        <v>22</v>
      </c>
      <c r="H1470" t="s">
        <v>53</v>
      </c>
      <c r="I1470" t="s">
        <v>3006</v>
      </c>
      <c r="J1470">
        <v>2019</v>
      </c>
      <c r="K1470">
        <v>43698.521897777777</v>
      </c>
      <c r="L1470" t="s">
        <v>193</v>
      </c>
      <c r="M1470" t="s">
        <v>37</v>
      </c>
      <c r="N1470" t="s">
        <v>415</v>
      </c>
      <c r="O1470">
        <v>269534</v>
      </c>
      <c r="P1470">
        <v>43502.657638888886</v>
      </c>
      <c r="Q1470">
        <v>43172.425806053237</v>
      </c>
      <c r="R1470">
        <v>1494</v>
      </c>
    </row>
    <row r="1471" spans="1:18" x14ac:dyDescent="0.25">
      <c r="A1471" t="s">
        <v>5020</v>
      </c>
      <c r="B1471" t="s">
        <v>5021</v>
      </c>
      <c r="C1471" t="s">
        <v>5022</v>
      </c>
      <c r="D1471" t="s">
        <v>5022</v>
      </c>
      <c r="E1471" t="s">
        <v>5023</v>
      </c>
      <c r="F1471" t="s">
        <v>21</v>
      </c>
      <c r="G1471" t="s">
        <v>22</v>
      </c>
      <c r="H1471" t="s">
        <v>53</v>
      </c>
      <c r="I1471" t="s">
        <v>3006</v>
      </c>
      <c r="J1471">
        <v>2019</v>
      </c>
      <c r="K1471">
        <v>43698.521897777777</v>
      </c>
      <c r="L1471" t="s">
        <v>1005</v>
      </c>
      <c r="M1471" t="s">
        <v>37</v>
      </c>
      <c r="N1471" t="s">
        <v>415</v>
      </c>
      <c r="O1471">
        <v>287934</v>
      </c>
      <c r="P1471">
        <v>43552.863888888889</v>
      </c>
      <c r="Q1471">
        <v>43172.427189201386</v>
      </c>
      <c r="R1471">
        <v>1495</v>
      </c>
    </row>
    <row r="1472" spans="1:18" x14ac:dyDescent="0.25">
      <c r="A1472" t="s">
        <v>5024</v>
      </c>
      <c r="B1472" t="s">
        <v>5025</v>
      </c>
      <c r="C1472" t="s">
        <v>5026</v>
      </c>
      <c r="D1472" t="s">
        <v>5026</v>
      </c>
      <c r="E1472" t="s">
        <v>5027</v>
      </c>
      <c r="F1472" t="s">
        <v>21</v>
      </c>
      <c r="G1472" t="s">
        <v>22</v>
      </c>
      <c r="H1472" t="s">
        <v>53</v>
      </c>
      <c r="I1472" t="s">
        <v>3006</v>
      </c>
      <c r="J1472">
        <v>2019</v>
      </c>
      <c r="K1472">
        <v>43698.521897777777</v>
      </c>
      <c r="L1472" t="s">
        <v>193</v>
      </c>
      <c r="M1472" t="s">
        <v>37</v>
      </c>
      <c r="N1472" t="s">
        <v>415</v>
      </c>
      <c r="O1472">
        <v>277664</v>
      </c>
      <c r="P1472">
        <v>43526.063831018517</v>
      </c>
      <c r="Q1472">
        <v>43172.431956250002</v>
      </c>
      <c r="R1472">
        <v>1496</v>
      </c>
    </row>
    <row r="1473" spans="1:18" x14ac:dyDescent="0.25">
      <c r="A1473" t="s">
        <v>5028</v>
      </c>
      <c r="B1473" t="s">
        <v>5029</v>
      </c>
      <c r="C1473" t="s">
        <v>5030</v>
      </c>
      <c r="D1473" t="s">
        <v>5030</v>
      </c>
      <c r="E1473" t="s">
        <v>5031</v>
      </c>
      <c r="F1473" t="s">
        <v>21</v>
      </c>
      <c r="G1473" t="s">
        <v>22</v>
      </c>
      <c r="H1473" t="s">
        <v>53</v>
      </c>
      <c r="I1473" t="s">
        <v>3006</v>
      </c>
      <c r="J1473">
        <v>2019</v>
      </c>
      <c r="K1473">
        <v>43698.521897777777</v>
      </c>
      <c r="L1473" t="s">
        <v>1005</v>
      </c>
      <c r="M1473" t="s">
        <v>37</v>
      </c>
      <c r="N1473" t="s">
        <v>415</v>
      </c>
      <c r="O1473">
        <v>269947</v>
      </c>
      <c r="P1473">
        <v>43505.158333333333</v>
      </c>
      <c r="Q1473">
        <v>43172.438049386576</v>
      </c>
      <c r="R1473">
        <v>1497</v>
      </c>
    </row>
    <row r="1474" spans="1:18" x14ac:dyDescent="0.25">
      <c r="A1474" t="s">
        <v>5032</v>
      </c>
      <c r="B1474" t="s">
        <v>5033</v>
      </c>
      <c r="C1474" t="s">
        <v>5034</v>
      </c>
      <c r="D1474" t="s">
        <v>5034</v>
      </c>
      <c r="E1474" t="s">
        <v>5035</v>
      </c>
      <c r="F1474" t="s">
        <v>21</v>
      </c>
      <c r="G1474" t="s">
        <v>22</v>
      </c>
      <c r="H1474" t="s">
        <v>53</v>
      </c>
      <c r="I1474" t="s">
        <v>3006</v>
      </c>
      <c r="J1474">
        <v>2019</v>
      </c>
      <c r="K1474">
        <v>43698.521897777777</v>
      </c>
      <c r="L1474" t="s">
        <v>1005</v>
      </c>
      <c r="M1474" t="s">
        <v>37</v>
      </c>
      <c r="N1474" t="s">
        <v>415</v>
      </c>
      <c r="O1474">
        <v>280738</v>
      </c>
      <c r="P1474">
        <v>43536.223611111112</v>
      </c>
      <c r="Q1474">
        <v>43172.439357025462</v>
      </c>
      <c r="R1474">
        <v>1498</v>
      </c>
    </row>
    <row r="1475" spans="1:18" x14ac:dyDescent="0.25">
      <c r="A1475" t="s">
        <v>5036</v>
      </c>
      <c r="B1475" t="s">
        <v>5037</v>
      </c>
      <c r="C1475" t="s">
        <v>5038</v>
      </c>
      <c r="D1475" t="s">
        <v>5038</v>
      </c>
      <c r="E1475" t="s">
        <v>5039</v>
      </c>
      <c r="F1475" t="s">
        <v>21</v>
      </c>
      <c r="G1475" t="s">
        <v>22</v>
      </c>
      <c r="H1475" t="s">
        <v>53</v>
      </c>
      <c r="I1475" t="s">
        <v>3006</v>
      </c>
      <c r="J1475">
        <v>2019</v>
      </c>
      <c r="K1475">
        <v>43698.521897777777</v>
      </c>
      <c r="L1475" t="s">
        <v>1916</v>
      </c>
      <c r="M1475" t="s">
        <v>37</v>
      </c>
      <c r="N1475" t="s">
        <v>415</v>
      </c>
      <c r="O1475">
        <v>272351</v>
      </c>
      <c r="P1475">
        <v>43516.988888888889</v>
      </c>
      <c r="Q1475">
        <v>43172.440245057871</v>
      </c>
      <c r="R1475">
        <v>1499</v>
      </c>
    </row>
    <row r="1476" spans="1:18" x14ac:dyDescent="0.25">
      <c r="A1476" t="s">
        <v>5040</v>
      </c>
      <c r="B1476" t="s">
        <v>5041</v>
      </c>
      <c r="C1476" t="s">
        <v>5042</v>
      </c>
      <c r="D1476" t="s">
        <v>5042</v>
      </c>
      <c r="E1476" t="s">
        <v>5043</v>
      </c>
      <c r="F1476" t="s">
        <v>21</v>
      </c>
      <c r="G1476" t="s">
        <v>22</v>
      </c>
      <c r="H1476" t="s">
        <v>53</v>
      </c>
      <c r="I1476" t="s">
        <v>3006</v>
      </c>
      <c r="J1476">
        <v>2019</v>
      </c>
      <c r="K1476">
        <v>43698.521897777777</v>
      </c>
      <c r="L1476" t="s">
        <v>193</v>
      </c>
      <c r="M1476" t="s">
        <v>37</v>
      </c>
      <c r="N1476" t="s">
        <v>415</v>
      </c>
      <c r="O1476">
        <v>290548</v>
      </c>
      <c r="P1476">
        <v>43559.788888888892</v>
      </c>
      <c r="Q1476">
        <v>43172.441243900466</v>
      </c>
      <c r="R1476">
        <v>1500</v>
      </c>
    </row>
    <row r="1477" spans="1:18" x14ac:dyDescent="0.25">
      <c r="A1477" t="s">
        <v>5044</v>
      </c>
      <c r="B1477" t="s">
        <v>5045</v>
      </c>
      <c r="C1477" t="s">
        <v>5046</v>
      </c>
      <c r="D1477" t="s">
        <v>5046</v>
      </c>
      <c r="E1477" t="s">
        <v>5047</v>
      </c>
      <c r="F1477" t="s">
        <v>21</v>
      </c>
      <c r="G1477" t="s">
        <v>22</v>
      </c>
      <c r="H1477" t="s">
        <v>53</v>
      </c>
      <c r="I1477" t="s">
        <v>3006</v>
      </c>
      <c r="J1477">
        <v>2019</v>
      </c>
      <c r="K1477">
        <v>43698.521897777777</v>
      </c>
      <c r="L1477" t="s">
        <v>1005</v>
      </c>
      <c r="M1477" t="s">
        <v>37</v>
      </c>
      <c r="N1477" t="s">
        <v>415</v>
      </c>
      <c r="O1477">
        <v>289246</v>
      </c>
      <c r="P1477">
        <v>43559.572222222225</v>
      </c>
      <c r="Q1477">
        <v>43172.441863460648</v>
      </c>
      <c r="R1477">
        <v>1501</v>
      </c>
    </row>
    <row r="1478" spans="1:18" x14ac:dyDescent="0.25">
      <c r="A1478" t="s">
        <v>5048</v>
      </c>
      <c r="B1478" t="s">
        <v>5049</v>
      </c>
      <c r="C1478" t="s">
        <v>5050</v>
      </c>
      <c r="D1478" t="s">
        <v>5050</v>
      </c>
      <c r="E1478" t="s">
        <v>5051</v>
      </c>
      <c r="F1478" t="s">
        <v>21</v>
      </c>
      <c r="G1478" t="s">
        <v>22</v>
      </c>
      <c r="H1478" t="s">
        <v>53</v>
      </c>
      <c r="I1478" t="s">
        <v>3006</v>
      </c>
      <c r="J1478">
        <v>2019</v>
      </c>
      <c r="K1478">
        <v>43698.521897777777</v>
      </c>
      <c r="L1478" t="s">
        <v>1005</v>
      </c>
      <c r="M1478" t="s">
        <v>37</v>
      </c>
      <c r="N1478" t="s">
        <v>415</v>
      </c>
      <c r="O1478">
        <v>291522</v>
      </c>
      <c r="P1478">
        <v>43561.192361111112</v>
      </c>
      <c r="Q1478">
        <v>43172.44246165509</v>
      </c>
      <c r="R1478">
        <v>1502</v>
      </c>
    </row>
    <row r="1479" spans="1:18" x14ac:dyDescent="0.25">
      <c r="A1479" t="s">
        <v>5052</v>
      </c>
      <c r="B1479" t="s">
        <v>5053</v>
      </c>
      <c r="C1479" t="s">
        <v>5054</v>
      </c>
      <c r="D1479" t="s">
        <v>5054</v>
      </c>
      <c r="E1479" t="s">
        <v>5055</v>
      </c>
      <c r="F1479" t="s">
        <v>21</v>
      </c>
      <c r="G1479" t="s">
        <v>22</v>
      </c>
      <c r="H1479" t="s">
        <v>53</v>
      </c>
      <c r="I1479" t="s">
        <v>3006</v>
      </c>
      <c r="J1479">
        <v>2019</v>
      </c>
      <c r="K1479">
        <v>43698.521897777777</v>
      </c>
      <c r="L1479" t="s">
        <v>1005</v>
      </c>
      <c r="M1479" t="s">
        <v>37</v>
      </c>
      <c r="N1479" t="s">
        <v>415</v>
      </c>
      <c r="O1479">
        <v>276262</v>
      </c>
      <c r="P1479">
        <v>43525.271527777775</v>
      </c>
      <c r="Q1479">
        <v>43172.443109340275</v>
      </c>
      <c r="R1479">
        <v>1503</v>
      </c>
    </row>
    <row r="1480" spans="1:18" x14ac:dyDescent="0.25">
      <c r="A1480" t="s">
        <v>5056</v>
      </c>
      <c r="B1480" t="s">
        <v>5057</v>
      </c>
      <c r="C1480" t="s">
        <v>5058</v>
      </c>
      <c r="D1480" t="s">
        <v>5058</v>
      </c>
      <c r="E1480" t="s">
        <v>5059</v>
      </c>
      <c r="F1480" t="s">
        <v>21</v>
      </c>
      <c r="G1480" t="s">
        <v>22</v>
      </c>
      <c r="H1480" t="s">
        <v>53</v>
      </c>
      <c r="I1480" t="s">
        <v>3006</v>
      </c>
      <c r="J1480">
        <v>2019</v>
      </c>
      <c r="K1480">
        <v>43698.521897777777</v>
      </c>
      <c r="L1480" t="s">
        <v>193</v>
      </c>
      <c r="M1480" t="s">
        <v>37</v>
      </c>
      <c r="N1480" t="s">
        <v>415</v>
      </c>
      <c r="O1480">
        <v>290893</v>
      </c>
      <c r="P1480">
        <v>43561.402777777781</v>
      </c>
      <c r="Q1480">
        <v>43172.443769988429</v>
      </c>
      <c r="R1480">
        <v>1504</v>
      </c>
    </row>
    <row r="1481" spans="1:18" x14ac:dyDescent="0.25">
      <c r="A1481" t="s">
        <v>5060</v>
      </c>
      <c r="B1481" t="s">
        <v>5061</v>
      </c>
      <c r="C1481" t="s">
        <v>5062</v>
      </c>
      <c r="D1481" t="s">
        <v>5062</v>
      </c>
      <c r="E1481" t="s">
        <v>5063</v>
      </c>
      <c r="F1481" t="s">
        <v>21</v>
      </c>
      <c r="G1481" t="s">
        <v>22</v>
      </c>
      <c r="H1481" t="s">
        <v>53</v>
      </c>
      <c r="I1481" t="s">
        <v>3006</v>
      </c>
      <c r="J1481">
        <v>2019</v>
      </c>
      <c r="K1481">
        <v>43698.521897777777</v>
      </c>
      <c r="L1481" t="s">
        <v>193</v>
      </c>
      <c r="M1481" t="s">
        <v>37</v>
      </c>
      <c r="N1481" t="s">
        <v>415</v>
      </c>
      <c r="O1481">
        <v>277475</v>
      </c>
      <c r="P1481">
        <v>43527.155555555553</v>
      </c>
      <c r="Q1481">
        <v>43172.44430466435</v>
      </c>
      <c r="R1481">
        <v>1505</v>
      </c>
    </row>
    <row r="1482" spans="1:18" x14ac:dyDescent="0.25">
      <c r="A1482" t="s">
        <v>5064</v>
      </c>
      <c r="B1482" t="s">
        <v>5065</v>
      </c>
      <c r="C1482" t="s">
        <v>5066</v>
      </c>
      <c r="D1482" t="s">
        <v>5066</v>
      </c>
      <c r="E1482" t="s">
        <v>5067</v>
      </c>
      <c r="F1482" t="s">
        <v>21</v>
      </c>
      <c r="G1482" t="s">
        <v>22</v>
      </c>
      <c r="H1482" t="s">
        <v>53</v>
      </c>
      <c r="I1482" t="s">
        <v>3006</v>
      </c>
      <c r="J1482">
        <v>2019</v>
      </c>
      <c r="K1482">
        <v>43698.521897777777</v>
      </c>
      <c r="L1482" t="s">
        <v>193</v>
      </c>
      <c r="M1482" t="s">
        <v>37</v>
      </c>
      <c r="N1482" t="s">
        <v>415</v>
      </c>
      <c r="O1482">
        <v>294288</v>
      </c>
      <c r="P1482">
        <v>43567.679768518516</v>
      </c>
      <c r="Q1482">
        <v>43172.44490790509</v>
      </c>
      <c r="R1482">
        <v>1506</v>
      </c>
    </row>
    <row r="1483" spans="1:18" x14ac:dyDescent="0.25">
      <c r="A1483" t="s">
        <v>5068</v>
      </c>
      <c r="B1483" t="s">
        <v>5069</v>
      </c>
      <c r="C1483" t="s">
        <v>5070</v>
      </c>
      <c r="D1483" t="s">
        <v>5070</v>
      </c>
      <c r="E1483" t="s">
        <v>5071</v>
      </c>
      <c r="F1483" t="s">
        <v>21</v>
      </c>
      <c r="G1483" t="s">
        <v>22</v>
      </c>
      <c r="H1483" t="s">
        <v>53</v>
      </c>
      <c r="I1483" t="s">
        <v>3006</v>
      </c>
      <c r="J1483">
        <v>2019</v>
      </c>
      <c r="K1483">
        <v>43698.521897777777</v>
      </c>
      <c r="L1483" t="s">
        <v>193</v>
      </c>
      <c r="M1483" t="s">
        <v>37</v>
      </c>
      <c r="N1483" t="s">
        <v>415</v>
      </c>
      <c r="O1483">
        <v>268060</v>
      </c>
      <c r="P1483">
        <v>43501.049305555556</v>
      </c>
      <c r="Q1483">
        <v>43172.445611111114</v>
      </c>
      <c r="R1483">
        <v>1507</v>
      </c>
    </row>
    <row r="1484" spans="1:18" x14ac:dyDescent="0.25">
      <c r="A1484" t="s">
        <v>5072</v>
      </c>
      <c r="B1484" t="s">
        <v>5073</v>
      </c>
      <c r="C1484" t="s">
        <v>5074</v>
      </c>
      <c r="D1484" t="s">
        <v>5074</v>
      </c>
      <c r="E1484" t="s">
        <v>5074</v>
      </c>
      <c r="F1484" t="s">
        <v>21</v>
      </c>
      <c r="G1484" t="s">
        <v>63</v>
      </c>
      <c r="H1484" t="s">
        <v>53</v>
      </c>
      <c r="I1484" t="s">
        <v>471</v>
      </c>
      <c r="J1484">
        <v>2013</v>
      </c>
      <c r="K1484">
        <v>43698.521897777777</v>
      </c>
      <c r="L1484" t="s">
        <v>422</v>
      </c>
      <c r="M1484" t="s">
        <v>2777</v>
      </c>
      <c r="N1484" t="s">
        <v>415</v>
      </c>
      <c r="O1484">
        <v>339215</v>
      </c>
      <c r="P1484">
        <v>43679.770833333336</v>
      </c>
      <c r="Q1484">
        <v>43172.470127858796</v>
      </c>
      <c r="R1484">
        <v>1508</v>
      </c>
    </row>
    <row r="1485" spans="1:18" x14ac:dyDescent="0.25">
      <c r="A1485" t="s">
        <v>5075</v>
      </c>
      <c r="B1485" t="s">
        <v>5076</v>
      </c>
      <c r="C1485" t="s">
        <v>5077</v>
      </c>
      <c r="D1485" t="s">
        <v>5077</v>
      </c>
      <c r="E1485" t="s">
        <v>5077</v>
      </c>
      <c r="F1485" t="s">
        <v>91</v>
      </c>
      <c r="G1485" t="s">
        <v>63</v>
      </c>
      <c r="H1485" t="s">
        <v>34</v>
      </c>
      <c r="I1485" t="s">
        <v>703</v>
      </c>
      <c r="J1485">
        <v>2013</v>
      </c>
      <c r="K1485">
        <v>43698.521897777777</v>
      </c>
      <c r="L1485" t="s">
        <v>422</v>
      </c>
      <c r="M1485" t="s">
        <v>2777</v>
      </c>
      <c r="N1485" t="s">
        <v>415</v>
      </c>
      <c r="O1485">
        <v>339182</v>
      </c>
      <c r="P1485">
        <v>43679.864583333336</v>
      </c>
      <c r="Q1485">
        <v>43172.473201539353</v>
      </c>
      <c r="R1485">
        <v>1509</v>
      </c>
    </row>
    <row r="1486" spans="1:18" x14ac:dyDescent="0.25">
      <c r="A1486" t="s">
        <v>5078</v>
      </c>
      <c r="B1486" t="s">
        <v>5079</v>
      </c>
      <c r="C1486" t="s">
        <v>5080</v>
      </c>
      <c r="D1486" t="s">
        <v>5080</v>
      </c>
      <c r="E1486" t="s">
        <v>5081</v>
      </c>
      <c r="F1486" t="s">
        <v>21</v>
      </c>
      <c r="G1486" t="s">
        <v>22</v>
      </c>
      <c r="H1486" t="s">
        <v>53</v>
      </c>
      <c r="I1486" t="s">
        <v>3006</v>
      </c>
      <c r="J1486">
        <v>2019</v>
      </c>
      <c r="K1486">
        <v>43698.521897777777</v>
      </c>
      <c r="L1486" t="s">
        <v>193</v>
      </c>
      <c r="M1486" t="s">
        <v>37</v>
      </c>
      <c r="N1486" t="s">
        <v>415</v>
      </c>
      <c r="O1486">
        <v>279021</v>
      </c>
      <c r="P1486">
        <v>43530.034745370373</v>
      </c>
      <c r="Q1486">
        <v>43172.55910204861</v>
      </c>
      <c r="R1486">
        <v>1510</v>
      </c>
    </row>
    <row r="1487" spans="1:18" x14ac:dyDescent="0.25">
      <c r="A1487" t="s">
        <v>5082</v>
      </c>
      <c r="B1487" t="s">
        <v>5083</v>
      </c>
      <c r="C1487" t="s">
        <v>5084</v>
      </c>
      <c r="D1487" t="s">
        <v>5084</v>
      </c>
      <c r="E1487" t="s">
        <v>5085</v>
      </c>
      <c r="F1487" t="s">
        <v>21</v>
      </c>
      <c r="G1487" t="s">
        <v>22</v>
      </c>
      <c r="H1487" t="s">
        <v>53</v>
      </c>
      <c r="I1487" t="s">
        <v>3006</v>
      </c>
      <c r="J1487">
        <v>2019</v>
      </c>
      <c r="K1487">
        <v>43698.521897777777</v>
      </c>
      <c r="L1487" t="s">
        <v>193</v>
      </c>
      <c r="M1487" t="s">
        <v>37</v>
      </c>
      <c r="N1487" t="s">
        <v>415</v>
      </c>
      <c r="O1487">
        <v>287615</v>
      </c>
      <c r="P1487">
        <v>43553.016111111108</v>
      </c>
      <c r="Q1487">
        <v>43172.560107407407</v>
      </c>
      <c r="R1487">
        <v>1511</v>
      </c>
    </row>
    <row r="1488" spans="1:18" x14ac:dyDescent="0.25">
      <c r="A1488" t="s">
        <v>5086</v>
      </c>
      <c r="B1488" t="s">
        <v>5087</v>
      </c>
      <c r="C1488" t="s">
        <v>5088</v>
      </c>
      <c r="D1488" t="s">
        <v>5088</v>
      </c>
      <c r="E1488" t="s">
        <v>5089</v>
      </c>
      <c r="F1488" t="s">
        <v>21</v>
      </c>
      <c r="G1488" t="s">
        <v>22</v>
      </c>
      <c r="H1488" t="s">
        <v>53</v>
      </c>
      <c r="I1488" t="s">
        <v>3006</v>
      </c>
      <c r="J1488">
        <v>2019</v>
      </c>
      <c r="K1488">
        <v>43698.521897777777</v>
      </c>
      <c r="L1488" t="s">
        <v>1005</v>
      </c>
      <c r="M1488" t="s">
        <v>37</v>
      </c>
      <c r="N1488" t="s">
        <v>415</v>
      </c>
      <c r="O1488">
        <v>321412</v>
      </c>
      <c r="P1488">
        <v>43638</v>
      </c>
      <c r="Q1488">
        <v>43172.561153125003</v>
      </c>
      <c r="R1488">
        <v>1512</v>
      </c>
    </row>
    <row r="1489" spans="1:18" x14ac:dyDescent="0.25">
      <c r="A1489" t="s">
        <v>5090</v>
      </c>
      <c r="B1489" t="s">
        <v>5091</v>
      </c>
      <c r="C1489" t="s">
        <v>5092</v>
      </c>
      <c r="D1489" t="s">
        <v>5092</v>
      </c>
      <c r="E1489" t="s">
        <v>5093</v>
      </c>
      <c r="F1489" t="s">
        <v>21</v>
      </c>
      <c r="G1489" t="s">
        <v>22</v>
      </c>
      <c r="H1489" t="s">
        <v>53</v>
      </c>
      <c r="I1489" t="s">
        <v>3006</v>
      </c>
      <c r="J1489">
        <v>2019</v>
      </c>
      <c r="K1489">
        <v>43698.521897777777</v>
      </c>
      <c r="L1489" t="s">
        <v>193</v>
      </c>
      <c r="M1489" t="s">
        <v>42</v>
      </c>
      <c r="N1489" t="s">
        <v>415</v>
      </c>
      <c r="O1489">
        <v>303006</v>
      </c>
      <c r="P1489">
        <v>43591.67083333333</v>
      </c>
      <c r="Q1489">
        <v>43172.582762650462</v>
      </c>
      <c r="R1489">
        <v>1513</v>
      </c>
    </row>
    <row r="1490" spans="1:18" x14ac:dyDescent="0.25">
      <c r="A1490" t="s">
        <v>5094</v>
      </c>
      <c r="B1490" t="s">
        <v>5095</v>
      </c>
      <c r="C1490" t="s">
        <v>5096</v>
      </c>
      <c r="D1490" t="s">
        <v>5096</v>
      </c>
      <c r="E1490" t="s">
        <v>5097</v>
      </c>
      <c r="F1490" t="s">
        <v>91</v>
      </c>
      <c r="G1490" t="s">
        <v>22</v>
      </c>
      <c r="H1490" t="s">
        <v>53</v>
      </c>
      <c r="I1490" t="s">
        <v>3006</v>
      </c>
      <c r="J1490">
        <v>2019</v>
      </c>
      <c r="K1490">
        <v>43698.521897777777</v>
      </c>
      <c r="L1490" t="s">
        <v>193</v>
      </c>
      <c r="M1490" t="s">
        <v>42</v>
      </c>
      <c r="N1490" t="s">
        <v>415</v>
      </c>
      <c r="O1490">
        <v>346726</v>
      </c>
      <c r="P1490">
        <v>43698.521897777777</v>
      </c>
      <c r="Q1490">
        <v>43172.583831793978</v>
      </c>
      <c r="R1490">
        <v>1514</v>
      </c>
    </row>
    <row r="1491" spans="1:18" x14ac:dyDescent="0.25">
      <c r="A1491" t="s">
        <v>5098</v>
      </c>
      <c r="B1491" t="s">
        <v>5099</v>
      </c>
      <c r="C1491" t="s">
        <v>5100</v>
      </c>
      <c r="D1491" t="s">
        <v>5100</v>
      </c>
      <c r="E1491" t="s">
        <v>5101</v>
      </c>
      <c r="F1491" t="s">
        <v>21</v>
      </c>
      <c r="G1491" t="s">
        <v>22</v>
      </c>
      <c r="H1491" t="s">
        <v>53</v>
      </c>
      <c r="I1491" t="s">
        <v>3006</v>
      </c>
      <c r="J1491">
        <v>2019</v>
      </c>
      <c r="K1491">
        <v>43698.521897777777</v>
      </c>
      <c r="L1491" t="s">
        <v>193</v>
      </c>
      <c r="M1491" t="s">
        <v>42</v>
      </c>
      <c r="N1491" t="s">
        <v>415</v>
      </c>
      <c r="O1491">
        <v>265460</v>
      </c>
      <c r="P1491">
        <v>43490.484027777777</v>
      </c>
      <c r="Q1491">
        <v>43172.584495289353</v>
      </c>
      <c r="R1491">
        <v>1515</v>
      </c>
    </row>
    <row r="1492" spans="1:18" x14ac:dyDescent="0.25">
      <c r="A1492" t="s">
        <v>5102</v>
      </c>
      <c r="B1492" t="s">
        <v>5103</v>
      </c>
      <c r="C1492" t="s">
        <v>5104</v>
      </c>
      <c r="D1492" t="s">
        <v>5104</v>
      </c>
      <c r="E1492" t="s">
        <v>5105</v>
      </c>
      <c r="F1492" t="s">
        <v>21</v>
      </c>
      <c r="G1492" t="s">
        <v>22</v>
      </c>
      <c r="H1492" t="s">
        <v>53</v>
      </c>
      <c r="I1492" t="s">
        <v>3006</v>
      </c>
      <c r="J1492">
        <v>2019</v>
      </c>
      <c r="K1492">
        <v>43698.521897777777</v>
      </c>
      <c r="L1492" t="s">
        <v>193</v>
      </c>
      <c r="M1492" t="s">
        <v>42</v>
      </c>
      <c r="N1492" t="s">
        <v>415</v>
      </c>
      <c r="O1492">
        <v>300042</v>
      </c>
      <c r="P1492">
        <v>43585.724305555559</v>
      </c>
      <c r="Q1492">
        <v>43172.585212233796</v>
      </c>
      <c r="R1492">
        <v>1516</v>
      </c>
    </row>
    <row r="1493" spans="1:18" x14ac:dyDescent="0.25">
      <c r="A1493" t="s">
        <v>5106</v>
      </c>
      <c r="B1493" t="s">
        <v>5107</v>
      </c>
      <c r="C1493" t="s">
        <v>5108</v>
      </c>
      <c r="D1493" t="s">
        <v>5108</v>
      </c>
      <c r="E1493" t="s">
        <v>5109</v>
      </c>
      <c r="F1493" t="s">
        <v>21</v>
      </c>
      <c r="G1493" t="s">
        <v>22</v>
      </c>
      <c r="H1493" t="s">
        <v>53</v>
      </c>
      <c r="I1493" t="s">
        <v>3006</v>
      </c>
      <c r="J1493">
        <v>2019</v>
      </c>
      <c r="K1493">
        <v>43698.521897777777</v>
      </c>
      <c r="L1493" t="s">
        <v>1005</v>
      </c>
      <c r="M1493" t="s">
        <v>37</v>
      </c>
      <c r="N1493" t="s">
        <v>27</v>
      </c>
      <c r="O1493">
        <v>271439</v>
      </c>
      <c r="P1493">
        <v>43508.492465277777</v>
      </c>
      <c r="Q1493">
        <v>43172.588053321757</v>
      </c>
      <c r="R1493">
        <v>1517</v>
      </c>
    </row>
    <row r="1494" spans="1:18" x14ac:dyDescent="0.25">
      <c r="A1494" t="s">
        <v>5110</v>
      </c>
      <c r="B1494" t="s">
        <v>5111</v>
      </c>
      <c r="C1494" t="s">
        <v>5112</v>
      </c>
      <c r="D1494" t="s">
        <v>5112</v>
      </c>
      <c r="E1494" t="s">
        <v>5113</v>
      </c>
      <c r="F1494" t="s">
        <v>21</v>
      </c>
      <c r="G1494" t="s">
        <v>22</v>
      </c>
      <c r="H1494" t="s">
        <v>53</v>
      </c>
      <c r="I1494" t="s">
        <v>3006</v>
      </c>
      <c r="J1494">
        <v>2019</v>
      </c>
      <c r="K1494">
        <v>43698.521897777777</v>
      </c>
      <c r="L1494" t="s">
        <v>2713</v>
      </c>
      <c r="M1494" t="s">
        <v>37</v>
      </c>
      <c r="N1494" t="s">
        <v>415</v>
      </c>
      <c r="O1494">
        <v>312763</v>
      </c>
      <c r="P1494">
        <v>43617.265520833331</v>
      </c>
      <c r="Q1494">
        <v>43172.590834456016</v>
      </c>
      <c r="R1494">
        <v>1518</v>
      </c>
    </row>
    <row r="1495" spans="1:18" x14ac:dyDescent="0.25">
      <c r="A1495" t="s">
        <v>5114</v>
      </c>
      <c r="B1495" t="s">
        <v>5115</v>
      </c>
      <c r="C1495" t="s">
        <v>5116</v>
      </c>
      <c r="D1495" t="s">
        <v>5116</v>
      </c>
      <c r="E1495" t="s">
        <v>5117</v>
      </c>
      <c r="F1495" t="s">
        <v>21</v>
      </c>
      <c r="G1495" t="s">
        <v>22</v>
      </c>
      <c r="H1495" t="s">
        <v>53</v>
      </c>
      <c r="I1495" t="s">
        <v>3006</v>
      </c>
      <c r="J1495">
        <v>2019</v>
      </c>
      <c r="K1495">
        <v>43698.521897777777</v>
      </c>
      <c r="L1495" t="s">
        <v>2713</v>
      </c>
      <c r="M1495" t="s">
        <v>1733</v>
      </c>
      <c r="N1495" t="s">
        <v>27</v>
      </c>
      <c r="O1495">
        <v>316496</v>
      </c>
      <c r="P1495">
        <v>43622.988333333335</v>
      </c>
      <c r="Q1495">
        <v>43172.592348761573</v>
      </c>
      <c r="R1495">
        <v>1519</v>
      </c>
    </row>
    <row r="1496" spans="1:18" x14ac:dyDescent="0.25">
      <c r="A1496" t="s">
        <v>5118</v>
      </c>
      <c r="B1496" t="s">
        <v>5119</v>
      </c>
      <c r="C1496" t="s">
        <v>5120</v>
      </c>
      <c r="D1496" t="s">
        <v>5120</v>
      </c>
      <c r="E1496" t="s">
        <v>5121</v>
      </c>
      <c r="F1496" t="s">
        <v>91</v>
      </c>
      <c r="G1496" t="s">
        <v>22</v>
      </c>
      <c r="H1496" t="s">
        <v>53</v>
      </c>
      <c r="I1496" t="s">
        <v>3006</v>
      </c>
      <c r="J1496">
        <v>2019</v>
      </c>
      <c r="K1496">
        <v>43698.521897777777</v>
      </c>
      <c r="L1496" t="s">
        <v>2713</v>
      </c>
      <c r="M1496" t="s">
        <v>37</v>
      </c>
      <c r="N1496" t="s">
        <v>415</v>
      </c>
      <c r="O1496">
        <v>326359</v>
      </c>
      <c r="P1496">
        <v>43648.520138888889</v>
      </c>
      <c r="Q1496">
        <v>43172.596278969904</v>
      </c>
      <c r="R1496">
        <v>1520</v>
      </c>
    </row>
    <row r="1497" spans="1:18" x14ac:dyDescent="0.25">
      <c r="A1497" t="s">
        <v>5122</v>
      </c>
      <c r="B1497" t="s">
        <v>5123</v>
      </c>
      <c r="C1497" t="s">
        <v>5124</v>
      </c>
      <c r="D1497" t="s">
        <v>5124</v>
      </c>
      <c r="E1497" t="s">
        <v>5125</v>
      </c>
      <c r="F1497" t="s">
        <v>91</v>
      </c>
      <c r="G1497" t="s">
        <v>22</v>
      </c>
      <c r="H1497" t="s">
        <v>53</v>
      </c>
      <c r="I1497" t="s">
        <v>3006</v>
      </c>
      <c r="J1497">
        <v>2019</v>
      </c>
      <c r="K1497">
        <v>43698.521897777777</v>
      </c>
      <c r="L1497" t="s">
        <v>193</v>
      </c>
      <c r="M1497" t="s">
        <v>37</v>
      </c>
      <c r="N1497" t="s">
        <v>415</v>
      </c>
      <c r="O1497">
        <v>345551</v>
      </c>
      <c r="P1497">
        <v>43698.098611111112</v>
      </c>
      <c r="Q1497">
        <v>43172.597077777777</v>
      </c>
      <c r="R1497">
        <v>1521</v>
      </c>
    </row>
    <row r="1498" spans="1:18" x14ac:dyDescent="0.25">
      <c r="A1498" t="s">
        <v>5126</v>
      </c>
      <c r="B1498" t="s">
        <v>5127</v>
      </c>
      <c r="C1498" t="s">
        <v>5128</v>
      </c>
      <c r="D1498" t="s">
        <v>5128</v>
      </c>
      <c r="E1498" t="s">
        <v>5129</v>
      </c>
      <c r="F1498" t="s">
        <v>91</v>
      </c>
      <c r="G1498" t="s">
        <v>22</v>
      </c>
      <c r="H1498" t="s">
        <v>53</v>
      </c>
      <c r="I1498" t="s">
        <v>3006</v>
      </c>
      <c r="J1498">
        <v>2019</v>
      </c>
      <c r="K1498">
        <v>43698.521897777777</v>
      </c>
      <c r="L1498" t="s">
        <v>2713</v>
      </c>
      <c r="M1498" t="s">
        <v>2777</v>
      </c>
      <c r="N1498" t="s">
        <v>415</v>
      </c>
      <c r="O1498">
        <v>346610</v>
      </c>
      <c r="P1498">
        <v>43698.521897777777</v>
      </c>
      <c r="Q1498">
        <v>43172.598043518519</v>
      </c>
      <c r="R1498">
        <v>1522</v>
      </c>
    </row>
    <row r="1499" spans="1:18" x14ac:dyDescent="0.25">
      <c r="A1499" t="s">
        <v>5130</v>
      </c>
      <c r="B1499" t="s">
        <v>5131</v>
      </c>
      <c r="C1499" t="s">
        <v>5132</v>
      </c>
      <c r="D1499" t="s">
        <v>5132</v>
      </c>
      <c r="E1499" t="s">
        <v>5133</v>
      </c>
      <c r="F1499" t="s">
        <v>91</v>
      </c>
      <c r="G1499" t="s">
        <v>22</v>
      </c>
      <c r="H1499" t="s">
        <v>53</v>
      </c>
      <c r="I1499" t="s">
        <v>3006</v>
      </c>
      <c r="J1499">
        <v>2019</v>
      </c>
      <c r="K1499">
        <v>43698.521897777777</v>
      </c>
      <c r="L1499" t="s">
        <v>2713</v>
      </c>
      <c r="M1499" t="s">
        <v>2777</v>
      </c>
      <c r="N1499" t="s">
        <v>994</v>
      </c>
      <c r="O1499">
        <v>346082</v>
      </c>
      <c r="P1499">
        <v>43698.521897777777</v>
      </c>
      <c r="Q1499">
        <v>43172.5986003125</v>
      </c>
      <c r="R1499">
        <v>1523</v>
      </c>
    </row>
    <row r="1500" spans="1:18" x14ac:dyDescent="0.25">
      <c r="A1500" t="s">
        <v>5134</v>
      </c>
      <c r="B1500" t="s">
        <v>5135</v>
      </c>
      <c r="C1500" t="s">
        <v>5136</v>
      </c>
      <c r="D1500" t="s">
        <v>5136</v>
      </c>
      <c r="E1500" t="s">
        <v>5137</v>
      </c>
      <c r="F1500" t="s">
        <v>21</v>
      </c>
      <c r="G1500" t="s">
        <v>22</v>
      </c>
      <c r="H1500" t="s">
        <v>53</v>
      </c>
      <c r="I1500" t="s">
        <v>3006</v>
      </c>
      <c r="J1500">
        <v>2019</v>
      </c>
      <c r="K1500">
        <v>43698.521897777777</v>
      </c>
      <c r="L1500" t="s">
        <v>2713</v>
      </c>
      <c r="M1500" t="s">
        <v>2777</v>
      </c>
      <c r="N1500" t="s">
        <v>415</v>
      </c>
      <c r="O1500">
        <v>322872</v>
      </c>
      <c r="P1500">
        <v>43638.478275462963</v>
      </c>
      <c r="Q1500">
        <v>43172.599546759258</v>
      </c>
      <c r="R1500">
        <v>1524</v>
      </c>
    </row>
    <row r="1501" spans="1:18" x14ac:dyDescent="0.25">
      <c r="A1501" t="s">
        <v>5138</v>
      </c>
      <c r="B1501" t="s">
        <v>5139</v>
      </c>
      <c r="C1501" t="s">
        <v>5140</v>
      </c>
      <c r="D1501" t="s">
        <v>5140</v>
      </c>
      <c r="E1501" t="s">
        <v>5141</v>
      </c>
      <c r="F1501" t="s">
        <v>91</v>
      </c>
      <c r="G1501" t="s">
        <v>22</v>
      </c>
      <c r="H1501" t="s">
        <v>53</v>
      </c>
      <c r="I1501" t="s">
        <v>3006</v>
      </c>
      <c r="J1501">
        <v>2019</v>
      </c>
      <c r="K1501">
        <v>43698.521897777777</v>
      </c>
      <c r="L1501" t="s">
        <v>2713</v>
      </c>
      <c r="M1501" t="s">
        <v>2777</v>
      </c>
      <c r="N1501" t="s">
        <v>415</v>
      </c>
      <c r="O1501">
        <v>346004</v>
      </c>
      <c r="P1501">
        <v>43698.521897777777</v>
      </c>
      <c r="Q1501">
        <v>43172.600394444446</v>
      </c>
      <c r="R1501">
        <v>1525</v>
      </c>
    </row>
    <row r="1502" spans="1:18" x14ac:dyDescent="0.25">
      <c r="A1502" t="s">
        <v>5142</v>
      </c>
      <c r="B1502" t="s">
        <v>5143</v>
      </c>
      <c r="C1502" t="s">
        <v>5144</v>
      </c>
      <c r="D1502" t="s">
        <v>5144</v>
      </c>
      <c r="E1502" t="s">
        <v>5145</v>
      </c>
      <c r="F1502" t="s">
        <v>91</v>
      </c>
      <c r="G1502" t="s">
        <v>22</v>
      </c>
      <c r="H1502" t="s">
        <v>53</v>
      </c>
      <c r="I1502" t="s">
        <v>3006</v>
      </c>
      <c r="J1502">
        <v>2019</v>
      </c>
      <c r="K1502">
        <v>43698.521897777777</v>
      </c>
      <c r="L1502" t="s">
        <v>1660</v>
      </c>
      <c r="M1502" t="s">
        <v>2777</v>
      </c>
      <c r="N1502" t="s">
        <v>415</v>
      </c>
      <c r="O1502">
        <v>346879</v>
      </c>
      <c r="P1502">
        <v>43698.521897777777</v>
      </c>
      <c r="Q1502">
        <v>43172.601730057868</v>
      </c>
      <c r="R1502">
        <v>1526</v>
      </c>
    </row>
    <row r="1503" spans="1:18" x14ac:dyDescent="0.25">
      <c r="A1503" t="s">
        <v>5146</v>
      </c>
      <c r="B1503" t="s">
        <v>5147</v>
      </c>
      <c r="C1503" t="s">
        <v>5148</v>
      </c>
      <c r="D1503" t="s">
        <v>5148</v>
      </c>
      <c r="E1503" t="s">
        <v>5148</v>
      </c>
      <c r="F1503" t="s">
        <v>91</v>
      </c>
      <c r="G1503" t="s">
        <v>63</v>
      </c>
      <c r="H1503" t="s">
        <v>23</v>
      </c>
      <c r="I1503" t="s">
        <v>5149</v>
      </c>
      <c r="J1503">
        <v>2014</v>
      </c>
      <c r="K1503">
        <v>43698.521897777777</v>
      </c>
      <c r="L1503" t="s">
        <v>466</v>
      </c>
      <c r="M1503" t="s">
        <v>154</v>
      </c>
      <c r="N1503" t="s">
        <v>1305</v>
      </c>
      <c r="O1503">
        <v>342474</v>
      </c>
      <c r="P1503">
        <v>43695.62332175926</v>
      </c>
      <c r="Q1503">
        <v>43173.494121990741</v>
      </c>
      <c r="R1503">
        <v>1527</v>
      </c>
    </row>
    <row r="1504" spans="1:18" x14ac:dyDescent="0.25">
      <c r="A1504" t="s">
        <v>5150</v>
      </c>
      <c r="B1504" t="s">
        <v>5151</v>
      </c>
      <c r="C1504" t="s">
        <v>5152</v>
      </c>
      <c r="D1504" t="s">
        <v>5152</v>
      </c>
      <c r="E1504" t="s">
        <v>5152</v>
      </c>
      <c r="F1504" t="s">
        <v>21</v>
      </c>
      <c r="G1504" t="s">
        <v>63</v>
      </c>
      <c r="H1504" t="s">
        <v>53</v>
      </c>
      <c r="I1504" t="s">
        <v>3693</v>
      </c>
      <c r="J1504">
        <v>2018</v>
      </c>
      <c r="K1504">
        <v>43698.521897777777</v>
      </c>
      <c r="L1504" t="s">
        <v>1005</v>
      </c>
      <c r="M1504" t="s">
        <v>1941</v>
      </c>
      <c r="N1504" t="s">
        <v>27</v>
      </c>
      <c r="O1504">
        <v>262981</v>
      </c>
      <c r="P1504">
        <v>43484.165972222225</v>
      </c>
      <c r="Q1504">
        <v>43173.637039548608</v>
      </c>
      <c r="R1504">
        <v>1528</v>
      </c>
    </row>
    <row r="1505" spans="1:18" x14ac:dyDescent="0.25">
      <c r="A1505" t="s">
        <v>5153</v>
      </c>
      <c r="B1505" t="s">
        <v>5154</v>
      </c>
      <c r="C1505" t="s">
        <v>5155</v>
      </c>
      <c r="D1505" t="s">
        <v>5155</v>
      </c>
      <c r="E1505" t="s">
        <v>5155</v>
      </c>
      <c r="F1505" t="s">
        <v>91</v>
      </c>
      <c r="G1505" t="s">
        <v>63</v>
      </c>
      <c r="H1505" t="s">
        <v>4261</v>
      </c>
      <c r="I1505" t="s">
        <v>1856</v>
      </c>
      <c r="J1505">
        <v>2012</v>
      </c>
      <c r="K1505">
        <v>43698.521897777777</v>
      </c>
      <c r="L1505" t="s">
        <v>422</v>
      </c>
      <c r="M1505" t="s">
        <v>2777</v>
      </c>
      <c r="N1505" t="s">
        <v>27</v>
      </c>
      <c r="O1505">
        <v>347017</v>
      </c>
      <c r="P1505">
        <v>43698.521897777777</v>
      </c>
      <c r="Q1505">
        <v>43173.682266898148</v>
      </c>
      <c r="R1505">
        <v>1529</v>
      </c>
    </row>
    <row r="1506" spans="1:18" x14ac:dyDescent="0.25">
      <c r="A1506" t="s">
        <v>5156</v>
      </c>
      <c r="B1506" t="s">
        <v>5157</v>
      </c>
      <c r="C1506" t="s">
        <v>5158</v>
      </c>
      <c r="D1506" t="s">
        <v>5158</v>
      </c>
      <c r="E1506" t="s">
        <v>5158</v>
      </c>
      <c r="F1506" t="s">
        <v>21</v>
      </c>
      <c r="G1506" t="s">
        <v>63</v>
      </c>
      <c r="H1506" t="s">
        <v>34</v>
      </c>
      <c r="I1506" t="s">
        <v>35</v>
      </c>
      <c r="J1506">
        <v>2013</v>
      </c>
      <c r="K1506">
        <v>43698.521897777777</v>
      </c>
      <c r="L1506" t="s">
        <v>1005</v>
      </c>
      <c r="M1506" t="s">
        <v>1941</v>
      </c>
      <c r="N1506" t="s">
        <v>27</v>
      </c>
      <c r="O1506">
        <v>178152</v>
      </c>
      <c r="P1506">
        <v>43219.044733796298</v>
      </c>
      <c r="Q1506">
        <v>43173.684701886574</v>
      </c>
      <c r="R1506">
        <v>1530</v>
      </c>
    </row>
    <row r="1507" spans="1:18" x14ac:dyDescent="0.25">
      <c r="A1507" t="s">
        <v>5159</v>
      </c>
      <c r="B1507" t="s">
        <v>5160</v>
      </c>
      <c r="C1507" t="s">
        <v>5161</v>
      </c>
      <c r="D1507" t="s">
        <v>5161</v>
      </c>
      <c r="E1507" t="s">
        <v>5161</v>
      </c>
      <c r="F1507" t="s">
        <v>91</v>
      </c>
      <c r="G1507" t="s">
        <v>63</v>
      </c>
      <c r="H1507" t="s">
        <v>80</v>
      </c>
      <c r="I1507" t="s">
        <v>1856</v>
      </c>
      <c r="J1507">
        <v>2016</v>
      </c>
      <c r="K1507">
        <v>43698.521897777777</v>
      </c>
      <c r="L1507" t="s">
        <v>1660</v>
      </c>
      <c r="M1507" t="s">
        <v>37</v>
      </c>
      <c r="N1507" t="s">
        <v>415</v>
      </c>
      <c r="O1507">
        <v>346210</v>
      </c>
      <c r="P1507">
        <v>43698.521897777777</v>
      </c>
      <c r="Q1507">
        <v>43173.686361111111</v>
      </c>
      <c r="R1507">
        <v>1531</v>
      </c>
    </row>
    <row r="1508" spans="1:18" x14ac:dyDescent="0.25">
      <c r="A1508" t="s">
        <v>5162</v>
      </c>
      <c r="B1508" t="s">
        <v>5163</v>
      </c>
      <c r="C1508" t="s">
        <v>5164</v>
      </c>
      <c r="D1508" t="s">
        <v>5164</v>
      </c>
      <c r="E1508" t="s">
        <v>5164</v>
      </c>
      <c r="F1508" t="s">
        <v>21</v>
      </c>
      <c r="G1508" t="s">
        <v>63</v>
      </c>
      <c r="H1508" t="s">
        <v>53</v>
      </c>
      <c r="I1508" t="s">
        <v>471</v>
      </c>
      <c r="J1508">
        <v>2018</v>
      </c>
      <c r="K1508">
        <v>43698.521897777777</v>
      </c>
      <c r="L1508" t="s">
        <v>2713</v>
      </c>
      <c r="M1508" t="s">
        <v>37</v>
      </c>
      <c r="N1508" t="s">
        <v>415</v>
      </c>
      <c r="O1508">
        <v>293771</v>
      </c>
      <c r="P1508">
        <v>43568.947083333333</v>
      </c>
      <c r="Q1508">
        <v>43181.78391716435</v>
      </c>
      <c r="R1508">
        <v>1532</v>
      </c>
    </row>
    <row r="1509" spans="1:18" x14ac:dyDescent="0.25">
      <c r="A1509" t="s">
        <v>5165</v>
      </c>
      <c r="B1509" t="s">
        <v>5166</v>
      </c>
      <c r="C1509" t="s">
        <v>5167</v>
      </c>
      <c r="D1509" t="s">
        <v>5167</v>
      </c>
      <c r="E1509" t="s">
        <v>5167</v>
      </c>
      <c r="F1509" t="s">
        <v>21</v>
      </c>
      <c r="G1509" t="s">
        <v>63</v>
      </c>
      <c r="H1509" t="s">
        <v>34</v>
      </c>
      <c r="I1509" t="s">
        <v>614</v>
      </c>
      <c r="J1509">
        <v>2016</v>
      </c>
      <c r="K1509">
        <v>43698.521897777777</v>
      </c>
      <c r="L1509" t="s">
        <v>1005</v>
      </c>
      <c r="M1509" t="s">
        <v>1941</v>
      </c>
      <c r="N1509" t="s">
        <v>27</v>
      </c>
      <c r="O1509">
        <v>264433</v>
      </c>
      <c r="P1509">
        <v>43491.048611111109</v>
      </c>
      <c r="Q1509">
        <v>43186.605223611114</v>
      </c>
      <c r="R1509">
        <v>1533</v>
      </c>
    </row>
    <row r="1510" spans="1:18" x14ac:dyDescent="0.25">
      <c r="A1510" t="s">
        <v>5168</v>
      </c>
      <c r="B1510" t="s">
        <v>5169</v>
      </c>
      <c r="C1510" t="s">
        <v>5170</v>
      </c>
      <c r="D1510" t="s">
        <v>5170</v>
      </c>
      <c r="E1510" t="s">
        <v>5170</v>
      </c>
      <c r="F1510" t="s">
        <v>21</v>
      </c>
      <c r="G1510" t="s">
        <v>63</v>
      </c>
      <c r="H1510" t="s">
        <v>34</v>
      </c>
      <c r="I1510" t="s">
        <v>703</v>
      </c>
      <c r="J1510">
        <v>2013</v>
      </c>
      <c r="K1510">
        <v>43698.521897777777</v>
      </c>
      <c r="L1510" t="s">
        <v>1660</v>
      </c>
      <c r="M1510" t="s">
        <v>37</v>
      </c>
      <c r="N1510" t="s">
        <v>27</v>
      </c>
      <c r="O1510">
        <v>243700</v>
      </c>
      <c r="P1510">
        <v>43424.911805555559</v>
      </c>
      <c r="Q1510">
        <v>43186.695436574075</v>
      </c>
      <c r="R1510">
        <v>1534</v>
      </c>
    </row>
    <row r="1511" spans="1:18" x14ac:dyDescent="0.25">
      <c r="A1511" t="s">
        <v>5171</v>
      </c>
      <c r="B1511" t="s">
        <v>5172</v>
      </c>
      <c r="C1511" t="s">
        <v>5173</v>
      </c>
      <c r="D1511" t="s">
        <v>5173</v>
      </c>
      <c r="E1511" t="s">
        <v>5173</v>
      </c>
      <c r="F1511" t="s">
        <v>91</v>
      </c>
      <c r="G1511" t="s">
        <v>63</v>
      </c>
      <c r="H1511" t="s">
        <v>53</v>
      </c>
      <c r="I1511" t="s">
        <v>471</v>
      </c>
      <c r="J1511">
        <v>2019</v>
      </c>
      <c r="K1511">
        <v>43698.521897777777</v>
      </c>
      <c r="L1511" t="s">
        <v>1005</v>
      </c>
      <c r="M1511" t="s">
        <v>37</v>
      </c>
      <c r="N1511" t="s">
        <v>415</v>
      </c>
      <c r="O1511">
        <v>346544</v>
      </c>
      <c r="P1511">
        <v>43698.521897777777</v>
      </c>
      <c r="Q1511">
        <v>43186.723031712965</v>
      </c>
      <c r="R1511">
        <v>1535</v>
      </c>
    </row>
    <row r="1512" spans="1:18" x14ac:dyDescent="0.25">
      <c r="A1512" t="s">
        <v>25</v>
      </c>
      <c r="B1512" t="s">
        <v>25</v>
      </c>
      <c r="C1512" t="s">
        <v>5174</v>
      </c>
      <c r="D1512" t="s">
        <v>5174</v>
      </c>
      <c r="E1512" t="s">
        <v>5174</v>
      </c>
      <c r="F1512" t="s">
        <v>21</v>
      </c>
      <c r="G1512" t="s">
        <v>106</v>
      </c>
      <c r="H1512" t="s">
        <v>25</v>
      </c>
      <c r="I1512" t="s">
        <v>25</v>
      </c>
      <c r="K1512">
        <v>43698.521897777777</v>
      </c>
      <c r="L1512" t="s">
        <v>422</v>
      </c>
      <c r="M1512" t="s">
        <v>42</v>
      </c>
      <c r="N1512" t="s">
        <v>415</v>
      </c>
      <c r="O1512">
        <v>289221</v>
      </c>
      <c r="P1512">
        <v>43554.90625</v>
      </c>
      <c r="Q1512">
        <v>43193.535537731485</v>
      </c>
      <c r="R1512">
        <v>1536</v>
      </c>
    </row>
    <row r="1513" spans="1:18" x14ac:dyDescent="0.25">
      <c r="A1513" t="s">
        <v>5175</v>
      </c>
      <c r="B1513" t="s">
        <v>5176</v>
      </c>
      <c r="C1513" t="s">
        <v>5177</v>
      </c>
      <c r="D1513" t="s">
        <v>5177</v>
      </c>
      <c r="E1513" t="s">
        <v>5177</v>
      </c>
      <c r="F1513" t="s">
        <v>91</v>
      </c>
      <c r="G1513" t="s">
        <v>63</v>
      </c>
      <c r="H1513" t="s">
        <v>23</v>
      </c>
      <c r="I1513" t="s">
        <v>41</v>
      </c>
      <c r="J1513">
        <v>2007</v>
      </c>
      <c r="K1513">
        <v>43698.521897777777</v>
      </c>
      <c r="L1513" t="s">
        <v>193</v>
      </c>
      <c r="M1513" t="s">
        <v>1941</v>
      </c>
      <c r="N1513" t="s">
        <v>415</v>
      </c>
      <c r="O1513">
        <v>346785</v>
      </c>
      <c r="P1513">
        <v>43698.521897777777</v>
      </c>
      <c r="Q1513">
        <v>43194.406640474539</v>
      </c>
      <c r="R1513">
        <v>1537</v>
      </c>
    </row>
    <row r="1514" spans="1:18" x14ac:dyDescent="0.25">
      <c r="A1514" t="s">
        <v>5178</v>
      </c>
      <c r="B1514" t="s">
        <v>5179</v>
      </c>
      <c r="C1514" t="s">
        <v>5180</v>
      </c>
      <c r="D1514" t="s">
        <v>5180</v>
      </c>
      <c r="E1514" t="s">
        <v>5180</v>
      </c>
      <c r="F1514" t="s">
        <v>91</v>
      </c>
      <c r="G1514" t="s">
        <v>63</v>
      </c>
      <c r="H1514" t="s">
        <v>53</v>
      </c>
      <c r="I1514" t="s">
        <v>471</v>
      </c>
      <c r="J1514">
        <v>2014</v>
      </c>
      <c r="K1514">
        <v>43698.521897777777</v>
      </c>
      <c r="L1514" t="s">
        <v>466</v>
      </c>
      <c r="M1514" t="s">
        <v>154</v>
      </c>
      <c r="N1514" t="s">
        <v>1305</v>
      </c>
      <c r="O1514">
        <v>345809</v>
      </c>
      <c r="P1514">
        <v>43696.708680555559</v>
      </c>
      <c r="Q1514">
        <v>43194.534658252313</v>
      </c>
      <c r="R1514">
        <v>1538</v>
      </c>
    </row>
    <row r="1515" spans="1:18" x14ac:dyDescent="0.25">
      <c r="A1515" t="s">
        <v>5181</v>
      </c>
      <c r="B1515" t="s">
        <v>5182</v>
      </c>
      <c r="C1515" t="s">
        <v>5183</v>
      </c>
      <c r="D1515" t="s">
        <v>5183</v>
      </c>
      <c r="E1515" t="s">
        <v>5183</v>
      </c>
      <c r="F1515" t="s">
        <v>21</v>
      </c>
      <c r="G1515" t="s">
        <v>63</v>
      </c>
      <c r="H1515" t="s">
        <v>53</v>
      </c>
      <c r="I1515" t="s">
        <v>471</v>
      </c>
      <c r="J1515">
        <v>2014</v>
      </c>
      <c r="K1515">
        <v>43698.521897777777</v>
      </c>
      <c r="L1515" t="s">
        <v>466</v>
      </c>
      <c r="M1515" t="s">
        <v>154</v>
      </c>
      <c r="N1515" t="s">
        <v>1305</v>
      </c>
      <c r="O1515">
        <v>182830</v>
      </c>
      <c r="P1515">
        <v>43240.622881944444</v>
      </c>
      <c r="Q1515">
        <v>43194.535075081018</v>
      </c>
      <c r="R1515">
        <v>1539</v>
      </c>
    </row>
    <row r="1516" spans="1:18" x14ac:dyDescent="0.25">
      <c r="A1516" t="s">
        <v>5184</v>
      </c>
      <c r="B1516" t="s">
        <v>1419</v>
      </c>
      <c r="C1516" t="s">
        <v>5185</v>
      </c>
      <c r="D1516" t="s">
        <v>5185</v>
      </c>
      <c r="E1516" t="s">
        <v>5185</v>
      </c>
      <c r="F1516" t="s">
        <v>21</v>
      </c>
      <c r="G1516" t="s">
        <v>63</v>
      </c>
      <c r="H1516" t="s">
        <v>53</v>
      </c>
      <c r="I1516" t="s">
        <v>471</v>
      </c>
      <c r="J1516">
        <v>2003</v>
      </c>
      <c r="K1516">
        <v>43698.521897777777</v>
      </c>
      <c r="L1516" t="s">
        <v>466</v>
      </c>
      <c r="M1516" t="s">
        <v>154</v>
      </c>
      <c r="N1516" t="s">
        <v>1305</v>
      </c>
      <c r="O1516">
        <v>218702</v>
      </c>
      <c r="P1516">
        <v>43353.904166666667</v>
      </c>
      <c r="Q1516">
        <v>43194.535345104166</v>
      </c>
      <c r="R1516">
        <v>1540</v>
      </c>
    </row>
    <row r="1517" spans="1:18" x14ac:dyDescent="0.25">
      <c r="A1517" t="s">
        <v>5186</v>
      </c>
      <c r="B1517" t="s">
        <v>262</v>
      </c>
      <c r="C1517" t="s">
        <v>5187</v>
      </c>
      <c r="D1517" t="s">
        <v>5187</v>
      </c>
      <c r="E1517" t="s">
        <v>5187</v>
      </c>
      <c r="F1517" t="s">
        <v>21</v>
      </c>
      <c r="G1517" t="s">
        <v>63</v>
      </c>
      <c r="H1517" t="s">
        <v>998</v>
      </c>
      <c r="I1517" t="s">
        <v>41</v>
      </c>
      <c r="J1517">
        <v>2004</v>
      </c>
      <c r="K1517">
        <v>43698.521897777777</v>
      </c>
      <c r="L1517" t="s">
        <v>25</v>
      </c>
      <c r="M1517" t="s">
        <v>1941</v>
      </c>
      <c r="N1517" t="s">
        <v>415</v>
      </c>
      <c r="Q1517">
        <v>43194.625184062497</v>
      </c>
      <c r="R1517">
        <v>1541</v>
      </c>
    </row>
    <row r="1518" spans="1:18" x14ac:dyDescent="0.25">
      <c r="A1518" t="s">
        <v>5188</v>
      </c>
      <c r="B1518" t="s">
        <v>5189</v>
      </c>
      <c r="C1518" t="s">
        <v>5190</v>
      </c>
      <c r="D1518" t="s">
        <v>5190</v>
      </c>
      <c r="E1518" t="s">
        <v>5190</v>
      </c>
      <c r="F1518" t="s">
        <v>91</v>
      </c>
      <c r="G1518" t="s">
        <v>63</v>
      </c>
      <c r="H1518" t="s">
        <v>34</v>
      </c>
      <c r="I1518" t="s">
        <v>35</v>
      </c>
      <c r="J1518">
        <v>2010</v>
      </c>
      <c r="K1518">
        <v>43698.521897777777</v>
      </c>
      <c r="L1518" t="s">
        <v>422</v>
      </c>
      <c r="M1518" t="s">
        <v>2777</v>
      </c>
      <c r="N1518" t="s">
        <v>415</v>
      </c>
      <c r="O1518">
        <v>347047</v>
      </c>
      <c r="P1518">
        <v>43698.521897777777</v>
      </c>
      <c r="Q1518">
        <v>43196.600241087966</v>
      </c>
      <c r="R1518">
        <v>1542</v>
      </c>
    </row>
    <row r="1519" spans="1:18" x14ac:dyDescent="0.25">
      <c r="A1519" t="s">
        <v>5191</v>
      </c>
      <c r="B1519" t="s">
        <v>5192</v>
      </c>
      <c r="C1519" t="s">
        <v>5193</v>
      </c>
      <c r="D1519" t="s">
        <v>5193</v>
      </c>
      <c r="E1519" t="s">
        <v>5193</v>
      </c>
      <c r="F1519" t="s">
        <v>91</v>
      </c>
      <c r="G1519" t="s">
        <v>63</v>
      </c>
      <c r="H1519" t="s">
        <v>34</v>
      </c>
      <c r="I1519" t="s">
        <v>35</v>
      </c>
      <c r="J1519">
        <v>2016</v>
      </c>
      <c r="K1519">
        <v>43698.521897777777</v>
      </c>
      <c r="L1519" t="s">
        <v>92</v>
      </c>
      <c r="M1519" t="s">
        <v>1941</v>
      </c>
      <c r="N1519" t="s">
        <v>415</v>
      </c>
      <c r="O1519">
        <v>342195</v>
      </c>
      <c r="P1519">
        <v>43692.974999999999</v>
      </c>
      <c r="Q1519">
        <v>43202.654401851854</v>
      </c>
      <c r="R1519">
        <v>1543</v>
      </c>
    </row>
    <row r="1520" spans="1:18" x14ac:dyDescent="0.25">
      <c r="A1520" t="s">
        <v>5194</v>
      </c>
      <c r="B1520" t="s">
        <v>5195</v>
      </c>
      <c r="C1520" t="s">
        <v>5196</v>
      </c>
      <c r="D1520" t="s">
        <v>5196</v>
      </c>
      <c r="E1520" t="s">
        <v>5196</v>
      </c>
      <c r="F1520" t="s">
        <v>91</v>
      </c>
      <c r="G1520" t="s">
        <v>63</v>
      </c>
      <c r="H1520" t="s">
        <v>53</v>
      </c>
      <c r="I1520" t="s">
        <v>471</v>
      </c>
      <c r="J1520">
        <v>2012</v>
      </c>
      <c r="K1520">
        <v>43698.521897777777</v>
      </c>
      <c r="L1520" t="s">
        <v>193</v>
      </c>
      <c r="M1520" t="s">
        <v>1941</v>
      </c>
      <c r="N1520" t="s">
        <v>415</v>
      </c>
      <c r="O1520">
        <v>347091</v>
      </c>
      <c r="P1520">
        <v>43698.521897777777</v>
      </c>
      <c r="Q1520">
        <v>43204.534886145833</v>
      </c>
      <c r="R1520">
        <v>1544</v>
      </c>
    </row>
    <row r="1521" spans="1:18" x14ac:dyDescent="0.25">
      <c r="A1521" t="s">
        <v>5197</v>
      </c>
      <c r="B1521" t="s">
        <v>5198</v>
      </c>
      <c r="C1521" t="s">
        <v>5199</v>
      </c>
      <c r="D1521" t="s">
        <v>5199</v>
      </c>
      <c r="E1521" t="s">
        <v>5199</v>
      </c>
      <c r="F1521" t="s">
        <v>91</v>
      </c>
      <c r="G1521" t="s">
        <v>63</v>
      </c>
      <c r="H1521" t="s">
        <v>53</v>
      </c>
      <c r="I1521" t="s">
        <v>41</v>
      </c>
      <c r="J1521">
        <v>2007</v>
      </c>
      <c r="K1521">
        <v>43698.521897777777</v>
      </c>
      <c r="L1521" t="s">
        <v>193</v>
      </c>
      <c r="M1521" t="s">
        <v>1941</v>
      </c>
      <c r="N1521" t="s">
        <v>415</v>
      </c>
      <c r="O1521">
        <v>346254</v>
      </c>
      <c r="P1521">
        <v>43698.521897777777</v>
      </c>
      <c r="Q1521">
        <v>43204.536759918985</v>
      </c>
      <c r="R1521">
        <v>1545</v>
      </c>
    </row>
    <row r="1522" spans="1:18" x14ac:dyDescent="0.25">
      <c r="A1522" t="s">
        <v>5200</v>
      </c>
      <c r="B1522" t="s">
        <v>5201</v>
      </c>
      <c r="C1522" t="s">
        <v>5202</v>
      </c>
      <c r="D1522" t="s">
        <v>5202</v>
      </c>
      <c r="E1522" t="s">
        <v>5202</v>
      </c>
      <c r="F1522" t="s">
        <v>21</v>
      </c>
      <c r="G1522" t="s">
        <v>63</v>
      </c>
      <c r="H1522" t="s">
        <v>53</v>
      </c>
      <c r="I1522" t="s">
        <v>3693</v>
      </c>
      <c r="J1522">
        <v>2019</v>
      </c>
      <c r="K1522">
        <v>43698.521897777777</v>
      </c>
      <c r="L1522" t="s">
        <v>1005</v>
      </c>
      <c r="M1522" t="s">
        <v>42</v>
      </c>
      <c r="N1522" t="s">
        <v>415</v>
      </c>
      <c r="O1522">
        <v>192535</v>
      </c>
      <c r="P1522">
        <v>43272.175694444442</v>
      </c>
      <c r="Q1522">
        <v>43204.538080590275</v>
      </c>
      <c r="R1522">
        <v>1546</v>
      </c>
    </row>
    <row r="1523" spans="1:18" x14ac:dyDescent="0.25">
      <c r="A1523" t="s">
        <v>5203</v>
      </c>
      <c r="B1523" t="s">
        <v>5204</v>
      </c>
      <c r="C1523" t="s">
        <v>5205</v>
      </c>
      <c r="D1523" t="s">
        <v>5205</v>
      </c>
      <c r="E1523" t="s">
        <v>5205</v>
      </c>
      <c r="F1523" t="s">
        <v>21</v>
      </c>
      <c r="G1523" t="s">
        <v>63</v>
      </c>
      <c r="H1523" t="s">
        <v>34</v>
      </c>
      <c r="I1523" t="s">
        <v>35</v>
      </c>
      <c r="J1523">
        <v>2012</v>
      </c>
      <c r="K1523">
        <v>43698.521897777777</v>
      </c>
      <c r="L1523" t="s">
        <v>193</v>
      </c>
      <c r="M1523" t="s">
        <v>1941</v>
      </c>
      <c r="N1523" t="s">
        <v>27</v>
      </c>
      <c r="O1523">
        <v>179474</v>
      </c>
      <c r="P1523">
        <v>43220.936111111114</v>
      </c>
      <c r="Q1523">
        <v>43206.725985648147</v>
      </c>
      <c r="R1523">
        <v>1547</v>
      </c>
    </row>
    <row r="1524" spans="1:18" x14ac:dyDescent="0.25">
      <c r="A1524" t="s">
        <v>25</v>
      </c>
      <c r="B1524" t="s">
        <v>25</v>
      </c>
      <c r="C1524" t="s">
        <v>5206</v>
      </c>
      <c r="D1524" t="s">
        <v>5206</v>
      </c>
      <c r="E1524" t="s">
        <v>5206</v>
      </c>
      <c r="F1524" t="s">
        <v>21</v>
      </c>
      <c r="G1524" t="s">
        <v>106</v>
      </c>
      <c r="H1524" t="s">
        <v>25</v>
      </c>
      <c r="I1524" t="s">
        <v>25</v>
      </c>
      <c r="K1524">
        <v>43698.521897777777</v>
      </c>
      <c r="L1524" t="s">
        <v>422</v>
      </c>
      <c r="M1524" t="s">
        <v>2777</v>
      </c>
      <c r="N1524" t="s">
        <v>415</v>
      </c>
      <c r="O1524">
        <v>292110</v>
      </c>
      <c r="P1524">
        <v>43562.083333333336</v>
      </c>
      <c r="Q1524">
        <v>43208.447865393522</v>
      </c>
      <c r="R1524">
        <v>1548</v>
      </c>
    </row>
    <row r="1525" spans="1:18" x14ac:dyDescent="0.25">
      <c r="A1525" t="s">
        <v>5207</v>
      </c>
      <c r="B1525" t="s">
        <v>5208</v>
      </c>
      <c r="C1525" t="s">
        <v>5209</v>
      </c>
      <c r="D1525" t="s">
        <v>5209</v>
      </c>
      <c r="E1525" t="s">
        <v>5209</v>
      </c>
      <c r="F1525" t="s">
        <v>91</v>
      </c>
      <c r="G1525" t="s">
        <v>63</v>
      </c>
      <c r="H1525" t="s">
        <v>23</v>
      </c>
      <c r="I1525" t="s">
        <v>41</v>
      </c>
      <c r="J1525">
        <v>2007</v>
      </c>
      <c r="K1525">
        <v>43698.521897777777</v>
      </c>
      <c r="L1525" t="s">
        <v>193</v>
      </c>
      <c r="M1525" t="s">
        <v>1941</v>
      </c>
      <c r="N1525" t="s">
        <v>415</v>
      </c>
      <c r="O1525">
        <v>346194</v>
      </c>
      <c r="P1525">
        <v>43698.521897777777</v>
      </c>
      <c r="Q1525">
        <v>43208.746900196762</v>
      </c>
      <c r="R1525">
        <v>1549</v>
      </c>
    </row>
    <row r="1526" spans="1:18" x14ac:dyDescent="0.25">
      <c r="A1526" t="s">
        <v>5210</v>
      </c>
      <c r="B1526" t="s">
        <v>5211</v>
      </c>
      <c r="C1526" t="s">
        <v>5212</v>
      </c>
      <c r="D1526" t="s">
        <v>5212</v>
      </c>
      <c r="E1526" t="s">
        <v>5212</v>
      </c>
      <c r="F1526" t="s">
        <v>21</v>
      </c>
      <c r="G1526" t="s">
        <v>63</v>
      </c>
      <c r="H1526" t="s">
        <v>34</v>
      </c>
      <c r="I1526" t="s">
        <v>703</v>
      </c>
      <c r="J1526">
        <v>2018</v>
      </c>
      <c r="K1526">
        <v>43698.521897777777</v>
      </c>
      <c r="L1526" t="s">
        <v>1005</v>
      </c>
      <c r="M1526" t="s">
        <v>37</v>
      </c>
      <c r="N1526" t="s">
        <v>27</v>
      </c>
      <c r="O1526">
        <v>189120</v>
      </c>
      <c r="P1526">
        <v>43259</v>
      </c>
      <c r="Q1526">
        <v>43213.461815821756</v>
      </c>
      <c r="R1526">
        <v>1550</v>
      </c>
    </row>
    <row r="1527" spans="1:18" x14ac:dyDescent="0.25">
      <c r="A1527" t="s">
        <v>5213</v>
      </c>
      <c r="B1527" t="s">
        <v>5214</v>
      </c>
      <c r="C1527" t="s">
        <v>5215</v>
      </c>
      <c r="D1527" t="s">
        <v>5215</v>
      </c>
      <c r="E1527" t="s">
        <v>5215</v>
      </c>
      <c r="F1527" t="s">
        <v>21</v>
      </c>
      <c r="G1527" t="s">
        <v>63</v>
      </c>
      <c r="H1527" t="s">
        <v>34</v>
      </c>
      <c r="I1527" t="s">
        <v>703</v>
      </c>
      <c r="J1527">
        <v>2013</v>
      </c>
      <c r="K1527">
        <v>43698.521897777777</v>
      </c>
      <c r="L1527" t="s">
        <v>1660</v>
      </c>
      <c r="M1527" t="s">
        <v>37</v>
      </c>
      <c r="N1527" t="s">
        <v>27</v>
      </c>
      <c r="O1527">
        <v>206704</v>
      </c>
      <c r="P1527">
        <v>43316.767361111109</v>
      </c>
      <c r="Q1527">
        <v>43213.465074884261</v>
      </c>
      <c r="R1527">
        <v>1551</v>
      </c>
    </row>
    <row r="1528" spans="1:18" x14ac:dyDescent="0.25">
      <c r="A1528" t="s">
        <v>5216</v>
      </c>
      <c r="B1528" t="s">
        <v>5217</v>
      </c>
      <c r="C1528" t="s">
        <v>5218</v>
      </c>
      <c r="D1528" t="s">
        <v>5218</v>
      </c>
      <c r="E1528" t="s">
        <v>5218</v>
      </c>
      <c r="F1528" t="s">
        <v>21</v>
      </c>
      <c r="G1528" t="s">
        <v>63</v>
      </c>
      <c r="H1528" t="s">
        <v>34</v>
      </c>
      <c r="I1528" t="s">
        <v>703</v>
      </c>
      <c r="J1528">
        <v>2019</v>
      </c>
      <c r="K1528">
        <v>43698.521897777777</v>
      </c>
      <c r="L1528" t="s">
        <v>1660</v>
      </c>
      <c r="M1528" t="s">
        <v>37</v>
      </c>
      <c r="N1528" t="s">
        <v>27</v>
      </c>
      <c r="O1528">
        <v>284442</v>
      </c>
      <c r="P1528">
        <v>43543.70416666667</v>
      </c>
      <c r="Q1528">
        <v>43213.476673229168</v>
      </c>
      <c r="R1528">
        <v>1552</v>
      </c>
    </row>
    <row r="1529" spans="1:18" x14ac:dyDescent="0.25">
      <c r="A1529" t="s">
        <v>5219</v>
      </c>
      <c r="B1529" t="s">
        <v>5220</v>
      </c>
      <c r="C1529" t="s">
        <v>5221</v>
      </c>
      <c r="D1529" t="s">
        <v>5221</v>
      </c>
      <c r="E1529" t="s">
        <v>5221</v>
      </c>
      <c r="F1529" t="s">
        <v>21</v>
      </c>
      <c r="G1529" t="s">
        <v>63</v>
      </c>
      <c r="H1529" t="s">
        <v>53</v>
      </c>
      <c r="I1529" t="s">
        <v>810</v>
      </c>
      <c r="J1529">
        <v>2012</v>
      </c>
      <c r="K1529">
        <v>43698.521897777777</v>
      </c>
      <c r="L1529" t="s">
        <v>578</v>
      </c>
      <c r="M1529" t="s">
        <v>1941</v>
      </c>
      <c r="N1529" t="s">
        <v>415</v>
      </c>
      <c r="O1529">
        <v>179521</v>
      </c>
      <c r="P1529">
        <v>43220.916666666664</v>
      </c>
      <c r="Q1529">
        <v>43213.640206400465</v>
      </c>
      <c r="R1529">
        <v>1553</v>
      </c>
    </row>
    <row r="1530" spans="1:18" x14ac:dyDescent="0.25">
      <c r="A1530" t="s">
        <v>5222</v>
      </c>
      <c r="B1530" t="s">
        <v>5223</v>
      </c>
      <c r="C1530" t="s">
        <v>5224</v>
      </c>
      <c r="D1530" t="s">
        <v>5224</v>
      </c>
      <c r="E1530" t="s">
        <v>5224</v>
      </c>
      <c r="F1530" t="s">
        <v>91</v>
      </c>
      <c r="G1530" t="s">
        <v>63</v>
      </c>
      <c r="H1530" t="s">
        <v>34</v>
      </c>
      <c r="I1530" t="s">
        <v>35</v>
      </c>
      <c r="J1530">
        <v>2013</v>
      </c>
      <c r="K1530">
        <v>43698.521897777777</v>
      </c>
      <c r="L1530" t="s">
        <v>193</v>
      </c>
      <c r="M1530" t="s">
        <v>1941</v>
      </c>
      <c r="N1530" t="s">
        <v>415</v>
      </c>
      <c r="O1530">
        <v>347138</v>
      </c>
      <c r="P1530">
        <v>43698.521897777777</v>
      </c>
      <c r="Q1530">
        <v>43213.641309027778</v>
      </c>
      <c r="R1530">
        <v>1554</v>
      </c>
    </row>
    <row r="1531" spans="1:18" x14ac:dyDescent="0.25">
      <c r="A1531" t="s">
        <v>5225</v>
      </c>
      <c r="B1531" t="s">
        <v>5226</v>
      </c>
      <c r="C1531" t="s">
        <v>5227</v>
      </c>
      <c r="D1531" t="s">
        <v>5227</v>
      </c>
      <c r="E1531" t="s">
        <v>5227</v>
      </c>
      <c r="F1531" t="s">
        <v>91</v>
      </c>
      <c r="G1531" t="s">
        <v>63</v>
      </c>
      <c r="H1531" t="s">
        <v>34</v>
      </c>
      <c r="I1531" t="s">
        <v>35</v>
      </c>
      <c r="J1531">
        <v>2006</v>
      </c>
      <c r="K1531">
        <v>43698.521897777777</v>
      </c>
      <c r="L1531" t="s">
        <v>193</v>
      </c>
      <c r="M1531" t="s">
        <v>1941</v>
      </c>
      <c r="N1531" t="s">
        <v>93</v>
      </c>
      <c r="O1531">
        <v>346927</v>
      </c>
      <c r="P1531">
        <v>43698.521897777777</v>
      </c>
      <c r="Q1531">
        <v>43214.445976388888</v>
      </c>
      <c r="R1531">
        <v>1555</v>
      </c>
    </row>
    <row r="1532" spans="1:18" x14ac:dyDescent="0.25">
      <c r="A1532" t="s">
        <v>5228</v>
      </c>
      <c r="B1532" t="s">
        <v>5229</v>
      </c>
      <c r="C1532" t="s">
        <v>5230</v>
      </c>
      <c r="D1532" t="s">
        <v>5230</v>
      </c>
      <c r="E1532" t="s">
        <v>5231</v>
      </c>
      <c r="F1532" t="s">
        <v>21</v>
      </c>
      <c r="G1532" t="s">
        <v>22</v>
      </c>
      <c r="H1532" t="s">
        <v>53</v>
      </c>
      <c r="I1532" t="s">
        <v>3006</v>
      </c>
      <c r="J1532">
        <v>2019</v>
      </c>
      <c r="K1532">
        <v>43698.521897777777</v>
      </c>
      <c r="L1532" t="s">
        <v>193</v>
      </c>
      <c r="M1532" t="s">
        <v>37</v>
      </c>
      <c r="N1532" t="s">
        <v>415</v>
      </c>
      <c r="O1532">
        <v>286901</v>
      </c>
      <c r="P1532">
        <v>43551.868055555555</v>
      </c>
      <c r="Q1532">
        <v>43214.502034224533</v>
      </c>
      <c r="R1532">
        <v>1556</v>
      </c>
    </row>
    <row r="1533" spans="1:18" x14ac:dyDescent="0.25">
      <c r="A1533" t="s">
        <v>5232</v>
      </c>
      <c r="B1533" t="s">
        <v>5233</v>
      </c>
      <c r="C1533" t="s">
        <v>5234</v>
      </c>
      <c r="D1533" t="s">
        <v>5234</v>
      </c>
      <c r="E1533" t="s">
        <v>5235</v>
      </c>
      <c r="F1533" t="s">
        <v>21</v>
      </c>
      <c r="G1533" t="s">
        <v>22</v>
      </c>
      <c r="H1533" t="s">
        <v>53</v>
      </c>
      <c r="I1533" t="s">
        <v>3006</v>
      </c>
      <c r="J1533">
        <v>2019</v>
      </c>
      <c r="K1533">
        <v>43698.521897777777</v>
      </c>
      <c r="L1533" t="s">
        <v>1005</v>
      </c>
      <c r="M1533" t="s">
        <v>37</v>
      </c>
      <c r="N1533" t="s">
        <v>415</v>
      </c>
      <c r="O1533">
        <v>312124</v>
      </c>
      <c r="P1533">
        <v>43614.763194444444</v>
      </c>
      <c r="Q1533">
        <v>43214.509588854169</v>
      </c>
      <c r="R1533">
        <v>1557</v>
      </c>
    </row>
    <row r="1534" spans="1:18" x14ac:dyDescent="0.25">
      <c r="A1534" t="s">
        <v>5236</v>
      </c>
      <c r="B1534" t="s">
        <v>5237</v>
      </c>
      <c r="C1534" t="s">
        <v>5238</v>
      </c>
      <c r="D1534" t="s">
        <v>5238</v>
      </c>
      <c r="E1534" t="s">
        <v>5239</v>
      </c>
      <c r="F1534" t="s">
        <v>21</v>
      </c>
      <c r="G1534" t="s">
        <v>22</v>
      </c>
      <c r="H1534" t="s">
        <v>53</v>
      </c>
      <c r="I1534" t="s">
        <v>3006</v>
      </c>
      <c r="J1534">
        <v>2019</v>
      </c>
      <c r="K1534">
        <v>43698.521897777777</v>
      </c>
      <c r="L1534" t="s">
        <v>193</v>
      </c>
      <c r="M1534" t="s">
        <v>37</v>
      </c>
      <c r="N1534" t="s">
        <v>415</v>
      </c>
      <c r="O1534">
        <v>285115</v>
      </c>
      <c r="P1534">
        <v>43548.347916666666</v>
      </c>
      <c r="Q1534">
        <v>43214.51062144676</v>
      </c>
      <c r="R1534">
        <v>1558</v>
      </c>
    </row>
    <row r="1535" spans="1:18" x14ac:dyDescent="0.25">
      <c r="A1535" t="s">
        <v>5240</v>
      </c>
      <c r="B1535" t="s">
        <v>5241</v>
      </c>
      <c r="C1535" t="s">
        <v>5242</v>
      </c>
      <c r="D1535" t="s">
        <v>5242</v>
      </c>
      <c r="E1535" t="s">
        <v>5243</v>
      </c>
      <c r="F1535" t="s">
        <v>21</v>
      </c>
      <c r="G1535" t="s">
        <v>22</v>
      </c>
      <c r="H1535" t="s">
        <v>53</v>
      </c>
      <c r="I1535" t="s">
        <v>3006</v>
      </c>
      <c r="J1535">
        <v>2019</v>
      </c>
      <c r="K1535">
        <v>43698.521897777777</v>
      </c>
      <c r="L1535" t="s">
        <v>1005</v>
      </c>
      <c r="M1535" t="s">
        <v>37</v>
      </c>
      <c r="N1535" t="s">
        <v>415</v>
      </c>
      <c r="O1535">
        <v>288067</v>
      </c>
      <c r="P1535">
        <v>43552.625694444447</v>
      </c>
      <c r="Q1535">
        <v>43214.511603587962</v>
      </c>
      <c r="R1535">
        <v>1559</v>
      </c>
    </row>
    <row r="1536" spans="1:18" x14ac:dyDescent="0.25">
      <c r="A1536" t="s">
        <v>5244</v>
      </c>
      <c r="B1536" t="s">
        <v>5245</v>
      </c>
      <c r="C1536" t="s">
        <v>5246</v>
      </c>
      <c r="D1536" t="s">
        <v>5246</v>
      </c>
      <c r="E1536" t="s">
        <v>5247</v>
      </c>
      <c r="F1536" t="s">
        <v>21</v>
      </c>
      <c r="G1536" t="s">
        <v>22</v>
      </c>
      <c r="H1536" t="s">
        <v>53</v>
      </c>
      <c r="I1536" t="s">
        <v>3006</v>
      </c>
      <c r="J1536">
        <v>2019</v>
      </c>
      <c r="K1536">
        <v>43698.521897777777</v>
      </c>
      <c r="L1536" t="s">
        <v>1005</v>
      </c>
      <c r="M1536" t="s">
        <v>37</v>
      </c>
      <c r="N1536" t="s">
        <v>415</v>
      </c>
      <c r="O1536">
        <v>279295</v>
      </c>
      <c r="P1536">
        <v>43530.234722222223</v>
      </c>
      <c r="Q1536">
        <v>43214.51223591435</v>
      </c>
      <c r="R1536">
        <v>1560</v>
      </c>
    </row>
    <row r="1537" spans="1:18" x14ac:dyDescent="0.25">
      <c r="A1537" t="s">
        <v>5248</v>
      </c>
      <c r="B1537" t="s">
        <v>5249</v>
      </c>
      <c r="C1537" t="s">
        <v>5250</v>
      </c>
      <c r="D1537" t="s">
        <v>5250</v>
      </c>
      <c r="E1537" t="s">
        <v>5251</v>
      </c>
      <c r="F1537" t="s">
        <v>21</v>
      </c>
      <c r="G1537" t="s">
        <v>22</v>
      </c>
      <c r="H1537" t="s">
        <v>53</v>
      </c>
      <c r="I1537" t="s">
        <v>3006</v>
      </c>
      <c r="J1537">
        <v>2019</v>
      </c>
      <c r="K1537">
        <v>43698.521897777777</v>
      </c>
      <c r="L1537" t="s">
        <v>193</v>
      </c>
      <c r="M1537" t="s">
        <v>37</v>
      </c>
      <c r="N1537" t="s">
        <v>415</v>
      </c>
      <c r="O1537">
        <v>287101</v>
      </c>
      <c r="P1537">
        <v>43552.549097222225</v>
      </c>
      <c r="Q1537">
        <v>43214.523072453703</v>
      </c>
      <c r="R1537">
        <v>1561</v>
      </c>
    </row>
    <row r="1538" spans="1:18" x14ac:dyDescent="0.25">
      <c r="A1538" t="s">
        <v>5252</v>
      </c>
      <c r="B1538" t="s">
        <v>5253</v>
      </c>
      <c r="C1538" t="s">
        <v>5254</v>
      </c>
      <c r="D1538" t="s">
        <v>5254</v>
      </c>
      <c r="E1538" t="s">
        <v>5255</v>
      </c>
      <c r="F1538" t="s">
        <v>21</v>
      </c>
      <c r="G1538" t="s">
        <v>22</v>
      </c>
      <c r="H1538" t="s">
        <v>53</v>
      </c>
      <c r="I1538" t="s">
        <v>3006</v>
      </c>
      <c r="J1538">
        <v>2019</v>
      </c>
      <c r="K1538">
        <v>43698.521897777777</v>
      </c>
      <c r="L1538" t="s">
        <v>193</v>
      </c>
      <c r="M1538" t="s">
        <v>37</v>
      </c>
      <c r="N1538" t="s">
        <v>415</v>
      </c>
      <c r="O1538">
        <v>283520</v>
      </c>
      <c r="P1538">
        <v>43542.923611111109</v>
      </c>
      <c r="Q1538">
        <v>43214.524390706021</v>
      </c>
      <c r="R1538">
        <v>1562</v>
      </c>
    </row>
    <row r="1539" spans="1:18" x14ac:dyDescent="0.25">
      <c r="A1539" t="s">
        <v>5256</v>
      </c>
      <c r="B1539" t="s">
        <v>5257</v>
      </c>
      <c r="C1539" t="s">
        <v>5258</v>
      </c>
      <c r="D1539" t="s">
        <v>5258</v>
      </c>
      <c r="E1539" t="s">
        <v>5259</v>
      </c>
      <c r="F1539" t="s">
        <v>21</v>
      </c>
      <c r="G1539" t="s">
        <v>22</v>
      </c>
      <c r="H1539" t="s">
        <v>53</v>
      </c>
      <c r="I1539" t="s">
        <v>3006</v>
      </c>
      <c r="J1539">
        <v>2019</v>
      </c>
      <c r="K1539">
        <v>43698.521897777777</v>
      </c>
      <c r="L1539" t="s">
        <v>193</v>
      </c>
      <c r="M1539" t="s">
        <v>37</v>
      </c>
      <c r="N1539" t="s">
        <v>415</v>
      </c>
      <c r="O1539">
        <v>280762</v>
      </c>
      <c r="P1539">
        <v>43537.095138888886</v>
      </c>
      <c r="Q1539">
        <v>43214.526735069441</v>
      </c>
      <c r="R1539">
        <v>1563</v>
      </c>
    </row>
    <row r="1540" spans="1:18" x14ac:dyDescent="0.25">
      <c r="A1540" t="s">
        <v>5260</v>
      </c>
      <c r="B1540" t="s">
        <v>5261</v>
      </c>
      <c r="C1540" t="s">
        <v>5262</v>
      </c>
      <c r="D1540" t="s">
        <v>5262</v>
      </c>
      <c r="E1540" t="s">
        <v>5263</v>
      </c>
      <c r="F1540" t="s">
        <v>21</v>
      </c>
      <c r="G1540" t="s">
        <v>22</v>
      </c>
      <c r="H1540" t="s">
        <v>53</v>
      </c>
      <c r="I1540" t="s">
        <v>3006</v>
      </c>
      <c r="J1540">
        <v>2019</v>
      </c>
      <c r="K1540">
        <v>43698.521897777777</v>
      </c>
      <c r="L1540" t="s">
        <v>193</v>
      </c>
      <c r="M1540" t="s">
        <v>37</v>
      </c>
      <c r="N1540" t="s">
        <v>415</v>
      </c>
      <c r="O1540">
        <v>288102</v>
      </c>
      <c r="P1540">
        <v>43553.894976851851</v>
      </c>
      <c r="Q1540">
        <v>43214.530956099537</v>
      </c>
      <c r="R1540">
        <v>1564</v>
      </c>
    </row>
    <row r="1541" spans="1:18" x14ac:dyDescent="0.25">
      <c r="A1541" t="s">
        <v>5264</v>
      </c>
      <c r="B1541" t="s">
        <v>5265</v>
      </c>
      <c r="C1541" t="s">
        <v>5266</v>
      </c>
      <c r="D1541" t="s">
        <v>5266</v>
      </c>
      <c r="E1541" t="s">
        <v>5267</v>
      </c>
      <c r="F1541" t="s">
        <v>21</v>
      </c>
      <c r="G1541" t="s">
        <v>22</v>
      </c>
      <c r="H1541" t="s">
        <v>53</v>
      </c>
      <c r="I1541" t="s">
        <v>3006</v>
      </c>
      <c r="J1541">
        <v>2019</v>
      </c>
      <c r="K1541">
        <v>43698.521897777777</v>
      </c>
      <c r="L1541" t="s">
        <v>1005</v>
      </c>
      <c r="M1541" t="s">
        <v>37</v>
      </c>
      <c r="N1541" t="s">
        <v>415</v>
      </c>
      <c r="O1541">
        <v>298346</v>
      </c>
      <c r="P1541">
        <v>43581.838750000003</v>
      </c>
      <c r="Q1541">
        <v>43214.531967210649</v>
      </c>
      <c r="R1541">
        <v>1565</v>
      </c>
    </row>
    <row r="1542" spans="1:18" x14ac:dyDescent="0.25">
      <c r="A1542" t="s">
        <v>5268</v>
      </c>
      <c r="B1542" t="s">
        <v>5269</v>
      </c>
      <c r="C1542" t="s">
        <v>5270</v>
      </c>
      <c r="D1542" t="s">
        <v>5270</v>
      </c>
      <c r="E1542" t="s">
        <v>5271</v>
      </c>
      <c r="F1542" t="s">
        <v>21</v>
      </c>
      <c r="G1542" t="s">
        <v>22</v>
      </c>
      <c r="H1542" t="s">
        <v>53</v>
      </c>
      <c r="I1542" t="s">
        <v>3006</v>
      </c>
      <c r="J1542">
        <v>2019</v>
      </c>
      <c r="K1542">
        <v>43698.521897777777</v>
      </c>
      <c r="L1542" t="s">
        <v>1005</v>
      </c>
      <c r="M1542" t="s">
        <v>37</v>
      </c>
      <c r="N1542" t="s">
        <v>415</v>
      </c>
      <c r="O1542">
        <v>297414</v>
      </c>
      <c r="P1542">
        <v>43578.019444444442</v>
      </c>
      <c r="Q1542">
        <v>43214.532829710646</v>
      </c>
      <c r="R1542">
        <v>1566</v>
      </c>
    </row>
    <row r="1543" spans="1:18" x14ac:dyDescent="0.25">
      <c r="A1543" t="s">
        <v>5272</v>
      </c>
      <c r="B1543" t="s">
        <v>5273</v>
      </c>
      <c r="C1543" t="s">
        <v>5274</v>
      </c>
      <c r="D1543" t="s">
        <v>5274</v>
      </c>
      <c r="E1543" t="s">
        <v>5275</v>
      </c>
      <c r="F1543" t="s">
        <v>21</v>
      </c>
      <c r="G1543" t="s">
        <v>22</v>
      </c>
      <c r="H1543" t="s">
        <v>53</v>
      </c>
      <c r="I1543" t="s">
        <v>3006</v>
      </c>
      <c r="J1543">
        <v>2019</v>
      </c>
      <c r="K1543">
        <v>43698.521897777777</v>
      </c>
      <c r="L1543" t="s">
        <v>193</v>
      </c>
      <c r="M1543" t="s">
        <v>37</v>
      </c>
      <c r="N1543" t="s">
        <v>415</v>
      </c>
      <c r="O1543">
        <v>306589</v>
      </c>
      <c r="P1543">
        <v>43600.10628472222</v>
      </c>
      <c r="Q1543">
        <v>43214.534210300924</v>
      </c>
      <c r="R1543">
        <v>1567</v>
      </c>
    </row>
    <row r="1544" spans="1:18" x14ac:dyDescent="0.25">
      <c r="A1544" t="s">
        <v>5276</v>
      </c>
      <c r="B1544" t="s">
        <v>5277</v>
      </c>
      <c r="C1544" t="s">
        <v>5278</v>
      </c>
      <c r="D1544" t="s">
        <v>5278</v>
      </c>
      <c r="E1544" t="s">
        <v>5279</v>
      </c>
      <c r="F1544" t="s">
        <v>21</v>
      </c>
      <c r="G1544" t="s">
        <v>22</v>
      </c>
      <c r="H1544" t="s">
        <v>53</v>
      </c>
      <c r="I1544" t="s">
        <v>3006</v>
      </c>
      <c r="J1544">
        <v>2019</v>
      </c>
      <c r="K1544">
        <v>43698.521897777777</v>
      </c>
      <c r="L1544" t="s">
        <v>193</v>
      </c>
      <c r="M1544" t="s">
        <v>37</v>
      </c>
      <c r="N1544" t="s">
        <v>415</v>
      </c>
      <c r="O1544">
        <v>280220</v>
      </c>
      <c r="P1544">
        <v>43539.836747685185</v>
      </c>
      <c r="Q1544">
        <v>43214.534927928238</v>
      </c>
      <c r="R1544">
        <v>1568</v>
      </c>
    </row>
    <row r="1545" spans="1:18" x14ac:dyDescent="0.25">
      <c r="A1545" t="s">
        <v>5280</v>
      </c>
      <c r="B1545" t="s">
        <v>5281</v>
      </c>
      <c r="C1545" t="s">
        <v>5282</v>
      </c>
      <c r="D1545" t="s">
        <v>5282</v>
      </c>
      <c r="E1545" t="s">
        <v>5283</v>
      </c>
      <c r="F1545" t="s">
        <v>21</v>
      </c>
      <c r="G1545" t="s">
        <v>22</v>
      </c>
      <c r="H1545" t="s">
        <v>53</v>
      </c>
      <c r="I1545" t="s">
        <v>3006</v>
      </c>
      <c r="J1545">
        <v>2019</v>
      </c>
      <c r="K1545">
        <v>43698.521897777777</v>
      </c>
      <c r="L1545" t="s">
        <v>1940</v>
      </c>
      <c r="M1545" t="s">
        <v>37</v>
      </c>
      <c r="N1545" t="s">
        <v>415</v>
      </c>
      <c r="O1545">
        <v>266743</v>
      </c>
      <c r="P1545">
        <v>43498.030555555553</v>
      </c>
      <c r="Q1545">
        <v>43214.535706481482</v>
      </c>
      <c r="R1545">
        <v>1569</v>
      </c>
    </row>
    <row r="1546" spans="1:18" x14ac:dyDescent="0.25">
      <c r="A1546" t="s">
        <v>5284</v>
      </c>
      <c r="B1546" t="s">
        <v>5285</v>
      </c>
      <c r="C1546" t="s">
        <v>5286</v>
      </c>
      <c r="D1546" t="s">
        <v>5286</v>
      </c>
      <c r="E1546" t="s">
        <v>5287</v>
      </c>
      <c r="F1546" t="s">
        <v>21</v>
      </c>
      <c r="G1546" t="s">
        <v>22</v>
      </c>
      <c r="H1546" t="s">
        <v>53</v>
      </c>
      <c r="I1546" t="s">
        <v>3006</v>
      </c>
      <c r="J1546">
        <v>2019</v>
      </c>
      <c r="K1546">
        <v>43698.521897777777</v>
      </c>
      <c r="L1546" t="s">
        <v>193</v>
      </c>
      <c r="M1546" t="s">
        <v>37</v>
      </c>
      <c r="N1546" t="s">
        <v>415</v>
      </c>
      <c r="O1546">
        <v>286819</v>
      </c>
      <c r="P1546">
        <v>43550.759722222225</v>
      </c>
      <c r="Q1546">
        <v>43214.536434872687</v>
      </c>
      <c r="R1546">
        <v>1570</v>
      </c>
    </row>
    <row r="1547" spans="1:18" x14ac:dyDescent="0.25">
      <c r="A1547" t="s">
        <v>5288</v>
      </c>
      <c r="B1547" t="s">
        <v>5289</v>
      </c>
      <c r="C1547" t="s">
        <v>5290</v>
      </c>
      <c r="D1547" t="s">
        <v>5290</v>
      </c>
      <c r="E1547" t="s">
        <v>5291</v>
      </c>
      <c r="F1547" t="s">
        <v>21</v>
      </c>
      <c r="G1547" t="s">
        <v>22</v>
      </c>
      <c r="H1547" t="s">
        <v>53</v>
      </c>
      <c r="I1547" t="s">
        <v>3006</v>
      </c>
      <c r="J1547">
        <v>2019</v>
      </c>
      <c r="K1547">
        <v>43698.521897777777</v>
      </c>
      <c r="L1547" t="s">
        <v>193</v>
      </c>
      <c r="M1547" t="s">
        <v>42</v>
      </c>
      <c r="N1547" t="s">
        <v>415</v>
      </c>
      <c r="O1547">
        <v>277831</v>
      </c>
      <c r="P1547">
        <v>43526.893252314818</v>
      </c>
      <c r="Q1547">
        <v>43214.537907256941</v>
      </c>
      <c r="R1547">
        <v>1571</v>
      </c>
    </row>
    <row r="1548" spans="1:18" x14ac:dyDescent="0.25">
      <c r="A1548" t="s">
        <v>5292</v>
      </c>
      <c r="B1548" t="s">
        <v>5293</v>
      </c>
      <c r="C1548" t="s">
        <v>5294</v>
      </c>
      <c r="D1548" t="s">
        <v>5294</v>
      </c>
      <c r="E1548" t="s">
        <v>5295</v>
      </c>
      <c r="F1548" t="s">
        <v>21</v>
      </c>
      <c r="G1548" t="s">
        <v>22</v>
      </c>
      <c r="H1548" t="s">
        <v>53</v>
      </c>
      <c r="I1548" t="s">
        <v>3006</v>
      </c>
      <c r="J1548">
        <v>2019</v>
      </c>
      <c r="K1548">
        <v>43698.521897777777</v>
      </c>
      <c r="L1548" t="s">
        <v>193</v>
      </c>
      <c r="M1548" t="s">
        <v>42</v>
      </c>
      <c r="N1548" t="s">
        <v>415</v>
      </c>
      <c r="Q1548">
        <v>43214.538989004628</v>
      </c>
      <c r="R1548">
        <v>1572</v>
      </c>
    </row>
    <row r="1549" spans="1:18" x14ac:dyDescent="0.25">
      <c r="A1549" t="s">
        <v>5296</v>
      </c>
      <c r="B1549" t="s">
        <v>5297</v>
      </c>
      <c r="C1549" t="s">
        <v>5298</v>
      </c>
      <c r="D1549" t="s">
        <v>5298</v>
      </c>
      <c r="E1549" t="s">
        <v>5299</v>
      </c>
      <c r="F1549" t="s">
        <v>21</v>
      </c>
      <c r="G1549" t="s">
        <v>22</v>
      </c>
      <c r="H1549" t="s">
        <v>53</v>
      </c>
      <c r="I1549" t="s">
        <v>3006</v>
      </c>
      <c r="J1549">
        <v>2019</v>
      </c>
      <c r="K1549">
        <v>43698.521897777777</v>
      </c>
      <c r="L1549" t="s">
        <v>193</v>
      </c>
      <c r="M1549" t="s">
        <v>42</v>
      </c>
      <c r="N1549" t="s">
        <v>415</v>
      </c>
      <c r="O1549">
        <v>276273</v>
      </c>
      <c r="P1549">
        <v>43524.927777777775</v>
      </c>
      <c r="Q1549">
        <v>43214.539733831021</v>
      </c>
      <c r="R1549">
        <v>1573</v>
      </c>
    </row>
    <row r="1550" spans="1:18" x14ac:dyDescent="0.25">
      <c r="A1550" t="s">
        <v>5300</v>
      </c>
      <c r="B1550" t="s">
        <v>5301</v>
      </c>
      <c r="C1550" t="s">
        <v>5302</v>
      </c>
      <c r="D1550" t="s">
        <v>5302</v>
      </c>
      <c r="E1550" t="s">
        <v>5303</v>
      </c>
      <c r="F1550" t="s">
        <v>21</v>
      </c>
      <c r="G1550" t="s">
        <v>22</v>
      </c>
      <c r="H1550" t="s">
        <v>53</v>
      </c>
      <c r="I1550" t="s">
        <v>3006</v>
      </c>
      <c r="J1550">
        <v>2019</v>
      </c>
      <c r="K1550">
        <v>43698.521897777777</v>
      </c>
      <c r="L1550" t="s">
        <v>193</v>
      </c>
      <c r="M1550" t="s">
        <v>42</v>
      </c>
      <c r="N1550" t="s">
        <v>415</v>
      </c>
      <c r="O1550">
        <v>274908</v>
      </c>
      <c r="P1550">
        <v>43518.553472222222</v>
      </c>
      <c r="Q1550">
        <v>43214.540474456022</v>
      </c>
      <c r="R1550">
        <v>1574</v>
      </c>
    </row>
    <row r="1551" spans="1:18" x14ac:dyDescent="0.25">
      <c r="A1551" t="s">
        <v>5304</v>
      </c>
      <c r="B1551" t="s">
        <v>5305</v>
      </c>
      <c r="C1551" t="s">
        <v>5306</v>
      </c>
      <c r="D1551" t="s">
        <v>5306</v>
      </c>
      <c r="E1551" t="s">
        <v>5307</v>
      </c>
      <c r="F1551" t="s">
        <v>21</v>
      </c>
      <c r="G1551" t="s">
        <v>22</v>
      </c>
      <c r="H1551" t="s">
        <v>53</v>
      </c>
      <c r="I1551" t="s">
        <v>3006</v>
      </c>
      <c r="J1551">
        <v>2019</v>
      </c>
      <c r="K1551">
        <v>43698.521897777777</v>
      </c>
      <c r="L1551" t="s">
        <v>193</v>
      </c>
      <c r="M1551" t="s">
        <v>42</v>
      </c>
      <c r="N1551" t="s">
        <v>415</v>
      </c>
      <c r="O1551">
        <v>277035</v>
      </c>
      <c r="P1551">
        <v>43525.673182870371</v>
      </c>
      <c r="Q1551">
        <v>43214.541185844908</v>
      </c>
      <c r="R1551">
        <v>1575</v>
      </c>
    </row>
    <row r="1552" spans="1:18" x14ac:dyDescent="0.25">
      <c r="A1552" t="s">
        <v>5308</v>
      </c>
      <c r="B1552" t="s">
        <v>5309</v>
      </c>
      <c r="C1552" t="s">
        <v>5310</v>
      </c>
      <c r="D1552" t="s">
        <v>5310</v>
      </c>
      <c r="E1552" t="s">
        <v>5311</v>
      </c>
      <c r="F1552" t="s">
        <v>21</v>
      </c>
      <c r="G1552" t="s">
        <v>22</v>
      </c>
      <c r="H1552" t="s">
        <v>53</v>
      </c>
      <c r="I1552" t="s">
        <v>3006</v>
      </c>
      <c r="J1552">
        <v>2019</v>
      </c>
      <c r="K1552">
        <v>43698.521897777777</v>
      </c>
      <c r="L1552" t="s">
        <v>193</v>
      </c>
      <c r="M1552" t="s">
        <v>42</v>
      </c>
      <c r="N1552" t="s">
        <v>415</v>
      </c>
      <c r="O1552">
        <v>274850</v>
      </c>
      <c r="P1552">
        <v>43518.791666666664</v>
      </c>
      <c r="Q1552">
        <v>43214.541925543985</v>
      </c>
      <c r="R1552">
        <v>1576</v>
      </c>
    </row>
    <row r="1553" spans="1:18" x14ac:dyDescent="0.25">
      <c r="A1553" t="s">
        <v>5312</v>
      </c>
      <c r="B1553" t="s">
        <v>5313</v>
      </c>
      <c r="C1553" t="s">
        <v>5314</v>
      </c>
      <c r="D1553" t="s">
        <v>5314</v>
      </c>
      <c r="E1553" t="s">
        <v>5315</v>
      </c>
      <c r="F1553" t="s">
        <v>21</v>
      </c>
      <c r="G1553" t="s">
        <v>22</v>
      </c>
      <c r="H1553" t="s">
        <v>53</v>
      </c>
      <c r="I1553" t="s">
        <v>3006</v>
      </c>
      <c r="J1553">
        <v>2019</v>
      </c>
      <c r="K1553">
        <v>43698.521897777777</v>
      </c>
      <c r="L1553" t="s">
        <v>1005</v>
      </c>
      <c r="M1553" t="s">
        <v>42</v>
      </c>
      <c r="N1553" t="s">
        <v>415</v>
      </c>
      <c r="O1553">
        <v>289258</v>
      </c>
      <c r="P1553">
        <v>43558.449305555558</v>
      </c>
      <c r="Q1553">
        <v>43214.542653784723</v>
      </c>
      <c r="R1553">
        <v>1577</v>
      </c>
    </row>
    <row r="1554" spans="1:18" x14ac:dyDescent="0.25">
      <c r="A1554" t="s">
        <v>5316</v>
      </c>
      <c r="B1554" t="s">
        <v>5317</v>
      </c>
      <c r="C1554" t="s">
        <v>5318</v>
      </c>
      <c r="D1554" t="s">
        <v>5318</v>
      </c>
      <c r="E1554" t="s">
        <v>5319</v>
      </c>
      <c r="F1554" t="s">
        <v>21</v>
      </c>
      <c r="G1554" t="s">
        <v>22</v>
      </c>
      <c r="H1554" t="s">
        <v>53</v>
      </c>
      <c r="I1554" t="s">
        <v>3006</v>
      </c>
      <c r="J1554">
        <v>2019</v>
      </c>
      <c r="K1554">
        <v>43698.521897777777</v>
      </c>
      <c r="L1554" t="s">
        <v>193</v>
      </c>
      <c r="M1554" t="s">
        <v>42</v>
      </c>
      <c r="N1554" t="s">
        <v>415</v>
      </c>
      <c r="O1554">
        <v>276831</v>
      </c>
      <c r="P1554">
        <v>43524.843055555553</v>
      </c>
      <c r="Q1554">
        <v>43214.543377743059</v>
      </c>
      <c r="R1554">
        <v>1578</v>
      </c>
    </row>
    <row r="1555" spans="1:18" x14ac:dyDescent="0.25">
      <c r="A1555" t="s">
        <v>5320</v>
      </c>
      <c r="B1555" t="s">
        <v>5321</v>
      </c>
      <c r="C1555" t="s">
        <v>5322</v>
      </c>
      <c r="D1555" t="s">
        <v>5322</v>
      </c>
      <c r="E1555" t="s">
        <v>5323</v>
      </c>
      <c r="F1555" t="s">
        <v>21</v>
      </c>
      <c r="G1555" t="s">
        <v>22</v>
      </c>
      <c r="H1555" t="s">
        <v>53</v>
      </c>
      <c r="I1555" t="s">
        <v>3006</v>
      </c>
      <c r="J1555">
        <v>2019</v>
      </c>
      <c r="K1555">
        <v>43698.521897777777</v>
      </c>
      <c r="L1555" t="s">
        <v>193</v>
      </c>
      <c r="M1555" t="s">
        <v>42</v>
      </c>
      <c r="N1555" t="s">
        <v>415</v>
      </c>
      <c r="O1555">
        <v>275724</v>
      </c>
      <c r="P1555">
        <v>43524.359618055554</v>
      </c>
      <c r="Q1555">
        <v>43214.544073229168</v>
      </c>
      <c r="R1555">
        <v>1579</v>
      </c>
    </row>
    <row r="1556" spans="1:18" x14ac:dyDescent="0.25">
      <c r="A1556" t="s">
        <v>5324</v>
      </c>
      <c r="B1556" t="s">
        <v>5325</v>
      </c>
      <c r="C1556" t="s">
        <v>5326</v>
      </c>
      <c r="D1556" t="s">
        <v>5326</v>
      </c>
      <c r="E1556" t="s">
        <v>5327</v>
      </c>
      <c r="F1556" t="s">
        <v>21</v>
      </c>
      <c r="G1556" t="s">
        <v>22</v>
      </c>
      <c r="H1556" t="s">
        <v>53</v>
      </c>
      <c r="I1556" t="s">
        <v>3006</v>
      </c>
      <c r="J1556">
        <v>2019</v>
      </c>
      <c r="K1556">
        <v>43698.521897777777</v>
      </c>
      <c r="L1556" t="s">
        <v>193</v>
      </c>
      <c r="M1556" t="s">
        <v>42</v>
      </c>
      <c r="N1556" t="s">
        <v>415</v>
      </c>
      <c r="O1556">
        <v>278099</v>
      </c>
      <c r="P1556">
        <v>43529.625694444447</v>
      </c>
      <c r="Q1556">
        <v>43214.566684953701</v>
      </c>
      <c r="R1556">
        <v>1580</v>
      </c>
    </row>
    <row r="1557" spans="1:18" x14ac:dyDescent="0.25">
      <c r="A1557" t="s">
        <v>5328</v>
      </c>
      <c r="B1557" t="s">
        <v>5329</v>
      </c>
      <c r="C1557" t="s">
        <v>5330</v>
      </c>
      <c r="D1557" t="s">
        <v>5330</v>
      </c>
      <c r="E1557" t="s">
        <v>5331</v>
      </c>
      <c r="F1557" t="s">
        <v>91</v>
      </c>
      <c r="G1557" t="s">
        <v>22</v>
      </c>
      <c r="H1557" t="s">
        <v>53</v>
      </c>
      <c r="I1557" t="s">
        <v>3006</v>
      </c>
      <c r="J1557">
        <v>2019</v>
      </c>
      <c r="K1557">
        <v>43698.521897777777</v>
      </c>
      <c r="L1557" t="s">
        <v>422</v>
      </c>
      <c r="M1557" t="s">
        <v>2777</v>
      </c>
      <c r="N1557" t="s">
        <v>1439</v>
      </c>
      <c r="O1557">
        <v>346678</v>
      </c>
      <c r="P1557">
        <v>43698.083333333336</v>
      </c>
      <c r="Q1557">
        <v>43214.57085246528</v>
      </c>
      <c r="R1557">
        <v>1584</v>
      </c>
    </row>
    <row r="1558" spans="1:18" x14ac:dyDescent="0.25">
      <c r="A1558" t="s">
        <v>5332</v>
      </c>
      <c r="B1558" t="s">
        <v>5333</v>
      </c>
      <c r="C1558" t="s">
        <v>5334</v>
      </c>
      <c r="D1558" t="s">
        <v>5334</v>
      </c>
      <c r="E1558" t="s">
        <v>5335</v>
      </c>
      <c r="F1558" t="s">
        <v>91</v>
      </c>
      <c r="G1558" t="s">
        <v>22</v>
      </c>
      <c r="H1558" t="s">
        <v>53</v>
      </c>
      <c r="I1558" t="s">
        <v>3006</v>
      </c>
      <c r="J1558">
        <v>2019</v>
      </c>
      <c r="K1558">
        <v>43698.521897777777</v>
      </c>
      <c r="L1558" t="s">
        <v>2783</v>
      </c>
      <c r="M1558" t="s">
        <v>2777</v>
      </c>
      <c r="N1558" t="s">
        <v>994</v>
      </c>
      <c r="O1558">
        <v>346894</v>
      </c>
      <c r="P1558">
        <v>43698.521897777777</v>
      </c>
      <c r="Q1558">
        <v>43214.571712002318</v>
      </c>
      <c r="R1558">
        <v>1585</v>
      </c>
    </row>
    <row r="1559" spans="1:18" x14ac:dyDescent="0.25">
      <c r="A1559" t="s">
        <v>5336</v>
      </c>
      <c r="B1559" t="s">
        <v>5337</v>
      </c>
      <c r="C1559" t="s">
        <v>5338</v>
      </c>
      <c r="D1559" t="s">
        <v>5338</v>
      </c>
      <c r="E1559" t="s">
        <v>5339</v>
      </c>
      <c r="F1559" t="s">
        <v>91</v>
      </c>
      <c r="G1559" t="s">
        <v>22</v>
      </c>
      <c r="H1559" t="s">
        <v>53</v>
      </c>
      <c r="I1559" t="s">
        <v>3006</v>
      </c>
      <c r="J1559">
        <v>2019</v>
      </c>
      <c r="K1559">
        <v>43698.521897777777</v>
      </c>
      <c r="L1559" t="s">
        <v>422</v>
      </c>
      <c r="M1559" t="s">
        <v>2777</v>
      </c>
      <c r="N1559" t="s">
        <v>415</v>
      </c>
      <c r="O1559">
        <v>346807</v>
      </c>
      <c r="P1559">
        <v>43698.270833333336</v>
      </c>
      <c r="Q1559">
        <v>43214.573918634262</v>
      </c>
      <c r="R1559">
        <v>1587</v>
      </c>
    </row>
    <row r="1560" spans="1:18" x14ac:dyDescent="0.25">
      <c r="A1560" t="s">
        <v>5340</v>
      </c>
      <c r="B1560" t="s">
        <v>5341</v>
      </c>
      <c r="C1560" t="s">
        <v>5342</v>
      </c>
      <c r="D1560" t="s">
        <v>5342</v>
      </c>
      <c r="E1560" t="s">
        <v>5343</v>
      </c>
      <c r="F1560" t="s">
        <v>91</v>
      </c>
      <c r="G1560" t="s">
        <v>22</v>
      </c>
      <c r="H1560" t="s">
        <v>53</v>
      </c>
      <c r="I1560" t="s">
        <v>3006</v>
      </c>
      <c r="J1560">
        <v>2019</v>
      </c>
      <c r="K1560">
        <v>43698.521897777777</v>
      </c>
      <c r="L1560" t="s">
        <v>422</v>
      </c>
      <c r="M1560" t="s">
        <v>2777</v>
      </c>
      <c r="N1560" t="s">
        <v>415</v>
      </c>
      <c r="O1560">
        <v>346809</v>
      </c>
      <c r="P1560">
        <v>43698.183333333334</v>
      </c>
      <c r="Q1560">
        <v>43214.575669293983</v>
      </c>
      <c r="R1560">
        <v>1588</v>
      </c>
    </row>
    <row r="1561" spans="1:18" x14ac:dyDescent="0.25">
      <c r="A1561" t="s">
        <v>5344</v>
      </c>
      <c r="B1561" t="s">
        <v>5345</v>
      </c>
      <c r="C1561" t="s">
        <v>5346</v>
      </c>
      <c r="D1561" t="s">
        <v>5346</v>
      </c>
      <c r="E1561" t="s">
        <v>5347</v>
      </c>
      <c r="F1561" t="s">
        <v>91</v>
      </c>
      <c r="G1561" t="s">
        <v>22</v>
      </c>
      <c r="H1561" t="s">
        <v>53</v>
      </c>
      <c r="I1561" t="s">
        <v>3006</v>
      </c>
      <c r="J1561">
        <v>2019</v>
      </c>
      <c r="K1561">
        <v>43698.521897777777</v>
      </c>
      <c r="L1561" t="s">
        <v>422</v>
      </c>
      <c r="M1561" t="s">
        <v>2777</v>
      </c>
      <c r="N1561" t="s">
        <v>415</v>
      </c>
      <c r="O1561">
        <v>347044</v>
      </c>
      <c r="P1561">
        <v>43698.521897777777</v>
      </c>
      <c r="Q1561">
        <v>43214.578995023148</v>
      </c>
      <c r="R1561">
        <v>1590</v>
      </c>
    </row>
    <row r="1562" spans="1:18" x14ac:dyDescent="0.25">
      <c r="A1562" t="s">
        <v>5348</v>
      </c>
      <c r="B1562" t="s">
        <v>5349</v>
      </c>
      <c r="C1562" t="s">
        <v>5350</v>
      </c>
      <c r="D1562" t="s">
        <v>5350</v>
      </c>
      <c r="E1562" t="s">
        <v>5351</v>
      </c>
      <c r="F1562" t="s">
        <v>91</v>
      </c>
      <c r="G1562" t="s">
        <v>22</v>
      </c>
      <c r="H1562" t="s">
        <v>53</v>
      </c>
      <c r="I1562" t="s">
        <v>3006</v>
      </c>
      <c r="J1562">
        <v>2019</v>
      </c>
      <c r="K1562">
        <v>43698.521897777777</v>
      </c>
      <c r="L1562" t="s">
        <v>422</v>
      </c>
      <c r="M1562" t="s">
        <v>2777</v>
      </c>
      <c r="N1562" t="s">
        <v>415</v>
      </c>
      <c r="O1562">
        <v>347067</v>
      </c>
      <c r="P1562">
        <v>43698.521897777777</v>
      </c>
      <c r="Q1562">
        <v>43214.581849652779</v>
      </c>
      <c r="R1562">
        <v>1592</v>
      </c>
    </row>
    <row r="1563" spans="1:18" x14ac:dyDescent="0.25">
      <c r="A1563" t="s">
        <v>5352</v>
      </c>
      <c r="B1563" t="s">
        <v>5353</v>
      </c>
      <c r="C1563" t="s">
        <v>5354</v>
      </c>
      <c r="D1563" t="s">
        <v>5354</v>
      </c>
      <c r="E1563" t="s">
        <v>5355</v>
      </c>
      <c r="F1563" t="s">
        <v>91</v>
      </c>
      <c r="G1563" t="s">
        <v>22</v>
      </c>
      <c r="H1563" t="s">
        <v>53</v>
      </c>
      <c r="I1563" t="s">
        <v>3006</v>
      </c>
      <c r="J1563">
        <v>2019</v>
      </c>
      <c r="K1563">
        <v>43698.521897777777</v>
      </c>
      <c r="L1563" t="s">
        <v>422</v>
      </c>
      <c r="M1563" t="s">
        <v>2777</v>
      </c>
      <c r="N1563" t="s">
        <v>415</v>
      </c>
      <c r="O1563">
        <v>346663</v>
      </c>
      <c r="P1563">
        <v>43698.0625</v>
      </c>
      <c r="Q1563">
        <v>43214.584733449075</v>
      </c>
      <c r="R1563">
        <v>1595</v>
      </c>
    </row>
    <row r="1564" spans="1:18" x14ac:dyDescent="0.25">
      <c r="A1564" t="s">
        <v>5356</v>
      </c>
      <c r="B1564" t="s">
        <v>5357</v>
      </c>
      <c r="C1564" t="s">
        <v>5358</v>
      </c>
      <c r="D1564" t="s">
        <v>5358</v>
      </c>
      <c r="E1564" t="s">
        <v>5359</v>
      </c>
      <c r="F1564" t="s">
        <v>91</v>
      </c>
      <c r="G1564" t="s">
        <v>22</v>
      </c>
      <c r="H1564" t="s">
        <v>53</v>
      </c>
      <c r="I1564" t="s">
        <v>3006</v>
      </c>
      <c r="J1564">
        <v>2019</v>
      </c>
      <c r="K1564">
        <v>43698.521897777777</v>
      </c>
      <c r="L1564" t="s">
        <v>1809</v>
      </c>
      <c r="M1564" t="s">
        <v>154</v>
      </c>
      <c r="N1564" t="s">
        <v>1305</v>
      </c>
      <c r="O1564">
        <v>346778</v>
      </c>
      <c r="P1564">
        <v>43698.521897777777</v>
      </c>
      <c r="Q1564">
        <v>43214.586033761574</v>
      </c>
      <c r="R1564">
        <v>1596</v>
      </c>
    </row>
    <row r="1565" spans="1:18" x14ac:dyDescent="0.25">
      <c r="A1565" t="s">
        <v>5360</v>
      </c>
      <c r="B1565" t="s">
        <v>5361</v>
      </c>
      <c r="C1565" t="s">
        <v>5362</v>
      </c>
      <c r="D1565" t="s">
        <v>5362</v>
      </c>
      <c r="E1565" t="s">
        <v>5363</v>
      </c>
      <c r="F1565" t="s">
        <v>91</v>
      </c>
      <c r="G1565" t="s">
        <v>22</v>
      </c>
      <c r="H1565" t="s">
        <v>53</v>
      </c>
      <c r="I1565" t="s">
        <v>3006</v>
      </c>
      <c r="J1565">
        <v>2019</v>
      </c>
      <c r="K1565">
        <v>43698.521897777777</v>
      </c>
      <c r="L1565" t="s">
        <v>1809</v>
      </c>
      <c r="M1565" t="s">
        <v>154</v>
      </c>
      <c r="N1565" t="s">
        <v>1305</v>
      </c>
      <c r="O1565">
        <v>346774</v>
      </c>
      <c r="P1565">
        <v>43698.521897777777</v>
      </c>
      <c r="Q1565">
        <v>43214.586929976853</v>
      </c>
      <c r="R1565">
        <v>1597</v>
      </c>
    </row>
    <row r="1566" spans="1:18" x14ac:dyDescent="0.25">
      <c r="A1566" t="s">
        <v>5364</v>
      </c>
      <c r="B1566" t="s">
        <v>5365</v>
      </c>
      <c r="C1566" t="s">
        <v>5366</v>
      </c>
      <c r="D1566" t="s">
        <v>5366</v>
      </c>
      <c r="E1566" t="s">
        <v>5367</v>
      </c>
      <c r="F1566" t="s">
        <v>91</v>
      </c>
      <c r="G1566" t="s">
        <v>22</v>
      </c>
      <c r="H1566" t="s">
        <v>53</v>
      </c>
      <c r="I1566" t="s">
        <v>3006</v>
      </c>
      <c r="J1566">
        <v>2019</v>
      </c>
      <c r="K1566">
        <v>43698.521897777777</v>
      </c>
      <c r="L1566" t="s">
        <v>1809</v>
      </c>
      <c r="M1566" t="s">
        <v>154</v>
      </c>
      <c r="N1566" t="s">
        <v>1305</v>
      </c>
      <c r="O1566">
        <v>346860</v>
      </c>
      <c r="P1566">
        <v>43698.521897777777</v>
      </c>
      <c r="Q1566">
        <v>43214.587736377318</v>
      </c>
      <c r="R1566">
        <v>1598</v>
      </c>
    </row>
    <row r="1567" spans="1:18" x14ac:dyDescent="0.25">
      <c r="A1567" t="s">
        <v>5368</v>
      </c>
      <c r="B1567" t="s">
        <v>5369</v>
      </c>
      <c r="C1567" t="s">
        <v>5370</v>
      </c>
      <c r="D1567" t="s">
        <v>5370</v>
      </c>
      <c r="E1567" t="s">
        <v>5371</v>
      </c>
      <c r="F1567" t="s">
        <v>91</v>
      </c>
      <c r="G1567" t="s">
        <v>22</v>
      </c>
      <c r="H1567" t="s">
        <v>53</v>
      </c>
      <c r="I1567" t="s">
        <v>3006</v>
      </c>
      <c r="J1567">
        <v>2019</v>
      </c>
      <c r="K1567">
        <v>43698.521897777777</v>
      </c>
      <c r="L1567" t="s">
        <v>1809</v>
      </c>
      <c r="M1567" t="s">
        <v>154</v>
      </c>
      <c r="N1567" t="s">
        <v>415</v>
      </c>
      <c r="O1567">
        <v>346804</v>
      </c>
      <c r="P1567">
        <v>43698.521897777777</v>
      </c>
      <c r="Q1567">
        <v>43214.588476539349</v>
      </c>
      <c r="R1567">
        <v>1599</v>
      </c>
    </row>
    <row r="1568" spans="1:18" x14ac:dyDescent="0.25">
      <c r="A1568" t="s">
        <v>5372</v>
      </c>
      <c r="B1568" t="s">
        <v>5373</v>
      </c>
      <c r="C1568" t="s">
        <v>5374</v>
      </c>
      <c r="D1568" t="s">
        <v>5374</v>
      </c>
      <c r="E1568" t="s">
        <v>5375</v>
      </c>
      <c r="F1568" t="s">
        <v>91</v>
      </c>
      <c r="G1568" t="s">
        <v>22</v>
      </c>
      <c r="H1568" t="s">
        <v>53</v>
      </c>
      <c r="I1568" t="s">
        <v>3006</v>
      </c>
      <c r="J1568">
        <v>2019</v>
      </c>
      <c r="K1568">
        <v>43698.521897777777</v>
      </c>
      <c r="L1568" t="s">
        <v>1809</v>
      </c>
      <c r="M1568" t="s">
        <v>154</v>
      </c>
      <c r="N1568" t="s">
        <v>1305</v>
      </c>
      <c r="O1568">
        <v>346738</v>
      </c>
      <c r="P1568">
        <v>43698.521897777777</v>
      </c>
      <c r="Q1568">
        <v>43214.589177233793</v>
      </c>
      <c r="R1568">
        <v>1600</v>
      </c>
    </row>
    <row r="1569" spans="1:18" x14ac:dyDescent="0.25">
      <c r="A1569" t="s">
        <v>5376</v>
      </c>
      <c r="B1569" t="s">
        <v>5377</v>
      </c>
      <c r="C1569" t="s">
        <v>5378</v>
      </c>
      <c r="D1569" t="s">
        <v>5378</v>
      </c>
      <c r="E1569" t="s">
        <v>5378</v>
      </c>
      <c r="F1569" t="s">
        <v>21</v>
      </c>
      <c r="G1569" t="s">
        <v>63</v>
      </c>
      <c r="H1569" t="s">
        <v>80</v>
      </c>
      <c r="I1569" t="s">
        <v>3071</v>
      </c>
      <c r="J1569">
        <v>2014</v>
      </c>
      <c r="K1569">
        <v>43698.521897777777</v>
      </c>
      <c r="L1569" t="s">
        <v>1005</v>
      </c>
      <c r="M1569" t="s">
        <v>1941</v>
      </c>
      <c r="N1569" t="s">
        <v>27</v>
      </c>
      <c r="O1569">
        <v>196406</v>
      </c>
      <c r="P1569">
        <v>43283.884722222225</v>
      </c>
      <c r="Q1569">
        <v>43214.622981400462</v>
      </c>
      <c r="R1569">
        <v>1601</v>
      </c>
    </row>
    <row r="1570" spans="1:18" x14ac:dyDescent="0.25">
      <c r="A1570" t="s">
        <v>5379</v>
      </c>
      <c r="B1570" t="s">
        <v>2417</v>
      </c>
      <c r="C1570" t="s">
        <v>5380</v>
      </c>
      <c r="D1570" t="s">
        <v>5380</v>
      </c>
      <c r="E1570" t="s">
        <v>5381</v>
      </c>
      <c r="F1570" t="s">
        <v>253</v>
      </c>
      <c r="G1570" t="s">
        <v>22</v>
      </c>
      <c r="H1570" t="s">
        <v>520</v>
      </c>
      <c r="I1570" t="s">
        <v>25</v>
      </c>
      <c r="J1570">
        <v>2017</v>
      </c>
      <c r="K1570">
        <v>43698.521897777777</v>
      </c>
      <c r="L1570" t="s">
        <v>1809</v>
      </c>
      <c r="M1570" t="s">
        <v>154</v>
      </c>
      <c r="N1570" t="s">
        <v>1305</v>
      </c>
      <c r="Q1570">
        <v>43217.544333530095</v>
      </c>
      <c r="R1570">
        <v>1602</v>
      </c>
    </row>
    <row r="1571" spans="1:18" x14ac:dyDescent="0.25">
      <c r="A1571" t="s">
        <v>5382</v>
      </c>
      <c r="B1571" t="s">
        <v>5383</v>
      </c>
      <c r="C1571" t="s">
        <v>5384</v>
      </c>
      <c r="D1571" t="s">
        <v>5384</v>
      </c>
      <c r="E1571" t="s">
        <v>5384</v>
      </c>
      <c r="F1571" t="s">
        <v>91</v>
      </c>
      <c r="G1571" t="s">
        <v>63</v>
      </c>
      <c r="H1571" t="s">
        <v>53</v>
      </c>
      <c r="I1571" t="s">
        <v>810</v>
      </c>
      <c r="J1571">
        <v>2016</v>
      </c>
      <c r="K1571">
        <v>43698.521897777777</v>
      </c>
      <c r="L1571" t="s">
        <v>193</v>
      </c>
      <c r="M1571" t="s">
        <v>1941</v>
      </c>
      <c r="N1571" t="s">
        <v>1439</v>
      </c>
      <c r="O1571">
        <v>345314</v>
      </c>
      <c r="P1571">
        <v>43698.105613425927</v>
      </c>
      <c r="Q1571">
        <v>43217.84740752315</v>
      </c>
      <c r="R1571">
        <v>1603</v>
      </c>
    </row>
    <row r="1572" spans="1:18" x14ac:dyDescent="0.25">
      <c r="A1572" t="s">
        <v>5385</v>
      </c>
      <c r="B1572" t="s">
        <v>5386</v>
      </c>
      <c r="C1572" t="s">
        <v>5387</v>
      </c>
      <c r="D1572" t="s">
        <v>5387</v>
      </c>
      <c r="E1572" t="s">
        <v>5387</v>
      </c>
      <c r="F1572" t="s">
        <v>21</v>
      </c>
      <c r="G1572" t="s">
        <v>22</v>
      </c>
      <c r="H1572" t="s">
        <v>1315</v>
      </c>
      <c r="I1572" t="s">
        <v>5388</v>
      </c>
      <c r="J1572">
        <v>2018</v>
      </c>
      <c r="K1572">
        <v>43698.521897777777</v>
      </c>
      <c r="L1572" t="s">
        <v>25</v>
      </c>
      <c r="M1572" t="s">
        <v>5389</v>
      </c>
      <c r="N1572" t="s">
        <v>415</v>
      </c>
      <c r="Q1572">
        <v>43218.473792627316</v>
      </c>
      <c r="R1572">
        <v>1604</v>
      </c>
    </row>
    <row r="1573" spans="1:18" x14ac:dyDescent="0.25">
      <c r="A1573" t="s">
        <v>5390</v>
      </c>
      <c r="B1573" t="s">
        <v>5391</v>
      </c>
      <c r="C1573" t="s">
        <v>5392</v>
      </c>
      <c r="D1573" t="s">
        <v>5392</v>
      </c>
      <c r="E1573" t="s">
        <v>5392</v>
      </c>
      <c r="F1573" t="s">
        <v>21</v>
      </c>
      <c r="G1573" t="s">
        <v>63</v>
      </c>
      <c r="H1573" t="s">
        <v>34</v>
      </c>
      <c r="I1573" t="s">
        <v>703</v>
      </c>
      <c r="J1573">
        <v>2019</v>
      </c>
      <c r="K1573">
        <v>43698.521897777777</v>
      </c>
      <c r="L1573" t="s">
        <v>1660</v>
      </c>
      <c r="M1573" t="s">
        <v>37</v>
      </c>
      <c r="N1573" t="s">
        <v>415</v>
      </c>
      <c r="O1573">
        <v>339869</v>
      </c>
      <c r="P1573">
        <v>43683.395057870373</v>
      </c>
      <c r="Q1573">
        <v>43221.442100810185</v>
      </c>
      <c r="R1573">
        <v>1605</v>
      </c>
    </row>
    <row r="1574" spans="1:18" x14ac:dyDescent="0.25">
      <c r="A1574" t="s">
        <v>5393</v>
      </c>
      <c r="B1574" t="s">
        <v>936</v>
      </c>
      <c r="C1574" t="s">
        <v>5394</v>
      </c>
      <c r="D1574" t="s">
        <v>5394</v>
      </c>
      <c r="E1574" t="s">
        <v>5394</v>
      </c>
      <c r="F1574" t="s">
        <v>91</v>
      </c>
      <c r="G1574" t="s">
        <v>63</v>
      </c>
      <c r="H1574" t="s">
        <v>53</v>
      </c>
      <c r="I1574" t="s">
        <v>4192</v>
      </c>
      <c r="J1574">
        <v>2000</v>
      </c>
      <c r="K1574">
        <v>43698.521897777777</v>
      </c>
      <c r="L1574" t="s">
        <v>422</v>
      </c>
      <c r="M1574" t="s">
        <v>2777</v>
      </c>
      <c r="N1574" t="s">
        <v>27</v>
      </c>
      <c r="O1574">
        <v>346911</v>
      </c>
      <c r="P1574">
        <v>43698.521897777777</v>
      </c>
      <c r="Q1574">
        <v>43221.579874421295</v>
      </c>
      <c r="R1574">
        <v>1606</v>
      </c>
    </row>
    <row r="1575" spans="1:18" x14ac:dyDescent="0.25">
      <c r="A1575" t="s">
        <v>5395</v>
      </c>
      <c r="B1575" t="s">
        <v>5396</v>
      </c>
      <c r="C1575" t="s">
        <v>5397</v>
      </c>
      <c r="D1575" t="s">
        <v>5397</v>
      </c>
      <c r="E1575" t="s">
        <v>5397</v>
      </c>
      <c r="F1575" t="s">
        <v>21</v>
      </c>
      <c r="G1575" t="s">
        <v>63</v>
      </c>
      <c r="H1575" t="s">
        <v>34</v>
      </c>
      <c r="I1575" t="s">
        <v>35</v>
      </c>
      <c r="J1575">
        <v>2015</v>
      </c>
      <c r="K1575">
        <v>43698.521897777777</v>
      </c>
      <c r="L1575" t="s">
        <v>25</v>
      </c>
      <c r="M1575" t="s">
        <v>1941</v>
      </c>
      <c r="N1575" t="s">
        <v>27</v>
      </c>
      <c r="Q1575">
        <v>43222.596325810184</v>
      </c>
      <c r="R1575">
        <v>1607</v>
      </c>
    </row>
    <row r="1576" spans="1:18" x14ac:dyDescent="0.25">
      <c r="A1576" t="s">
        <v>5398</v>
      </c>
      <c r="B1576" t="s">
        <v>5399</v>
      </c>
      <c r="C1576" t="s">
        <v>5400</v>
      </c>
      <c r="D1576" t="s">
        <v>5400</v>
      </c>
      <c r="E1576" t="s">
        <v>5400</v>
      </c>
      <c r="F1576" t="s">
        <v>91</v>
      </c>
      <c r="G1576" t="s">
        <v>63</v>
      </c>
      <c r="H1576" t="s">
        <v>34</v>
      </c>
      <c r="I1576" t="s">
        <v>35</v>
      </c>
      <c r="J1576">
        <v>2012</v>
      </c>
      <c r="K1576">
        <v>43698.521897777777</v>
      </c>
      <c r="L1576" t="s">
        <v>578</v>
      </c>
      <c r="M1576" t="s">
        <v>1941</v>
      </c>
      <c r="N1576" t="s">
        <v>1439</v>
      </c>
      <c r="O1576">
        <v>346829</v>
      </c>
      <c r="P1576">
        <v>43698.521897777777</v>
      </c>
      <c r="Q1576">
        <v>43222.596990011574</v>
      </c>
      <c r="R1576">
        <v>1608</v>
      </c>
    </row>
    <row r="1577" spans="1:18" x14ac:dyDescent="0.25">
      <c r="A1577" t="s">
        <v>5401</v>
      </c>
      <c r="B1577" t="s">
        <v>5402</v>
      </c>
      <c r="C1577" t="s">
        <v>5403</v>
      </c>
      <c r="D1577" t="s">
        <v>5403</v>
      </c>
      <c r="E1577" t="s">
        <v>5403</v>
      </c>
      <c r="F1577" t="s">
        <v>91</v>
      </c>
      <c r="G1577" t="s">
        <v>63</v>
      </c>
      <c r="H1577" t="s">
        <v>34</v>
      </c>
      <c r="I1577" t="s">
        <v>703</v>
      </c>
      <c r="J1577">
        <v>2018</v>
      </c>
      <c r="K1577">
        <v>43698.521897777777</v>
      </c>
      <c r="L1577" t="s">
        <v>466</v>
      </c>
      <c r="M1577" t="s">
        <v>154</v>
      </c>
      <c r="N1577" t="s">
        <v>1305</v>
      </c>
      <c r="O1577">
        <v>346800</v>
      </c>
      <c r="P1577">
        <v>43698.521897777777</v>
      </c>
      <c r="Q1577">
        <v>43222.60268290509</v>
      </c>
      <c r="R1577">
        <v>1609</v>
      </c>
    </row>
    <row r="1578" spans="1:18" x14ac:dyDescent="0.25">
      <c r="A1578" t="s">
        <v>5404</v>
      </c>
      <c r="B1578" t="s">
        <v>2447</v>
      </c>
      <c r="C1578" t="s">
        <v>5405</v>
      </c>
      <c r="D1578" t="s">
        <v>5405</v>
      </c>
      <c r="E1578" t="s">
        <v>5405</v>
      </c>
      <c r="F1578" t="s">
        <v>21</v>
      </c>
      <c r="G1578" t="s">
        <v>63</v>
      </c>
      <c r="H1578" t="s">
        <v>53</v>
      </c>
      <c r="I1578" t="s">
        <v>471</v>
      </c>
      <c r="J1578">
        <v>2012</v>
      </c>
      <c r="K1578">
        <v>43698.521897777777</v>
      </c>
      <c r="L1578" t="s">
        <v>466</v>
      </c>
      <c r="M1578" t="s">
        <v>154</v>
      </c>
      <c r="N1578" t="s">
        <v>1305</v>
      </c>
      <c r="O1578">
        <v>200639</v>
      </c>
      <c r="P1578">
        <v>43305.560416666667</v>
      </c>
      <c r="Q1578">
        <v>43222.602862962965</v>
      </c>
      <c r="R1578">
        <v>1610</v>
      </c>
    </row>
    <row r="1579" spans="1:18" x14ac:dyDescent="0.25">
      <c r="A1579" t="s">
        <v>5406</v>
      </c>
      <c r="B1579" t="s">
        <v>5407</v>
      </c>
      <c r="C1579" t="s">
        <v>5408</v>
      </c>
      <c r="D1579" t="s">
        <v>5408</v>
      </c>
      <c r="E1579" t="s">
        <v>5409</v>
      </c>
      <c r="F1579" t="s">
        <v>91</v>
      </c>
      <c r="G1579" t="s">
        <v>22</v>
      </c>
      <c r="H1579" t="s">
        <v>53</v>
      </c>
      <c r="I1579" t="s">
        <v>3006</v>
      </c>
      <c r="J1579">
        <v>2019</v>
      </c>
      <c r="K1579">
        <v>43698.521897777777</v>
      </c>
      <c r="L1579" t="s">
        <v>522</v>
      </c>
      <c r="M1579" t="s">
        <v>154</v>
      </c>
      <c r="N1579" t="s">
        <v>523</v>
      </c>
      <c r="O1579">
        <v>347095</v>
      </c>
      <c r="P1579">
        <v>43698.521897777777</v>
      </c>
      <c r="Q1579">
        <v>43227.587008564813</v>
      </c>
      <c r="R1579">
        <v>1611</v>
      </c>
    </row>
    <row r="1580" spans="1:18" x14ac:dyDescent="0.25">
      <c r="A1580" t="s">
        <v>5410</v>
      </c>
      <c r="B1580" t="s">
        <v>5411</v>
      </c>
      <c r="C1580" t="s">
        <v>5412</v>
      </c>
      <c r="D1580" t="s">
        <v>5412</v>
      </c>
      <c r="E1580" t="s">
        <v>5413</v>
      </c>
      <c r="F1580" t="s">
        <v>91</v>
      </c>
      <c r="G1580" t="s">
        <v>22</v>
      </c>
      <c r="H1580" t="s">
        <v>53</v>
      </c>
      <c r="I1580" t="s">
        <v>3006</v>
      </c>
      <c r="J1580">
        <v>2019</v>
      </c>
      <c r="K1580">
        <v>43698.521897777777</v>
      </c>
      <c r="L1580" t="s">
        <v>1809</v>
      </c>
      <c r="M1580" t="s">
        <v>154</v>
      </c>
      <c r="N1580" t="s">
        <v>1305</v>
      </c>
      <c r="O1580">
        <v>346622</v>
      </c>
      <c r="P1580">
        <v>43698.004166666666</v>
      </c>
      <c r="Q1580">
        <v>43227.588075034721</v>
      </c>
      <c r="R1580">
        <v>1612</v>
      </c>
    </row>
    <row r="1581" spans="1:18" x14ac:dyDescent="0.25">
      <c r="A1581" t="s">
        <v>5414</v>
      </c>
      <c r="B1581" t="s">
        <v>5415</v>
      </c>
      <c r="C1581" t="s">
        <v>5416</v>
      </c>
      <c r="D1581" t="s">
        <v>5416</v>
      </c>
      <c r="E1581" t="s">
        <v>5417</v>
      </c>
      <c r="F1581" t="s">
        <v>91</v>
      </c>
      <c r="G1581" t="s">
        <v>22</v>
      </c>
      <c r="H1581" t="s">
        <v>53</v>
      </c>
      <c r="I1581" t="s">
        <v>3006</v>
      </c>
      <c r="J1581">
        <v>2019</v>
      </c>
      <c r="K1581">
        <v>43698.521897777777</v>
      </c>
      <c r="L1581" t="s">
        <v>1809</v>
      </c>
      <c r="M1581" t="s">
        <v>154</v>
      </c>
      <c r="N1581" t="s">
        <v>1305</v>
      </c>
      <c r="O1581">
        <v>346767</v>
      </c>
      <c r="P1581">
        <v>43698.521897777777</v>
      </c>
      <c r="Q1581">
        <v>43227.589159027775</v>
      </c>
      <c r="R1581">
        <v>1613</v>
      </c>
    </row>
    <row r="1582" spans="1:18" x14ac:dyDescent="0.25">
      <c r="A1582" t="s">
        <v>5418</v>
      </c>
      <c r="B1582" t="s">
        <v>5419</v>
      </c>
      <c r="C1582" t="s">
        <v>5420</v>
      </c>
      <c r="D1582" t="s">
        <v>5420</v>
      </c>
      <c r="E1582" t="s">
        <v>5421</v>
      </c>
      <c r="F1582" t="s">
        <v>91</v>
      </c>
      <c r="G1582" t="s">
        <v>22</v>
      </c>
      <c r="H1582" t="s">
        <v>53</v>
      </c>
      <c r="I1582" t="s">
        <v>3006</v>
      </c>
      <c r="J1582">
        <v>2019</v>
      </c>
      <c r="K1582">
        <v>43698.521897777777</v>
      </c>
      <c r="L1582" t="s">
        <v>1809</v>
      </c>
      <c r="M1582" t="s">
        <v>154</v>
      </c>
      <c r="N1582" t="s">
        <v>1305</v>
      </c>
      <c r="O1582">
        <v>346714</v>
      </c>
      <c r="P1582">
        <v>43698.521897777777</v>
      </c>
      <c r="Q1582">
        <v>43227.590247337961</v>
      </c>
      <c r="R1582">
        <v>1614</v>
      </c>
    </row>
    <row r="1583" spans="1:18" x14ac:dyDescent="0.25">
      <c r="A1583" t="s">
        <v>5422</v>
      </c>
      <c r="B1583" t="s">
        <v>5423</v>
      </c>
      <c r="C1583" t="s">
        <v>5424</v>
      </c>
      <c r="D1583" t="s">
        <v>5424</v>
      </c>
      <c r="E1583" t="s">
        <v>5425</v>
      </c>
      <c r="F1583" t="s">
        <v>91</v>
      </c>
      <c r="G1583" t="s">
        <v>22</v>
      </c>
      <c r="H1583" t="s">
        <v>53</v>
      </c>
      <c r="I1583" t="s">
        <v>3006</v>
      </c>
      <c r="J1583">
        <v>2019</v>
      </c>
      <c r="K1583">
        <v>43698.521897777777</v>
      </c>
      <c r="L1583" t="s">
        <v>1809</v>
      </c>
      <c r="M1583" t="s">
        <v>154</v>
      </c>
      <c r="N1583" t="s">
        <v>1305</v>
      </c>
      <c r="O1583">
        <v>346806</v>
      </c>
      <c r="P1583">
        <v>43698.521897777777</v>
      </c>
      <c r="Q1583">
        <v>43227.591156400464</v>
      </c>
      <c r="R1583">
        <v>1615</v>
      </c>
    </row>
    <row r="1584" spans="1:18" x14ac:dyDescent="0.25">
      <c r="A1584" t="s">
        <v>5426</v>
      </c>
      <c r="B1584" t="s">
        <v>5427</v>
      </c>
      <c r="C1584" t="s">
        <v>5428</v>
      </c>
      <c r="D1584" t="s">
        <v>5428</v>
      </c>
      <c r="E1584" t="s">
        <v>5428</v>
      </c>
      <c r="F1584" t="s">
        <v>21</v>
      </c>
      <c r="G1584" t="s">
        <v>63</v>
      </c>
      <c r="H1584" t="s">
        <v>34</v>
      </c>
      <c r="I1584" t="s">
        <v>703</v>
      </c>
      <c r="J1584">
        <v>2013</v>
      </c>
      <c r="K1584">
        <v>43698.521897777777</v>
      </c>
      <c r="L1584" t="s">
        <v>1660</v>
      </c>
      <c r="M1584" t="s">
        <v>37</v>
      </c>
      <c r="N1584" t="s">
        <v>415</v>
      </c>
      <c r="O1584">
        <v>256412</v>
      </c>
      <c r="P1584">
        <v>43462.748611111114</v>
      </c>
      <c r="Q1584">
        <v>43228.396202430558</v>
      </c>
      <c r="R1584">
        <v>1616</v>
      </c>
    </row>
    <row r="1585" spans="1:18" x14ac:dyDescent="0.25">
      <c r="A1585" t="s">
        <v>5429</v>
      </c>
      <c r="B1585" t="s">
        <v>5430</v>
      </c>
      <c r="C1585" t="s">
        <v>5431</v>
      </c>
      <c r="D1585" t="s">
        <v>5431</v>
      </c>
      <c r="E1585" t="s">
        <v>5431</v>
      </c>
      <c r="F1585" t="s">
        <v>21</v>
      </c>
      <c r="G1585" t="s">
        <v>63</v>
      </c>
      <c r="H1585" t="s">
        <v>53</v>
      </c>
      <c r="I1585" t="s">
        <v>41</v>
      </c>
      <c r="J1585">
        <v>2005</v>
      </c>
      <c r="K1585">
        <v>43698.521897777777</v>
      </c>
      <c r="L1585" t="s">
        <v>1660</v>
      </c>
      <c r="M1585" t="s">
        <v>37</v>
      </c>
      <c r="N1585" t="s">
        <v>27</v>
      </c>
      <c r="O1585">
        <v>217765</v>
      </c>
      <c r="P1585">
        <v>43351.106412037036</v>
      </c>
      <c r="Q1585">
        <v>43228.39688148148</v>
      </c>
      <c r="R1585">
        <v>1617</v>
      </c>
    </row>
    <row r="1586" spans="1:18" x14ac:dyDescent="0.25">
      <c r="A1586" t="s">
        <v>5432</v>
      </c>
      <c r="B1586" t="s">
        <v>5433</v>
      </c>
      <c r="C1586" t="s">
        <v>5434</v>
      </c>
      <c r="D1586" t="s">
        <v>5434</v>
      </c>
      <c r="E1586" t="s">
        <v>5434</v>
      </c>
      <c r="F1586" t="s">
        <v>21</v>
      </c>
      <c r="G1586" t="s">
        <v>63</v>
      </c>
      <c r="H1586" t="s">
        <v>23</v>
      </c>
      <c r="I1586" t="s">
        <v>2666</v>
      </c>
      <c r="J1586">
        <v>2014</v>
      </c>
      <c r="K1586">
        <v>43698.521897777777</v>
      </c>
      <c r="L1586" t="s">
        <v>1660</v>
      </c>
      <c r="M1586" t="s">
        <v>37</v>
      </c>
      <c r="N1586" t="s">
        <v>415</v>
      </c>
      <c r="O1586">
        <v>299511</v>
      </c>
      <c r="P1586">
        <v>43581.490740740737</v>
      </c>
      <c r="Q1586">
        <v>43228.397429432873</v>
      </c>
      <c r="R1586">
        <v>1618</v>
      </c>
    </row>
    <row r="1587" spans="1:18" x14ac:dyDescent="0.25">
      <c r="A1587" t="s">
        <v>5435</v>
      </c>
      <c r="B1587" t="s">
        <v>5436</v>
      </c>
      <c r="C1587" t="s">
        <v>5437</v>
      </c>
      <c r="D1587" t="s">
        <v>5437</v>
      </c>
      <c r="E1587" t="s">
        <v>5437</v>
      </c>
      <c r="F1587" t="s">
        <v>91</v>
      </c>
      <c r="G1587" t="s">
        <v>63</v>
      </c>
      <c r="H1587" t="s">
        <v>34</v>
      </c>
      <c r="I1587" t="s">
        <v>703</v>
      </c>
      <c r="J1587">
        <v>2006</v>
      </c>
      <c r="K1587">
        <v>43698.521897777777</v>
      </c>
      <c r="L1587" t="s">
        <v>1660</v>
      </c>
      <c r="M1587" t="s">
        <v>2777</v>
      </c>
      <c r="N1587" t="s">
        <v>415</v>
      </c>
      <c r="O1587">
        <v>346706</v>
      </c>
      <c r="P1587">
        <v>43698.521897777777</v>
      </c>
      <c r="Q1587">
        <v>43228.398594872684</v>
      </c>
      <c r="R1587">
        <v>1619</v>
      </c>
    </row>
    <row r="1588" spans="1:18" x14ac:dyDescent="0.25">
      <c r="A1588" t="s">
        <v>5438</v>
      </c>
      <c r="B1588" t="s">
        <v>5439</v>
      </c>
      <c r="C1588" t="s">
        <v>5440</v>
      </c>
      <c r="D1588" t="s">
        <v>5440</v>
      </c>
      <c r="E1588" t="s">
        <v>5441</v>
      </c>
      <c r="F1588" t="s">
        <v>91</v>
      </c>
      <c r="G1588" t="s">
        <v>22</v>
      </c>
      <c r="H1588" t="s">
        <v>53</v>
      </c>
      <c r="I1588" t="s">
        <v>3006</v>
      </c>
      <c r="J1588">
        <v>2019</v>
      </c>
      <c r="K1588">
        <v>43698.521897777777</v>
      </c>
      <c r="L1588" t="s">
        <v>422</v>
      </c>
      <c r="M1588" t="s">
        <v>2777</v>
      </c>
      <c r="N1588" t="s">
        <v>415</v>
      </c>
      <c r="O1588">
        <v>346982</v>
      </c>
      <c r="P1588">
        <v>43698.521897777777</v>
      </c>
      <c r="Q1588">
        <v>43229.549425381942</v>
      </c>
      <c r="R1588">
        <v>1620</v>
      </c>
    </row>
    <row r="1589" spans="1:18" x14ac:dyDescent="0.25">
      <c r="A1589" t="s">
        <v>5442</v>
      </c>
      <c r="B1589" t="s">
        <v>5443</v>
      </c>
      <c r="C1589" t="s">
        <v>5444</v>
      </c>
      <c r="D1589" t="s">
        <v>5444</v>
      </c>
      <c r="E1589" t="s">
        <v>5445</v>
      </c>
      <c r="F1589" t="s">
        <v>91</v>
      </c>
      <c r="G1589" t="s">
        <v>22</v>
      </c>
      <c r="H1589" t="s">
        <v>53</v>
      </c>
      <c r="I1589" t="s">
        <v>3006</v>
      </c>
      <c r="J1589">
        <v>2019</v>
      </c>
      <c r="K1589">
        <v>43698.521897777777</v>
      </c>
      <c r="L1589" t="s">
        <v>422</v>
      </c>
      <c r="M1589" t="s">
        <v>2777</v>
      </c>
      <c r="N1589" t="s">
        <v>415</v>
      </c>
      <c r="O1589">
        <v>347084</v>
      </c>
      <c r="P1589">
        <v>43698.521897777777</v>
      </c>
      <c r="Q1589">
        <v>43229.550116550927</v>
      </c>
      <c r="R1589">
        <v>1621</v>
      </c>
    </row>
    <row r="1590" spans="1:18" x14ac:dyDescent="0.25">
      <c r="A1590" t="s">
        <v>5446</v>
      </c>
      <c r="B1590" t="s">
        <v>5447</v>
      </c>
      <c r="C1590" t="s">
        <v>5448</v>
      </c>
      <c r="D1590" t="s">
        <v>5448</v>
      </c>
      <c r="E1590" t="s">
        <v>5449</v>
      </c>
      <c r="F1590" t="s">
        <v>91</v>
      </c>
      <c r="G1590" t="s">
        <v>22</v>
      </c>
      <c r="H1590" t="s">
        <v>53</v>
      </c>
      <c r="I1590" t="s">
        <v>3006</v>
      </c>
      <c r="J1590">
        <v>2019</v>
      </c>
      <c r="K1590">
        <v>43698.521897777777</v>
      </c>
      <c r="L1590" t="s">
        <v>2783</v>
      </c>
      <c r="M1590" t="s">
        <v>2777</v>
      </c>
      <c r="N1590" t="s">
        <v>3293</v>
      </c>
      <c r="O1590">
        <v>346892</v>
      </c>
      <c r="P1590">
        <v>43698.521897777777</v>
      </c>
      <c r="Q1590">
        <v>43229.550880324074</v>
      </c>
      <c r="R1590">
        <v>1622</v>
      </c>
    </row>
    <row r="1591" spans="1:18" x14ac:dyDescent="0.25">
      <c r="A1591" t="s">
        <v>5450</v>
      </c>
      <c r="B1591" t="s">
        <v>5451</v>
      </c>
      <c r="C1591" t="s">
        <v>5452</v>
      </c>
      <c r="D1591" t="s">
        <v>5452</v>
      </c>
      <c r="E1591" t="s">
        <v>5452</v>
      </c>
      <c r="F1591" t="s">
        <v>21</v>
      </c>
      <c r="G1591" t="s">
        <v>63</v>
      </c>
      <c r="H1591" t="s">
        <v>236</v>
      </c>
      <c r="I1591" t="s">
        <v>5453</v>
      </c>
      <c r="J1591">
        <v>2012</v>
      </c>
      <c r="K1591">
        <v>43698.521897777777</v>
      </c>
      <c r="L1591" t="s">
        <v>1660</v>
      </c>
      <c r="M1591" t="s">
        <v>2777</v>
      </c>
      <c r="N1591" t="s">
        <v>27</v>
      </c>
      <c r="O1591">
        <v>191174</v>
      </c>
      <c r="P1591">
        <v>43263.317361111112</v>
      </c>
      <c r="Q1591">
        <v>43229.557747881947</v>
      </c>
      <c r="R1591">
        <v>1623</v>
      </c>
    </row>
    <row r="1592" spans="1:18" x14ac:dyDescent="0.25">
      <c r="A1592" t="s">
        <v>5454</v>
      </c>
      <c r="B1592" t="s">
        <v>5455</v>
      </c>
      <c r="C1592" t="s">
        <v>5456</v>
      </c>
      <c r="D1592" t="s">
        <v>5456</v>
      </c>
      <c r="E1592" t="s">
        <v>5456</v>
      </c>
      <c r="F1592" t="s">
        <v>91</v>
      </c>
      <c r="G1592" t="s">
        <v>63</v>
      </c>
      <c r="H1592" t="s">
        <v>34</v>
      </c>
      <c r="I1592" t="s">
        <v>35</v>
      </c>
      <c r="J1592">
        <v>2013</v>
      </c>
      <c r="K1592">
        <v>43698.521897777777</v>
      </c>
      <c r="L1592" t="s">
        <v>193</v>
      </c>
      <c r="M1592" t="s">
        <v>1941</v>
      </c>
      <c r="N1592" t="s">
        <v>93</v>
      </c>
      <c r="O1592">
        <v>345597</v>
      </c>
      <c r="P1592">
        <v>43697.665277777778</v>
      </c>
      <c r="Q1592">
        <v>43235.552025775462</v>
      </c>
      <c r="R1592">
        <v>1624</v>
      </c>
    </row>
    <row r="1593" spans="1:18" x14ac:dyDescent="0.25">
      <c r="A1593" t="s">
        <v>5457</v>
      </c>
      <c r="B1593" t="s">
        <v>5458</v>
      </c>
      <c r="C1593" t="s">
        <v>5459</v>
      </c>
      <c r="D1593" t="s">
        <v>5459</v>
      </c>
      <c r="E1593" t="s">
        <v>5459</v>
      </c>
      <c r="F1593" t="s">
        <v>91</v>
      </c>
      <c r="G1593" t="s">
        <v>63</v>
      </c>
      <c r="H1593" t="s">
        <v>53</v>
      </c>
      <c r="I1593" t="s">
        <v>471</v>
      </c>
      <c r="J1593">
        <v>2017</v>
      </c>
      <c r="K1593">
        <v>43698.521897777777</v>
      </c>
      <c r="L1593" t="s">
        <v>193</v>
      </c>
      <c r="M1593" t="s">
        <v>1941</v>
      </c>
      <c r="N1593" t="s">
        <v>415</v>
      </c>
      <c r="O1593">
        <v>346931</v>
      </c>
      <c r="P1593">
        <v>43698.521897777777</v>
      </c>
      <c r="Q1593">
        <v>43235.553633217591</v>
      </c>
      <c r="R1593">
        <v>1625</v>
      </c>
    </row>
    <row r="1594" spans="1:18" x14ac:dyDescent="0.25">
      <c r="A1594" t="s">
        <v>5460</v>
      </c>
      <c r="B1594" t="s">
        <v>5461</v>
      </c>
      <c r="C1594" t="s">
        <v>5462</v>
      </c>
      <c r="D1594" t="s">
        <v>5462</v>
      </c>
      <c r="E1594" t="s">
        <v>5462</v>
      </c>
      <c r="F1594" t="s">
        <v>91</v>
      </c>
      <c r="G1594" t="s">
        <v>63</v>
      </c>
      <c r="H1594" t="s">
        <v>34</v>
      </c>
      <c r="I1594" t="s">
        <v>35</v>
      </c>
      <c r="J1594">
        <v>2012</v>
      </c>
      <c r="K1594">
        <v>43698.521897777777</v>
      </c>
      <c r="L1594" t="s">
        <v>578</v>
      </c>
      <c r="M1594" t="s">
        <v>1941</v>
      </c>
      <c r="N1594" t="s">
        <v>415</v>
      </c>
      <c r="O1594">
        <v>346649</v>
      </c>
      <c r="P1594">
        <v>43698.012499999997</v>
      </c>
      <c r="Q1594">
        <v>43235.554964351853</v>
      </c>
      <c r="R1594">
        <v>1626</v>
      </c>
    </row>
    <row r="1595" spans="1:18" x14ac:dyDescent="0.25">
      <c r="A1595" t="s">
        <v>5463</v>
      </c>
      <c r="B1595" t="s">
        <v>5464</v>
      </c>
      <c r="C1595" t="s">
        <v>5465</v>
      </c>
      <c r="D1595" t="s">
        <v>5465</v>
      </c>
      <c r="E1595" t="s">
        <v>5465</v>
      </c>
      <c r="F1595" t="s">
        <v>91</v>
      </c>
      <c r="G1595" t="s">
        <v>63</v>
      </c>
      <c r="H1595" t="s">
        <v>34</v>
      </c>
      <c r="I1595" t="s">
        <v>35</v>
      </c>
      <c r="J1595">
        <v>2012</v>
      </c>
      <c r="K1595">
        <v>43698.521897777777</v>
      </c>
      <c r="L1595" t="s">
        <v>578</v>
      </c>
      <c r="M1595" t="s">
        <v>1941</v>
      </c>
      <c r="N1595" t="s">
        <v>415</v>
      </c>
      <c r="O1595">
        <v>347159</v>
      </c>
      <c r="P1595">
        <v>43698.521897777777</v>
      </c>
      <c r="Q1595">
        <v>43235.556198958337</v>
      </c>
      <c r="R1595">
        <v>1627</v>
      </c>
    </row>
    <row r="1596" spans="1:18" x14ac:dyDescent="0.25">
      <c r="A1596" t="s">
        <v>5466</v>
      </c>
      <c r="B1596" t="s">
        <v>5467</v>
      </c>
      <c r="C1596" t="s">
        <v>5468</v>
      </c>
      <c r="D1596" t="s">
        <v>5468</v>
      </c>
      <c r="E1596" t="s">
        <v>5468</v>
      </c>
      <c r="F1596" t="s">
        <v>21</v>
      </c>
      <c r="G1596" t="s">
        <v>63</v>
      </c>
      <c r="H1596" t="s">
        <v>34</v>
      </c>
      <c r="I1596" t="s">
        <v>703</v>
      </c>
      <c r="J1596">
        <v>2014</v>
      </c>
      <c r="K1596">
        <v>43698.521897777777</v>
      </c>
      <c r="L1596" t="s">
        <v>193</v>
      </c>
      <c r="M1596" t="s">
        <v>37</v>
      </c>
      <c r="N1596" t="s">
        <v>415</v>
      </c>
      <c r="O1596">
        <v>199386</v>
      </c>
      <c r="P1596">
        <v>43295.055833333332</v>
      </c>
      <c r="Q1596">
        <v>43236.430927048612</v>
      </c>
      <c r="R1596">
        <v>1628</v>
      </c>
    </row>
    <row r="1597" spans="1:18" x14ac:dyDescent="0.25">
      <c r="A1597" t="s">
        <v>5469</v>
      </c>
      <c r="B1597" t="s">
        <v>5470</v>
      </c>
      <c r="C1597" t="s">
        <v>5471</v>
      </c>
      <c r="D1597" t="s">
        <v>5471</v>
      </c>
      <c r="E1597" t="s">
        <v>5472</v>
      </c>
      <c r="F1597" t="s">
        <v>21</v>
      </c>
      <c r="G1597" t="s">
        <v>22</v>
      </c>
      <c r="H1597" t="s">
        <v>53</v>
      </c>
      <c r="I1597" t="s">
        <v>3006</v>
      </c>
      <c r="J1597">
        <v>2019</v>
      </c>
      <c r="K1597">
        <v>43698.521897777777</v>
      </c>
      <c r="L1597" t="s">
        <v>1005</v>
      </c>
      <c r="M1597" t="s">
        <v>37</v>
      </c>
      <c r="N1597" t="s">
        <v>415</v>
      </c>
      <c r="O1597">
        <v>275013</v>
      </c>
      <c r="P1597">
        <v>43520.181944444441</v>
      </c>
      <c r="Q1597">
        <v>43236.691578587961</v>
      </c>
      <c r="R1597">
        <v>1629</v>
      </c>
    </row>
    <row r="1598" spans="1:18" x14ac:dyDescent="0.25">
      <c r="A1598" t="s">
        <v>5473</v>
      </c>
      <c r="B1598" t="s">
        <v>5474</v>
      </c>
      <c r="C1598" t="s">
        <v>5475</v>
      </c>
      <c r="D1598" t="s">
        <v>5475</v>
      </c>
      <c r="E1598" t="s">
        <v>5476</v>
      </c>
      <c r="F1598" t="s">
        <v>21</v>
      </c>
      <c r="G1598" t="s">
        <v>22</v>
      </c>
      <c r="H1598" t="s">
        <v>53</v>
      </c>
      <c r="I1598" t="s">
        <v>3006</v>
      </c>
      <c r="J1598">
        <v>2019</v>
      </c>
      <c r="K1598">
        <v>43698.521897777777</v>
      </c>
      <c r="L1598" t="s">
        <v>1005</v>
      </c>
      <c r="M1598" t="s">
        <v>37</v>
      </c>
      <c r="N1598" t="s">
        <v>415</v>
      </c>
      <c r="O1598">
        <v>283264</v>
      </c>
      <c r="P1598">
        <v>43542.331250000003</v>
      </c>
      <c r="Q1598">
        <v>43236.692705636575</v>
      </c>
      <c r="R1598">
        <v>1630</v>
      </c>
    </row>
    <row r="1599" spans="1:18" x14ac:dyDescent="0.25">
      <c r="A1599" t="s">
        <v>5477</v>
      </c>
      <c r="B1599" t="s">
        <v>5478</v>
      </c>
      <c r="C1599" t="s">
        <v>5479</v>
      </c>
      <c r="D1599" t="s">
        <v>5479</v>
      </c>
      <c r="E1599" t="s">
        <v>5480</v>
      </c>
      <c r="F1599" t="s">
        <v>21</v>
      </c>
      <c r="G1599" t="s">
        <v>22</v>
      </c>
      <c r="H1599" t="s">
        <v>53</v>
      </c>
      <c r="I1599" t="s">
        <v>3006</v>
      </c>
      <c r="J1599">
        <v>2019</v>
      </c>
      <c r="K1599">
        <v>43698.521897777777</v>
      </c>
      <c r="L1599" t="s">
        <v>1005</v>
      </c>
      <c r="M1599" t="s">
        <v>37</v>
      </c>
      <c r="N1599" t="s">
        <v>415</v>
      </c>
      <c r="O1599">
        <v>289155</v>
      </c>
      <c r="P1599">
        <v>43554.786111111112</v>
      </c>
      <c r="Q1599">
        <v>43236.694356516207</v>
      </c>
      <c r="R1599">
        <v>1631</v>
      </c>
    </row>
    <row r="1600" spans="1:18" x14ac:dyDescent="0.25">
      <c r="A1600" t="s">
        <v>5481</v>
      </c>
      <c r="B1600" t="s">
        <v>5482</v>
      </c>
      <c r="C1600" t="s">
        <v>5483</v>
      </c>
      <c r="D1600" t="s">
        <v>5483</v>
      </c>
      <c r="E1600" t="s">
        <v>5484</v>
      </c>
      <c r="F1600" t="s">
        <v>21</v>
      </c>
      <c r="G1600" t="s">
        <v>22</v>
      </c>
      <c r="H1600" t="s">
        <v>53</v>
      </c>
      <c r="I1600" t="s">
        <v>3006</v>
      </c>
      <c r="J1600">
        <v>2019</v>
      </c>
      <c r="K1600">
        <v>43698.521897777777</v>
      </c>
      <c r="L1600" t="s">
        <v>1916</v>
      </c>
      <c r="M1600" t="s">
        <v>37</v>
      </c>
      <c r="N1600" t="s">
        <v>415</v>
      </c>
      <c r="O1600">
        <v>279614</v>
      </c>
      <c r="P1600">
        <v>43532.072222222225</v>
      </c>
      <c r="Q1600">
        <v>43236.695423414349</v>
      </c>
      <c r="R1600">
        <v>1632</v>
      </c>
    </row>
    <row r="1601" spans="1:18" x14ac:dyDescent="0.25">
      <c r="A1601" t="s">
        <v>5485</v>
      </c>
      <c r="B1601" t="s">
        <v>5486</v>
      </c>
      <c r="C1601" t="s">
        <v>5487</v>
      </c>
      <c r="D1601" t="s">
        <v>5487</v>
      </c>
      <c r="E1601" t="s">
        <v>5488</v>
      </c>
      <c r="F1601" t="s">
        <v>21</v>
      </c>
      <c r="G1601" t="s">
        <v>22</v>
      </c>
      <c r="H1601" t="s">
        <v>53</v>
      </c>
      <c r="I1601" t="s">
        <v>3006</v>
      </c>
      <c r="J1601">
        <v>2019</v>
      </c>
      <c r="K1601">
        <v>43698.521897777777</v>
      </c>
      <c r="L1601" t="s">
        <v>193</v>
      </c>
      <c r="M1601" t="s">
        <v>37</v>
      </c>
      <c r="N1601" t="s">
        <v>415</v>
      </c>
      <c r="O1601">
        <v>268738</v>
      </c>
      <c r="P1601">
        <v>43503.984027777777</v>
      </c>
      <c r="Q1601">
        <v>43236.696157673614</v>
      </c>
      <c r="R1601">
        <v>1633</v>
      </c>
    </row>
    <row r="1602" spans="1:18" x14ac:dyDescent="0.25">
      <c r="A1602" t="s">
        <v>5489</v>
      </c>
      <c r="B1602" t="s">
        <v>5490</v>
      </c>
      <c r="C1602" t="s">
        <v>5491</v>
      </c>
      <c r="D1602" t="s">
        <v>5491</v>
      </c>
      <c r="E1602" t="s">
        <v>5492</v>
      </c>
      <c r="F1602" t="s">
        <v>21</v>
      </c>
      <c r="G1602" t="s">
        <v>22</v>
      </c>
      <c r="H1602" t="s">
        <v>53</v>
      </c>
      <c r="I1602" t="s">
        <v>3006</v>
      </c>
      <c r="J1602">
        <v>2019</v>
      </c>
      <c r="K1602">
        <v>43698.521897777777</v>
      </c>
      <c r="L1602" t="s">
        <v>193</v>
      </c>
      <c r="M1602" t="s">
        <v>37</v>
      </c>
      <c r="N1602" t="s">
        <v>415</v>
      </c>
      <c r="O1602">
        <v>261071</v>
      </c>
      <c r="P1602">
        <v>43479.677384259259</v>
      </c>
      <c r="Q1602">
        <v>43236.696956053238</v>
      </c>
      <c r="R1602">
        <v>1634</v>
      </c>
    </row>
    <row r="1603" spans="1:18" x14ac:dyDescent="0.25">
      <c r="A1603" t="s">
        <v>5493</v>
      </c>
      <c r="B1603" t="s">
        <v>5494</v>
      </c>
      <c r="C1603" t="s">
        <v>5495</v>
      </c>
      <c r="D1603" t="s">
        <v>5495</v>
      </c>
      <c r="E1603" t="s">
        <v>5496</v>
      </c>
      <c r="F1603" t="s">
        <v>21</v>
      </c>
      <c r="G1603" t="s">
        <v>22</v>
      </c>
      <c r="H1603" t="s">
        <v>53</v>
      </c>
      <c r="I1603" t="s">
        <v>3006</v>
      </c>
      <c r="J1603">
        <v>2019</v>
      </c>
      <c r="K1603">
        <v>43698.521897777777</v>
      </c>
      <c r="L1603" t="s">
        <v>193</v>
      </c>
      <c r="M1603" t="s">
        <v>37</v>
      </c>
      <c r="N1603" t="s">
        <v>415</v>
      </c>
      <c r="O1603">
        <v>274166</v>
      </c>
      <c r="P1603">
        <v>43517.561562499999</v>
      </c>
      <c r="Q1603">
        <v>43236.698222916668</v>
      </c>
      <c r="R1603">
        <v>1635</v>
      </c>
    </row>
    <row r="1604" spans="1:18" x14ac:dyDescent="0.25">
      <c r="A1604" t="s">
        <v>5497</v>
      </c>
      <c r="B1604" t="s">
        <v>5498</v>
      </c>
      <c r="C1604" t="s">
        <v>5499</v>
      </c>
      <c r="D1604" t="s">
        <v>5499</v>
      </c>
      <c r="E1604" t="s">
        <v>5500</v>
      </c>
      <c r="F1604" t="s">
        <v>21</v>
      </c>
      <c r="G1604" t="s">
        <v>22</v>
      </c>
      <c r="H1604" t="s">
        <v>53</v>
      </c>
      <c r="I1604" t="s">
        <v>3006</v>
      </c>
      <c r="J1604">
        <v>2019</v>
      </c>
      <c r="K1604">
        <v>43698.521897777777</v>
      </c>
      <c r="L1604" t="s">
        <v>1005</v>
      </c>
      <c r="M1604" t="s">
        <v>37</v>
      </c>
      <c r="N1604" t="s">
        <v>415</v>
      </c>
      <c r="O1604">
        <v>274917</v>
      </c>
      <c r="P1604">
        <v>43518.774467592593</v>
      </c>
      <c r="Q1604">
        <v>43236.698914004628</v>
      </c>
      <c r="R1604">
        <v>1636</v>
      </c>
    </row>
    <row r="1605" spans="1:18" x14ac:dyDescent="0.25">
      <c r="A1605" t="s">
        <v>5501</v>
      </c>
      <c r="B1605" t="s">
        <v>5502</v>
      </c>
      <c r="C1605" t="s">
        <v>5503</v>
      </c>
      <c r="D1605" t="s">
        <v>5503</v>
      </c>
      <c r="E1605" t="s">
        <v>5504</v>
      </c>
      <c r="F1605" t="s">
        <v>21</v>
      </c>
      <c r="G1605" t="s">
        <v>22</v>
      </c>
      <c r="H1605" t="s">
        <v>53</v>
      </c>
      <c r="I1605" t="s">
        <v>3006</v>
      </c>
      <c r="J1605">
        <v>2019</v>
      </c>
      <c r="K1605">
        <v>43698.521897777777</v>
      </c>
      <c r="L1605" t="s">
        <v>193</v>
      </c>
      <c r="M1605" t="s">
        <v>37</v>
      </c>
      <c r="N1605" t="s">
        <v>415</v>
      </c>
      <c r="O1605">
        <v>268008</v>
      </c>
      <c r="P1605">
        <v>43500.909803240742</v>
      </c>
      <c r="Q1605">
        <v>43236.699661377315</v>
      </c>
      <c r="R1605">
        <v>1637</v>
      </c>
    </row>
    <row r="1606" spans="1:18" x14ac:dyDescent="0.25">
      <c r="A1606" t="s">
        <v>5505</v>
      </c>
      <c r="B1606" t="s">
        <v>5506</v>
      </c>
      <c r="C1606" t="s">
        <v>5507</v>
      </c>
      <c r="D1606" t="s">
        <v>5507</v>
      </c>
      <c r="E1606" t="s">
        <v>5508</v>
      </c>
      <c r="F1606" t="s">
        <v>21</v>
      </c>
      <c r="G1606" t="s">
        <v>22</v>
      </c>
      <c r="H1606" t="s">
        <v>53</v>
      </c>
      <c r="I1606" t="s">
        <v>3006</v>
      </c>
      <c r="J1606">
        <v>2019</v>
      </c>
      <c r="K1606">
        <v>43698.521897777777</v>
      </c>
      <c r="L1606" t="s">
        <v>1005</v>
      </c>
      <c r="M1606" t="s">
        <v>37</v>
      </c>
      <c r="N1606" t="s">
        <v>415</v>
      </c>
      <c r="O1606">
        <v>272993</v>
      </c>
      <c r="P1606">
        <v>43516.223611111112</v>
      </c>
      <c r="Q1606">
        <v>43236.700959571761</v>
      </c>
      <c r="R1606">
        <v>1638</v>
      </c>
    </row>
    <row r="1607" spans="1:18" x14ac:dyDescent="0.25">
      <c r="A1607" t="s">
        <v>5509</v>
      </c>
      <c r="B1607" t="s">
        <v>5510</v>
      </c>
      <c r="C1607" t="s">
        <v>5511</v>
      </c>
      <c r="D1607" t="s">
        <v>5511</v>
      </c>
      <c r="E1607" t="s">
        <v>5512</v>
      </c>
      <c r="F1607" t="s">
        <v>21</v>
      </c>
      <c r="G1607" t="s">
        <v>22</v>
      </c>
      <c r="H1607" t="s">
        <v>53</v>
      </c>
      <c r="I1607" t="s">
        <v>3006</v>
      </c>
      <c r="J1607">
        <v>2019</v>
      </c>
      <c r="K1607">
        <v>43698.521897777777</v>
      </c>
      <c r="L1607" t="s">
        <v>1005</v>
      </c>
      <c r="M1607" t="s">
        <v>37</v>
      </c>
      <c r="N1607" t="s">
        <v>415</v>
      </c>
      <c r="O1607">
        <v>285054</v>
      </c>
      <c r="P1607">
        <v>43545.895833333336</v>
      </c>
      <c r="Q1607">
        <v>43236.701687962966</v>
      </c>
      <c r="R1607">
        <v>1639</v>
      </c>
    </row>
    <row r="1608" spans="1:18" x14ac:dyDescent="0.25">
      <c r="A1608" t="s">
        <v>5513</v>
      </c>
      <c r="B1608" t="s">
        <v>5514</v>
      </c>
      <c r="C1608" t="s">
        <v>5515</v>
      </c>
      <c r="D1608" t="s">
        <v>5515</v>
      </c>
      <c r="E1608" t="s">
        <v>5516</v>
      </c>
      <c r="F1608" t="s">
        <v>21</v>
      </c>
      <c r="G1608" t="s">
        <v>22</v>
      </c>
      <c r="H1608" t="s">
        <v>53</v>
      </c>
      <c r="I1608" t="s">
        <v>3006</v>
      </c>
      <c r="J1608">
        <v>2019</v>
      </c>
      <c r="K1608">
        <v>43698.521897777777</v>
      </c>
      <c r="L1608" t="s">
        <v>1005</v>
      </c>
      <c r="M1608" t="s">
        <v>37</v>
      </c>
      <c r="N1608" t="s">
        <v>415</v>
      </c>
      <c r="O1608">
        <v>273671</v>
      </c>
      <c r="P1608">
        <v>43517.95416666667</v>
      </c>
      <c r="Q1608">
        <v>43236.70249560185</v>
      </c>
      <c r="R1608">
        <v>1640</v>
      </c>
    </row>
    <row r="1609" spans="1:18" x14ac:dyDescent="0.25">
      <c r="A1609" t="s">
        <v>5517</v>
      </c>
      <c r="B1609" t="s">
        <v>5518</v>
      </c>
      <c r="C1609" t="s">
        <v>5519</v>
      </c>
      <c r="D1609" t="s">
        <v>5519</v>
      </c>
      <c r="E1609" t="s">
        <v>5520</v>
      </c>
      <c r="F1609" t="s">
        <v>21</v>
      </c>
      <c r="G1609" t="s">
        <v>22</v>
      </c>
      <c r="H1609" t="s">
        <v>53</v>
      </c>
      <c r="I1609" t="s">
        <v>3006</v>
      </c>
      <c r="J1609">
        <v>2019</v>
      </c>
      <c r="K1609">
        <v>43698.521897777777</v>
      </c>
      <c r="L1609" t="s">
        <v>1005</v>
      </c>
      <c r="M1609" t="s">
        <v>37</v>
      </c>
      <c r="N1609" t="s">
        <v>415</v>
      </c>
      <c r="O1609">
        <v>275539</v>
      </c>
      <c r="P1609">
        <v>43522.155555555553</v>
      </c>
      <c r="Q1609">
        <v>43236.703215821763</v>
      </c>
      <c r="R1609">
        <v>1641</v>
      </c>
    </row>
    <row r="1610" spans="1:18" x14ac:dyDescent="0.25">
      <c r="A1610" t="s">
        <v>5521</v>
      </c>
      <c r="B1610" t="s">
        <v>5522</v>
      </c>
      <c r="C1610" t="s">
        <v>5523</v>
      </c>
      <c r="D1610" t="s">
        <v>5523</v>
      </c>
      <c r="E1610" t="s">
        <v>5524</v>
      </c>
      <c r="F1610" t="s">
        <v>21</v>
      </c>
      <c r="G1610" t="s">
        <v>22</v>
      </c>
      <c r="H1610" t="s">
        <v>53</v>
      </c>
      <c r="I1610" t="s">
        <v>3006</v>
      </c>
      <c r="J1610">
        <v>2019</v>
      </c>
      <c r="K1610">
        <v>43698.521897777777</v>
      </c>
      <c r="L1610" t="s">
        <v>1005</v>
      </c>
      <c r="M1610" t="s">
        <v>37</v>
      </c>
      <c r="N1610" t="s">
        <v>415</v>
      </c>
      <c r="O1610">
        <v>282281</v>
      </c>
      <c r="P1610">
        <v>43537.751203703701</v>
      </c>
      <c r="Q1610">
        <v>43236.703979317128</v>
      </c>
      <c r="R1610">
        <v>1642</v>
      </c>
    </row>
    <row r="1611" spans="1:18" x14ac:dyDescent="0.25">
      <c r="A1611" t="s">
        <v>5525</v>
      </c>
      <c r="B1611" t="s">
        <v>5526</v>
      </c>
      <c r="C1611" t="s">
        <v>5527</v>
      </c>
      <c r="D1611" t="s">
        <v>5527</v>
      </c>
      <c r="E1611" t="s">
        <v>5528</v>
      </c>
      <c r="F1611" t="s">
        <v>21</v>
      </c>
      <c r="G1611" t="s">
        <v>22</v>
      </c>
      <c r="H1611" t="s">
        <v>53</v>
      </c>
      <c r="I1611" t="s">
        <v>3006</v>
      </c>
      <c r="J1611">
        <v>2019</v>
      </c>
      <c r="K1611">
        <v>43698.521897777777</v>
      </c>
      <c r="L1611" t="s">
        <v>1005</v>
      </c>
      <c r="M1611" t="s">
        <v>37</v>
      </c>
      <c r="N1611" t="s">
        <v>415</v>
      </c>
      <c r="O1611">
        <v>289275</v>
      </c>
      <c r="P1611">
        <v>43557.771527777775</v>
      </c>
      <c r="Q1611">
        <v>43236.705084606481</v>
      </c>
      <c r="R1611">
        <v>1643</v>
      </c>
    </row>
    <row r="1612" spans="1:18" x14ac:dyDescent="0.25">
      <c r="A1612" t="s">
        <v>5529</v>
      </c>
      <c r="B1612" t="s">
        <v>5530</v>
      </c>
      <c r="C1612" t="s">
        <v>5531</v>
      </c>
      <c r="D1612" t="s">
        <v>5531</v>
      </c>
      <c r="E1612" t="s">
        <v>5531</v>
      </c>
      <c r="F1612" t="s">
        <v>21</v>
      </c>
      <c r="G1612" t="s">
        <v>63</v>
      </c>
      <c r="H1612" t="s">
        <v>236</v>
      </c>
      <c r="I1612" t="s">
        <v>728</v>
      </c>
      <c r="J1612">
        <v>2008</v>
      </c>
      <c r="K1612">
        <v>43698.521897777777</v>
      </c>
      <c r="L1612" t="s">
        <v>25</v>
      </c>
      <c r="M1612" t="s">
        <v>2777</v>
      </c>
      <c r="N1612" t="s">
        <v>27</v>
      </c>
      <c r="O1612">
        <v>198156</v>
      </c>
      <c r="P1612">
        <v>43288.194444444445</v>
      </c>
      <c r="Q1612">
        <v>43241.707201620367</v>
      </c>
      <c r="R1612">
        <v>1644</v>
      </c>
    </row>
    <row r="1613" spans="1:18" x14ac:dyDescent="0.25">
      <c r="A1613" t="s">
        <v>25</v>
      </c>
      <c r="B1613" t="s">
        <v>25</v>
      </c>
      <c r="C1613" t="s">
        <v>5532</v>
      </c>
      <c r="D1613" t="s">
        <v>5532</v>
      </c>
      <c r="E1613" t="s">
        <v>5532</v>
      </c>
      <c r="F1613" t="s">
        <v>91</v>
      </c>
      <c r="G1613" t="s">
        <v>22</v>
      </c>
      <c r="H1613" t="s">
        <v>2802</v>
      </c>
      <c r="I1613" t="s">
        <v>25</v>
      </c>
      <c r="K1613">
        <v>43698.521897777777</v>
      </c>
      <c r="L1613" t="s">
        <v>25</v>
      </c>
      <c r="M1613" t="s">
        <v>154</v>
      </c>
      <c r="N1613" t="s">
        <v>523</v>
      </c>
      <c r="Q1613">
        <v>43244.353858564813</v>
      </c>
      <c r="R1613">
        <v>1645</v>
      </c>
    </row>
    <row r="1614" spans="1:18" x14ac:dyDescent="0.25">
      <c r="A1614" t="s">
        <v>5533</v>
      </c>
      <c r="B1614" t="s">
        <v>4556</v>
      </c>
      <c r="C1614" t="s">
        <v>5534</v>
      </c>
      <c r="D1614" t="s">
        <v>5534</v>
      </c>
      <c r="E1614" t="s">
        <v>5535</v>
      </c>
      <c r="F1614" t="s">
        <v>21</v>
      </c>
      <c r="G1614" t="s">
        <v>22</v>
      </c>
      <c r="H1614" t="s">
        <v>53</v>
      </c>
      <c r="I1614" t="s">
        <v>3006</v>
      </c>
      <c r="J1614">
        <v>2018</v>
      </c>
      <c r="K1614">
        <v>43698.521897777777</v>
      </c>
      <c r="L1614" t="s">
        <v>2713</v>
      </c>
      <c r="M1614" t="s">
        <v>37</v>
      </c>
      <c r="N1614" t="s">
        <v>415</v>
      </c>
      <c r="O1614">
        <v>257492</v>
      </c>
      <c r="P1614">
        <v>43469.479131944441</v>
      </c>
      <c r="Q1614">
        <v>43245.472749502318</v>
      </c>
      <c r="R1614">
        <v>1646</v>
      </c>
    </row>
    <row r="1615" spans="1:18" x14ac:dyDescent="0.25">
      <c r="A1615" t="s">
        <v>5536</v>
      </c>
      <c r="B1615" t="s">
        <v>4564</v>
      </c>
      <c r="C1615" t="s">
        <v>5537</v>
      </c>
      <c r="D1615" t="s">
        <v>5537</v>
      </c>
      <c r="E1615" t="s">
        <v>5538</v>
      </c>
      <c r="F1615" t="s">
        <v>21</v>
      </c>
      <c r="G1615" t="s">
        <v>22</v>
      </c>
      <c r="H1615" t="s">
        <v>53</v>
      </c>
      <c r="I1615" t="s">
        <v>3006</v>
      </c>
      <c r="J1615">
        <v>2018</v>
      </c>
      <c r="K1615">
        <v>43698.521897777777</v>
      </c>
      <c r="L1615" t="s">
        <v>1660</v>
      </c>
      <c r="M1615" t="s">
        <v>37</v>
      </c>
      <c r="N1615" t="s">
        <v>415</v>
      </c>
      <c r="O1615">
        <v>252248</v>
      </c>
      <c r="P1615">
        <v>43448.852083333331</v>
      </c>
      <c r="Q1615">
        <v>43245.476861111114</v>
      </c>
      <c r="R1615">
        <v>1647</v>
      </c>
    </row>
    <row r="1616" spans="1:18" x14ac:dyDescent="0.25">
      <c r="A1616" t="s">
        <v>5539</v>
      </c>
      <c r="B1616" t="s">
        <v>4586</v>
      </c>
      <c r="C1616" t="s">
        <v>5540</v>
      </c>
      <c r="D1616" t="s">
        <v>5540</v>
      </c>
      <c r="E1616" t="s">
        <v>5541</v>
      </c>
      <c r="F1616" t="s">
        <v>21</v>
      </c>
      <c r="G1616" t="s">
        <v>22</v>
      </c>
      <c r="H1616" t="s">
        <v>53</v>
      </c>
      <c r="I1616" t="s">
        <v>3006</v>
      </c>
      <c r="J1616">
        <v>2018</v>
      </c>
      <c r="K1616">
        <v>43698.521897777777</v>
      </c>
      <c r="L1616" t="s">
        <v>1916</v>
      </c>
      <c r="M1616" t="s">
        <v>37</v>
      </c>
      <c r="N1616" t="s">
        <v>415</v>
      </c>
      <c r="O1616">
        <v>254236</v>
      </c>
      <c r="P1616">
        <v>43452.895833333336</v>
      </c>
      <c r="Q1616">
        <v>43245.478107754629</v>
      </c>
      <c r="R1616">
        <v>1648</v>
      </c>
    </row>
    <row r="1617" spans="1:18" x14ac:dyDescent="0.25">
      <c r="A1617" t="s">
        <v>5542</v>
      </c>
      <c r="B1617" t="s">
        <v>4598</v>
      </c>
      <c r="C1617" t="s">
        <v>5543</v>
      </c>
      <c r="D1617" t="s">
        <v>5543</v>
      </c>
      <c r="E1617" t="s">
        <v>5544</v>
      </c>
      <c r="F1617" t="s">
        <v>21</v>
      </c>
      <c r="G1617" t="s">
        <v>22</v>
      </c>
      <c r="H1617" t="s">
        <v>53</v>
      </c>
      <c r="I1617" t="s">
        <v>3006</v>
      </c>
      <c r="J1617">
        <v>2018</v>
      </c>
      <c r="K1617">
        <v>43698.521897777777</v>
      </c>
      <c r="L1617" t="s">
        <v>1660</v>
      </c>
      <c r="M1617" t="s">
        <v>37</v>
      </c>
      <c r="N1617" t="s">
        <v>415</v>
      </c>
      <c r="O1617">
        <v>252615</v>
      </c>
      <c r="P1617">
        <v>43448.26666666667</v>
      </c>
      <c r="Q1617">
        <v>43245.479796064814</v>
      </c>
      <c r="R1617">
        <v>1649</v>
      </c>
    </row>
    <row r="1618" spans="1:18" x14ac:dyDescent="0.25">
      <c r="A1618" t="s">
        <v>5545</v>
      </c>
      <c r="B1618" t="s">
        <v>4500</v>
      </c>
      <c r="C1618" t="s">
        <v>5546</v>
      </c>
      <c r="D1618" t="s">
        <v>5546</v>
      </c>
      <c r="E1618" t="s">
        <v>5547</v>
      </c>
      <c r="F1618" t="s">
        <v>21</v>
      </c>
      <c r="G1618" t="s">
        <v>22</v>
      </c>
      <c r="H1618" t="s">
        <v>53</v>
      </c>
      <c r="I1618" t="s">
        <v>3006</v>
      </c>
      <c r="J1618">
        <v>2018</v>
      </c>
      <c r="K1618">
        <v>43698.521897777777</v>
      </c>
      <c r="L1618" t="s">
        <v>1660</v>
      </c>
      <c r="M1618" t="s">
        <v>37</v>
      </c>
      <c r="N1618" t="s">
        <v>415</v>
      </c>
      <c r="O1618">
        <v>253379</v>
      </c>
      <c r="P1618">
        <v>43450.563194444447</v>
      </c>
      <c r="Q1618">
        <v>43245.481076388889</v>
      </c>
      <c r="R1618">
        <v>1650</v>
      </c>
    </row>
    <row r="1619" spans="1:18" x14ac:dyDescent="0.25">
      <c r="A1619" t="s">
        <v>5548</v>
      </c>
      <c r="B1619" t="s">
        <v>4536</v>
      </c>
      <c r="C1619" t="s">
        <v>5549</v>
      </c>
      <c r="D1619" t="s">
        <v>5549</v>
      </c>
      <c r="E1619" t="s">
        <v>5550</v>
      </c>
      <c r="F1619" t="s">
        <v>21</v>
      </c>
      <c r="G1619" t="s">
        <v>22</v>
      </c>
      <c r="H1619" t="s">
        <v>53</v>
      </c>
      <c r="I1619" t="s">
        <v>3006</v>
      </c>
      <c r="J1619">
        <v>2018</v>
      </c>
      <c r="K1619">
        <v>43698.521897777777</v>
      </c>
      <c r="L1619" t="s">
        <v>2713</v>
      </c>
      <c r="M1619" t="s">
        <v>37</v>
      </c>
      <c r="N1619" t="s">
        <v>415</v>
      </c>
      <c r="O1619">
        <v>255396</v>
      </c>
      <c r="P1619">
        <v>43455.366666666669</v>
      </c>
      <c r="Q1619">
        <v>43245.481815393519</v>
      </c>
      <c r="R1619">
        <v>1651</v>
      </c>
    </row>
    <row r="1620" spans="1:18" x14ac:dyDescent="0.25">
      <c r="A1620" t="s">
        <v>5551</v>
      </c>
      <c r="B1620" t="s">
        <v>4528</v>
      </c>
      <c r="C1620" t="s">
        <v>5552</v>
      </c>
      <c r="D1620" t="s">
        <v>5552</v>
      </c>
      <c r="E1620" t="s">
        <v>5553</v>
      </c>
      <c r="F1620" t="s">
        <v>21</v>
      </c>
      <c r="G1620" t="s">
        <v>22</v>
      </c>
      <c r="H1620" t="s">
        <v>53</v>
      </c>
      <c r="I1620" t="s">
        <v>3006</v>
      </c>
      <c r="J1620">
        <v>2018</v>
      </c>
      <c r="K1620">
        <v>43698.521897777777</v>
      </c>
      <c r="L1620" t="s">
        <v>2713</v>
      </c>
      <c r="M1620" t="s">
        <v>37</v>
      </c>
      <c r="N1620" t="s">
        <v>415</v>
      </c>
      <c r="O1620">
        <v>251506</v>
      </c>
      <c r="P1620">
        <v>43448.863807870373</v>
      </c>
      <c r="Q1620">
        <v>43248.692508680557</v>
      </c>
      <c r="R1620">
        <v>1652</v>
      </c>
    </row>
    <row r="1621" spans="1:18" x14ac:dyDescent="0.25">
      <c r="A1621" t="s">
        <v>5554</v>
      </c>
      <c r="B1621" t="s">
        <v>5555</v>
      </c>
      <c r="C1621" t="s">
        <v>5556</v>
      </c>
      <c r="D1621" t="s">
        <v>5556</v>
      </c>
      <c r="E1621" t="s">
        <v>5556</v>
      </c>
      <c r="F1621" t="s">
        <v>91</v>
      </c>
      <c r="G1621" t="s">
        <v>63</v>
      </c>
      <c r="H1621" t="s">
        <v>34</v>
      </c>
      <c r="I1621" t="s">
        <v>703</v>
      </c>
      <c r="J1621">
        <v>2011</v>
      </c>
      <c r="K1621">
        <v>43698.521897777777</v>
      </c>
      <c r="L1621" t="s">
        <v>422</v>
      </c>
      <c r="M1621" t="s">
        <v>2777</v>
      </c>
      <c r="N1621" t="s">
        <v>27</v>
      </c>
      <c r="O1621">
        <v>346947</v>
      </c>
      <c r="P1621">
        <v>43698.521897777777</v>
      </c>
      <c r="Q1621">
        <v>43248.698488923612</v>
      </c>
      <c r="R1621">
        <v>1653</v>
      </c>
    </row>
    <row r="1622" spans="1:18" x14ac:dyDescent="0.25">
      <c r="A1622" t="s">
        <v>5557</v>
      </c>
      <c r="B1622" t="s">
        <v>5558</v>
      </c>
      <c r="C1622" t="s">
        <v>5559</v>
      </c>
      <c r="D1622" t="s">
        <v>5559</v>
      </c>
      <c r="E1622" t="s">
        <v>5559</v>
      </c>
      <c r="F1622" t="s">
        <v>21</v>
      </c>
      <c r="G1622" t="s">
        <v>63</v>
      </c>
      <c r="H1622" t="s">
        <v>34</v>
      </c>
      <c r="I1622" t="s">
        <v>703</v>
      </c>
      <c r="J1622">
        <v>2012</v>
      </c>
      <c r="K1622">
        <v>43698.521897777777</v>
      </c>
      <c r="L1622" t="s">
        <v>193</v>
      </c>
      <c r="M1622" t="s">
        <v>1941</v>
      </c>
      <c r="N1622" t="s">
        <v>415</v>
      </c>
      <c r="O1622">
        <v>300864</v>
      </c>
      <c r="P1622">
        <v>43586.558333333334</v>
      </c>
      <c r="Q1622">
        <v>43251.481302465276</v>
      </c>
      <c r="R1622">
        <v>1654</v>
      </c>
    </row>
    <row r="1623" spans="1:18" x14ac:dyDescent="0.25">
      <c r="A1623" t="s">
        <v>5560</v>
      </c>
      <c r="B1623" t="s">
        <v>5561</v>
      </c>
      <c r="C1623" t="s">
        <v>5562</v>
      </c>
      <c r="D1623" t="s">
        <v>5562</v>
      </c>
      <c r="E1623" t="s">
        <v>5562</v>
      </c>
      <c r="F1623" t="s">
        <v>91</v>
      </c>
      <c r="G1623" t="s">
        <v>63</v>
      </c>
      <c r="H1623" t="s">
        <v>53</v>
      </c>
      <c r="I1623" t="s">
        <v>471</v>
      </c>
      <c r="J1623">
        <v>2012</v>
      </c>
      <c r="K1623">
        <v>43698.521897777777</v>
      </c>
      <c r="L1623" t="s">
        <v>193</v>
      </c>
      <c r="M1623" t="s">
        <v>1941</v>
      </c>
      <c r="N1623" t="s">
        <v>415</v>
      </c>
      <c r="O1623">
        <v>347002</v>
      </c>
      <c r="P1623">
        <v>43698.521897777777</v>
      </c>
      <c r="Q1623">
        <v>43256.617647303239</v>
      </c>
      <c r="R1623">
        <v>1655</v>
      </c>
    </row>
    <row r="1624" spans="1:18" x14ac:dyDescent="0.25">
      <c r="A1624" t="s">
        <v>5563</v>
      </c>
      <c r="B1624" t="s">
        <v>5564</v>
      </c>
      <c r="C1624" t="s">
        <v>5565</v>
      </c>
      <c r="D1624" t="s">
        <v>5565</v>
      </c>
      <c r="E1624" t="s">
        <v>5565</v>
      </c>
      <c r="F1624" t="s">
        <v>91</v>
      </c>
      <c r="G1624" t="s">
        <v>63</v>
      </c>
      <c r="H1624" t="s">
        <v>53</v>
      </c>
      <c r="I1624" t="s">
        <v>471</v>
      </c>
      <c r="J1624">
        <v>2012</v>
      </c>
      <c r="K1624">
        <v>43698.521897777777</v>
      </c>
      <c r="L1624" t="s">
        <v>193</v>
      </c>
      <c r="M1624" t="s">
        <v>1941</v>
      </c>
      <c r="N1624" t="s">
        <v>415</v>
      </c>
      <c r="O1624">
        <v>347003</v>
      </c>
      <c r="P1624">
        <v>43698.521897777777</v>
      </c>
      <c r="Q1624">
        <v>43256.620066631942</v>
      </c>
      <c r="R1624">
        <v>1656</v>
      </c>
    </row>
    <row r="1625" spans="1:18" x14ac:dyDescent="0.25">
      <c r="A1625" t="s">
        <v>5566</v>
      </c>
      <c r="B1625" t="s">
        <v>2485</v>
      </c>
      <c r="C1625" t="s">
        <v>5567</v>
      </c>
      <c r="D1625" t="s">
        <v>5567</v>
      </c>
      <c r="E1625" t="s">
        <v>5567</v>
      </c>
      <c r="F1625" t="s">
        <v>21</v>
      </c>
      <c r="G1625" t="s">
        <v>63</v>
      </c>
      <c r="H1625" t="s">
        <v>53</v>
      </c>
      <c r="I1625" t="s">
        <v>471</v>
      </c>
      <c r="J1625">
        <v>2017</v>
      </c>
      <c r="K1625">
        <v>43698.521897777777</v>
      </c>
      <c r="L1625" t="s">
        <v>193</v>
      </c>
      <c r="M1625" t="s">
        <v>1941</v>
      </c>
      <c r="N1625" t="s">
        <v>27</v>
      </c>
      <c r="O1625">
        <v>279334</v>
      </c>
      <c r="P1625">
        <v>43533.026979166665</v>
      </c>
      <c r="Q1625">
        <v>43256.674696678238</v>
      </c>
      <c r="R1625">
        <v>1657</v>
      </c>
    </row>
    <row r="1626" spans="1:18" x14ac:dyDescent="0.25">
      <c r="A1626" t="s">
        <v>5568</v>
      </c>
      <c r="B1626" t="s">
        <v>5569</v>
      </c>
      <c r="C1626" t="s">
        <v>5570</v>
      </c>
      <c r="D1626" t="s">
        <v>5570</v>
      </c>
      <c r="E1626" t="s">
        <v>5570</v>
      </c>
      <c r="F1626" t="s">
        <v>21</v>
      </c>
      <c r="G1626" t="s">
        <v>63</v>
      </c>
      <c r="H1626" t="s">
        <v>34</v>
      </c>
      <c r="I1626" t="s">
        <v>703</v>
      </c>
      <c r="J1626">
        <v>2015</v>
      </c>
      <c r="K1626">
        <v>43698.521897777777</v>
      </c>
      <c r="L1626" t="s">
        <v>466</v>
      </c>
      <c r="M1626" t="s">
        <v>154</v>
      </c>
      <c r="N1626" t="s">
        <v>1305</v>
      </c>
      <c r="O1626">
        <v>245492</v>
      </c>
      <c r="P1626">
        <v>43430.82240740741</v>
      </c>
      <c r="Q1626">
        <v>43257.472355787038</v>
      </c>
      <c r="R1626">
        <v>1658</v>
      </c>
    </row>
    <row r="1627" spans="1:18" x14ac:dyDescent="0.25">
      <c r="A1627" t="s">
        <v>5571</v>
      </c>
      <c r="B1627" t="s">
        <v>4477</v>
      </c>
      <c r="C1627" t="s">
        <v>5572</v>
      </c>
      <c r="D1627" t="s">
        <v>5572</v>
      </c>
      <c r="E1627" t="s">
        <v>5572</v>
      </c>
      <c r="F1627" t="s">
        <v>91</v>
      </c>
      <c r="G1627" t="s">
        <v>63</v>
      </c>
      <c r="H1627" t="s">
        <v>53</v>
      </c>
      <c r="I1627" t="s">
        <v>471</v>
      </c>
      <c r="J1627">
        <v>2009</v>
      </c>
      <c r="K1627">
        <v>43698.521897777777</v>
      </c>
      <c r="L1627" t="s">
        <v>578</v>
      </c>
      <c r="M1627" t="s">
        <v>1941</v>
      </c>
      <c r="N1627" t="s">
        <v>415</v>
      </c>
      <c r="O1627">
        <v>347070</v>
      </c>
      <c r="P1627">
        <v>43698.521897777777</v>
      </c>
      <c r="Q1627">
        <v>43257.610954664349</v>
      </c>
      <c r="R1627">
        <v>1659</v>
      </c>
    </row>
    <row r="1628" spans="1:18" x14ac:dyDescent="0.25">
      <c r="A1628" t="s">
        <v>5573</v>
      </c>
      <c r="B1628" t="s">
        <v>5574</v>
      </c>
      <c r="C1628" t="s">
        <v>5575</v>
      </c>
      <c r="D1628" t="s">
        <v>5575</v>
      </c>
      <c r="E1628" t="s">
        <v>5575</v>
      </c>
      <c r="F1628" t="s">
        <v>21</v>
      </c>
      <c r="G1628" t="s">
        <v>106</v>
      </c>
      <c r="H1628" t="s">
        <v>236</v>
      </c>
      <c r="I1628" t="s">
        <v>41</v>
      </c>
      <c r="J1628">
        <v>2018</v>
      </c>
      <c r="K1628">
        <v>43698.521897777777</v>
      </c>
      <c r="L1628" t="s">
        <v>422</v>
      </c>
      <c r="M1628" t="s">
        <v>42</v>
      </c>
      <c r="N1628" t="s">
        <v>415</v>
      </c>
      <c r="O1628">
        <v>227678</v>
      </c>
      <c r="P1628">
        <v>43379.208333333336</v>
      </c>
      <c r="Q1628">
        <v>43257.727168668978</v>
      </c>
      <c r="R1628">
        <v>1661</v>
      </c>
    </row>
    <row r="1629" spans="1:18" x14ac:dyDescent="0.25">
      <c r="A1629" t="s">
        <v>5576</v>
      </c>
      <c r="B1629" t="s">
        <v>5577</v>
      </c>
      <c r="C1629" t="s">
        <v>5578</v>
      </c>
      <c r="D1629" t="s">
        <v>5578</v>
      </c>
      <c r="E1629" t="s">
        <v>5578</v>
      </c>
      <c r="F1629" t="s">
        <v>21</v>
      </c>
      <c r="G1629" t="s">
        <v>63</v>
      </c>
      <c r="H1629" t="s">
        <v>34</v>
      </c>
      <c r="I1629" t="s">
        <v>35</v>
      </c>
      <c r="J1629">
        <v>2011</v>
      </c>
      <c r="K1629">
        <v>43698.521897777777</v>
      </c>
      <c r="L1629" t="s">
        <v>578</v>
      </c>
      <c r="M1629" t="s">
        <v>1941</v>
      </c>
      <c r="N1629" t="s">
        <v>415</v>
      </c>
      <c r="O1629">
        <v>230973</v>
      </c>
      <c r="P1629">
        <v>43389.271412037036</v>
      </c>
      <c r="Q1629">
        <v>43259.717087962963</v>
      </c>
      <c r="R1629">
        <v>1662</v>
      </c>
    </row>
    <row r="1630" spans="1:18" x14ac:dyDescent="0.25">
      <c r="A1630" t="s">
        <v>5579</v>
      </c>
      <c r="B1630" t="s">
        <v>5580</v>
      </c>
      <c r="C1630" t="s">
        <v>5581</v>
      </c>
      <c r="D1630" t="s">
        <v>5581</v>
      </c>
      <c r="E1630" t="s">
        <v>5581</v>
      </c>
      <c r="F1630" t="s">
        <v>21</v>
      </c>
      <c r="G1630" t="s">
        <v>106</v>
      </c>
      <c r="H1630" t="s">
        <v>23</v>
      </c>
      <c r="I1630" t="s">
        <v>41</v>
      </c>
      <c r="J1630">
        <v>2018</v>
      </c>
      <c r="K1630">
        <v>43698.521897777777</v>
      </c>
      <c r="L1630" t="s">
        <v>422</v>
      </c>
      <c r="M1630" t="s">
        <v>42</v>
      </c>
      <c r="N1630" t="s">
        <v>415</v>
      </c>
      <c r="O1630">
        <v>227088</v>
      </c>
      <c r="P1630">
        <v>43377.5</v>
      </c>
      <c r="Q1630">
        <v>43259.726691006945</v>
      </c>
      <c r="R1630">
        <v>1663</v>
      </c>
    </row>
    <row r="1631" spans="1:18" x14ac:dyDescent="0.25">
      <c r="A1631" t="s">
        <v>25</v>
      </c>
      <c r="B1631" t="s">
        <v>25</v>
      </c>
      <c r="C1631" t="s">
        <v>5582</v>
      </c>
      <c r="D1631" t="s">
        <v>5582</v>
      </c>
      <c r="E1631" t="s">
        <v>5582</v>
      </c>
      <c r="F1631" t="s">
        <v>21</v>
      </c>
      <c r="G1631" t="s">
        <v>106</v>
      </c>
      <c r="H1631" t="s">
        <v>25</v>
      </c>
      <c r="I1631" t="s">
        <v>25</v>
      </c>
      <c r="K1631">
        <v>43698.521897777777</v>
      </c>
      <c r="L1631" t="s">
        <v>422</v>
      </c>
      <c r="M1631" t="s">
        <v>42</v>
      </c>
      <c r="N1631" t="s">
        <v>415</v>
      </c>
      <c r="O1631">
        <v>202690</v>
      </c>
      <c r="P1631">
        <v>43303.802083333336</v>
      </c>
      <c r="Q1631">
        <v>43260.476515821756</v>
      </c>
      <c r="R1631">
        <v>1664</v>
      </c>
    </row>
    <row r="1632" spans="1:18" x14ac:dyDescent="0.25">
      <c r="A1632" t="s">
        <v>5583</v>
      </c>
      <c r="B1632" t="s">
        <v>3698</v>
      </c>
      <c r="C1632" t="s">
        <v>5584</v>
      </c>
      <c r="D1632" t="s">
        <v>5584</v>
      </c>
      <c r="E1632" t="s">
        <v>5584</v>
      </c>
      <c r="F1632" t="s">
        <v>91</v>
      </c>
      <c r="G1632" t="s">
        <v>63</v>
      </c>
      <c r="H1632" t="s">
        <v>121</v>
      </c>
      <c r="I1632" t="s">
        <v>122</v>
      </c>
      <c r="J1632">
        <v>2007</v>
      </c>
      <c r="K1632">
        <v>43698.521897777777</v>
      </c>
      <c r="L1632" t="s">
        <v>466</v>
      </c>
      <c r="M1632" t="s">
        <v>154</v>
      </c>
      <c r="N1632" t="s">
        <v>1305</v>
      </c>
      <c r="O1632">
        <v>346335</v>
      </c>
      <c r="P1632">
        <v>43698.521897777777</v>
      </c>
      <c r="Q1632">
        <v>43262.533449571762</v>
      </c>
      <c r="R1632">
        <v>1665</v>
      </c>
    </row>
    <row r="1633" spans="1:18" x14ac:dyDescent="0.25">
      <c r="A1633" t="s">
        <v>5585</v>
      </c>
      <c r="B1633" t="s">
        <v>5586</v>
      </c>
      <c r="C1633" t="s">
        <v>5587</v>
      </c>
      <c r="D1633" t="s">
        <v>5587</v>
      </c>
      <c r="E1633" t="s">
        <v>5587</v>
      </c>
      <c r="F1633" t="s">
        <v>91</v>
      </c>
      <c r="G1633" t="s">
        <v>63</v>
      </c>
      <c r="H1633" t="s">
        <v>998</v>
      </c>
      <c r="I1633" t="s">
        <v>41</v>
      </c>
      <c r="J1633">
        <v>2004</v>
      </c>
      <c r="K1633">
        <v>43698.521897777777</v>
      </c>
      <c r="L1633" t="s">
        <v>578</v>
      </c>
      <c r="M1633" t="s">
        <v>1941</v>
      </c>
      <c r="N1633" t="s">
        <v>415</v>
      </c>
      <c r="O1633">
        <v>340626</v>
      </c>
      <c r="P1633">
        <v>43685.02511574074</v>
      </c>
      <c r="Q1633">
        <v>43262.628424803239</v>
      </c>
      <c r="R1633">
        <v>1666</v>
      </c>
    </row>
    <row r="1634" spans="1:18" x14ac:dyDescent="0.25">
      <c r="A1634" t="s">
        <v>5588</v>
      </c>
      <c r="B1634" t="s">
        <v>5589</v>
      </c>
      <c r="C1634" t="s">
        <v>5590</v>
      </c>
      <c r="D1634" t="s">
        <v>5590</v>
      </c>
      <c r="E1634" t="s">
        <v>5590</v>
      </c>
      <c r="F1634" t="s">
        <v>91</v>
      </c>
      <c r="G1634" t="s">
        <v>63</v>
      </c>
      <c r="H1634" t="s">
        <v>53</v>
      </c>
      <c r="I1634" t="s">
        <v>471</v>
      </c>
      <c r="J1634">
        <v>2014</v>
      </c>
      <c r="K1634">
        <v>43698.521897777777</v>
      </c>
      <c r="L1634" t="s">
        <v>578</v>
      </c>
      <c r="M1634" t="s">
        <v>1941</v>
      </c>
      <c r="N1634" t="s">
        <v>415</v>
      </c>
      <c r="O1634">
        <v>346648</v>
      </c>
      <c r="P1634">
        <v>43698.521897777777</v>
      </c>
      <c r="Q1634">
        <v>43262.63225170139</v>
      </c>
      <c r="R1634">
        <v>1667</v>
      </c>
    </row>
    <row r="1635" spans="1:18" x14ac:dyDescent="0.25">
      <c r="A1635" t="s">
        <v>5591</v>
      </c>
      <c r="B1635" t="s">
        <v>5592</v>
      </c>
      <c r="C1635" t="s">
        <v>5593</v>
      </c>
      <c r="D1635" t="s">
        <v>5593</v>
      </c>
      <c r="E1635" t="s">
        <v>5593</v>
      </c>
      <c r="F1635" t="s">
        <v>21</v>
      </c>
      <c r="G1635" t="s">
        <v>63</v>
      </c>
      <c r="H1635" t="s">
        <v>34</v>
      </c>
      <c r="I1635" t="s">
        <v>35</v>
      </c>
      <c r="J1635">
        <v>2017</v>
      </c>
      <c r="K1635">
        <v>43698.521897777777</v>
      </c>
      <c r="L1635" t="s">
        <v>193</v>
      </c>
      <c r="M1635" t="s">
        <v>1941</v>
      </c>
      <c r="N1635" t="s">
        <v>27</v>
      </c>
      <c r="O1635">
        <v>289288</v>
      </c>
      <c r="P1635">
        <v>43556.707638888889</v>
      </c>
      <c r="Q1635">
        <v>43262.633151076392</v>
      </c>
      <c r="R1635">
        <v>1668</v>
      </c>
    </row>
    <row r="1636" spans="1:18" x14ac:dyDescent="0.25">
      <c r="A1636" t="s">
        <v>5594</v>
      </c>
      <c r="B1636" t="s">
        <v>5595</v>
      </c>
      <c r="C1636" t="s">
        <v>5596</v>
      </c>
      <c r="D1636" t="s">
        <v>5596</v>
      </c>
      <c r="E1636" t="s">
        <v>5596</v>
      </c>
      <c r="F1636" t="s">
        <v>91</v>
      </c>
      <c r="G1636" t="s">
        <v>63</v>
      </c>
      <c r="H1636" t="s">
        <v>53</v>
      </c>
      <c r="I1636" t="s">
        <v>3693</v>
      </c>
      <c r="J1636">
        <v>2018</v>
      </c>
      <c r="K1636">
        <v>43698.521897777777</v>
      </c>
      <c r="L1636" t="s">
        <v>1005</v>
      </c>
      <c r="M1636" t="s">
        <v>1941</v>
      </c>
      <c r="N1636" t="s">
        <v>415</v>
      </c>
      <c r="O1636">
        <v>346584</v>
      </c>
      <c r="P1636">
        <v>43698.521897777777</v>
      </c>
      <c r="Q1636">
        <v>43262.636743252318</v>
      </c>
      <c r="R1636">
        <v>1670</v>
      </c>
    </row>
    <row r="1637" spans="1:18" x14ac:dyDescent="0.25">
      <c r="A1637" t="s">
        <v>5597</v>
      </c>
      <c r="B1637" t="s">
        <v>4203</v>
      </c>
      <c r="C1637" t="s">
        <v>5598</v>
      </c>
      <c r="D1637" t="s">
        <v>5598</v>
      </c>
      <c r="E1637" t="s">
        <v>5598</v>
      </c>
      <c r="F1637" t="s">
        <v>91</v>
      </c>
      <c r="G1637" t="s">
        <v>63</v>
      </c>
      <c r="H1637" t="s">
        <v>53</v>
      </c>
      <c r="I1637" t="s">
        <v>471</v>
      </c>
      <c r="J1637">
        <v>2016</v>
      </c>
      <c r="K1637">
        <v>43698.521897777777</v>
      </c>
      <c r="L1637" t="s">
        <v>2713</v>
      </c>
      <c r="M1637" t="s">
        <v>2777</v>
      </c>
      <c r="N1637" t="s">
        <v>415</v>
      </c>
      <c r="O1637">
        <v>346790</v>
      </c>
      <c r="P1637">
        <v>43698.521897777777</v>
      </c>
      <c r="Q1637">
        <v>43262.638706215279</v>
      </c>
      <c r="R1637">
        <v>1671</v>
      </c>
    </row>
    <row r="1638" spans="1:18" x14ac:dyDescent="0.25">
      <c r="A1638" t="s">
        <v>5599</v>
      </c>
      <c r="B1638" t="s">
        <v>5600</v>
      </c>
      <c r="C1638" t="s">
        <v>5601</v>
      </c>
      <c r="D1638" t="s">
        <v>5601</v>
      </c>
      <c r="E1638" t="s">
        <v>5601</v>
      </c>
      <c r="F1638" t="s">
        <v>91</v>
      </c>
      <c r="G1638" t="s">
        <v>63</v>
      </c>
      <c r="H1638" t="s">
        <v>34</v>
      </c>
      <c r="I1638" t="s">
        <v>703</v>
      </c>
      <c r="J1638">
        <v>2013</v>
      </c>
      <c r="K1638">
        <v>43698.521897777777</v>
      </c>
      <c r="L1638" t="s">
        <v>422</v>
      </c>
      <c r="M1638" t="s">
        <v>2777</v>
      </c>
      <c r="N1638" t="s">
        <v>27</v>
      </c>
      <c r="O1638">
        <v>346519</v>
      </c>
      <c r="P1638">
        <v>43697.864583333336</v>
      </c>
      <c r="Q1638">
        <v>43262.639478090277</v>
      </c>
      <c r="R1638">
        <v>1672</v>
      </c>
    </row>
    <row r="1639" spans="1:18" x14ac:dyDescent="0.25">
      <c r="A1639" t="s">
        <v>5602</v>
      </c>
      <c r="B1639" t="s">
        <v>5603</v>
      </c>
      <c r="C1639" t="s">
        <v>5604</v>
      </c>
      <c r="D1639" t="s">
        <v>5604</v>
      </c>
      <c r="E1639" t="s">
        <v>5604</v>
      </c>
      <c r="F1639" t="s">
        <v>21</v>
      </c>
      <c r="G1639" t="s">
        <v>63</v>
      </c>
      <c r="H1639" t="s">
        <v>34</v>
      </c>
      <c r="I1639" t="s">
        <v>703</v>
      </c>
      <c r="J1639">
        <v>2019</v>
      </c>
      <c r="K1639">
        <v>43698.521897777777</v>
      </c>
      <c r="L1639" t="s">
        <v>1005</v>
      </c>
      <c r="M1639" t="s">
        <v>37</v>
      </c>
      <c r="N1639" t="s">
        <v>415</v>
      </c>
      <c r="O1639">
        <v>299809</v>
      </c>
      <c r="P1639">
        <v>43586.23541666667</v>
      </c>
      <c r="Q1639">
        <v>43263.501685532407</v>
      </c>
      <c r="R1639">
        <v>1673</v>
      </c>
    </row>
    <row r="1640" spans="1:18" x14ac:dyDescent="0.25">
      <c r="A1640" t="s">
        <v>5605</v>
      </c>
      <c r="B1640" t="s">
        <v>181</v>
      </c>
      <c r="C1640" t="s">
        <v>5606</v>
      </c>
      <c r="D1640" t="s">
        <v>5606</v>
      </c>
      <c r="E1640" t="s">
        <v>5606</v>
      </c>
      <c r="F1640" t="s">
        <v>91</v>
      </c>
      <c r="G1640" t="s">
        <v>63</v>
      </c>
      <c r="H1640" t="s">
        <v>53</v>
      </c>
      <c r="I1640" t="s">
        <v>41</v>
      </c>
      <c r="J1640">
        <v>2000</v>
      </c>
      <c r="K1640">
        <v>43698.521897777777</v>
      </c>
      <c r="L1640" t="s">
        <v>92</v>
      </c>
      <c r="M1640" t="s">
        <v>1941</v>
      </c>
      <c r="N1640" t="s">
        <v>93</v>
      </c>
      <c r="O1640">
        <v>346540</v>
      </c>
      <c r="P1640">
        <v>43698.521897777777</v>
      </c>
      <c r="Q1640">
        <v>43265.483785879631</v>
      </c>
      <c r="R1640">
        <v>1674</v>
      </c>
    </row>
    <row r="1641" spans="1:18" x14ac:dyDescent="0.25">
      <c r="A1641" t="s">
        <v>5607</v>
      </c>
      <c r="B1641" t="s">
        <v>5608</v>
      </c>
      <c r="C1641" t="s">
        <v>5609</v>
      </c>
      <c r="D1641" t="s">
        <v>5609</v>
      </c>
      <c r="E1641" t="s">
        <v>5609</v>
      </c>
      <c r="F1641" t="s">
        <v>21</v>
      </c>
      <c r="G1641" t="s">
        <v>106</v>
      </c>
      <c r="H1641" t="s">
        <v>23</v>
      </c>
      <c r="I1641" t="s">
        <v>41</v>
      </c>
      <c r="J1641">
        <v>2013</v>
      </c>
      <c r="K1641">
        <v>43698.521897777777</v>
      </c>
      <c r="L1641" t="s">
        <v>422</v>
      </c>
      <c r="M1641" t="s">
        <v>42</v>
      </c>
      <c r="N1641" t="s">
        <v>415</v>
      </c>
      <c r="O1641">
        <v>199736</v>
      </c>
      <c r="P1641">
        <v>43293.527777777781</v>
      </c>
      <c r="Q1641">
        <v>43268.503480671294</v>
      </c>
      <c r="R1641">
        <v>1675</v>
      </c>
    </row>
    <row r="1642" spans="1:18" x14ac:dyDescent="0.25">
      <c r="A1642" t="s">
        <v>5610</v>
      </c>
      <c r="B1642" t="s">
        <v>5611</v>
      </c>
      <c r="C1642" t="s">
        <v>5612</v>
      </c>
      <c r="D1642" t="s">
        <v>5612</v>
      </c>
      <c r="E1642" t="s">
        <v>5612</v>
      </c>
      <c r="F1642" t="s">
        <v>253</v>
      </c>
      <c r="G1642" t="s">
        <v>63</v>
      </c>
      <c r="H1642" t="s">
        <v>34</v>
      </c>
      <c r="I1642" t="s">
        <v>703</v>
      </c>
      <c r="J1642">
        <v>2008</v>
      </c>
      <c r="K1642">
        <v>43698.521897777777</v>
      </c>
      <c r="L1642" t="s">
        <v>422</v>
      </c>
      <c r="M1642" t="s">
        <v>2777</v>
      </c>
      <c r="N1642" t="s">
        <v>415</v>
      </c>
      <c r="O1642">
        <v>345819</v>
      </c>
      <c r="P1642">
        <v>43696.34375</v>
      </c>
      <c r="Q1642">
        <v>43269.597650347219</v>
      </c>
      <c r="R1642">
        <v>1676</v>
      </c>
    </row>
    <row r="1643" spans="1:18" x14ac:dyDescent="0.25">
      <c r="A1643" t="s">
        <v>5613</v>
      </c>
      <c r="B1643" t="s">
        <v>5614</v>
      </c>
      <c r="C1643" t="s">
        <v>5615</v>
      </c>
      <c r="D1643" t="s">
        <v>5615</v>
      </c>
      <c r="E1643" t="s">
        <v>5615</v>
      </c>
      <c r="F1643" t="s">
        <v>91</v>
      </c>
      <c r="G1643" t="s">
        <v>63</v>
      </c>
      <c r="H1643" t="s">
        <v>34</v>
      </c>
      <c r="I1643" t="s">
        <v>703</v>
      </c>
      <c r="J1643">
        <v>2007</v>
      </c>
      <c r="K1643">
        <v>43698.521897777777</v>
      </c>
      <c r="L1643" t="s">
        <v>422</v>
      </c>
      <c r="M1643" t="s">
        <v>2777</v>
      </c>
      <c r="N1643" t="s">
        <v>415</v>
      </c>
      <c r="O1643">
        <v>346815</v>
      </c>
      <c r="P1643">
        <v>43698.270833333336</v>
      </c>
      <c r="Q1643">
        <v>43271.44104189815</v>
      </c>
      <c r="R1643">
        <v>1677</v>
      </c>
    </row>
    <row r="1644" spans="1:18" x14ac:dyDescent="0.25">
      <c r="A1644" t="s">
        <v>5616</v>
      </c>
      <c r="B1644" t="s">
        <v>5617</v>
      </c>
      <c r="C1644" t="s">
        <v>5618</v>
      </c>
      <c r="D1644" t="s">
        <v>5618</v>
      </c>
      <c r="E1644" t="s">
        <v>5618</v>
      </c>
      <c r="F1644" t="s">
        <v>21</v>
      </c>
      <c r="G1644" t="s">
        <v>63</v>
      </c>
      <c r="H1644" t="s">
        <v>53</v>
      </c>
      <c r="I1644" t="s">
        <v>471</v>
      </c>
      <c r="J1644">
        <v>2012</v>
      </c>
      <c r="K1644">
        <v>43698.521897777777</v>
      </c>
      <c r="L1644" t="s">
        <v>466</v>
      </c>
      <c r="M1644" t="s">
        <v>154</v>
      </c>
      <c r="N1644" t="s">
        <v>1305</v>
      </c>
      <c r="O1644">
        <v>243147</v>
      </c>
      <c r="P1644">
        <v>43423.232731481483</v>
      </c>
      <c r="Q1644">
        <v>43272.72178915509</v>
      </c>
      <c r="R1644">
        <v>1678</v>
      </c>
    </row>
    <row r="1645" spans="1:18" x14ac:dyDescent="0.25">
      <c r="A1645" t="s">
        <v>5619</v>
      </c>
      <c r="B1645" t="s">
        <v>5620</v>
      </c>
      <c r="C1645" t="s">
        <v>5621</v>
      </c>
      <c r="D1645" t="s">
        <v>5621</v>
      </c>
      <c r="E1645" t="s">
        <v>5621</v>
      </c>
      <c r="F1645" t="s">
        <v>21</v>
      </c>
      <c r="G1645" t="s">
        <v>63</v>
      </c>
      <c r="H1645" t="s">
        <v>53</v>
      </c>
      <c r="I1645" t="s">
        <v>471</v>
      </c>
      <c r="J1645">
        <v>2013</v>
      </c>
      <c r="K1645">
        <v>43698.521897777777</v>
      </c>
      <c r="L1645" t="s">
        <v>466</v>
      </c>
      <c r="M1645" t="s">
        <v>154</v>
      </c>
      <c r="N1645" t="s">
        <v>1305</v>
      </c>
      <c r="O1645">
        <v>307027</v>
      </c>
      <c r="P1645">
        <v>43603.787291666667</v>
      </c>
      <c r="Q1645">
        <v>43272.723038460645</v>
      </c>
      <c r="R1645">
        <v>1679</v>
      </c>
    </row>
    <row r="1646" spans="1:18" x14ac:dyDescent="0.25">
      <c r="A1646" t="s">
        <v>5622</v>
      </c>
      <c r="B1646" t="s">
        <v>5623</v>
      </c>
      <c r="C1646" t="s">
        <v>5624</v>
      </c>
      <c r="D1646" t="s">
        <v>5624</v>
      </c>
      <c r="E1646" t="s">
        <v>5624</v>
      </c>
      <c r="F1646" t="s">
        <v>91</v>
      </c>
      <c r="G1646" t="s">
        <v>63</v>
      </c>
      <c r="H1646" t="s">
        <v>53</v>
      </c>
      <c r="I1646" t="s">
        <v>471</v>
      </c>
      <c r="J1646">
        <v>2015</v>
      </c>
      <c r="K1646">
        <v>43698.521897777777</v>
      </c>
      <c r="L1646" t="s">
        <v>1660</v>
      </c>
      <c r="M1646" t="s">
        <v>2777</v>
      </c>
      <c r="N1646" t="s">
        <v>415</v>
      </c>
      <c r="O1646">
        <v>346857</v>
      </c>
      <c r="P1646">
        <v>43698.521897777777</v>
      </c>
      <c r="Q1646">
        <v>43273.369096261573</v>
      </c>
      <c r="R1646">
        <v>1680</v>
      </c>
    </row>
    <row r="1647" spans="1:18" x14ac:dyDescent="0.25">
      <c r="A1647" t="s">
        <v>5625</v>
      </c>
      <c r="B1647" t="s">
        <v>5626</v>
      </c>
      <c r="C1647" t="s">
        <v>5627</v>
      </c>
      <c r="D1647" t="s">
        <v>5627</v>
      </c>
      <c r="E1647" t="s">
        <v>5627</v>
      </c>
      <c r="F1647" t="s">
        <v>91</v>
      </c>
      <c r="G1647" t="s">
        <v>63</v>
      </c>
      <c r="H1647" t="s">
        <v>53</v>
      </c>
      <c r="I1647" t="s">
        <v>471</v>
      </c>
      <c r="J1647">
        <v>2014</v>
      </c>
      <c r="K1647">
        <v>43698.521897777777</v>
      </c>
      <c r="L1647" t="s">
        <v>1660</v>
      </c>
      <c r="M1647" t="s">
        <v>2777</v>
      </c>
      <c r="N1647" t="s">
        <v>415</v>
      </c>
      <c r="O1647">
        <v>347010</v>
      </c>
      <c r="P1647">
        <v>43698.521897777777</v>
      </c>
      <c r="Q1647">
        <v>43273.374214502313</v>
      </c>
      <c r="R1647">
        <v>1681</v>
      </c>
    </row>
    <row r="1648" spans="1:18" x14ac:dyDescent="0.25">
      <c r="A1648" t="s">
        <v>5628</v>
      </c>
      <c r="B1648" t="s">
        <v>1913</v>
      </c>
      <c r="C1648" t="s">
        <v>5629</v>
      </c>
      <c r="D1648" t="s">
        <v>5629</v>
      </c>
      <c r="E1648" t="s">
        <v>5629</v>
      </c>
      <c r="F1648" t="s">
        <v>91</v>
      </c>
      <c r="G1648" t="s">
        <v>63</v>
      </c>
      <c r="H1648" t="s">
        <v>53</v>
      </c>
      <c r="I1648" t="s">
        <v>471</v>
      </c>
      <c r="J1648">
        <v>2016</v>
      </c>
      <c r="K1648">
        <v>43698.521897777777</v>
      </c>
      <c r="L1648" t="s">
        <v>1005</v>
      </c>
      <c r="M1648" t="s">
        <v>1941</v>
      </c>
      <c r="N1648" t="s">
        <v>27</v>
      </c>
      <c r="O1648">
        <v>345341</v>
      </c>
      <c r="P1648">
        <v>43697.709074074075</v>
      </c>
      <c r="Q1648">
        <v>43273.651654895832</v>
      </c>
      <c r="R1648">
        <v>1682</v>
      </c>
    </row>
    <row r="1649" spans="1:18" x14ac:dyDescent="0.25">
      <c r="A1649" t="s">
        <v>5630</v>
      </c>
      <c r="B1649" t="s">
        <v>5631</v>
      </c>
      <c r="C1649" t="s">
        <v>5632</v>
      </c>
      <c r="D1649" t="s">
        <v>5632</v>
      </c>
      <c r="E1649" t="s">
        <v>5633</v>
      </c>
      <c r="F1649" t="s">
        <v>21</v>
      </c>
      <c r="G1649" t="s">
        <v>106</v>
      </c>
      <c r="H1649" t="s">
        <v>53</v>
      </c>
      <c r="I1649" t="s">
        <v>471</v>
      </c>
      <c r="J1649">
        <v>2018</v>
      </c>
      <c r="K1649">
        <v>43698.521897777777</v>
      </c>
      <c r="L1649" t="s">
        <v>422</v>
      </c>
      <c r="M1649" t="s">
        <v>42</v>
      </c>
      <c r="N1649" t="s">
        <v>415</v>
      </c>
      <c r="O1649">
        <v>227103</v>
      </c>
      <c r="P1649">
        <v>43377.833333333336</v>
      </c>
      <c r="Q1649">
        <v>43273.866831053238</v>
      </c>
      <c r="R1649">
        <v>1683</v>
      </c>
    </row>
    <row r="1650" spans="1:18" x14ac:dyDescent="0.25">
      <c r="A1650" t="s">
        <v>5634</v>
      </c>
      <c r="B1650" t="s">
        <v>2592</v>
      </c>
      <c r="C1650" t="s">
        <v>5635</v>
      </c>
      <c r="D1650" t="s">
        <v>5635</v>
      </c>
      <c r="E1650" t="s">
        <v>5635</v>
      </c>
      <c r="F1650" t="s">
        <v>21</v>
      </c>
      <c r="G1650" t="s">
        <v>63</v>
      </c>
      <c r="H1650" t="s">
        <v>53</v>
      </c>
      <c r="I1650" t="s">
        <v>471</v>
      </c>
      <c r="J1650">
        <v>2017</v>
      </c>
      <c r="K1650">
        <v>43698.521897777777</v>
      </c>
      <c r="L1650" t="s">
        <v>1005</v>
      </c>
      <c r="M1650" t="s">
        <v>1941</v>
      </c>
      <c r="N1650" t="s">
        <v>27</v>
      </c>
      <c r="O1650">
        <v>319809</v>
      </c>
      <c r="P1650">
        <v>43636.255636574075</v>
      </c>
      <c r="Q1650">
        <v>43277.534877118058</v>
      </c>
      <c r="R1650">
        <v>1684</v>
      </c>
    </row>
    <row r="1651" spans="1:18" x14ac:dyDescent="0.25">
      <c r="A1651" t="s">
        <v>5636</v>
      </c>
      <c r="B1651" t="s">
        <v>1873</v>
      </c>
      <c r="C1651" t="s">
        <v>5637</v>
      </c>
      <c r="D1651" t="s">
        <v>5637</v>
      </c>
      <c r="E1651" t="s">
        <v>5637</v>
      </c>
      <c r="F1651" t="s">
        <v>91</v>
      </c>
      <c r="G1651" t="s">
        <v>63</v>
      </c>
      <c r="H1651" t="s">
        <v>53</v>
      </c>
      <c r="I1651" t="s">
        <v>471</v>
      </c>
      <c r="J1651">
        <v>2016</v>
      </c>
      <c r="K1651">
        <v>43698.521897777777</v>
      </c>
      <c r="L1651" t="s">
        <v>1005</v>
      </c>
      <c r="M1651" t="s">
        <v>1941</v>
      </c>
      <c r="N1651" t="s">
        <v>93</v>
      </c>
      <c r="O1651">
        <v>346777</v>
      </c>
      <c r="P1651">
        <v>43698.521897777777</v>
      </c>
      <c r="Q1651">
        <v>43277.53800709491</v>
      </c>
      <c r="R1651">
        <v>1685</v>
      </c>
    </row>
    <row r="1652" spans="1:18" x14ac:dyDescent="0.25">
      <c r="A1652" t="s">
        <v>5638</v>
      </c>
      <c r="B1652" t="s">
        <v>5639</v>
      </c>
      <c r="C1652" t="s">
        <v>5640</v>
      </c>
      <c r="D1652" t="s">
        <v>5640</v>
      </c>
      <c r="E1652" t="s">
        <v>5640</v>
      </c>
      <c r="F1652" t="s">
        <v>91</v>
      </c>
      <c r="G1652" t="s">
        <v>63</v>
      </c>
      <c r="H1652" t="s">
        <v>34</v>
      </c>
      <c r="I1652" t="s">
        <v>703</v>
      </c>
      <c r="J1652">
        <v>2012</v>
      </c>
      <c r="K1652">
        <v>43698.521897777777</v>
      </c>
      <c r="L1652" t="s">
        <v>1660</v>
      </c>
      <c r="M1652" t="s">
        <v>2777</v>
      </c>
      <c r="N1652" t="s">
        <v>415</v>
      </c>
      <c r="O1652">
        <v>342871</v>
      </c>
      <c r="P1652">
        <v>43689.539097222223</v>
      </c>
      <c r="Q1652">
        <v>43284.424042048609</v>
      </c>
      <c r="R1652">
        <v>1686</v>
      </c>
    </row>
    <row r="1653" spans="1:18" x14ac:dyDescent="0.25">
      <c r="A1653" t="s">
        <v>5641</v>
      </c>
      <c r="B1653" t="s">
        <v>5642</v>
      </c>
      <c r="C1653" t="s">
        <v>5643</v>
      </c>
      <c r="D1653" t="s">
        <v>5643</v>
      </c>
      <c r="E1653" t="s">
        <v>5643</v>
      </c>
      <c r="F1653" t="s">
        <v>21</v>
      </c>
      <c r="G1653" t="s">
        <v>63</v>
      </c>
      <c r="H1653" t="s">
        <v>34</v>
      </c>
      <c r="I1653" t="s">
        <v>703</v>
      </c>
      <c r="J1653">
        <v>2004</v>
      </c>
      <c r="K1653">
        <v>43698.521897777777</v>
      </c>
      <c r="L1653" t="s">
        <v>1660</v>
      </c>
      <c r="M1653" t="s">
        <v>2777</v>
      </c>
      <c r="N1653" t="s">
        <v>27</v>
      </c>
      <c r="O1653">
        <v>222721</v>
      </c>
      <c r="P1653">
        <v>43365.852083333331</v>
      </c>
      <c r="Q1653">
        <v>43284.425530671295</v>
      </c>
      <c r="R1653">
        <v>1687</v>
      </c>
    </row>
    <row r="1654" spans="1:18" x14ac:dyDescent="0.25">
      <c r="A1654" t="s">
        <v>5644</v>
      </c>
      <c r="B1654" t="s">
        <v>5451</v>
      </c>
      <c r="C1654" t="s">
        <v>5645</v>
      </c>
      <c r="D1654" t="s">
        <v>5645</v>
      </c>
      <c r="E1654" t="s">
        <v>5645</v>
      </c>
      <c r="F1654" t="s">
        <v>21</v>
      </c>
      <c r="G1654" t="s">
        <v>63</v>
      </c>
      <c r="H1654" t="s">
        <v>236</v>
      </c>
      <c r="I1654" t="s">
        <v>5453</v>
      </c>
      <c r="J1654">
        <v>2012</v>
      </c>
      <c r="K1654">
        <v>43698.521897777777</v>
      </c>
      <c r="L1654" t="s">
        <v>578</v>
      </c>
      <c r="M1654" t="s">
        <v>37</v>
      </c>
      <c r="N1654" t="s">
        <v>415</v>
      </c>
      <c r="O1654">
        <v>261287</v>
      </c>
      <c r="P1654">
        <v>43479.700231481482</v>
      </c>
      <c r="Q1654">
        <v>43284.427540196761</v>
      </c>
      <c r="R1654">
        <v>1688</v>
      </c>
    </row>
    <row r="1655" spans="1:18" x14ac:dyDescent="0.25">
      <c r="A1655" t="s">
        <v>5646</v>
      </c>
      <c r="B1655" t="s">
        <v>5647</v>
      </c>
      <c r="C1655" t="s">
        <v>5648</v>
      </c>
      <c r="D1655" t="s">
        <v>5648</v>
      </c>
      <c r="E1655" t="s">
        <v>5649</v>
      </c>
      <c r="F1655" t="s">
        <v>91</v>
      </c>
      <c r="G1655" t="s">
        <v>22</v>
      </c>
      <c r="H1655" t="s">
        <v>53</v>
      </c>
      <c r="I1655" t="s">
        <v>3006</v>
      </c>
      <c r="J1655">
        <v>2019</v>
      </c>
      <c r="K1655">
        <v>43698.521897777777</v>
      </c>
      <c r="L1655" t="s">
        <v>193</v>
      </c>
      <c r="M1655" t="s">
        <v>37</v>
      </c>
      <c r="N1655" t="s">
        <v>415</v>
      </c>
      <c r="O1655">
        <v>344710</v>
      </c>
      <c r="P1655">
        <v>43698.521897777777</v>
      </c>
      <c r="Q1655">
        <v>43284.547484259259</v>
      </c>
      <c r="R1655">
        <v>1689</v>
      </c>
    </row>
    <row r="1656" spans="1:18" x14ac:dyDescent="0.25">
      <c r="A1656" t="s">
        <v>5650</v>
      </c>
      <c r="B1656" t="s">
        <v>5651</v>
      </c>
      <c r="C1656" t="s">
        <v>5652</v>
      </c>
      <c r="D1656" t="s">
        <v>5652</v>
      </c>
      <c r="E1656" t="s">
        <v>5653</v>
      </c>
      <c r="F1656" t="s">
        <v>91</v>
      </c>
      <c r="G1656" t="s">
        <v>22</v>
      </c>
      <c r="H1656" t="s">
        <v>53</v>
      </c>
      <c r="I1656" t="s">
        <v>3006</v>
      </c>
      <c r="J1656">
        <v>2019</v>
      </c>
      <c r="K1656">
        <v>43698.521897777777</v>
      </c>
      <c r="L1656" t="s">
        <v>193</v>
      </c>
      <c r="M1656" t="s">
        <v>37</v>
      </c>
      <c r="N1656" t="s">
        <v>415</v>
      </c>
      <c r="O1656">
        <v>346799</v>
      </c>
      <c r="P1656">
        <v>43698.521897777777</v>
      </c>
      <c r="Q1656">
        <v>43284.548506400461</v>
      </c>
      <c r="R1656">
        <v>1690</v>
      </c>
    </row>
    <row r="1657" spans="1:18" x14ac:dyDescent="0.25">
      <c r="A1657" t="s">
        <v>5654</v>
      </c>
      <c r="B1657" t="s">
        <v>5655</v>
      </c>
      <c r="C1657" t="s">
        <v>5656</v>
      </c>
      <c r="D1657" t="s">
        <v>5656</v>
      </c>
      <c r="E1657" t="s">
        <v>5657</v>
      </c>
      <c r="F1657" t="s">
        <v>91</v>
      </c>
      <c r="G1657" t="s">
        <v>22</v>
      </c>
      <c r="H1657" t="s">
        <v>53</v>
      </c>
      <c r="I1657" t="s">
        <v>3006</v>
      </c>
      <c r="J1657">
        <v>2019</v>
      </c>
      <c r="K1657">
        <v>43698.521897777777</v>
      </c>
      <c r="L1657" t="s">
        <v>193</v>
      </c>
      <c r="M1657" t="s">
        <v>37</v>
      </c>
      <c r="N1657" t="s">
        <v>415</v>
      </c>
      <c r="O1657">
        <v>346747</v>
      </c>
      <c r="P1657">
        <v>43698.521897777777</v>
      </c>
      <c r="Q1657">
        <v>43284.549209375</v>
      </c>
      <c r="R1657">
        <v>1691</v>
      </c>
    </row>
    <row r="1658" spans="1:18" x14ac:dyDescent="0.25">
      <c r="A1658" t="s">
        <v>5658</v>
      </c>
      <c r="B1658" t="s">
        <v>5659</v>
      </c>
      <c r="C1658" t="s">
        <v>5660</v>
      </c>
      <c r="D1658" t="s">
        <v>5660</v>
      </c>
      <c r="E1658" t="s">
        <v>5661</v>
      </c>
      <c r="F1658" t="s">
        <v>91</v>
      </c>
      <c r="G1658" t="s">
        <v>22</v>
      </c>
      <c r="H1658" t="s">
        <v>53</v>
      </c>
      <c r="I1658" t="s">
        <v>3006</v>
      </c>
      <c r="J1658">
        <v>2019</v>
      </c>
      <c r="K1658">
        <v>43698.521897777777</v>
      </c>
      <c r="L1658" t="s">
        <v>193</v>
      </c>
      <c r="M1658" t="s">
        <v>37</v>
      </c>
      <c r="N1658" t="s">
        <v>415</v>
      </c>
      <c r="O1658">
        <v>346173</v>
      </c>
      <c r="P1658">
        <v>43698.140648148146</v>
      </c>
      <c r="Q1658">
        <v>43284.550042858798</v>
      </c>
      <c r="R1658">
        <v>1692</v>
      </c>
    </row>
    <row r="1659" spans="1:18" x14ac:dyDescent="0.25">
      <c r="A1659" t="s">
        <v>5662</v>
      </c>
      <c r="B1659" t="s">
        <v>5663</v>
      </c>
      <c r="C1659" t="s">
        <v>5664</v>
      </c>
      <c r="D1659" t="s">
        <v>5664</v>
      </c>
      <c r="E1659" t="s">
        <v>5665</v>
      </c>
      <c r="F1659" t="s">
        <v>91</v>
      </c>
      <c r="G1659" t="s">
        <v>22</v>
      </c>
      <c r="H1659" t="s">
        <v>53</v>
      </c>
      <c r="I1659" t="s">
        <v>3006</v>
      </c>
      <c r="J1659">
        <v>2019</v>
      </c>
      <c r="K1659">
        <v>43698.521897777777</v>
      </c>
      <c r="L1659" t="s">
        <v>193</v>
      </c>
      <c r="M1659" t="s">
        <v>37</v>
      </c>
      <c r="N1659" t="s">
        <v>415</v>
      </c>
      <c r="O1659">
        <v>346521</v>
      </c>
      <c r="P1659">
        <v>43698.521897777777</v>
      </c>
      <c r="Q1659">
        <v>43284.552794293981</v>
      </c>
      <c r="R1659">
        <v>1693</v>
      </c>
    </row>
    <row r="1660" spans="1:18" x14ac:dyDescent="0.25">
      <c r="A1660" t="s">
        <v>5666</v>
      </c>
      <c r="B1660" t="s">
        <v>5667</v>
      </c>
      <c r="C1660" t="s">
        <v>5668</v>
      </c>
      <c r="D1660" t="s">
        <v>5668</v>
      </c>
      <c r="E1660" t="s">
        <v>5669</v>
      </c>
      <c r="F1660" t="s">
        <v>91</v>
      </c>
      <c r="G1660" t="s">
        <v>22</v>
      </c>
      <c r="H1660" t="s">
        <v>53</v>
      </c>
      <c r="I1660" t="s">
        <v>3006</v>
      </c>
      <c r="J1660">
        <v>2019</v>
      </c>
      <c r="K1660">
        <v>43698.521897777777</v>
      </c>
      <c r="L1660" t="s">
        <v>1005</v>
      </c>
      <c r="M1660" t="s">
        <v>37</v>
      </c>
      <c r="N1660" t="s">
        <v>415</v>
      </c>
      <c r="O1660">
        <v>345317</v>
      </c>
      <c r="P1660">
        <v>43698.197916666664</v>
      </c>
      <c r="Q1660">
        <v>43284.55421357639</v>
      </c>
      <c r="R1660">
        <v>1694</v>
      </c>
    </row>
    <row r="1661" spans="1:18" x14ac:dyDescent="0.25">
      <c r="A1661" t="s">
        <v>5670</v>
      </c>
      <c r="B1661" t="s">
        <v>5671</v>
      </c>
      <c r="C1661" t="s">
        <v>5672</v>
      </c>
      <c r="D1661" t="s">
        <v>5672</v>
      </c>
      <c r="E1661" t="s">
        <v>5673</v>
      </c>
      <c r="F1661" t="s">
        <v>91</v>
      </c>
      <c r="G1661" t="s">
        <v>22</v>
      </c>
      <c r="H1661" t="s">
        <v>53</v>
      </c>
      <c r="I1661" t="s">
        <v>3006</v>
      </c>
      <c r="J1661">
        <v>2019</v>
      </c>
      <c r="K1661">
        <v>43698.521897777777</v>
      </c>
      <c r="L1661" t="s">
        <v>193</v>
      </c>
      <c r="M1661" t="s">
        <v>37</v>
      </c>
      <c r="N1661" t="s">
        <v>415</v>
      </c>
      <c r="O1661">
        <v>347057</v>
      </c>
      <c r="P1661">
        <v>43698.521897777777</v>
      </c>
      <c r="Q1661">
        <v>43284.555273611113</v>
      </c>
      <c r="R1661">
        <v>1695</v>
      </c>
    </row>
    <row r="1662" spans="1:18" x14ac:dyDescent="0.25">
      <c r="A1662" t="s">
        <v>5674</v>
      </c>
      <c r="B1662" t="s">
        <v>5675</v>
      </c>
      <c r="C1662" t="s">
        <v>5676</v>
      </c>
      <c r="D1662" t="s">
        <v>5676</v>
      </c>
      <c r="E1662" t="s">
        <v>5677</v>
      </c>
      <c r="F1662" t="s">
        <v>91</v>
      </c>
      <c r="G1662" t="s">
        <v>22</v>
      </c>
      <c r="H1662" t="s">
        <v>53</v>
      </c>
      <c r="I1662" t="s">
        <v>3006</v>
      </c>
      <c r="J1662">
        <v>2019</v>
      </c>
      <c r="K1662">
        <v>43698.521897777777</v>
      </c>
      <c r="L1662" t="s">
        <v>193</v>
      </c>
      <c r="M1662" t="s">
        <v>37</v>
      </c>
      <c r="N1662" t="s">
        <v>415</v>
      </c>
      <c r="O1662">
        <v>345473</v>
      </c>
      <c r="P1662">
        <v>43698.002083333333</v>
      </c>
      <c r="Q1662">
        <v>43284.55599054398</v>
      </c>
      <c r="R1662">
        <v>1696</v>
      </c>
    </row>
    <row r="1663" spans="1:18" x14ac:dyDescent="0.25">
      <c r="A1663" t="s">
        <v>5678</v>
      </c>
      <c r="B1663" t="s">
        <v>5679</v>
      </c>
      <c r="C1663" t="s">
        <v>5680</v>
      </c>
      <c r="D1663" t="s">
        <v>5680</v>
      </c>
      <c r="E1663" t="s">
        <v>5681</v>
      </c>
      <c r="F1663" t="s">
        <v>91</v>
      </c>
      <c r="G1663" t="s">
        <v>22</v>
      </c>
      <c r="H1663" t="s">
        <v>53</v>
      </c>
      <c r="I1663" t="s">
        <v>3006</v>
      </c>
      <c r="J1663">
        <v>2019</v>
      </c>
      <c r="K1663">
        <v>43698.521897777777</v>
      </c>
      <c r="L1663" t="s">
        <v>193</v>
      </c>
      <c r="M1663" t="s">
        <v>37</v>
      </c>
      <c r="N1663" t="s">
        <v>415</v>
      </c>
      <c r="O1663">
        <v>345041</v>
      </c>
      <c r="P1663">
        <v>43698.521897777777</v>
      </c>
      <c r="Q1663">
        <v>43284.557045104164</v>
      </c>
      <c r="R1663">
        <v>1697</v>
      </c>
    </row>
    <row r="1664" spans="1:18" x14ac:dyDescent="0.25">
      <c r="A1664" t="s">
        <v>5682</v>
      </c>
      <c r="B1664" t="s">
        <v>5683</v>
      </c>
      <c r="C1664" t="s">
        <v>5684</v>
      </c>
      <c r="D1664" t="s">
        <v>5684</v>
      </c>
      <c r="E1664" t="s">
        <v>5685</v>
      </c>
      <c r="F1664" t="s">
        <v>21</v>
      </c>
      <c r="G1664" t="s">
        <v>22</v>
      </c>
      <c r="H1664" t="s">
        <v>53</v>
      </c>
      <c r="I1664" t="s">
        <v>3006</v>
      </c>
      <c r="J1664">
        <v>2019</v>
      </c>
      <c r="K1664">
        <v>43698.521897777777</v>
      </c>
      <c r="L1664" t="s">
        <v>1005</v>
      </c>
      <c r="M1664" t="s">
        <v>37</v>
      </c>
      <c r="N1664" t="s">
        <v>415</v>
      </c>
      <c r="O1664">
        <v>272725</v>
      </c>
      <c r="P1664">
        <v>43511.711111111108</v>
      </c>
      <c r="Q1664">
        <v>43284.558392789353</v>
      </c>
      <c r="R1664">
        <v>1698</v>
      </c>
    </row>
    <row r="1665" spans="1:18" x14ac:dyDescent="0.25">
      <c r="A1665" t="s">
        <v>5686</v>
      </c>
      <c r="B1665" t="s">
        <v>5687</v>
      </c>
      <c r="C1665" t="s">
        <v>5688</v>
      </c>
      <c r="D1665" t="s">
        <v>5688</v>
      </c>
      <c r="E1665" t="s">
        <v>5688</v>
      </c>
      <c r="F1665" t="s">
        <v>21</v>
      </c>
      <c r="G1665" t="s">
        <v>63</v>
      </c>
      <c r="H1665" t="s">
        <v>53</v>
      </c>
      <c r="I1665" t="s">
        <v>5689</v>
      </c>
      <c r="J1665">
        <v>2000</v>
      </c>
      <c r="K1665">
        <v>43698.521897777777</v>
      </c>
      <c r="L1665" t="s">
        <v>1660</v>
      </c>
      <c r="M1665" t="s">
        <v>2777</v>
      </c>
      <c r="N1665" t="s">
        <v>27</v>
      </c>
      <c r="O1665">
        <v>202034</v>
      </c>
      <c r="P1665">
        <v>43300.781944444447</v>
      </c>
      <c r="Q1665">
        <v>43285.426381793979</v>
      </c>
      <c r="R1665">
        <v>1699</v>
      </c>
    </row>
    <row r="1666" spans="1:18" x14ac:dyDescent="0.25">
      <c r="A1666" t="s">
        <v>5690</v>
      </c>
      <c r="B1666" t="s">
        <v>5691</v>
      </c>
      <c r="C1666" t="s">
        <v>5692</v>
      </c>
      <c r="D1666" t="s">
        <v>5692</v>
      </c>
      <c r="E1666" t="s">
        <v>5692</v>
      </c>
      <c r="F1666" t="s">
        <v>21</v>
      </c>
      <c r="G1666" t="s">
        <v>63</v>
      </c>
      <c r="H1666" t="s">
        <v>53</v>
      </c>
      <c r="I1666" t="s">
        <v>5689</v>
      </c>
      <c r="J1666">
        <v>2000</v>
      </c>
      <c r="K1666">
        <v>43698.521897777777</v>
      </c>
      <c r="L1666" t="s">
        <v>422</v>
      </c>
      <c r="M1666" t="s">
        <v>2777</v>
      </c>
      <c r="N1666" t="s">
        <v>27</v>
      </c>
      <c r="O1666">
        <v>291264</v>
      </c>
      <c r="P1666">
        <v>43559.71875</v>
      </c>
      <c r="Q1666">
        <v>43285.427545949075</v>
      </c>
      <c r="R1666">
        <v>1700</v>
      </c>
    </row>
    <row r="1667" spans="1:18" x14ac:dyDescent="0.25">
      <c r="A1667" t="s">
        <v>5693</v>
      </c>
      <c r="B1667" t="s">
        <v>5694</v>
      </c>
      <c r="C1667" t="s">
        <v>5695</v>
      </c>
      <c r="D1667" t="s">
        <v>5695</v>
      </c>
      <c r="E1667" t="s">
        <v>5695</v>
      </c>
      <c r="F1667" t="s">
        <v>21</v>
      </c>
      <c r="G1667" t="s">
        <v>63</v>
      </c>
      <c r="H1667" t="s">
        <v>53</v>
      </c>
      <c r="I1667" t="s">
        <v>471</v>
      </c>
      <c r="J1667">
        <v>2012</v>
      </c>
      <c r="K1667">
        <v>43698.521897777777</v>
      </c>
      <c r="L1667" t="s">
        <v>422</v>
      </c>
      <c r="M1667" t="s">
        <v>2777</v>
      </c>
      <c r="N1667" t="s">
        <v>27</v>
      </c>
      <c r="O1667">
        <v>291262</v>
      </c>
      <c r="P1667">
        <v>43559.697916666664</v>
      </c>
      <c r="Q1667">
        <v>43285.429717280094</v>
      </c>
      <c r="R1667">
        <v>1701</v>
      </c>
    </row>
    <row r="1668" spans="1:18" x14ac:dyDescent="0.25">
      <c r="A1668" t="s">
        <v>5696</v>
      </c>
      <c r="B1668" t="s">
        <v>5697</v>
      </c>
      <c r="C1668" t="s">
        <v>5698</v>
      </c>
      <c r="D1668" t="s">
        <v>5698</v>
      </c>
      <c r="E1668" t="s">
        <v>5698</v>
      </c>
      <c r="F1668" t="s">
        <v>91</v>
      </c>
      <c r="G1668" t="s">
        <v>63</v>
      </c>
      <c r="H1668" t="s">
        <v>23</v>
      </c>
      <c r="I1668" t="s">
        <v>41</v>
      </c>
      <c r="J1668">
        <v>2012</v>
      </c>
      <c r="K1668">
        <v>43698.521897777777</v>
      </c>
      <c r="L1668" t="s">
        <v>1660</v>
      </c>
      <c r="M1668" t="s">
        <v>2777</v>
      </c>
      <c r="N1668" t="s">
        <v>994</v>
      </c>
      <c r="O1668">
        <v>346646</v>
      </c>
      <c r="P1668">
        <v>43698.521897777777</v>
      </c>
      <c r="Q1668">
        <v>43285.569373182872</v>
      </c>
      <c r="R1668">
        <v>1702</v>
      </c>
    </row>
    <row r="1669" spans="1:18" x14ac:dyDescent="0.25">
      <c r="A1669" t="s">
        <v>5699</v>
      </c>
      <c r="B1669" t="s">
        <v>5700</v>
      </c>
      <c r="C1669" t="s">
        <v>5701</v>
      </c>
      <c r="D1669" t="s">
        <v>5701</v>
      </c>
      <c r="E1669" t="s">
        <v>5701</v>
      </c>
      <c r="F1669" t="s">
        <v>21</v>
      </c>
      <c r="G1669" t="s">
        <v>63</v>
      </c>
      <c r="H1669" t="s">
        <v>53</v>
      </c>
      <c r="I1669" t="s">
        <v>5702</v>
      </c>
      <c r="J1669">
        <v>2001</v>
      </c>
      <c r="K1669">
        <v>43698.521897777777</v>
      </c>
      <c r="L1669" t="s">
        <v>422</v>
      </c>
      <c r="M1669" t="s">
        <v>2777</v>
      </c>
      <c r="N1669" t="s">
        <v>27</v>
      </c>
      <c r="O1669">
        <v>208693</v>
      </c>
      <c r="P1669">
        <v>43322.947916666664</v>
      </c>
      <c r="Q1669">
        <v>43291.439705289355</v>
      </c>
      <c r="R1669">
        <v>1703</v>
      </c>
    </row>
    <row r="1670" spans="1:18" x14ac:dyDescent="0.25">
      <c r="A1670" t="s">
        <v>5703</v>
      </c>
      <c r="B1670" t="s">
        <v>5704</v>
      </c>
      <c r="C1670" t="s">
        <v>5705</v>
      </c>
      <c r="D1670" t="s">
        <v>5705</v>
      </c>
      <c r="E1670" t="s">
        <v>5705</v>
      </c>
      <c r="F1670" t="s">
        <v>21</v>
      </c>
      <c r="G1670" t="s">
        <v>63</v>
      </c>
      <c r="H1670" t="s">
        <v>236</v>
      </c>
      <c r="I1670" t="s">
        <v>5453</v>
      </c>
      <c r="J1670">
        <v>2012</v>
      </c>
      <c r="K1670">
        <v>43698.521897777777</v>
      </c>
      <c r="L1670" t="s">
        <v>25</v>
      </c>
      <c r="M1670" t="s">
        <v>2777</v>
      </c>
      <c r="N1670" t="s">
        <v>27</v>
      </c>
      <c r="O1670">
        <v>201992</v>
      </c>
      <c r="P1670">
        <v>43301.125</v>
      </c>
      <c r="Q1670">
        <v>43291.441104594909</v>
      </c>
      <c r="R1670">
        <v>1704</v>
      </c>
    </row>
    <row r="1671" spans="1:18" x14ac:dyDescent="0.25">
      <c r="A1671" t="s">
        <v>5706</v>
      </c>
      <c r="B1671" t="s">
        <v>5707</v>
      </c>
      <c r="C1671" t="s">
        <v>5708</v>
      </c>
      <c r="D1671" t="s">
        <v>5708</v>
      </c>
      <c r="E1671" t="s">
        <v>5708</v>
      </c>
      <c r="F1671" t="s">
        <v>21</v>
      </c>
      <c r="G1671" t="s">
        <v>63</v>
      </c>
      <c r="H1671" t="s">
        <v>53</v>
      </c>
      <c r="I1671" t="s">
        <v>471</v>
      </c>
      <c r="J1671">
        <v>2012</v>
      </c>
      <c r="K1671">
        <v>43698.521897777777</v>
      </c>
      <c r="L1671" t="s">
        <v>422</v>
      </c>
      <c r="M1671" t="s">
        <v>2777</v>
      </c>
      <c r="N1671" t="s">
        <v>27</v>
      </c>
      <c r="O1671">
        <v>234908</v>
      </c>
      <c r="P1671">
        <v>43399.916666666664</v>
      </c>
      <c r="Q1671">
        <v>43291.442097997686</v>
      </c>
      <c r="R1671">
        <v>1705</v>
      </c>
    </row>
    <row r="1672" spans="1:18" x14ac:dyDescent="0.25">
      <c r="A1672" t="s">
        <v>5709</v>
      </c>
      <c r="B1672" t="s">
        <v>5710</v>
      </c>
      <c r="C1672" t="s">
        <v>5711</v>
      </c>
      <c r="D1672" t="s">
        <v>5711</v>
      </c>
      <c r="E1672" t="s">
        <v>5712</v>
      </c>
      <c r="F1672" t="s">
        <v>91</v>
      </c>
      <c r="G1672" t="s">
        <v>22</v>
      </c>
      <c r="H1672" t="s">
        <v>53</v>
      </c>
      <c r="I1672" t="s">
        <v>3006</v>
      </c>
      <c r="J1672">
        <v>2019</v>
      </c>
      <c r="K1672">
        <v>43698.521897777777</v>
      </c>
      <c r="L1672" t="s">
        <v>1604</v>
      </c>
      <c r="M1672" t="s">
        <v>154</v>
      </c>
      <c r="N1672" t="s">
        <v>1305</v>
      </c>
      <c r="O1672">
        <v>345537</v>
      </c>
      <c r="P1672">
        <v>43698.521897777777</v>
      </c>
      <c r="Q1672">
        <v>43292.575120173613</v>
      </c>
      <c r="R1672">
        <v>1706</v>
      </c>
    </row>
    <row r="1673" spans="1:18" x14ac:dyDescent="0.25">
      <c r="A1673" t="s">
        <v>5713</v>
      </c>
      <c r="B1673" t="s">
        <v>5714</v>
      </c>
      <c r="C1673" t="s">
        <v>5715</v>
      </c>
      <c r="D1673" t="s">
        <v>5715</v>
      </c>
      <c r="E1673" t="s">
        <v>5716</v>
      </c>
      <c r="F1673" t="s">
        <v>91</v>
      </c>
      <c r="G1673" t="s">
        <v>22</v>
      </c>
      <c r="H1673" t="s">
        <v>53</v>
      </c>
      <c r="I1673" t="s">
        <v>3006</v>
      </c>
      <c r="J1673">
        <v>2019</v>
      </c>
      <c r="K1673">
        <v>43698.521897777777</v>
      </c>
      <c r="L1673" t="s">
        <v>466</v>
      </c>
      <c r="M1673" t="s">
        <v>154</v>
      </c>
      <c r="N1673" t="s">
        <v>1305</v>
      </c>
      <c r="O1673">
        <v>345748</v>
      </c>
      <c r="P1673">
        <v>43698.521897777777</v>
      </c>
      <c r="Q1673">
        <v>43292.576664432869</v>
      </c>
      <c r="R1673">
        <v>1707</v>
      </c>
    </row>
    <row r="1674" spans="1:18" x14ac:dyDescent="0.25">
      <c r="A1674" t="s">
        <v>5717</v>
      </c>
      <c r="B1674" t="s">
        <v>5718</v>
      </c>
      <c r="C1674" t="s">
        <v>5719</v>
      </c>
      <c r="D1674" t="s">
        <v>5719</v>
      </c>
      <c r="E1674" t="s">
        <v>5720</v>
      </c>
      <c r="F1674" t="s">
        <v>91</v>
      </c>
      <c r="G1674" t="s">
        <v>22</v>
      </c>
      <c r="H1674" t="s">
        <v>53</v>
      </c>
      <c r="I1674" t="s">
        <v>3006</v>
      </c>
      <c r="J1674">
        <v>2019</v>
      </c>
      <c r="K1674">
        <v>43698.521897777777</v>
      </c>
      <c r="L1674" t="s">
        <v>466</v>
      </c>
      <c r="M1674" t="s">
        <v>154</v>
      </c>
      <c r="N1674" t="s">
        <v>1305</v>
      </c>
      <c r="O1674">
        <v>346654</v>
      </c>
      <c r="P1674">
        <v>43698.521897777777</v>
      </c>
      <c r="Q1674">
        <v>43292.578183252313</v>
      </c>
      <c r="R1674">
        <v>1708</v>
      </c>
    </row>
    <row r="1675" spans="1:18" x14ac:dyDescent="0.25">
      <c r="A1675" t="s">
        <v>5721</v>
      </c>
      <c r="B1675" t="s">
        <v>5722</v>
      </c>
      <c r="C1675" t="s">
        <v>5723</v>
      </c>
      <c r="D1675" t="s">
        <v>5723</v>
      </c>
      <c r="E1675" t="s">
        <v>5724</v>
      </c>
      <c r="F1675" t="s">
        <v>91</v>
      </c>
      <c r="G1675" t="s">
        <v>22</v>
      </c>
      <c r="H1675" t="s">
        <v>53</v>
      </c>
      <c r="I1675" t="s">
        <v>3006</v>
      </c>
      <c r="J1675">
        <v>2019</v>
      </c>
      <c r="K1675">
        <v>43698.521897777777</v>
      </c>
      <c r="L1675" t="s">
        <v>466</v>
      </c>
      <c r="M1675" t="s">
        <v>154</v>
      </c>
      <c r="N1675" t="s">
        <v>1305</v>
      </c>
      <c r="O1675">
        <v>345339</v>
      </c>
      <c r="P1675">
        <v>43698.521897777777</v>
      </c>
      <c r="Q1675">
        <v>43292.579652777778</v>
      </c>
      <c r="R1675">
        <v>1709</v>
      </c>
    </row>
    <row r="1676" spans="1:18" x14ac:dyDescent="0.25">
      <c r="A1676" t="s">
        <v>5725</v>
      </c>
      <c r="B1676" t="s">
        <v>5726</v>
      </c>
      <c r="C1676" t="s">
        <v>5727</v>
      </c>
      <c r="D1676" t="s">
        <v>5727</v>
      </c>
      <c r="E1676" t="s">
        <v>5728</v>
      </c>
      <c r="F1676" t="s">
        <v>91</v>
      </c>
      <c r="G1676" t="s">
        <v>22</v>
      </c>
      <c r="H1676" t="s">
        <v>53</v>
      </c>
      <c r="I1676" t="s">
        <v>3006</v>
      </c>
      <c r="J1676">
        <v>2019</v>
      </c>
      <c r="K1676">
        <v>43698.521897777777</v>
      </c>
      <c r="L1676" t="s">
        <v>466</v>
      </c>
      <c r="M1676" t="s">
        <v>154</v>
      </c>
      <c r="N1676" t="s">
        <v>1305</v>
      </c>
      <c r="O1676">
        <v>345398</v>
      </c>
      <c r="P1676">
        <v>43698.521897777777</v>
      </c>
      <c r="Q1676">
        <v>43292.580842210649</v>
      </c>
      <c r="R1676">
        <v>1710</v>
      </c>
    </row>
    <row r="1677" spans="1:18" x14ac:dyDescent="0.25">
      <c r="A1677" t="s">
        <v>5729</v>
      </c>
      <c r="B1677" t="s">
        <v>5730</v>
      </c>
      <c r="C1677" t="s">
        <v>5731</v>
      </c>
      <c r="D1677" t="s">
        <v>5731</v>
      </c>
      <c r="E1677" t="s">
        <v>5731</v>
      </c>
      <c r="F1677" t="s">
        <v>21</v>
      </c>
      <c r="G1677" t="s">
        <v>63</v>
      </c>
      <c r="H1677" t="s">
        <v>53</v>
      </c>
      <c r="I1677" t="s">
        <v>471</v>
      </c>
      <c r="J1677">
        <v>2013</v>
      </c>
      <c r="K1677">
        <v>43698.521897777777</v>
      </c>
      <c r="L1677" t="s">
        <v>1005</v>
      </c>
      <c r="M1677" t="s">
        <v>1941</v>
      </c>
      <c r="N1677" t="s">
        <v>27</v>
      </c>
      <c r="O1677">
        <v>265338</v>
      </c>
      <c r="P1677">
        <v>43490.017361111109</v>
      </c>
      <c r="Q1677">
        <v>43293.425048530095</v>
      </c>
      <c r="R1677">
        <v>1711</v>
      </c>
    </row>
    <row r="1678" spans="1:18" x14ac:dyDescent="0.25">
      <c r="A1678" t="s">
        <v>5732</v>
      </c>
      <c r="B1678" t="s">
        <v>5733</v>
      </c>
      <c r="C1678" t="s">
        <v>5734</v>
      </c>
      <c r="D1678" t="s">
        <v>5734</v>
      </c>
      <c r="E1678" t="s">
        <v>5734</v>
      </c>
      <c r="F1678" t="s">
        <v>91</v>
      </c>
      <c r="G1678" t="s">
        <v>63</v>
      </c>
      <c r="H1678" t="s">
        <v>53</v>
      </c>
      <c r="I1678" t="s">
        <v>471</v>
      </c>
      <c r="J1678">
        <v>2014</v>
      </c>
      <c r="K1678">
        <v>43698.521897777777</v>
      </c>
      <c r="L1678" t="s">
        <v>578</v>
      </c>
      <c r="M1678" t="s">
        <v>1941</v>
      </c>
      <c r="N1678" t="s">
        <v>415</v>
      </c>
      <c r="O1678">
        <v>346903</v>
      </c>
      <c r="P1678">
        <v>43698.521897777777</v>
      </c>
      <c r="Q1678">
        <v>43293.428107060186</v>
      </c>
      <c r="R1678">
        <v>1712</v>
      </c>
    </row>
    <row r="1679" spans="1:18" x14ac:dyDescent="0.25">
      <c r="A1679" t="s">
        <v>5735</v>
      </c>
      <c r="B1679" t="s">
        <v>5736</v>
      </c>
      <c r="C1679" t="s">
        <v>5737</v>
      </c>
      <c r="D1679" t="s">
        <v>5737</v>
      </c>
      <c r="E1679" t="s">
        <v>5737</v>
      </c>
      <c r="F1679" t="s">
        <v>21</v>
      </c>
      <c r="G1679" t="s">
        <v>63</v>
      </c>
      <c r="H1679" t="s">
        <v>34</v>
      </c>
      <c r="I1679" t="s">
        <v>703</v>
      </c>
      <c r="J1679">
        <v>2015</v>
      </c>
      <c r="K1679">
        <v>43698.521897777777</v>
      </c>
      <c r="L1679" t="s">
        <v>92</v>
      </c>
      <c r="M1679" t="s">
        <v>1941</v>
      </c>
      <c r="N1679" t="s">
        <v>27</v>
      </c>
      <c r="O1679">
        <v>215689</v>
      </c>
      <c r="P1679">
        <v>43347.43550925926</v>
      </c>
      <c r="Q1679">
        <v>43293.429298645831</v>
      </c>
      <c r="R1679">
        <v>1713</v>
      </c>
    </row>
    <row r="1680" spans="1:18" x14ac:dyDescent="0.25">
      <c r="A1680" t="s">
        <v>5738</v>
      </c>
      <c r="B1680" t="s">
        <v>5739</v>
      </c>
      <c r="C1680" t="s">
        <v>5740</v>
      </c>
      <c r="D1680" t="s">
        <v>5740</v>
      </c>
      <c r="E1680" t="s">
        <v>5740</v>
      </c>
      <c r="F1680" t="s">
        <v>21</v>
      </c>
      <c r="G1680" t="s">
        <v>63</v>
      </c>
      <c r="H1680" t="s">
        <v>34</v>
      </c>
      <c r="I1680" t="s">
        <v>703</v>
      </c>
      <c r="J1680">
        <v>2017</v>
      </c>
      <c r="K1680">
        <v>43698.521897777777</v>
      </c>
      <c r="L1680" t="s">
        <v>25</v>
      </c>
      <c r="M1680" t="s">
        <v>1941</v>
      </c>
      <c r="N1680" t="s">
        <v>27</v>
      </c>
      <c r="O1680">
        <v>203558</v>
      </c>
      <c r="P1680">
        <v>43308.140289351853</v>
      </c>
      <c r="Q1680">
        <v>43293.430695752315</v>
      </c>
      <c r="R1680">
        <v>1714</v>
      </c>
    </row>
    <row r="1681" spans="1:18" x14ac:dyDescent="0.25">
      <c r="A1681" t="s">
        <v>5741</v>
      </c>
      <c r="B1681" t="s">
        <v>5742</v>
      </c>
      <c r="C1681" t="s">
        <v>5743</v>
      </c>
      <c r="D1681" t="s">
        <v>5743</v>
      </c>
      <c r="E1681" t="s">
        <v>5743</v>
      </c>
      <c r="F1681" t="s">
        <v>91</v>
      </c>
      <c r="G1681" t="s">
        <v>22</v>
      </c>
      <c r="H1681" t="s">
        <v>2813</v>
      </c>
      <c r="I1681" t="s">
        <v>2766</v>
      </c>
      <c r="J1681">
        <v>2018</v>
      </c>
      <c r="K1681">
        <v>43698.521897777777</v>
      </c>
      <c r="L1681" t="s">
        <v>25</v>
      </c>
      <c r="M1681" t="s">
        <v>5389</v>
      </c>
      <c r="N1681" t="s">
        <v>415</v>
      </c>
      <c r="Q1681">
        <v>43293.642694097223</v>
      </c>
      <c r="R1681">
        <v>1715</v>
      </c>
    </row>
    <row r="1682" spans="1:18" x14ac:dyDescent="0.25">
      <c r="A1682" t="s">
        <v>5744</v>
      </c>
      <c r="B1682" t="s">
        <v>5745</v>
      </c>
      <c r="C1682" t="s">
        <v>5746</v>
      </c>
      <c r="D1682" t="s">
        <v>5746</v>
      </c>
      <c r="E1682" t="s">
        <v>5746</v>
      </c>
      <c r="F1682" t="s">
        <v>91</v>
      </c>
      <c r="G1682" t="s">
        <v>22</v>
      </c>
      <c r="H1682" t="s">
        <v>5747</v>
      </c>
      <c r="I1682" t="s">
        <v>5748</v>
      </c>
      <c r="J1682">
        <v>2018</v>
      </c>
      <c r="K1682">
        <v>43698.521897777777</v>
      </c>
      <c r="L1682" t="s">
        <v>25</v>
      </c>
      <c r="M1682" t="s">
        <v>5389</v>
      </c>
      <c r="N1682" t="s">
        <v>415</v>
      </c>
      <c r="Q1682">
        <v>43293.646410497684</v>
      </c>
      <c r="R1682">
        <v>1716</v>
      </c>
    </row>
    <row r="1683" spans="1:18" x14ac:dyDescent="0.25">
      <c r="A1683" t="s">
        <v>5749</v>
      </c>
      <c r="B1683" t="s">
        <v>5750</v>
      </c>
      <c r="C1683" t="s">
        <v>5751</v>
      </c>
      <c r="D1683" t="s">
        <v>5751</v>
      </c>
      <c r="E1683" t="s">
        <v>5752</v>
      </c>
      <c r="F1683" t="s">
        <v>21</v>
      </c>
      <c r="G1683" t="s">
        <v>22</v>
      </c>
      <c r="H1683" t="s">
        <v>53</v>
      </c>
      <c r="I1683" t="s">
        <v>3006</v>
      </c>
      <c r="J1683">
        <v>2019</v>
      </c>
      <c r="K1683">
        <v>43698.521897777777</v>
      </c>
      <c r="L1683" t="s">
        <v>2713</v>
      </c>
      <c r="M1683" t="s">
        <v>2777</v>
      </c>
      <c r="N1683" t="s">
        <v>415</v>
      </c>
      <c r="Q1683">
        <v>43297.505242939813</v>
      </c>
      <c r="R1683">
        <v>1717</v>
      </c>
    </row>
    <row r="1684" spans="1:18" x14ac:dyDescent="0.25">
      <c r="A1684" t="s">
        <v>5753</v>
      </c>
      <c r="B1684" t="s">
        <v>5754</v>
      </c>
      <c r="C1684" t="s">
        <v>5755</v>
      </c>
      <c r="D1684" t="s">
        <v>5755</v>
      </c>
      <c r="E1684" t="s">
        <v>5756</v>
      </c>
      <c r="F1684" t="s">
        <v>21</v>
      </c>
      <c r="G1684" t="s">
        <v>22</v>
      </c>
      <c r="H1684" t="s">
        <v>53</v>
      </c>
      <c r="I1684" t="s">
        <v>3006</v>
      </c>
      <c r="J1684">
        <v>2019</v>
      </c>
      <c r="K1684">
        <v>43698.521897777777</v>
      </c>
      <c r="L1684" t="s">
        <v>1660</v>
      </c>
      <c r="M1684" t="s">
        <v>2777</v>
      </c>
      <c r="N1684" t="s">
        <v>415</v>
      </c>
      <c r="O1684">
        <v>283586</v>
      </c>
      <c r="P1684">
        <v>43542.738125000003</v>
      </c>
      <c r="Q1684">
        <v>43297.507471990742</v>
      </c>
      <c r="R1684">
        <v>1718</v>
      </c>
    </row>
    <row r="1685" spans="1:18" x14ac:dyDescent="0.25">
      <c r="A1685" t="s">
        <v>5757</v>
      </c>
      <c r="B1685" t="s">
        <v>5758</v>
      </c>
      <c r="C1685" t="s">
        <v>5759</v>
      </c>
      <c r="D1685" t="s">
        <v>5759</v>
      </c>
      <c r="E1685" t="s">
        <v>5759</v>
      </c>
      <c r="F1685" t="s">
        <v>21</v>
      </c>
      <c r="G1685" t="s">
        <v>63</v>
      </c>
      <c r="H1685" t="s">
        <v>34</v>
      </c>
      <c r="I1685" t="s">
        <v>703</v>
      </c>
      <c r="J1685">
        <v>2014</v>
      </c>
      <c r="K1685">
        <v>43698.521897777777</v>
      </c>
      <c r="L1685" t="s">
        <v>422</v>
      </c>
      <c r="M1685" t="s">
        <v>2777</v>
      </c>
      <c r="N1685" t="s">
        <v>27</v>
      </c>
      <c r="O1685">
        <v>219785</v>
      </c>
      <c r="P1685">
        <v>43356.75</v>
      </c>
      <c r="Q1685">
        <v>43297.513287071757</v>
      </c>
      <c r="R1685">
        <v>1719</v>
      </c>
    </row>
    <row r="1686" spans="1:18" x14ac:dyDescent="0.25">
      <c r="A1686" t="s">
        <v>5760</v>
      </c>
      <c r="B1686" t="s">
        <v>5761</v>
      </c>
      <c r="C1686" t="s">
        <v>5762</v>
      </c>
      <c r="D1686" t="s">
        <v>5762</v>
      </c>
      <c r="E1686" t="s">
        <v>5763</v>
      </c>
      <c r="F1686" t="s">
        <v>21</v>
      </c>
      <c r="G1686" t="s">
        <v>22</v>
      </c>
      <c r="H1686" t="s">
        <v>53</v>
      </c>
      <c r="I1686" t="s">
        <v>3006</v>
      </c>
      <c r="J1686">
        <v>2019</v>
      </c>
      <c r="K1686">
        <v>43698.521897777777</v>
      </c>
      <c r="L1686" t="s">
        <v>1005</v>
      </c>
      <c r="M1686" t="s">
        <v>37</v>
      </c>
      <c r="N1686" t="s">
        <v>415</v>
      </c>
      <c r="O1686">
        <v>316457</v>
      </c>
      <c r="P1686">
        <v>43627.455555555556</v>
      </c>
      <c r="Q1686">
        <v>43297.53598040509</v>
      </c>
      <c r="R1686">
        <v>1720</v>
      </c>
    </row>
    <row r="1687" spans="1:18" x14ac:dyDescent="0.25">
      <c r="A1687" t="s">
        <v>5764</v>
      </c>
      <c r="B1687" t="s">
        <v>5765</v>
      </c>
      <c r="C1687" t="s">
        <v>5766</v>
      </c>
      <c r="D1687" t="s">
        <v>5766</v>
      </c>
      <c r="E1687" t="s">
        <v>5767</v>
      </c>
      <c r="F1687" t="s">
        <v>21</v>
      </c>
      <c r="G1687" t="s">
        <v>22</v>
      </c>
      <c r="H1687" t="s">
        <v>53</v>
      </c>
      <c r="I1687" t="s">
        <v>3006</v>
      </c>
      <c r="J1687">
        <v>2019</v>
      </c>
      <c r="K1687">
        <v>43698.521897777777</v>
      </c>
      <c r="L1687" t="s">
        <v>193</v>
      </c>
      <c r="M1687" t="s">
        <v>37</v>
      </c>
      <c r="N1687" t="s">
        <v>415</v>
      </c>
      <c r="O1687">
        <v>286324</v>
      </c>
      <c r="P1687">
        <v>43547.995081018518</v>
      </c>
      <c r="Q1687">
        <v>43297.538589004631</v>
      </c>
      <c r="R1687">
        <v>1721</v>
      </c>
    </row>
    <row r="1688" spans="1:18" x14ac:dyDescent="0.25">
      <c r="A1688" t="s">
        <v>5768</v>
      </c>
      <c r="B1688" t="s">
        <v>5769</v>
      </c>
      <c r="C1688" t="s">
        <v>5770</v>
      </c>
      <c r="D1688" t="s">
        <v>5770</v>
      </c>
      <c r="E1688" t="s">
        <v>5771</v>
      </c>
      <c r="F1688" t="s">
        <v>21</v>
      </c>
      <c r="G1688" t="s">
        <v>22</v>
      </c>
      <c r="H1688" t="s">
        <v>53</v>
      </c>
      <c r="I1688" t="s">
        <v>3006</v>
      </c>
      <c r="J1688">
        <v>2019</v>
      </c>
      <c r="K1688">
        <v>43698.521897777777</v>
      </c>
      <c r="L1688" t="s">
        <v>1005</v>
      </c>
      <c r="M1688" t="s">
        <v>37</v>
      </c>
      <c r="N1688" t="s">
        <v>415</v>
      </c>
      <c r="O1688">
        <v>289629</v>
      </c>
      <c r="P1688">
        <v>43560.200694444444</v>
      </c>
      <c r="Q1688">
        <v>43297.539884953701</v>
      </c>
      <c r="R1688">
        <v>1722</v>
      </c>
    </row>
    <row r="1689" spans="1:18" x14ac:dyDescent="0.25">
      <c r="A1689" t="s">
        <v>5772</v>
      </c>
      <c r="B1689" t="s">
        <v>5773</v>
      </c>
      <c r="C1689" t="s">
        <v>5774</v>
      </c>
      <c r="D1689" t="s">
        <v>5774</v>
      </c>
      <c r="E1689" t="s">
        <v>5775</v>
      </c>
      <c r="F1689" t="s">
        <v>21</v>
      </c>
      <c r="G1689" t="s">
        <v>22</v>
      </c>
      <c r="H1689" t="s">
        <v>53</v>
      </c>
      <c r="I1689" t="s">
        <v>3006</v>
      </c>
      <c r="J1689">
        <v>2019</v>
      </c>
      <c r="K1689">
        <v>43698.521897777777</v>
      </c>
      <c r="L1689" t="s">
        <v>193</v>
      </c>
      <c r="M1689" t="s">
        <v>37</v>
      </c>
      <c r="N1689" t="s">
        <v>415</v>
      </c>
      <c r="O1689">
        <v>325295</v>
      </c>
      <c r="P1689">
        <v>43644.361111111109</v>
      </c>
      <c r="Q1689">
        <v>43297.548998761573</v>
      </c>
      <c r="R1689">
        <v>1723</v>
      </c>
    </row>
    <row r="1690" spans="1:18" x14ac:dyDescent="0.25">
      <c r="A1690" t="s">
        <v>5776</v>
      </c>
      <c r="B1690" t="s">
        <v>5777</v>
      </c>
      <c r="C1690" t="s">
        <v>5778</v>
      </c>
      <c r="D1690" t="s">
        <v>5778</v>
      </c>
      <c r="E1690" t="s">
        <v>5779</v>
      </c>
      <c r="F1690" t="s">
        <v>21</v>
      </c>
      <c r="G1690" t="s">
        <v>22</v>
      </c>
      <c r="H1690" t="s">
        <v>53</v>
      </c>
      <c r="I1690" t="s">
        <v>3006</v>
      </c>
      <c r="J1690">
        <v>2019</v>
      </c>
      <c r="K1690">
        <v>43698.521897777777</v>
      </c>
      <c r="L1690" t="s">
        <v>1005</v>
      </c>
      <c r="M1690" t="s">
        <v>37</v>
      </c>
      <c r="N1690" t="s">
        <v>415</v>
      </c>
      <c r="O1690">
        <v>325296</v>
      </c>
      <c r="P1690">
        <v>43644.361805555556</v>
      </c>
      <c r="Q1690">
        <v>43297.550559062503</v>
      </c>
      <c r="R1690">
        <v>1724</v>
      </c>
    </row>
    <row r="1691" spans="1:18" x14ac:dyDescent="0.25">
      <c r="A1691" t="s">
        <v>5780</v>
      </c>
      <c r="B1691" t="s">
        <v>5781</v>
      </c>
      <c r="C1691" t="s">
        <v>5782</v>
      </c>
      <c r="D1691" t="s">
        <v>5782</v>
      </c>
      <c r="E1691" t="s">
        <v>5783</v>
      </c>
      <c r="F1691" t="s">
        <v>21</v>
      </c>
      <c r="G1691" t="s">
        <v>22</v>
      </c>
      <c r="H1691" t="s">
        <v>53</v>
      </c>
      <c r="I1691" t="s">
        <v>3006</v>
      </c>
      <c r="J1691">
        <v>2019</v>
      </c>
      <c r="K1691">
        <v>43698.521897777777</v>
      </c>
      <c r="L1691" t="s">
        <v>1056</v>
      </c>
      <c r="M1691" t="s">
        <v>37</v>
      </c>
      <c r="N1691" t="s">
        <v>415</v>
      </c>
      <c r="O1691">
        <v>295201</v>
      </c>
      <c r="P1691">
        <v>43571.718055555553</v>
      </c>
      <c r="Q1691">
        <v>43297.552530289351</v>
      </c>
      <c r="R1691">
        <v>1725</v>
      </c>
    </row>
    <row r="1692" spans="1:18" x14ac:dyDescent="0.25">
      <c r="A1692" t="s">
        <v>5784</v>
      </c>
      <c r="B1692" t="s">
        <v>5785</v>
      </c>
      <c r="C1692" t="s">
        <v>5786</v>
      </c>
      <c r="D1692" t="s">
        <v>5786</v>
      </c>
      <c r="E1692" t="s">
        <v>5787</v>
      </c>
      <c r="F1692" t="s">
        <v>21</v>
      </c>
      <c r="G1692" t="s">
        <v>22</v>
      </c>
      <c r="H1692" t="s">
        <v>53</v>
      </c>
      <c r="I1692" t="s">
        <v>3006</v>
      </c>
      <c r="J1692">
        <v>2019</v>
      </c>
      <c r="K1692">
        <v>43698.521897777777</v>
      </c>
      <c r="L1692" t="s">
        <v>1005</v>
      </c>
      <c r="M1692" t="s">
        <v>37</v>
      </c>
      <c r="N1692" t="s">
        <v>415</v>
      </c>
      <c r="O1692">
        <v>280936</v>
      </c>
      <c r="P1692">
        <v>43540.729166666664</v>
      </c>
      <c r="Q1692">
        <v>43297.553449340281</v>
      </c>
      <c r="R1692">
        <v>1726</v>
      </c>
    </row>
    <row r="1693" spans="1:18" x14ac:dyDescent="0.25">
      <c r="A1693" t="s">
        <v>5788</v>
      </c>
      <c r="B1693" t="s">
        <v>5789</v>
      </c>
      <c r="C1693" t="s">
        <v>5790</v>
      </c>
      <c r="D1693" t="s">
        <v>5790</v>
      </c>
      <c r="E1693" t="s">
        <v>5791</v>
      </c>
      <c r="F1693" t="s">
        <v>21</v>
      </c>
      <c r="G1693" t="s">
        <v>22</v>
      </c>
      <c r="H1693" t="s">
        <v>53</v>
      </c>
      <c r="I1693" t="s">
        <v>3006</v>
      </c>
      <c r="J1693">
        <v>2019</v>
      </c>
      <c r="K1693">
        <v>43698.521897777777</v>
      </c>
      <c r="L1693" t="s">
        <v>1005</v>
      </c>
      <c r="M1693" t="s">
        <v>37</v>
      </c>
      <c r="N1693" t="s">
        <v>415</v>
      </c>
      <c r="O1693">
        <v>297191</v>
      </c>
      <c r="P1693">
        <v>43578.904166666667</v>
      </c>
      <c r="Q1693">
        <v>43297.554520601851</v>
      </c>
      <c r="R1693">
        <v>1727</v>
      </c>
    </row>
    <row r="1694" spans="1:18" x14ac:dyDescent="0.25">
      <c r="A1694" t="s">
        <v>5792</v>
      </c>
      <c r="B1694" t="s">
        <v>5793</v>
      </c>
      <c r="C1694" t="s">
        <v>5794</v>
      </c>
      <c r="D1694" t="s">
        <v>5794</v>
      </c>
      <c r="E1694" t="s">
        <v>5795</v>
      </c>
      <c r="F1694" t="s">
        <v>21</v>
      </c>
      <c r="G1694" t="s">
        <v>22</v>
      </c>
      <c r="H1694" t="s">
        <v>53</v>
      </c>
      <c r="I1694" t="s">
        <v>3006</v>
      </c>
      <c r="J1694">
        <v>2019</v>
      </c>
      <c r="K1694">
        <v>43698.521897777777</v>
      </c>
      <c r="L1694" t="s">
        <v>193</v>
      </c>
      <c r="M1694" t="s">
        <v>37</v>
      </c>
      <c r="N1694" t="s">
        <v>415</v>
      </c>
      <c r="O1694">
        <v>286276</v>
      </c>
      <c r="P1694">
        <v>43550.099872685183</v>
      </c>
      <c r="Q1694">
        <v>43297.555411145833</v>
      </c>
      <c r="R1694">
        <v>1728</v>
      </c>
    </row>
    <row r="1695" spans="1:18" x14ac:dyDescent="0.25">
      <c r="A1695" t="s">
        <v>5796</v>
      </c>
      <c r="B1695" t="s">
        <v>5797</v>
      </c>
      <c r="C1695" t="s">
        <v>5798</v>
      </c>
      <c r="D1695" t="s">
        <v>5798</v>
      </c>
      <c r="E1695" t="s">
        <v>5799</v>
      </c>
      <c r="F1695" t="s">
        <v>21</v>
      </c>
      <c r="G1695" t="s">
        <v>22</v>
      </c>
      <c r="H1695" t="s">
        <v>53</v>
      </c>
      <c r="I1695" t="s">
        <v>3006</v>
      </c>
      <c r="J1695">
        <v>2019</v>
      </c>
      <c r="K1695">
        <v>43698.521897777777</v>
      </c>
      <c r="L1695" t="s">
        <v>1005</v>
      </c>
      <c r="M1695" t="s">
        <v>37</v>
      </c>
      <c r="N1695" t="s">
        <v>415</v>
      </c>
      <c r="O1695">
        <v>284396</v>
      </c>
      <c r="P1695">
        <v>43544.730555555558</v>
      </c>
      <c r="Q1695">
        <v>43297.556108912038</v>
      </c>
      <c r="R1695">
        <v>1729</v>
      </c>
    </row>
    <row r="1696" spans="1:18" x14ac:dyDescent="0.25">
      <c r="A1696" t="s">
        <v>5800</v>
      </c>
      <c r="B1696" t="s">
        <v>5801</v>
      </c>
      <c r="C1696" t="s">
        <v>5802</v>
      </c>
      <c r="D1696" t="s">
        <v>5802</v>
      </c>
      <c r="E1696" t="s">
        <v>5802</v>
      </c>
      <c r="F1696" t="s">
        <v>21</v>
      </c>
      <c r="G1696" t="s">
        <v>63</v>
      </c>
      <c r="H1696" t="s">
        <v>23</v>
      </c>
      <c r="I1696" t="s">
        <v>4388</v>
      </c>
      <c r="J1696">
        <v>2014</v>
      </c>
      <c r="K1696">
        <v>43698.521897777777</v>
      </c>
      <c r="L1696" t="s">
        <v>466</v>
      </c>
      <c r="M1696" t="s">
        <v>154</v>
      </c>
      <c r="N1696" t="s">
        <v>1305</v>
      </c>
      <c r="O1696">
        <v>300470</v>
      </c>
      <c r="P1696">
        <v>43584.864999999998</v>
      </c>
      <c r="Q1696">
        <v>43297.697874189813</v>
      </c>
      <c r="R1696">
        <v>1730</v>
      </c>
    </row>
    <row r="1697" spans="1:18" x14ac:dyDescent="0.25">
      <c r="A1697" t="s">
        <v>5803</v>
      </c>
      <c r="B1697" t="s">
        <v>5804</v>
      </c>
      <c r="C1697" t="s">
        <v>5805</v>
      </c>
      <c r="D1697" t="s">
        <v>5805</v>
      </c>
      <c r="E1697" t="s">
        <v>5806</v>
      </c>
      <c r="F1697" t="s">
        <v>21</v>
      </c>
      <c r="G1697" t="s">
        <v>22</v>
      </c>
      <c r="H1697" t="s">
        <v>53</v>
      </c>
      <c r="I1697" t="s">
        <v>3006</v>
      </c>
      <c r="J1697">
        <v>2019</v>
      </c>
      <c r="K1697">
        <v>43698.521897777777</v>
      </c>
      <c r="L1697" t="s">
        <v>2713</v>
      </c>
      <c r="M1697" t="s">
        <v>2777</v>
      </c>
      <c r="N1697" t="s">
        <v>415</v>
      </c>
      <c r="O1697">
        <v>285160</v>
      </c>
      <c r="P1697">
        <v>43547.279861111114</v>
      </c>
      <c r="Q1697">
        <v>43298.412865474536</v>
      </c>
      <c r="R1697">
        <v>1731</v>
      </c>
    </row>
    <row r="1698" spans="1:18" x14ac:dyDescent="0.25">
      <c r="A1698" t="s">
        <v>5807</v>
      </c>
      <c r="B1698" t="s">
        <v>5808</v>
      </c>
      <c r="C1698" t="s">
        <v>5809</v>
      </c>
      <c r="D1698" t="s">
        <v>5809</v>
      </c>
      <c r="E1698" t="s">
        <v>5810</v>
      </c>
      <c r="F1698" t="s">
        <v>21</v>
      </c>
      <c r="G1698" t="s">
        <v>22</v>
      </c>
      <c r="H1698" t="s">
        <v>53</v>
      </c>
      <c r="I1698" t="s">
        <v>3006</v>
      </c>
      <c r="J1698">
        <v>2019</v>
      </c>
      <c r="K1698">
        <v>43698.521897777777</v>
      </c>
      <c r="L1698" t="s">
        <v>1660</v>
      </c>
      <c r="M1698" t="s">
        <v>2777</v>
      </c>
      <c r="N1698" t="s">
        <v>415</v>
      </c>
      <c r="O1698">
        <v>279788</v>
      </c>
      <c r="P1698">
        <v>43530.993055555555</v>
      </c>
      <c r="Q1698">
        <v>43298.413814618056</v>
      </c>
      <c r="R1698">
        <v>1732</v>
      </c>
    </row>
    <row r="1699" spans="1:18" x14ac:dyDescent="0.25">
      <c r="A1699" t="s">
        <v>5811</v>
      </c>
      <c r="B1699" t="s">
        <v>5812</v>
      </c>
      <c r="C1699" t="s">
        <v>5813</v>
      </c>
      <c r="D1699" t="s">
        <v>5813</v>
      </c>
      <c r="E1699" t="s">
        <v>5814</v>
      </c>
      <c r="F1699" t="s">
        <v>21</v>
      </c>
      <c r="G1699" t="s">
        <v>22</v>
      </c>
      <c r="H1699" t="s">
        <v>53</v>
      </c>
      <c r="I1699" t="s">
        <v>3006</v>
      </c>
      <c r="J1699">
        <v>2019</v>
      </c>
      <c r="K1699">
        <v>43698.521897777777</v>
      </c>
      <c r="L1699" t="s">
        <v>1660</v>
      </c>
      <c r="M1699" t="s">
        <v>2777</v>
      </c>
      <c r="N1699" t="s">
        <v>415</v>
      </c>
      <c r="O1699">
        <v>282357</v>
      </c>
      <c r="P1699">
        <v>43538.494444444441</v>
      </c>
      <c r="Q1699">
        <v>43298.414683946758</v>
      </c>
      <c r="R1699">
        <v>1733</v>
      </c>
    </row>
    <row r="1700" spans="1:18" x14ac:dyDescent="0.25">
      <c r="A1700" t="s">
        <v>5815</v>
      </c>
      <c r="B1700" t="s">
        <v>5816</v>
      </c>
      <c r="C1700" t="s">
        <v>5817</v>
      </c>
      <c r="D1700" t="s">
        <v>5817</v>
      </c>
      <c r="E1700" t="s">
        <v>5818</v>
      </c>
      <c r="F1700" t="s">
        <v>91</v>
      </c>
      <c r="G1700" t="s">
        <v>22</v>
      </c>
      <c r="H1700" t="s">
        <v>53</v>
      </c>
      <c r="I1700" t="s">
        <v>3006</v>
      </c>
      <c r="J1700">
        <v>2019</v>
      </c>
      <c r="K1700">
        <v>43698.521897777777</v>
      </c>
      <c r="L1700" t="s">
        <v>1005</v>
      </c>
      <c r="M1700" t="s">
        <v>42</v>
      </c>
      <c r="N1700" t="s">
        <v>415</v>
      </c>
      <c r="O1700">
        <v>346145</v>
      </c>
      <c r="P1700">
        <v>43698.521897777777</v>
      </c>
      <c r="Q1700">
        <v>43298.419523958335</v>
      </c>
      <c r="R1700">
        <v>1734</v>
      </c>
    </row>
    <row r="1701" spans="1:18" x14ac:dyDescent="0.25">
      <c r="A1701" t="s">
        <v>5819</v>
      </c>
      <c r="B1701" t="s">
        <v>5820</v>
      </c>
      <c r="C1701" t="s">
        <v>5821</v>
      </c>
      <c r="D1701" t="s">
        <v>5821</v>
      </c>
      <c r="E1701" t="s">
        <v>5822</v>
      </c>
      <c r="F1701" t="s">
        <v>91</v>
      </c>
      <c r="G1701" t="s">
        <v>22</v>
      </c>
      <c r="H1701" t="s">
        <v>53</v>
      </c>
      <c r="I1701" t="s">
        <v>3006</v>
      </c>
      <c r="J1701">
        <v>2019</v>
      </c>
      <c r="K1701">
        <v>43698.521897777777</v>
      </c>
      <c r="L1701" t="s">
        <v>193</v>
      </c>
      <c r="M1701" t="s">
        <v>42</v>
      </c>
      <c r="N1701" t="s">
        <v>415</v>
      </c>
      <c r="O1701">
        <v>347066</v>
      </c>
      <c r="P1701">
        <v>43698.521897777777</v>
      </c>
      <c r="Q1701">
        <v>43298.42533677083</v>
      </c>
      <c r="R1701">
        <v>1735</v>
      </c>
    </row>
    <row r="1702" spans="1:18" x14ac:dyDescent="0.25">
      <c r="A1702" t="s">
        <v>5823</v>
      </c>
      <c r="B1702" t="s">
        <v>5824</v>
      </c>
      <c r="C1702" t="s">
        <v>5825</v>
      </c>
      <c r="D1702" t="s">
        <v>5825</v>
      </c>
      <c r="E1702" t="s">
        <v>5826</v>
      </c>
      <c r="F1702" t="s">
        <v>91</v>
      </c>
      <c r="G1702" t="s">
        <v>22</v>
      </c>
      <c r="H1702" t="s">
        <v>53</v>
      </c>
      <c r="I1702" t="s">
        <v>3006</v>
      </c>
      <c r="J1702">
        <v>2019</v>
      </c>
      <c r="K1702">
        <v>43698.521897777777</v>
      </c>
      <c r="L1702" t="s">
        <v>193</v>
      </c>
      <c r="M1702" t="s">
        <v>42</v>
      </c>
      <c r="N1702" t="s">
        <v>415</v>
      </c>
      <c r="O1702">
        <v>346243</v>
      </c>
      <c r="P1702">
        <v>43698.521897777777</v>
      </c>
      <c r="Q1702">
        <v>43298.426177511574</v>
      </c>
      <c r="R1702">
        <v>1736</v>
      </c>
    </row>
    <row r="1703" spans="1:18" x14ac:dyDescent="0.25">
      <c r="A1703" t="s">
        <v>5827</v>
      </c>
      <c r="B1703" t="s">
        <v>5828</v>
      </c>
      <c r="C1703" t="s">
        <v>5829</v>
      </c>
      <c r="D1703" t="s">
        <v>5829</v>
      </c>
      <c r="E1703" t="s">
        <v>5830</v>
      </c>
      <c r="F1703" t="s">
        <v>91</v>
      </c>
      <c r="G1703" t="s">
        <v>22</v>
      </c>
      <c r="H1703" t="s">
        <v>53</v>
      </c>
      <c r="I1703" t="s">
        <v>3006</v>
      </c>
      <c r="J1703">
        <v>2019</v>
      </c>
      <c r="K1703">
        <v>43698.521897777777</v>
      </c>
      <c r="L1703" t="s">
        <v>1056</v>
      </c>
      <c r="M1703" t="s">
        <v>42</v>
      </c>
      <c r="N1703" t="s">
        <v>415</v>
      </c>
      <c r="O1703">
        <v>346551</v>
      </c>
      <c r="P1703">
        <v>43697.971851851849</v>
      </c>
      <c r="Q1703">
        <v>43298.427304166667</v>
      </c>
      <c r="R1703">
        <v>1737</v>
      </c>
    </row>
    <row r="1704" spans="1:18" x14ac:dyDescent="0.25">
      <c r="A1704" t="s">
        <v>5831</v>
      </c>
      <c r="B1704" t="s">
        <v>5832</v>
      </c>
      <c r="C1704" t="s">
        <v>5833</v>
      </c>
      <c r="D1704" t="s">
        <v>5833</v>
      </c>
      <c r="E1704" t="s">
        <v>5834</v>
      </c>
      <c r="F1704" t="s">
        <v>91</v>
      </c>
      <c r="G1704" t="s">
        <v>22</v>
      </c>
      <c r="H1704" t="s">
        <v>53</v>
      </c>
      <c r="I1704" t="s">
        <v>3006</v>
      </c>
      <c r="J1704">
        <v>2019</v>
      </c>
      <c r="K1704">
        <v>43698.521897777777</v>
      </c>
      <c r="L1704" t="s">
        <v>2713</v>
      </c>
      <c r="M1704" t="s">
        <v>42</v>
      </c>
      <c r="N1704" t="s">
        <v>415</v>
      </c>
      <c r="O1704">
        <v>343722</v>
      </c>
      <c r="P1704">
        <v>43694.313807870371</v>
      </c>
      <c r="Q1704">
        <v>43298.428314467594</v>
      </c>
      <c r="R1704">
        <v>1738</v>
      </c>
    </row>
    <row r="1705" spans="1:18" x14ac:dyDescent="0.25">
      <c r="A1705" t="s">
        <v>5835</v>
      </c>
      <c r="B1705" t="s">
        <v>5836</v>
      </c>
      <c r="C1705" t="s">
        <v>5837</v>
      </c>
      <c r="D1705" t="s">
        <v>5837</v>
      </c>
      <c r="E1705" t="s">
        <v>5838</v>
      </c>
      <c r="F1705" t="s">
        <v>91</v>
      </c>
      <c r="G1705" t="s">
        <v>22</v>
      </c>
      <c r="H1705" t="s">
        <v>53</v>
      </c>
      <c r="I1705" t="s">
        <v>3006</v>
      </c>
      <c r="J1705">
        <v>2019</v>
      </c>
      <c r="K1705">
        <v>43698.521897777777</v>
      </c>
      <c r="L1705" t="s">
        <v>1005</v>
      </c>
      <c r="M1705" t="s">
        <v>42</v>
      </c>
      <c r="N1705" t="s">
        <v>415</v>
      </c>
      <c r="O1705">
        <v>346139</v>
      </c>
      <c r="P1705">
        <v>43698.521897777777</v>
      </c>
      <c r="Q1705">
        <v>43298.432238576388</v>
      </c>
      <c r="R1705">
        <v>1739</v>
      </c>
    </row>
    <row r="1706" spans="1:18" x14ac:dyDescent="0.25">
      <c r="A1706" t="s">
        <v>5839</v>
      </c>
      <c r="B1706" t="s">
        <v>5840</v>
      </c>
      <c r="C1706" t="s">
        <v>5841</v>
      </c>
      <c r="D1706" t="s">
        <v>5841</v>
      </c>
      <c r="E1706" t="s">
        <v>5842</v>
      </c>
      <c r="F1706" t="s">
        <v>91</v>
      </c>
      <c r="G1706" t="s">
        <v>22</v>
      </c>
      <c r="H1706" t="s">
        <v>53</v>
      </c>
      <c r="I1706" t="s">
        <v>3006</v>
      </c>
      <c r="J1706">
        <v>2019</v>
      </c>
      <c r="K1706">
        <v>43698.521897777777</v>
      </c>
      <c r="L1706" t="s">
        <v>193</v>
      </c>
      <c r="M1706" t="s">
        <v>42</v>
      </c>
      <c r="N1706" t="s">
        <v>415</v>
      </c>
      <c r="O1706">
        <v>346730</v>
      </c>
      <c r="P1706">
        <v>43698.521897777777</v>
      </c>
      <c r="Q1706">
        <v>43298.433042395831</v>
      </c>
      <c r="R1706">
        <v>1740</v>
      </c>
    </row>
    <row r="1707" spans="1:18" x14ac:dyDescent="0.25">
      <c r="A1707" t="s">
        <v>5843</v>
      </c>
      <c r="B1707" t="s">
        <v>5844</v>
      </c>
      <c r="C1707" t="s">
        <v>5845</v>
      </c>
      <c r="D1707" t="s">
        <v>5845</v>
      </c>
      <c r="E1707" t="s">
        <v>5846</v>
      </c>
      <c r="F1707" t="s">
        <v>91</v>
      </c>
      <c r="G1707" t="s">
        <v>22</v>
      </c>
      <c r="H1707" t="s">
        <v>53</v>
      </c>
      <c r="I1707" t="s">
        <v>3006</v>
      </c>
      <c r="J1707">
        <v>2019</v>
      </c>
      <c r="K1707">
        <v>43698.521897777777</v>
      </c>
      <c r="L1707" t="s">
        <v>92</v>
      </c>
      <c r="M1707" t="s">
        <v>42</v>
      </c>
      <c r="N1707" t="s">
        <v>415</v>
      </c>
      <c r="O1707">
        <v>345326</v>
      </c>
      <c r="P1707">
        <v>43698.521897777777</v>
      </c>
      <c r="Q1707">
        <v>43298.43478275463</v>
      </c>
      <c r="R1707">
        <v>1741</v>
      </c>
    </row>
    <row r="1708" spans="1:18" x14ac:dyDescent="0.25">
      <c r="A1708" t="s">
        <v>5847</v>
      </c>
      <c r="B1708" t="s">
        <v>5848</v>
      </c>
      <c r="C1708" t="s">
        <v>5849</v>
      </c>
      <c r="D1708" t="s">
        <v>5849</v>
      </c>
      <c r="E1708" t="s">
        <v>5850</v>
      </c>
      <c r="F1708" t="s">
        <v>91</v>
      </c>
      <c r="G1708" t="s">
        <v>22</v>
      </c>
      <c r="H1708" t="s">
        <v>53</v>
      </c>
      <c r="I1708" t="s">
        <v>3006</v>
      </c>
      <c r="J1708">
        <v>2019</v>
      </c>
      <c r="K1708">
        <v>43698.521897777777</v>
      </c>
      <c r="L1708" t="s">
        <v>193</v>
      </c>
      <c r="M1708" t="s">
        <v>42</v>
      </c>
      <c r="N1708" t="s">
        <v>415</v>
      </c>
      <c r="O1708">
        <v>346165</v>
      </c>
      <c r="P1708">
        <v>43698.521897777777</v>
      </c>
      <c r="Q1708">
        <v>43298.435573263887</v>
      </c>
      <c r="R1708">
        <v>1742</v>
      </c>
    </row>
    <row r="1709" spans="1:18" x14ac:dyDescent="0.25">
      <c r="A1709" t="s">
        <v>5851</v>
      </c>
      <c r="B1709" t="s">
        <v>5852</v>
      </c>
      <c r="C1709" t="s">
        <v>5853</v>
      </c>
      <c r="D1709" t="s">
        <v>5853</v>
      </c>
      <c r="E1709" t="s">
        <v>5854</v>
      </c>
      <c r="F1709" t="s">
        <v>91</v>
      </c>
      <c r="G1709" t="s">
        <v>22</v>
      </c>
      <c r="H1709" t="s">
        <v>53</v>
      </c>
      <c r="I1709" t="s">
        <v>3006</v>
      </c>
      <c r="J1709">
        <v>2019</v>
      </c>
      <c r="K1709">
        <v>43698.521897777777</v>
      </c>
      <c r="L1709" t="s">
        <v>1916</v>
      </c>
      <c r="M1709" t="s">
        <v>42</v>
      </c>
      <c r="N1709" t="s">
        <v>415</v>
      </c>
      <c r="O1709">
        <v>346977</v>
      </c>
      <c r="P1709">
        <v>43698.521897777777</v>
      </c>
      <c r="Q1709">
        <v>43298.436296377316</v>
      </c>
      <c r="R1709">
        <v>1743</v>
      </c>
    </row>
    <row r="1710" spans="1:18" x14ac:dyDescent="0.25">
      <c r="A1710" t="s">
        <v>25</v>
      </c>
      <c r="B1710" t="s">
        <v>25</v>
      </c>
      <c r="C1710" t="s">
        <v>5855</v>
      </c>
      <c r="D1710" t="s">
        <v>5855</v>
      </c>
      <c r="E1710" t="s">
        <v>5856</v>
      </c>
      <c r="F1710" t="s">
        <v>21</v>
      </c>
      <c r="G1710" t="s">
        <v>106</v>
      </c>
      <c r="H1710" t="s">
        <v>25</v>
      </c>
      <c r="I1710" t="s">
        <v>25</v>
      </c>
      <c r="K1710">
        <v>43698.521897777777</v>
      </c>
      <c r="L1710" t="s">
        <v>422</v>
      </c>
      <c r="M1710" t="s">
        <v>42</v>
      </c>
      <c r="N1710" t="s">
        <v>27</v>
      </c>
      <c r="O1710">
        <v>240389</v>
      </c>
      <c r="P1710">
        <v>43415.645833333336</v>
      </c>
      <c r="Q1710">
        <v>43298.623407673615</v>
      </c>
      <c r="R1710">
        <v>1744</v>
      </c>
    </row>
    <row r="1711" spans="1:18" x14ac:dyDescent="0.25">
      <c r="A1711" t="s">
        <v>25</v>
      </c>
      <c r="B1711" t="s">
        <v>25</v>
      </c>
      <c r="C1711" t="s">
        <v>5855</v>
      </c>
      <c r="D1711" t="s">
        <v>5855</v>
      </c>
      <c r="E1711" t="s">
        <v>5857</v>
      </c>
      <c r="F1711" t="s">
        <v>21</v>
      </c>
      <c r="G1711" t="s">
        <v>106</v>
      </c>
      <c r="H1711" t="s">
        <v>25</v>
      </c>
      <c r="I1711" t="s">
        <v>25</v>
      </c>
      <c r="K1711">
        <v>43698.521897777777</v>
      </c>
      <c r="L1711" t="s">
        <v>422</v>
      </c>
      <c r="M1711" t="s">
        <v>42</v>
      </c>
      <c r="N1711" t="s">
        <v>27</v>
      </c>
      <c r="O1711">
        <v>250978</v>
      </c>
      <c r="P1711">
        <v>43444.697916666664</v>
      </c>
      <c r="Q1711">
        <v>43298.623668749999</v>
      </c>
      <c r="R1711">
        <v>1745</v>
      </c>
    </row>
    <row r="1712" spans="1:18" x14ac:dyDescent="0.25">
      <c r="A1712" t="s">
        <v>25</v>
      </c>
      <c r="B1712" t="s">
        <v>25</v>
      </c>
      <c r="C1712" t="s">
        <v>5855</v>
      </c>
      <c r="D1712" t="s">
        <v>5855</v>
      </c>
      <c r="E1712" t="s">
        <v>5858</v>
      </c>
      <c r="F1712" t="s">
        <v>21</v>
      </c>
      <c r="G1712" t="s">
        <v>106</v>
      </c>
      <c r="H1712" t="s">
        <v>25</v>
      </c>
      <c r="I1712" t="s">
        <v>25</v>
      </c>
      <c r="K1712">
        <v>43698.521897777777</v>
      </c>
      <c r="L1712" t="s">
        <v>422</v>
      </c>
      <c r="M1712" t="s">
        <v>42</v>
      </c>
      <c r="N1712" t="s">
        <v>27</v>
      </c>
      <c r="O1712">
        <v>253294</v>
      </c>
      <c r="P1712">
        <v>43450.65625</v>
      </c>
      <c r="Q1712">
        <v>43298.623914004631</v>
      </c>
      <c r="R1712">
        <v>1746</v>
      </c>
    </row>
    <row r="1713" spans="1:18" x14ac:dyDescent="0.25">
      <c r="A1713" t="s">
        <v>25</v>
      </c>
      <c r="B1713" t="s">
        <v>25</v>
      </c>
      <c r="C1713" t="s">
        <v>5855</v>
      </c>
      <c r="D1713" t="s">
        <v>5855</v>
      </c>
      <c r="E1713" t="s">
        <v>5859</v>
      </c>
      <c r="F1713" t="s">
        <v>21</v>
      </c>
      <c r="G1713" t="s">
        <v>106</v>
      </c>
      <c r="H1713" t="s">
        <v>25</v>
      </c>
      <c r="I1713" t="s">
        <v>25</v>
      </c>
      <c r="K1713">
        <v>43698.521897777777</v>
      </c>
      <c r="L1713" t="s">
        <v>422</v>
      </c>
      <c r="M1713" t="s">
        <v>42</v>
      </c>
      <c r="N1713" t="s">
        <v>27</v>
      </c>
      <c r="O1713">
        <v>209840</v>
      </c>
      <c r="P1713">
        <v>43326.78125</v>
      </c>
      <c r="Q1713">
        <v>43298.624095520834</v>
      </c>
      <c r="R1713">
        <v>1747</v>
      </c>
    </row>
    <row r="1714" spans="1:18" x14ac:dyDescent="0.25">
      <c r="A1714" t="s">
        <v>5860</v>
      </c>
      <c r="B1714" t="s">
        <v>5861</v>
      </c>
      <c r="C1714" t="s">
        <v>5862</v>
      </c>
      <c r="D1714" t="s">
        <v>5862</v>
      </c>
      <c r="E1714" t="s">
        <v>5862</v>
      </c>
      <c r="F1714" t="s">
        <v>21</v>
      </c>
      <c r="G1714" t="s">
        <v>63</v>
      </c>
      <c r="H1714" t="s">
        <v>23</v>
      </c>
      <c r="I1714" t="s">
        <v>41</v>
      </c>
      <c r="J1714">
        <v>2013</v>
      </c>
      <c r="K1714">
        <v>43698.521897777777</v>
      </c>
      <c r="L1714" t="s">
        <v>578</v>
      </c>
      <c r="M1714" t="s">
        <v>1941</v>
      </c>
      <c r="N1714" t="s">
        <v>27</v>
      </c>
      <c r="O1714">
        <v>314873</v>
      </c>
      <c r="P1714">
        <v>43619.864583333336</v>
      </c>
      <c r="Q1714">
        <v>43299.518193171294</v>
      </c>
      <c r="R1714">
        <v>1748</v>
      </c>
    </row>
    <row r="1715" spans="1:18" x14ac:dyDescent="0.25">
      <c r="A1715" t="s">
        <v>5863</v>
      </c>
      <c r="B1715" t="s">
        <v>5864</v>
      </c>
      <c r="C1715" t="s">
        <v>5865</v>
      </c>
      <c r="D1715" t="s">
        <v>5865</v>
      </c>
      <c r="E1715" t="s">
        <v>5865</v>
      </c>
      <c r="F1715" t="s">
        <v>91</v>
      </c>
      <c r="G1715" t="s">
        <v>63</v>
      </c>
      <c r="H1715" t="s">
        <v>53</v>
      </c>
      <c r="I1715" t="s">
        <v>54</v>
      </c>
      <c r="J1715">
        <v>2004</v>
      </c>
      <c r="K1715">
        <v>43698.521897777777</v>
      </c>
      <c r="L1715" t="s">
        <v>422</v>
      </c>
      <c r="M1715" t="s">
        <v>2777</v>
      </c>
      <c r="N1715" t="s">
        <v>415</v>
      </c>
      <c r="O1715">
        <v>347158</v>
      </c>
      <c r="P1715">
        <v>43698.521897777777</v>
      </c>
      <c r="Q1715">
        <v>43299.655720104165</v>
      </c>
      <c r="R1715">
        <v>1749</v>
      </c>
    </row>
    <row r="1716" spans="1:18" x14ac:dyDescent="0.25">
      <c r="A1716" t="s">
        <v>5866</v>
      </c>
      <c r="B1716" t="s">
        <v>3205</v>
      </c>
      <c r="C1716" t="s">
        <v>5867</v>
      </c>
      <c r="D1716" t="s">
        <v>5867</v>
      </c>
      <c r="E1716" t="s">
        <v>5867</v>
      </c>
      <c r="F1716" t="s">
        <v>91</v>
      </c>
      <c r="G1716" t="s">
        <v>63</v>
      </c>
      <c r="H1716" t="s">
        <v>53</v>
      </c>
      <c r="I1716" t="s">
        <v>471</v>
      </c>
      <c r="J1716">
        <v>2011</v>
      </c>
      <c r="K1716">
        <v>43698.521897777777</v>
      </c>
      <c r="L1716" t="s">
        <v>422</v>
      </c>
      <c r="M1716" t="s">
        <v>2777</v>
      </c>
      <c r="N1716" t="s">
        <v>415</v>
      </c>
      <c r="O1716">
        <v>346798</v>
      </c>
      <c r="P1716">
        <v>43698.25</v>
      </c>
      <c r="Q1716">
        <v>43299.656141087966</v>
      </c>
      <c r="R1716">
        <v>1750</v>
      </c>
    </row>
    <row r="1717" spans="1:18" x14ac:dyDescent="0.25">
      <c r="A1717" t="s">
        <v>5868</v>
      </c>
      <c r="B1717" t="s">
        <v>5869</v>
      </c>
      <c r="C1717" t="s">
        <v>5870</v>
      </c>
      <c r="D1717" t="s">
        <v>5870</v>
      </c>
      <c r="E1717" t="s">
        <v>5870</v>
      </c>
      <c r="F1717" t="s">
        <v>21</v>
      </c>
      <c r="G1717" t="s">
        <v>63</v>
      </c>
      <c r="H1717" t="s">
        <v>34</v>
      </c>
      <c r="I1717" t="s">
        <v>703</v>
      </c>
      <c r="J1717">
        <v>2006</v>
      </c>
      <c r="K1717">
        <v>43698.521897777777</v>
      </c>
      <c r="L1717" t="s">
        <v>422</v>
      </c>
      <c r="M1717" t="s">
        <v>2777</v>
      </c>
      <c r="N1717" t="s">
        <v>27</v>
      </c>
      <c r="O1717">
        <v>222772</v>
      </c>
      <c r="P1717">
        <v>43365.083333333336</v>
      </c>
      <c r="Q1717">
        <v>43299.656412071759</v>
      </c>
      <c r="R1717">
        <v>1751</v>
      </c>
    </row>
    <row r="1718" spans="1:18" x14ac:dyDescent="0.25">
      <c r="A1718" t="s">
        <v>25</v>
      </c>
      <c r="B1718" t="s">
        <v>25</v>
      </c>
      <c r="C1718" t="s">
        <v>5871</v>
      </c>
      <c r="D1718" t="s">
        <v>5871</v>
      </c>
      <c r="E1718" t="s">
        <v>5871</v>
      </c>
      <c r="F1718" t="s">
        <v>21</v>
      </c>
      <c r="G1718" t="s">
        <v>106</v>
      </c>
      <c r="H1718" t="s">
        <v>25</v>
      </c>
      <c r="I1718" t="s">
        <v>25</v>
      </c>
      <c r="K1718">
        <v>43698.521897777777</v>
      </c>
      <c r="L1718" t="s">
        <v>422</v>
      </c>
      <c r="M1718" t="s">
        <v>42</v>
      </c>
      <c r="N1718" t="s">
        <v>27</v>
      </c>
      <c r="O1718">
        <v>258476</v>
      </c>
      <c r="P1718">
        <v>43470.666666666664</v>
      </c>
      <c r="Q1718">
        <v>43303.442577858797</v>
      </c>
      <c r="R1718">
        <v>1752</v>
      </c>
    </row>
    <row r="1719" spans="1:18" x14ac:dyDescent="0.25">
      <c r="A1719" t="s">
        <v>25</v>
      </c>
      <c r="B1719" t="s">
        <v>25</v>
      </c>
      <c r="C1719" t="s">
        <v>5855</v>
      </c>
      <c r="D1719" t="s">
        <v>5855</v>
      </c>
      <c r="E1719" t="s">
        <v>5872</v>
      </c>
      <c r="F1719" t="s">
        <v>21</v>
      </c>
      <c r="G1719" t="s">
        <v>106</v>
      </c>
      <c r="H1719" t="s">
        <v>25</v>
      </c>
      <c r="I1719" t="s">
        <v>25</v>
      </c>
      <c r="K1719">
        <v>43698.521897777777</v>
      </c>
      <c r="L1719" t="s">
        <v>422</v>
      </c>
      <c r="M1719" t="s">
        <v>2777</v>
      </c>
      <c r="N1719" t="s">
        <v>27</v>
      </c>
      <c r="O1719">
        <v>215898</v>
      </c>
      <c r="P1719">
        <v>43344.604166666664</v>
      </c>
      <c r="Q1719">
        <v>43305.502489814811</v>
      </c>
      <c r="R1719">
        <v>1753</v>
      </c>
    </row>
    <row r="1720" spans="1:18" x14ac:dyDescent="0.25">
      <c r="A1720" t="s">
        <v>25</v>
      </c>
      <c r="B1720" t="s">
        <v>25</v>
      </c>
      <c r="C1720" t="s">
        <v>5855</v>
      </c>
      <c r="D1720" t="s">
        <v>5855</v>
      </c>
      <c r="E1720" t="s">
        <v>5873</v>
      </c>
      <c r="F1720" t="s">
        <v>21</v>
      </c>
      <c r="G1720" t="s">
        <v>106</v>
      </c>
      <c r="H1720" t="s">
        <v>25</v>
      </c>
      <c r="I1720" t="s">
        <v>25</v>
      </c>
      <c r="K1720">
        <v>43698.521897777777</v>
      </c>
      <c r="L1720" t="s">
        <v>422</v>
      </c>
      <c r="M1720" t="s">
        <v>2777</v>
      </c>
      <c r="N1720" t="s">
        <v>27</v>
      </c>
      <c r="O1720">
        <v>203894</v>
      </c>
      <c r="P1720">
        <v>43307.09375</v>
      </c>
      <c r="Q1720">
        <v>43305.795310914349</v>
      </c>
      <c r="R1720">
        <v>1754</v>
      </c>
    </row>
    <row r="1721" spans="1:18" x14ac:dyDescent="0.25">
      <c r="A1721" t="s">
        <v>5874</v>
      </c>
      <c r="B1721" t="s">
        <v>5875</v>
      </c>
      <c r="C1721" t="s">
        <v>5876</v>
      </c>
      <c r="D1721" t="s">
        <v>5876</v>
      </c>
      <c r="E1721" t="s">
        <v>5876</v>
      </c>
      <c r="F1721" t="s">
        <v>91</v>
      </c>
      <c r="G1721" t="s">
        <v>63</v>
      </c>
      <c r="H1721" t="s">
        <v>53</v>
      </c>
      <c r="I1721" t="s">
        <v>471</v>
      </c>
      <c r="J1721">
        <v>2015</v>
      </c>
      <c r="K1721">
        <v>43698.521897777777</v>
      </c>
      <c r="L1721" t="s">
        <v>466</v>
      </c>
      <c r="M1721" t="s">
        <v>154</v>
      </c>
      <c r="N1721" t="s">
        <v>1305</v>
      </c>
      <c r="O1721">
        <v>345873</v>
      </c>
      <c r="P1721">
        <v>43698.521897777777</v>
      </c>
      <c r="Q1721">
        <v>43306.528529976851</v>
      </c>
      <c r="R1721">
        <v>1755</v>
      </c>
    </row>
    <row r="1722" spans="1:18" x14ac:dyDescent="0.25">
      <c r="A1722" t="s">
        <v>5877</v>
      </c>
      <c r="B1722" t="s">
        <v>5878</v>
      </c>
      <c r="C1722" t="s">
        <v>5879</v>
      </c>
      <c r="D1722" t="s">
        <v>5879</v>
      </c>
      <c r="E1722" t="s">
        <v>5879</v>
      </c>
      <c r="F1722" t="s">
        <v>91</v>
      </c>
      <c r="G1722" t="s">
        <v>63</v>
      </c>
      <c r="H1722" t="s">
        <v>53</v>
      </c>
      <c r="I1722" t="s">
        <v>721</v>
      </c>
      <c r="J1722">
        <v>2012</v>
      </c>
      <c r="K1722">
        <v>43698.521897777777</v>
      </c>
      <c r="L1722" t="s">
        <v>466</v>
      </c>
      <c r="M1722" t="s">
        <v>154</v>
      </c>
      <c r="N1722" t="s">
        <v>1305</v>
      </c>
      <c r="O1722">
        <v>346572</v>
      </c>
      <c r="P1722">
        <v>43698.521897777777</v>
      </c>
      <c r="Q1722">
        <v>43306.528781747686</v>
      </c>
      <c r="R1722">
        <v>1756</v>
      </c>
    </row>
    <row r="1723" spans="1:18" x14ac:dyDescent="0.25">
      <c r="A1723" t="s">
        <v>5880</v>
      </c>
      <c r="B1723" t="s">
        <v>756</v>
      </c>
      <c r="C1723" t="s">
        <v>5881</v>
      </c>
      <c r="D1723" t="s">
        <v>5881</v>
      </c>
      <c r="E1723" t="s">
        <v>5881</v>
      </c>
      <c r="F1723" t="s">
        <v>21</v>
      </c>
      <c r="G1723" t="s">
        <v>63</v>
      </c>
      <c r="H1723" t="s">
        <v>34</v>
      </c>
      <c r="I1723" t="s">
        <v>35</v>
      </c>
      <c r="J1723">
        <v>2015</v>
      </c>
      <c r="K1723">
        <v>43698.521897777777</v>
      </c>
      <c r="L1723" t="s">
        <v>578</v>
      </c>
      <c r="M1723" t="s">
        <v>42</v>
      </c>
      <c r="N1723" t="s">
        <v>27</v>
      </c>
      <c r="O1723">
        <v>303158</v>
      </c>
      <c r="P1723">
        <v>43591.74722222222</v>
      </c>
      <c r="Q1723">
        <v>43307.546623726848</v>
      </c>
      <c r="R1723">
        <v>1757</v>
      </c>
    </row>
    <row r="1724" spans="1:18" x14ac:dyDescent="0.25">
      <c r="A1724" t="s">
        <v>25</v>
      </c>
      <c r="B1724" t="s">
        <v>25</v>
      </c>
      <c r="C1724" t="s">
        <v>5882</v>
      </c>
      <c r="D1724" t="s">
        <v>5882</v>
      </c>
      <c r="E1724" t="s">
        <v>5882</v>
      </c>
      <c r="F1724" t="s">
        <v>21</v>
      </c>
      <c r="G1724" t="s">
        <v>63</v>
      </c>
      <c r="H1724" t="s">
        <v>25</v>
      </c>
      <c r="I1724" t="s">
        <v>25</v>
      </c>
      <c r="K1724">
        <v>43698.521897777777</v>
      </c>
      <c r="L1724" t="s">
        <v>25</v>
      </c>
      <c r="M1724" t="s">
        <v>42</v>
      </c>
      <c r="N1724" t="s">
        <v>415</v>
      </c>
      <c r="Q1724">
        <v>43311.64003923611</v>
      </c>
      <c r="R1724">
        <v>1758</v>
      </c>
    </row>
    <row r="1725" spans="1:18" x14ac:dyDescent="0.25">
      <c r="A1725" t="s">
        <v>5883</v>
      </c>
      <c r="B1725" t="s">
        <v>5884</v>
      </c>
      <c r="C1725" t="s">
        <v>5885</v>
      </c>
      <c r="D1725" t="s">
        <v>5885</v>
      </c>
      <c r="E1725" t="s">
        <v>5886</v>
      </c>
      <c r="F1725" t="s">
        <v>91</v>
      </c>
      <c r="G1725" t="s">
        <v>22</v>
      </c>
      <c r="H1725" t="s">
        <v>53</v>
      </c>
      <c r="I1725" t="s">
        <v>3006</v>
      </c>
      <c r="J1725">
        <v>2019</v>
      </c>
      <c r="K1725">
        <v>43698.521897777777</v>
      </c>
      <c r="L1725" t="s">
        <v>422</v>
      </c>
      <c r="M1725" t="s">
        <v>2777</v>
      </c>
      <c r="N1725" t="s">
        <v>415</v>
      </c>
      <c r="O1725">
        <v>346788</v>
      </c>
      <c r="P1725">
        <v>43698.37222222222</v>
      </c>
      <c r="Q1725">
        <v>43313.72500416667</v>
      </c>
      <c r="R1725">
        <v>1759</v>
      </c>
    </row>
    <row r="1726" spans="1:18" x14ac:dyDescent="0.25">
      <c r="A1726" t="s">
        <v>5887</v>
      </c>
      <c r="B1726" t="s">
        <v>5888</v>
      </c>
      <c r="C1726" t="s">
        <v>5889</v>
      </c>
      <c r="D1726" t="s">
        <v>5889</v>
      </c>
      <c r="E1726" t="s">
        <v>5890</v>
      </c>
      <c r="F1726" t="s">
        <v>91</v>
      </c>
      <c r="G1726" t="s">
        <v>22</v>
      </c>
      <c r="H1726" t="s">
        <v>53</v>
      </c>
      <c r="I1726" t="s">
        <v>3006</v>
      </c>
      <c r="J1726">
        <v>2019</v>
      </c>
      <c r="K1726">
        <v>43698.521897777777</v>
      </c>
      <c r="L1726" t="s">
        <v>1660</v>
      </c>
      <c r="M1726" t="s">
        <v>2777</v>
      </c>
      <c r="N1726" t="s">
        <v>415</v>
      </c>
      <c r="O1726">
        <v>346873</v>
      </c>
      <c r="P1726">
        <v>43698.521897777777</v>
      </c>
      <c r="Q1726">
        <v>43313.725902002312</v>
      </c>
      <c r="R1726">
        <v>1760</v>
      </c>
    </row>
    <row r="1727" spans="1:18" x14ac:dyDescent="0.25">
      <c r="A1727" t="s">
        <v>5891</v>
      </c>
      <c r="B1727" t="s">
        <v>5892</v>
      </c>
      <c r="C1727" t="s">
        <v>5893</v>
      </c>
      <c r="D1727" t="s">
        <v>5893</v>
      </c>
      <c r="E1727" t="s">
        <v>5894</v>
      </c>
      <c r="F1727" t="s">
        <v>253</v>
      </c>
      <c r="G1727" t="s">
        <v>22</v>
      </c>
      <c r="H1727" t="s">
        <v>53</v>
      </c>
      <c r="I1727" t="s">
        <v>3006</v>
      </c>
      <c r="J1727">
        <v>2019</v>
      </c>
      <c r="K1727">
        <v>43698.521897777777</v>
      </c>
      <c r="L1727" t="s">
        <v>1660</v>
      </c>
      <c r="M1727" t="s">
        <v>2777</v>
      </c>
      <c r="N1727" t="s">
        <v>415</v>
      </c>
      <c r="Q1727">
        <v>43313.726473148148</v>
      </c>
      <c r="R1727">
        <v>1761</v>
      </c>
    </row>
    <row r="1728" spans="1:18" x14ac:dyDescent="0.25">
      <c r="A1728" t="s">
        <v>5895</v>
      </c>
      <c r="B1728" t="s">
        <v>5896</v>
      </c>
      <c r="C1728" t="s">
        <v>5897</v>
      </c>
      <c r="D1728" t="s">
        <v>5897</v>
      </c>
      <c r="E1728" t="s">
        <v>5898</v>
      </c>
      <c r="F1728" t="s">
        <v>91</v>
      </c>
      <c r="G1728" t="s">
        <v>22</v>
      </c>
      <c r="H1728" t="s">
        <v>53</v>
      </c>
      <c r="I1728" t="s">
        <v>3006</v>
      </c>
      <c r="J1728">
        <v>2019</v>
      </c>
      <c r="K1728">
        <v>43698.521897777777</v>
      </c>
      <c r="L1728" t="s">
        <v>1660</v>
      </c>
      <c r="M1728" t="s">
        <v>2777</v>
      </c>
      <c r="N1728" t="s">
        <v>415</v>
      </c>
      <c r="O1728">
        <v>346133</v>
      </c>
      <c r="P1728">
        <v>43698.521897777777</v>
      </c>
      <c r="Q1728">
        <v>43313.727192210645</v>
      </c>
      <c r="R1728">
        <v>1762</v>
      </c>
    </row>
    <row r="1729" spans="1:18" x14ac:dyDescent="0.25">
      <c r="A1729" t="s">
        <v>5899</v>
      </c>
      <c r="B1729" t="s">
        <v>5900</v>
      </c>
      <c r="C1729" t="s">
        <v>5901</v>
      </c>
      <c r="D1729" t="s">
        <v>5901</v>
      </c>
      <c r="E1729" t="s">
        <v>5902</v>
      </c>
      <c r="F1729" t="s">
        <v>91</v>
      </c>
      <c r="G1729" t="s">
        <v>22</v>
      </c>
      <c r="H1729" t="s">
        <v>53</v>
      </c>
      <c r="I1729" t="s">
        <v>3006</v>
      </c>
      <c r="J1729">
        <v>2019</v>
      </c>
      <c r="K1729">
        <v>43698.521897777777</v>
      </c>
      <c r="L1729" t="s">
        <v>1660</v>
      </c>
      <c r="M1729" t="s">
        <v>2777</v>
      </c>
      <c r="N1729" t="s">
        <v>415</v>
      </c>
      <c r="O1729">
        <v>346437</v>
      </c>
      <c r="P1729">
        <v>43698.024305555555</v>
      </c>
      <c r="Q1729">
        <v>43313.727775497682</v>
      </c>
      <c r="R1729">
        <v>1763</v>
      </c>
    </row>
    <row r="1730" spans="1:18" x14ac:dyDescent="0.25">
      <c r="A1730" t="s">
        <v>5903</v>
      </c>
      <c r="B1730" t="s">
        <v>5904</v>
      </c>
      <c r="C1730" t="s">
        <v>5905</v>
      </c>
      <c r="D1730" t="s">
        <v>5905</v>
      </c>
      <c r="E1730" t="s">
        <v>5906</v>
      </c>
      <c r="F1730" t="s">
        <v>91</v>
      </c>
      <c r="G1730" t="s">
        <v>22</v>
      </c>
      <c r="H1730" t="s">
        <v>53</v>
      </c>
      <c r="I1730" t="s">
        <v>3006</v>
      </c>
      <c r="J1730">
        <v>2019</v>
      </c>
      <c r="K1730">
        <v>43698.521897777777</v>
      </c>
      <c r="L1730" t="s">
        <v>1660</v>
      </c>
      <c r="M1730" t="s">
        <v>2777</v>
      </c>
      <c r="N1730" t="s">
        <v>415</v>
      </c>
      <c r="O1730">
        <v>346439</v>
      </c>
      <c r="P1730">
        <v>43698.521897777777</v>
      </c>
      <c r="Q1730">
        <v>43313.728440358798</v>
      </c>
      <c r="R1730">
        <v>1764</v>
      </c>
    </row>
    <row r="1731" spans="1:18" x14ac:dyDescent="0.25">
      <c r="A1731" t="s">
        <v>5907</v>
      </c>
      <c r="B1731" t="s">
        <v>5908</v>
      </c>
      <c r="C1731" t="s">
        <v>5909</v>
      </c>
      <c r="D1731" t="s">
        <v>5909</v>
      </c>
      <c r="E1731" t="s">
        <v>5910</v>
      </c>
      <c r="F1731" t="s">
        <v>91</v>
      </c>
      <c r="G1731" t="s">
        <v>22</v>
      </c>
      <c r="H1731" t="s">
        <v>53</v>
      </c>
      <c r="I1731" t="s">
        <v>3006</v>
      </c>
      <c r="J1731">
        <v>2019</v>
      </c>
      <c r="K1731">
        <v>43698.521897777777</v>
      </c>
      <c r="L1731" t="s">
        <v>1660</v>
      </c>
      <c r="M1731" t="s">
        <v>2777</v>
      </c>
      <c r="N1731" t="s">
        <v>415</v>
      </c>
      <c r="O1731">
        <v>347049</v>
      </c>
      <c r="P1731">
        <v>43698.521897777777</v>
      </c>
      <c r="Q1731">
        <v>43313.729520138892</v>
      </c>
      <c r="R1731">
        <v>1765</v>
      </c>
    </row>
    <row r="1732" spans="1:18" x14ac:dyDescent="0.25">
      <c r="A1732" t="s">
        <v>5911</v>
      </c>
      <c r="B1732" t="s">
        <v>5912</v>
      </c>
      <c r="C1732" t="s">
        <v>5913</v>
      </c>
      <c r="D1732" t="s">
        <v>5913</v>
      </c>
      <c r="E1732" t="s">
        <v>5914</v>
      </c>
      <c r="F1732" t="s">
        <v>91</v>
      </c>
      <c r="G1732" t="s">
        <v>22</v>
      </c>
      <c r="H1732" t="s">
        <v>53</v>
      </c>
      <c r="I1732" t="s">
        <v>3006</v>
      </c>
      <c r="J1732">
        <v>2019</v>
      </c>
      <c r="K1732">
        <v>43698.521897777777</v>
      </c>
      <c r="L1732" t="s">
        <v>1660</v>
      </c>
      <c r="M1732" t="s">
        <v>2777</v>
      </c>
      <c r="N1732" t="s">
        <v>415</v>
      </c>
      <c r="O1732">
        <v>346032</v>
      </c>
      <c r="P1732">
        <v>43698.521897777777</v>
      </c>
      <c r="Q1732">
        <v>43313.730206134256</v>
      </c>
      <c r="R1732">
        <v>1766</v>
      </c>
    </row>
    <row r="1733" spans="1:18" x14ac:dyDescent="0.25">
      <c r="A1733" t="s">
        <v>5915</v>
      </c>
      <c r="B1733" t="s">
        <v>5916</v>
      </c>
      <c r="C1733" t="s">
        <v>5917</v>
      </c>
      <c r="D1733" t="s">
        <v>5917</v>
      </c>
      <c r="E1733" t="s">
        <v>5918</v>
      </c>
      <c r="F1733" t="s">
        <v>91</v>
      </c>
      <c r="G1733" t="s">
        <v>22</v>
      </c>
      <c r="H1733" t="s">
        <v>53</v>
      </c>
      <c r="I1733" t="s">
        <v>3006</v>
      </c>
      <c r="J1733">
        <v>2019</v>
      </c>
      <c r="K1733">
        <v>43698.521897777777</v>
      </c>
      <c r="L1733" t="s">
        <v>1660</v>
      </c>
      <c r="M1733" t="s">
        <v>2777</v>
      </c>
      <c r="N1733" t="s">
        <v>415</v>
      </c>
      <c r="O1733">
        <v>344297</v>
      </c>
      <c r="P1733">
        <v>43693.624305555553</v>
      </c>
      <c r="Q1733">
        <v>43313.732252662034</v>
      </c>
      <c r="R1733">
        <v>1767</v>
      </c>
    </row>
    <row r="1734" spans="1:18" x14ac:dyDescent="0.25">
      <c r="A1734" t="s">
        <v>5919</v>
      </c>
      <c r="B1734" t="s">
        <v>5920</v>
      </c>
      <c r="C1734" t="s">
        <v>5921</v>
      </c>
      <c r="D1734" t="s">
        <v>5921</v>
      </c>
      <c r="E1734" t="s">
        <v>5922</v>
      </c>
      <c r="F1734" t="s">
        <v>91</v>
      </c>
      <c r="G1734" t="s">
        <v>22</v>
      </c>
      <c r="H1734" t="s">
        <v>53</v>
      </c>
      <c r="I1734" t="s">
        <v>3006</v>
      </c>
      <c r="J1734">
        <v>2019</v>
      </c>
      <c r="K1734">
        <v>43698.521897777777</v>
      </c>
      <c r="L1734" t="s">
        <v>1660</v>
      </c>
      <c r="M1734" t="s">
        <v>2777</v>
      </c>
      <c r="N1734" t="s">
        <v>415</v>
      </c>
      <c r="O1734">
        <v>346762</v>
      </c>
      <c r="P1734">
        <v>43698.521897777777</v>
      </c>
      <c r="Q1734">
        <v>43313.733240740738</v>
      </c>
      <c r="R1734">
        <v>1768</v>
      </c>
    </row>
    <row r="1735" spans="1:18" x14ac:dyDescent="0.25">
      <c r="A1735" t="s">
        <v>5923</v>
      </c>
      <c r="B1735" t="s">
        <v>5924</v>
      </c>
      <c r="C1735" t="s">
        <v>5925</v>
      </c>
      <c r="D1735" t="s">
        <v>5925</v>
      </c>
      <c r="E1735" t="s">
        <v>5926</v>
      </c>
      <c r="F1735" t="s">
        <v>91</v>
      </c>
      <c r="G1735" t="s">
        <v>22</v>
      </c>
      <c r="H1735" t="s">
        <v>53</v>
      </c>
      <c r="I1735" t="s">
        <v>3006</v>
      </c>
      <c r="J1735">
        <v>2019</v>
      </c>
      <c r="K1735">
        <v>43698.521897777777</v>
      </c>
      <c r="L1735" t="s">
        <v>1660</v>
      </c>
      <c r="M1735" t="s">
        <v>2777</v>
      </c>
      <c r="N1735" t="s">
        <v>415</v>
      </c>
      <c r="O1735">
        <v>346852</v>
      </c>
      <c r="P1735">
        <v>43698.521897777777</v>
      </c>
      <c r="Q1735">
        <v>43313.736368321763</v>
      </c>
      <c r="R1735">
        <v>1769</v>
      </c>
    </row>
    <row r="1736" spans="1:18" x14ac:dyDescent="0.25">
      <c r="A1736" t="s">
        <v>5927</v>
      </c>
      <c r="B1736" t="s">
        <v>5928</v>
      </c>
      <c r="C1736" t="s">
        <v>5929</v>
      </c>
      <c r="D1736" t="s">
        <v>5929</v>
      </c>
      <c r="E1736" t="s">
        <v>5930</v>
      </c>
      <c r="F1736" t="s">
        <v>91</v>
      </c>
      <c r="G1736" t="s">
        <v>22</v>
      </c>
      <c r="H1736" t="s">
        <v>53</v>
      </c>
      <c r="I1736" t="s">
        <v>3006</v>
      </c>
      <c r="J1736">
        <v>2019</v>
      </c>
      <c r="K1736">
        <v>43698.521897777777</v>
      </c>
      <c r="L1736" t="s">
        <v>1660</v>
      </c>
      <c r="M1736" t="s">
        <v>2777</v>
      </c>
      <c r="N1736" t="s">
        <v>415</v>
      </c>
      <c r="O1736">
        <v>347052</v>
      </c>
      <c r="P1736">
        <v>43698.521897777777</v>
      </c>
      <c r="Q1736">
        <v>43313.737057141203</v>
      </c>
      <c r="R1736">
        <v>1770</v>
      </c>
    </row>
    <row r="1737" spans="1:18" x14ac:dyDescent="0.25">
      <c r="A1737" t="s">
        <v>5931</v>
      </c>
      <c r="B1737" t="s">
        <v>5932</v>
      </c>
      <c r="C1737" t="s">
        <v>5933</v>
      </c>
      <c r="D1737" t="s">
        <v>5933</v>
      </c>
      <c r="E1737" t="s">
        <v>5934</v>
      </c>
      <c r="F1737" t="s">
        <v>91</v>
      </c>
      <c r="G1737" t="s">
        <v>22</v>
      </c>
      <c r="H1737" t="s">
        <v>53</v>
      </c>
      <c r="I1737" t="s">
        <v>3006</v>
      </c>
      <c r="J1737">
        <v>2019</v>
      </c>
      <c r="K1737">
        <v>43698.521897777777</v>
      </c>
      <c r="L1737" t="s">
        <v>578</v>
      </c>
      <c r="M1737" t="s">
        <v>37</v>
      </c>
      <c r="N1737" t="s">
        <v>415</v>
      </c>
      <c r="O1737">
        <v>346907</v>
      </c>
      <c r="P1737">
        <v>43698.521897777777</v>
      </c>
      <c r="Q1737">
        <v>43313.738036145834</v>
      </c>
      <c r="R1737">
        <v>1771</v>
      </c>
    </row>
    <row r="1738" spans="1:18" x14ac:dyDescent="0.25">
      <c r="A1738" t="s">
        <v>5935</v>
      </c>
      <c r="B1738" t="s">
        <v>5936</v>
      </c>
      <c r="C1738" t="s">
        <v>5937</v>
      </c>
      <c r="D1738" t="s">
        <v>5937</v>
      </c>
      <c r="E1738" t="s">
        <v>5938</v>
      </c>
      <c r="F1738" t="s">
        <v>91</v>
      </c>
      <c r="G1738" t="s">
        <v>22</v>
      </c>
      <c r="H1738" t="s">
        <v>53</v>
      </c>
      <c r="I1738" t="s">
        <v>3006</v>
      </c>
      <c r="J1738">
        <v>2019</v>
      </c>
      <c r="K1738">
        <v>43698.521897777777</v>
      </c>
      <c r="L1738" t="s">
        <v>1660</v>
      </c>
      <c r="M1738" t="s">
        <v>2777</v>
      </c>
      <c r="N1738" t="s">
        <v>415</v>
      </c>
      <c r="O1738">
        <v>346856</v>
      </c>
      <c r="P1738">
        <v>43698.521897777777</v>
      </c>
      <c r="Q1738">
        <v>43313.740298460645</v>
      </c>
      <c r="R1738">
        <v>1772</v>
      </c>
    </row>
    <row r="1739" spans="1:18" x14ac:dyDescent="0.25">
      <c r="A1739" t="s">
        <v>5939</v>
      </c>
      <c r="B1739" t="s">
        <v>5940</v>
      </c>
      <c r="C1739" t="s">
        <v>5941</v>
      </c>
      <c r="D1739" t="s">
        <v>5941</v>
      </c>
      <c r="E1739" t="s">
        <v>5942</v>
      </c>
      <c r="F1739" t="s">
        <v>91</v>
      </c>
      <c r="G1739" t="s">
        <v>22</v>
      </c>
      <c r="H1739" t="s">
        <v>53</v>
      </c>
      <c r="I1739" t="s">
        <v>3006</v>
      </c>
      <c r="J1739">
        <v>2019</v>
      </c>
      <c r="K1739">
        <v>43698.521897777777</v>
      </c>
      <c r="L1739" t="s">
        <v>1660</v>
      </c>
      <c r="M1739" t="s">
        <v>2777</v>
      </c>
      <c r="N1739" t="s">
        <v>415</v>
      </c>
      <c r="O1739">
        <v>346772</v>
      </c>
      <c r="P1739">
        <v>43697.931944444441</v>
      </c>
      <c r="Q1739">
        <v>43313.741284490738</v>
      </c>
      <c r="R1739">
        <v>1773</v>
      </c>
    </row>
    <row r="1740" spans="1:18" x14ac:dyDescent="0.25">
      <c r="A1740" t="s">
        <v>5943</v>
      </c>
      <c r="B1740" t="s">
        <v>5944</v>
      </c>
      <c r="C1740" t="s">
        <v>5945</v>
      </c>
      <c r="D1740" t="s">
        <v>5945</v>
      </c>
      <c r="E1740" t="s">
        <v>5946</v>
      </c>
      <c r="F1740" t="s">
        <v>91</v>
      </c>
      <c r="G1740" t="s">
        <v>22</v>
      </c>
      <c r="H1740" t="s">
        <v>53</v>
      </c>
      <c r="I1740" t="s">
        <v>3006</v>
      </c>
      <c r="J1740">
        <v>2019</v>
      </c>
      <c r="K1740">
        <v>43698.521897777777</v>
      </c>
      <c r="L1740" t="s">
        <v>578</v>
      </c>
      <c r="M1740" t="s">
        <v>37</v>
      </c>
      <c r="N1740" t="s">
        <v>415</v>
      </c>
      <c r="O1740">
        <v>346840</v>
      </c>
      <c r="P1740">
        <v>43698.521897777777</v>
      </c>
      <c r="Q1740">
        <v>43313.744044363426</v>
      </c>
      <c r="R1740">
        <v>1774</v>
      </c>
    </row>
    <row r="1741" spans="1:18" x14ac:dyDescent="0.25">
      <c r="A1741" t="s">
        <v>5947</v>
      </c>
      <c r="B1741" t="s">
        <v>5948</v>
      </c>
      <c r="C1741" t="s">
        <v>5949</v>
      </c>
      <c r="D1741" t="s">
        <v>5949</v>
      </c>
      <c r="E1741" t="s">
        <v>5950</v>
      </c>
      <c r="F1741" t="s">
        <v>91</v>
      </c>
      <c r="G1741" t="s">
        <v>22</v>
      </c>
      <c r="H1741" t="s">
        <v>53</v>
      </c>
      <c r="I1741" t="s">
        <v>3006</v>
      </c>
      <c r="J1741">
        <v>2019</v>
      </c>
      <c r="K1741">
        <v>43698.521897777777</v>
      </c>
      <c r="L1741" t="s">
        <v>1660</v>
      </c>
      <c r="M1741" t="s">
        <v>2777</v>
      </c>
      <c r="N1741" t="s">
        <v>415</v>
      </c>
      <c r="O1741">
        <v>346932</v>
      </c>
      <c r="P1741">
        <v>43698.521897777777</v>
      </c>
      <c r="Q1741">
        <v>43313.747302581018</v>
      </c>
      <c r="R1741">
        <v>1775</v>
      </c>
    </row>
    <row r="1742" spans="1:18" x14ac:dyDescent="0.25">
      <c r="A1742" t="s">
        <v>5951</v>
      </c>
      <c r="B1742" t="s">
        <v>5952</v>
      </c>
      <c r="C1742" t="s">
        <v>5953</v>
      </c>
      <c r="D1742" t="s">
        <v>5953</v>
      </c>
      <c r="E1742" t="s">
        <v>5954</v>
      </c>
      <c r="F1742" t="s">
        <v>91</v>
      </c>
      <c r="G1742" t="s">
        <v>22</v>
      </c>
      <c r="H1742" t="s">
        <v>53</v>
      </c>
      <c r="I1742" t="s">
        <v>3006</v>
      </c>
      <c r="J1742">
        <v>2019</v>
      </c>
      <c r="K1742">
        <v>43698.521897777777</v>
      </c>
      <c r="L1742" t="s">
        <v>2686</v>
      </c>
      <c r="M1742" t="s">
        <v>37</v>
      </c>
      <c r="N1742" t="s">
        <v>415</v>
      </c>
      <c r="O1742">
        <v>346921</v>
      </c>
      <c r="P1742">
        <v>43698.521897777777</v>
      </c>
      <c r="Q1742">
        <v>43313.748610104165</v>
      </c>
      <c r="R1742">
        <v>1776</v>
      </c>
    </row>
    <row r="1743" spans="1:18" x14ac:dyDescent="0.25">
      <c r="A1743" t="s">
        <v>5955</v>
      </c>
      <c r="B1743" t="s">
        <v>5956</v>
      </c>
      <c r="C1743" t="s">
        <v>5957</v>
      </c>
      <c r="D1743" t="s">
        <v>5957</v>
      </c>
      <c r="E1743" t="s">
        <v>5958</v>
      </c>
      <c r="F1743" t="s">
        <v>91</v>
      </c>
      <c r="G1743" t="s">
        <v>22</v>
      </c>
      <c r="H1743" t="s">
        <v>53</v>
      </c>
      <c r="I1743" t="s">
        <v>3006</v>
      </c>
      <c r="J1743">
        <v>2019</v>
      </c>
      <c r="K1743">
        <v>43698.521897777777</v>
      </c>
      <c r="L1743" t="s">
        <v>1660</v>
      </c>
      <c r="M1743" t="s">
        <v>2777</v>
      </c>
      <c r="N1743" t="s">
        <v>415</v>
      </c>
      <c r="O1743">
        <v>346845</v>
      </c>
      <c r="P1743">
        <v>43698.521897777777</v>
      </c>
      <c r="Q1743">
        <v>43313.749420405089</v>
      </c>
      <c r="R1743">
        <v>1777</v>
      </c>
    </row>
    <row r="1744" spans="1:18" x14ac:dyDescent="0.25">
      <c r="A1744" t="s">
        <v>5959</v>
      </c>
      <c r="B1744" t="s">
        <v>5960</v>
      </c>
      <c r="C1744" t="s">
        <v>5961</v>
      </c>
      <c r="D1744" t="s">
        <v>5961</v>
      </c>
      <c r="E1744" t="s">
        <v>5962</v>
      </c>
      <c r="F1744" t="s">
        <v>253</v>
      </c>
      <c r="G1744" t="s">
        <v>22</v>
      </c>
      <c r="H1744" t="s">
        <v>53</v>
      </c>
      <c r="I1744" t="s">
        <v>3006</v>
      </c>
      <c r="J1744">
        <v>2019</v>
      </c>
      <c r="K1744">
        <v>43698.521897777777</v>
      </c>
      <c r="L1744" t="s">
        <v>1660</v>
      </c>
      <c r="M1744" t="s">
        <v>2777</v>
      </c>
      <c r="N1744" t="s">
        <v>415</v>
      </c>
      <c r="O1744">
        <v>345087</v>
      </c>
      <c r="P1744">
        <v>43694.10833333333</v>
      </c>
      <c r="Q1744">
        <v>43313.750773576387</v>
      </c>
      <c r="R1744">
        <v>1778</v>
      </c>
    </row>
    <row r="1745" spans="1:18" x14ac:dyDescent="0.25">
      <c r="A1745" t="s">
        <v>5963</v>
      </c>
      <c r="B1745" t="s">
        <v>5964</v>
      </c>
      <c r="C1745" t="s">
        <v>5965</v>
      </c>
      <c r="D1745" t="s">
        <v>5965</v>
      </c>
      <c r="E1745" t="s">
        <v>5966</v>
      </c>
      <c r="F1745" t="s">
        <v>91</v>
      </c>
      <c r="G1745" t="s">
        <v>22</v>
      </c>
      <c r="H1745" t="s">
        <v>53</v>
      </c>
      <c r="I1745" t="s">
        <v>3006</v>
      </c>
      <c r="J1745">
        <v>2019</v>
      </c>
      <c r="K1745">
        <v>43698.521897777777</v>
      </c>
      <c r="L1745" t="s">
        <v>1660</v>
      </c>
      <c r="M1745" t="s">
        <v>2777</v>
      </c>
      <c r="N1745" t="s">
        <v>415</v>
      </c>
      <c r="O1745">
        <v>345721</v>
      </c>
      <c r="P1745">
        <v>43696.852777777778</v>
      </c>
      <c r="Q1745">
        <v>43313.808485532405</v>
      </c>
      <c r="R1745">
        <v>1779</v>
      </c>
    </row>
    <row r="1746" spans="1:18" x14ac:dyDescent="0.25">
      <c r="A1746" t="s">
        <v>5967</v>
      </c>
      <c r="B1746" t="s">
        <v>5968</v>
      </c>
      <c r="C1746" t="s">
        <v>5969</v>
      </c>
      <c r="D1746" t="s">
        <v>5969</v>
      </c>
      <c r="E1746" t="s">
        <v>5970</v>
      </c>
      <c r="F1746" t="s">
        <v>91</v>
      </c>
      <c r="G1746" t="s">
        <v>22</v>
      </c>
      <c r="H1746" t="s">
        <v>53</v>
      </c>
      <c r="I1746" t="s">
        <v>3006</v>
      </c>
      <c r="J1746">
        <v>2019</v>
      </c>
      <c r="K1746">
        <v>43698.521897777777</v>
      </c>
      <c r="L1746" t="s">
        <v>1660</v>
      </c>
      <c r="M1746" t="s">
        <v>2777</v>
      </c>
      <c r="N1746" t="s">
        <v>415</v>
      </c>
      <c r="O1746">
        <v>346787</v>
      </c>
      <c r="P1746">
        <v>43697.915277777778</v>
      </c>
      <c r="Q1746">
        <v>43313.810129826386</v>
      </c>
      <c r="R1746">
        <v>1780</v>
      </c>
    </row>
    <row r="1747" spans="1:18" x14ac:dyDescent="0.25">
      <c r="A1747" t="s">
        <v>5971</v>
      </c>
      <c r="B1747" t="s">
        <v>5972</v>
      </c>
      <c r="C1747" t="s">
        <v>5973</v>
      </c>
      <c r="D1747" t="s">
        <v>5973</v>
      </c>
      <c r="E1747" t="s">
        <v>5974</v>
      </c>
      <c r="F1747" t="s">
        <v>91</v>
      </c>
      <c r="G1747" t="s">
        <v>22</v>
      </c>
      <c r="H1747" t="s">
        <v>53</v>
      </c>
      <c r="I1747" t="s">
        <v>3006</v>
      </c>
      <c r="J1747">
        <v>2019</v>
      </c>
      <c r="K1747">
        <v>43698.521897777777</v>
      </c>
      <c r="L1747" t="s">
        <v>1660</v>
      </c>
      <c r="M1747" t="s">
        <v>2777</v>
      </c>
      <c r="N1747" t="s">
        <v>415</v>
      </c>
      <c r="O1747">
        <v>347055</v>
      </c>
      <c r="P1747">
        <v>43698.521897777777</v>
      </c>
      <c r="Q1747">
        <v>43313.810713773149</v>
      </c>
      <c r="R1747">
        <v>1781</v>
      </c>
    </row>
    <row r="1748" spans="1:18" x14ac:dyDescent="0.25">
      <c r="A1748" t="s">
        <v>5975</v>
      </c>
      <c r="B1748" t="s">
        <v>5976</v>
      </c>
      <c r="C1748" t="s">
        <v>5977</v>
      </c>
      <c r="D1748" t="s">
        <v>5977</v>
      </c>
      <c r="E1748" t="s">
        <v>5978</v>
      </c>
      <c r="F1748" t="s">
        <v>91</v>
      </c>
      <c r="G1748" t="s">
        <v>22</v>
      </c>
      <c r="H1748" t="s">
        <v>53</v>
      </c>
      <c r="I1748" t="s">
        <v>3006</v>
      </c>
      <c r="J1748">
        <v>2019</v>
      </c>
      <c r="K1748">
        <v>43698.521897777777</v>
      </c>
      <c r="L1748" t="s">
        <v>1660</v>
      </c>
      <c r="M1748" t="s">
        <v>2777</v>
      </c>
      <c r="N1748" t="s">
        <v>415</v>
      </c>
      <c r="O1748">
        <v>346849</v>
      </c>
      <c r="P1748">
        <v>43698.521897777777</v>
      </c>
      <c r="Q1748">
        <v>43313.811325347226</v>
      </c>
      <c r="R1748">
        <v>1782</v>
      </c>
    </row>
    <row r="1749" spans="1:18" x14ac:dyDescent="0.25">
      <c r="A1749" t="s">
        <v>5979</v>
      </c>
      <c r="B1749" t="s">
        <v>5980</v>
      </c>
      <c r="C1749" t="s">
        <v>5981</v>
      </c>
      <c r="D1749" t="s">
        <v>5981</v>
      </c>
      <c r="E1749" t="s">
        <v>5982</v>
      </c>
      <c r="F1749" t="s">
        <v>91</v>
      </c>
      <c r="G1749" t="s">
        <v>22</v>
      </c>
      <c r="H1749" t="s">
        <v>53</v>
      </c>
      <c r="I1749" t="s">
        <v>3006</v>
      </c>
      <c r="J1749">
        <v>2019</v>
      </c>
      <c r="K1749">
        <v>43698.521897777777</v>
      </c>
      <c r="L1749" t="s">
        <v>1660</v>
      </c>
      <c r="M1749" t="s">
        <v>2777</v>
      </c>
      <c r="N1749" t="s">
        <v>415</v>
      </c>
      <c r="O1749">
        <v>346334</v>
      </c>
      <c r="P1749">
        <v>43698.521897777777</v>
      </c>
      <c r="Q1749">
        <v>43313.812118784721</v>
      </c>
      <c r="R1749">
        <v>1783</v>
      </c>
    </row>
    <row r="1750" spans="1:18" x14ac:dyDescent="0.25">
      <c r="A1750" t="s">
        <v>5983</v>
      </c>
      <c r="B1750" t="s">
        <v>5984</v>
      </c>
      <c r="C1750" t="s">
        <v>5985</v>
      </c>
      <c r="D1750" t="s">
        <v>5985</v>
      </c>
      <c r="E1750" t="s">
        <v>5986</v>
      </c>
      <c r="F1750" t="s">
        <v>91</v>
      </c>
      <c r="G1750" t="s">
        <v>22</v>
      </c>
      <c r="H1750" t="s">
        <v>53</v>
      </c>
      <c r="I1750" t="s">
        <v>3006</v>
      </c>
      <c r="J1750">
        <v>2019</v>
      </c>
      <c r="K1750">
        <v>43698.521897777777</v>
      </c>
      <c r="L1750" t="s">
        <v>1660</v>
      </c>
      <c r="M1750" t="s">
        <v>2777</v>
      </c>
      <c r="N1750" t="s">
        <v>415</v>
      </c>
      <c r="O1750">
        <v>346935</v>
      </c>
      <c r="P1750">
        <v>43698.521897777777</v>
      </c>
      <c r="Q1750">
        <v>43313.813226736114</v>
      </c>
      <c r="R1750">
        <v>1784</v>
      </c>
    </row>
    <row r="1751" spans="1:18" x14ac:dyDescent="0.25">
      <c r="A1751" t="s">
        <v>5987</v>
      </c>
      <c r="B1751" t="s">
        <v>5988</v>
      </c>
      <c r="C1751" t="s">
        <v>5989</v>
      </c>
      <c r="D1751" t="s">
        <v>5989</v>
      </c>
      <c r="E1751" t="s">
        <v>5990</v>
      </c>
      <c r="F1751" t="s">
        <v>91</v>
      </c>
      <c r="G1751" t="s">
        <v>22</v>
      </c>
      <c r="H1751" t="s">
        <v>53</v>
      </c>
      <c r="I1751" t="s">
        <v>3006</v>
      </c>
      <c r="J1751">
        <v>2019</v>
      </c>
      <c r="K1751">
        <v>43698.521897777777</v>
      </c>
      <c r="L1751" t="s">
        <v>1660</v>
      </c>
      <c r="M1751" t="s">
        <v>2777</v>
      </c>
      <c r="N1751" t="s">
        <v>415</v>
      </c>
      <c r="O1751">
        <v>346725</v>
      </c>
      <c r="P1751">
        <v>43698.521897777777</v>
      </c>
      <c r="Q1751">
        <v>43313.81517253472</v>
      </c>
      <c r="R1751">
        <v>1785</v>
      </c>
    </row>
    <row r="1752" spans="1:18" x14ac:dyDescent="0.25">
      <c r="A1752" t="s">
        <v>5991</v>
      </c>
      <c r="B1752" t="s">
        <v>5992</v>
      </c>
      <c r="C1752" t="s">
        <v>5993</v>
      </c>
      <c r="D1752" t="s">
        <v>5993</v>
      </c>
      <c r="E1752" t="s">
        <v>5994</v>
      </c>
      <c r="F1752" t="s">
        <v>91</v>
      </c>
      <c r="G1752" t="s">
        <v>22</v>
      </c>
      <c r="H1752" t="s">
        <v>53</v>
      </c>
      <c r="I1752" t="s">
        <v>3006</v>
      </c>
      <c r="J1752">
        <v>2019</v>
      </c>
      <c r="K1752">
        <v>43698.521897777777</v>
      </c>
      <c r="L1752" t="s">
        <v>1660</v>
      </c>
      <c r="M1752" t="s">
        <v>2777</v>
      </c>
      <c r="N1752" t="s">
        <v>415</v>
      </c>
      <c r="O1752">
        <v>346353</v>
      </c>
      <c r="P1752">
        <v>43698.035624999997</v>
      </c>
      <c r="Q1752">
        <v>43313.818312465279</v>
      </c>
      <c r="R1752">
        <v>1786</v>
      </c>
    </row>
    <row r="1753" spans="1:18" x14ac:dyDescent="0.25">
      <c r="A1753" t="s">
        <v>5995</v>
      </c>
      <c r="B1753" t="s">
        <v>5996</v>
      </c>
      <c r="C1753" t="s">
        <v>5997</v>
      </c>
      <c r="D1753" t="s">
        <v>5997</v>
      </c>
      <c r="E1753" t="s">
        <v>5998</v>
      </c>
      <c r="F1753" t="s">
        <v>91</v>
      </c>
      <c r="G1753" t="s">
        <v>22</v>
      </c>
      <c r="H1753" t="s">
        <v>53</v>
      </c>
      <c r="I1753" t="s">
        <v>3006</v>
      </c>
      <c r="J1753">
        <v>2019</v>
      </c>
      <c r="K1753">
        <v>43698.521897777777</v>
      </c>
      <c r="L1753" t="s">
        <v>1660</v>
      </c>
      <c r="M1753" t="s">
        <v>2777</v>
      </c>
      <c r="N1753" t="s">
        <v>415</v>
      </c>
      <c r="O1753">
        <v>346457</v>
      </c>
      <c r="P1753">
        <v>43698.107152777775</v>
      </c>
      <c r="Q1753">
        <v>43313.819972800928</v>
      </c>
      <c r="R1753">
        <v>1787</v>
      </c>
    </row>
    <row r="1754" spans="1:18" x14ac:dyDescent="0.25">
      <c r="A1754" t="s">
        <v>5999</v>
      </c>
      <c r="B1754" t="s">
        <v>6000</v>
      </c>
      <c r="C1754" t="s">
        <v>6001</v>
      </c>
      <c r="D1754" t="s">
        <v>6001</v>
      </c>
      <c r="E1754" t="s">
        <v>6002</v>
      </c>
      <c r="F1754" t="s">
        <v>91</v>
      </c>
      <c r="G1754" t="s">
        <v>22</v>
      </c>
      <c r="H1754" t="s">
        <v>53</v>
      </c>
      <c r="I1754" t="s">
        <v>3006</v>
      </c>
      <c r="J1754">
        <v>2019</v>
      </c>
      <c r="K1754">
        <v>43698.521897777777</v>
      </c>
      <c r="L1754" t="s">
        <v>1660</v>
      </c>
      <c r="M1754" t="s">
        <v>2777</v>
      </c>
      <c r="N1754" t="s">
        <v>415</v>
      </c>
      <c r="O1754">
        <v>347073</v>
      </c>
      <c r="P1754">
        <v>43698.521897777777</v>
      </c>
      <c r="Q1754">
        <v>43313.820739467592</v>
      </c>
      <c r="R1754">
        <v>1788</v>
      </c>
    </row>
    <row r="1755" spans="1:18" x14ac:dyDescent="0.25">
      <c r="A1755" t="s">
        <v>6003</v>
      </c>
      <c r="B1755" t="s">
        <v>6004</v>
      </c>
      <c r="C1755" t="s">
        <v>6005</v>
      </c>
      <c r="D1755" t="s">
        <v>6005</v>
      </c>
      <c r="E1755" t="s">
        <v>6006</v>
      </c>
      <c r="F1755" t="s">
        <v>91</v>
      </c>
      <c r="G1755" t="s">
        <v>22</v>
      </c>
      <c r="H1755" t="s">
        <v>53</v>
      </c>
      <c r="I1755" t="s">
        <v>3006</v>
      </c>
      <c r="J1755">
        <v>2019</v>
      </c>
      <c r="K1755">
        <v>43698.521897777777</v>
      </c>
      <c r="L1755" t="s">
        <v>1660</v>
      </c>
      <c r="M1755" t="s">
        <v>2777</v>
      </c>
      <c r="N1755" t="s">
        <v>415</v>
      </c>
      <c r="O1755">
        <v>346718</v>
      </c>
      <c r="P1755">
        <v>43698.521897777777</v>
      </c>
      <c r="Q1755">
        <v>43313.821693171296</v>
      </c>
      <c r="R1755">
        <v>1789</v>
      </c>
    </row>
    <row r="1756" spans="1:18" x14ac:dyDescent="0.25">
      <c r="A1756" t="s">
        <v>6007</v>
      </c>
      <c r="B1756" t="s">
        <v>6008</v>
      </c>
      <c r="C1756" t="s">
        <v>6009</v>
      </c>
      <c r="D1756" t="s">
        <v>6009</v>
      </c>
      <c r="E1756" t="s">
        <v>6010</v>
      </c>
      <c r="F1756" t="s">
        <v>91</v>
      </c>
      <c r="G1756" t="s">
        <v>22</v>
      </c>
      <c r="H1756" t="s">
        <v>53</v>
      </c>
      <c r="I1756" t="s">
        <v>3006</v>
      </c>
      <c r="J1756">
        <v>2019</v>
      </c>
      <c r="K1756">
        <v>43698.521897777777</v>
      </c>
      <c r="L1756" t="s">
        <v>1660</v>
      </c>
      <c r="M1756" t="s">
        <v>2777</v>
      </c>
      <c r="N1756" t="s">
        <v>415</v>
      </c>
      <c r="O1756">
        <v>346696</v>
      </c>
      <c r="P1756">
        <v>43698.521897777777</v>
      </c>
      <c r="Q1756">
        <v>43313.823339120368</v>
      </c>
      <c r="R1756">
        <v>1790</v>
      </c>
    </row>
    <row r="1757" spans="1:18" x14ac:dyDescent="0.25">
      <c r="A1757" t="s">
        <v>6011</v>
      </c>
      <c r="B1757" t="s">
        <v>6012</v>
      </c>
      <c r="C1757" t="s">
        <v>6013</v>
      </c>
      <c r="D1757" t="s">
        <v>6013</v>
      </c>
      <c r="E1757" t="s">
        <v>6014</v>
      </c>
      <c r="F1757" t="s">
        <v>91</v>
      </c>
      <c r="G1757" t="s">
        <v>22</v>
      </c>
      <c r="H1757" t="s">
        <v>53</v>
      </c>
      <c r="I1757" t="s">
        <v>3006</v>
      </c>
      <c r="J1757">
        <v>2019</v>
      </c>
      <c r="K1757">
        <v>43698.521897777777</v>
      </c>
      <c r="L1757" t="s">
        <v>1660</v>
      </c>
      <c r="M1757" t="s">
        <v>2777</v>
      </c>
      <c r="N1757" t="s">
        <v>415</v>
      </c>
      <c r="O1757">
        <v>346707</v>
      </c>
      <c r="P1757">
        <v>43698.521897777777</v>
      </c>
      <c r="Q1757">
        <v>43313.836420057873</v>
      </c>
      <c r="R1757">
        <v>1791</v>
      </c>
    </row>
    <row r="1758" spans="1:18" x14ac:dyDescent="0.25">
      <c r="A1758" t="s">
        <v>6015</v>
      </c>
      <c r="B1758" t="s">
        <v>6016</v>
      </c>
      <c r="C1758" t="s">
        <v>6017</v>
      </c>
      <c r="D1758" t="s">
        <v>6017</v>
      </c>
      <c r="E1758" t="s">
        <v>6018</v>
      </c>
      <c r="F1758" t="s">
        <v>21</v>
      </c>
      <c r="G1758" t="s">
        <v>22</v>
      </c>
      <c r="H1758" t="s">
        <v>53</v>
      </c>
      <c r="I1758" t="s">
        <v>3006</v>
      </c>
      <c r="J1758">
        <v>2019</v>
      </c>
      <c r="K1758">
        <v>43698.521897777777</v>
      </c>
      <c r="L1758" t="s">
        <v>1660</v>
      </c>
      <c r="M1758" t="s">
        <v>2777</v>
      </c>
      <c r="N1758" t="s">
        <v>415</v>
      </c>
      <c r="O1758">
        <v>295063</v>
      </c>
      <c r="P1758">
        <v>43569.35</v>
      </c>
      <c r="Q1758">
        <v>43313.837057557874</v>
      </c>
      <c r="R1758">
        <v>1792</v>
      </c>
    </row>
    <row r="1759" spans="1:18" x14ac:dyDescent="0.25">
      <c r="A1759" t="s">
        <v>6019</v>
      </c>
      <c r="B1759" t="s">
        <v>6020</v>
      </c>
      <c r="C1759" t="s">
        <v>6021</v>
      </c>
      <c r="D1759" t="s">
        <v>6021</v>
      </c>
      <c r="E1759" t="s">
        <v>6022</v>
      </c>
      <c r="F1759" t="s">
        <v>91</v>
      </c>
      <c r="G1759" t="s">
        <v>22</v>
      </c>
      <c r="H1759" t="s">
        <v>53</v>
      </c>
      <c r="I1759" t="s">
        <v>3006</v>
      </c>
      <c r="J1759">
        <v>2019</v>
      </c>
      <c r="K1759">
        <v>43698.521897777777</v>
      </c>
      <c r="L1759" t="s">
        <v>1660</v>
      </c>
      <c r="M1759" t="s">
        <v>2777</v>
      </c>
      <c r="N1759" t="s">
        <v>415</v>
      </c>
      <c r="O1759">
        <v>346374</v>
      </c>
      <c r="P1759">
        <v>43698.010625000003</v>
      </c>
      <c r="Q1759">
        <v>43313.845150694448</v>
      </c>
      <c r="R1759">
        <v>1793</v>
      </c>
    </row>
    <row r="1760" spans="1:18" x14ac:dyDescent="0.25">
      <c r="A1760" t="s">
        <v>6023</v>
      </c>
      <c r="B1760" t="s">
        <v>6024</v>
      </c>
      <c r="C1760" t="s">
        <v>6025</v>
      </c>
      <c r="D1760" t="s">
        <v>6025</v>
      </c>
      <c r="E1760" t="s">
        <v>6026</v>
      </c>
      <c r="F1760" t="s">
        <v>91</v>
      </c>
      <c r="G1760" t="s">
        <v>22</v>
      </c>
      <c r="H1760" t="s">
        <v>53</v>
      </c>
      <c r="I1760" t="s">
        <v>3006</v>
      </c>
      <c r="J1760">
        <v>2019</v>
      </c>
      <c r="K1760">
        <v>43698.521897777777</v>
      </c>
      <c r="L1760" t="s">
        <v>1660</v>
      </c>
      <c r="M1760" t="s">
        <v>2777</v>
      </c>
      <c r="N1760" t="s">
        <v>415</v>
      </c>
      <c r="O1760">
        <v>346686</v>
      </c>
      <c r="P1760">
        <v>43698.521897777777</v>
      </c>
      <c r="Q1760">
        <v>43313.951687997687</v>
      </c>
      <c r="R1760">
        <v>1794</v>
      </c>
    </row>
    <row r="1761" spans="1:18" x14ac:dyDescent="0.25">
      <c r="A1761" t="s">
        <v>6027</v>
      </c>
      <c r="B1761" t="s">
        <v>6028</v>
      </c>
      <c r="C1761" t="s">
        <v>6029</v>
      </c>
      <c r="D1761" t="s">
        <v>6029</v>
      </c>
      <c r="E1761" t="s">
        <v>6030</v>
      </c>
      <c r="F1761" t="s">
        <v>91</v>
      </c>
      <c r="G1761" t="s">
        <v>22</v>
      </c>
      <c r="H1761" t="s">
        <v>53</v>
      </c>
      <c r="I1761" t="s">
        <v>3006</v>
      </c>
      <c r="J1761">
        <v>2019</v>
      </c>
      <c r="K1761">
        <v>43698.521897777777</v>
      </c>
      <c r="L1761" t="s">
        <v>1660</v>
      </c>
      <c r="M1761" t="s">
        <v>2777</v>
      </c>
      <c r="N1761" t="s">
        <v>415</v>
      </c>
      <c r="O1761">
        <v>346043</v>
      </c>
      <c r="P1761">
        <v>43697.463888888888</v>
      </c>
      <c r="Q1761">
        <v>43313.952950347222</v>
      </c>
      <c r="R1761">
        <v>1795</v>
      </c>
    </row>
    <row r="1762" spans="1:18" x14ac:dyDescent="0.25">
      <c r="A1762" t="s">
        <v>6031</v>
      </c>
      <c r="B1762" t="s">
        <v>6032</v>
      </c>
      <c r="C1762" t="s">
        <v>6033</v>
      </c>
      <c r="D1762" t="s">
        <v>6033</v>
      </c>
      <c r="E1762" t="s">
        <v>6034</v>
      </c>
      <c r="F1762" t="s">
        <v>91</v>
      </c>
      <c r="G1762" t="s">
        <v>22</v>
      </c>
      <c r="H1762" t="s">
        <v>53</v>
      </c>
      <c r="I1762" t="s">
        <v>3006</v>
      </c>
      <c r="J1762">
        <v>2019</v>
      </c>
      <c r="K1762">
        <v>43698.521897777777</v>
      </c>
      <c r="L1762" t="s">
        <v>1660</v>
      </c>
      <c r="M1762" t="s">
        <v>2777</v>
      </c>
      <c r="N1762" t="s">
        <v>415</v>
      </c>
      <c r="O1762">
        <v>346702</v>
      </c>
      <c r="P1762">
        <v>43698.521897777777</v>
      </c>
      <c r="Q1762">
        <v>43313.954035416667</v>
      </c>
      <c r="R1762">
        <v>1796</v>
      </c>
    </row>
    <row r="1763" spans="1:18" x14ac:dyDescent="0.25">
      <c r="A1763" t="s">
        <v>6035</v>
      </c>
      <c r="B1763" t="s">
        <v>6036</v>
      </c>
      <c r="C1763" t="s">
        <v>6037</v>
      </c>
      <c r="D1763" t="s">
        <v>6037</v>
      </c>
      <c r="E1763" t="s">
        <v>6038</v>
      </c>
      <c r="F1763" t="s">
        <v>91</v>
      </c>
      <c r="G1763" t="s">
        <v>22</v>
      </c>
      <c r="H1763" t="s">
        <v>53</v>
      </c>
      <c r="I1763" t="s">
        <v>3006</v>
      </c>
      <c r="J1763">
        <v>2019</v>
      </c>
      <c r="K1763">
        <v>43698.521897777777</v>
      </c>
      <c r="L1763" t="s">
        <v>1660</v>
      </c>
      <c r="M1763" t="s">
        <v>2777</v>
      </c>
      <c r="N1763" t="s">
        <v>415</v>
      </c>
      <c r="O1763">
        <v>346983</v>
      </c>
      <c r="P1763">
        <v>43698.521897777777</v>
      </c>
      <c r="Q1763">
        <v>43313.955400578707</v>
      </c>
      <c r="R1763">
        <v>1797</v>
      </c>
    </row>
    <row r="1764" spans="1:18" x14ac:dyDescent="0.25">
      <c r="A1764" t="s">
        <v>6039</v>
      </c>
      <c r="B1764" t="s">
        <v>6040</v>
      </c>
      <c r="C1764" t="s">
        <v>6041</v>
      </c>
      <c r="D1764" t="s">
        <v>6041</v>
      </c>
      <c r="E1764" t="s">
        <v>6042</v>
      </c>
      <c r="F1764" t="s">
        <v>91</v>
      </c>
      <c r="G1764" t="s">
        <v>22</v>
      </c>
      <c r="H1764" t="s">
        <v>53</v>
      </c>
      <c r="I1764" t="s">
        <v>3006</v>
      </c>
      <c r="J1764">
        <v>2019</v>
      </c>
      <c r="K1764">
        <v>43698.521897777777</v>
      </c>
      <c r="L1764" t="s">
        <v>1660</v>
      </c>
      <c r="M1764" t="s">
        <v>2777</v>
      </c>
      <c r="N1764" t="s">
        <v>415</v>
      </c>
      <c r="O1764">
        <v>344296</v>
      </c>
      <c r="P1764">
        <v>43692.972222222219</v>
      </c>
      <c r="Q1764">
        <v>43313.956284409724</v>
      </c>
      <c r="R1764">
        <v>1798</v>
      </c>
    </row>
    <row r="1765" spans="1:18" x14ac:dyDescent="0.25">
      <c r="A1765" t="s">
        <v>6043</v>
      </c>
      <c r="B1765" t="s">
        <v>6044</v>
      </c>
      <c r="C1765" t="s">
        <v>6045</v>
      </c>
      <c r="D1765" t="s">
        <v>6045</v>
      </c>
      <c r="E1765" t="s">
        <v>6046</v>
      </c>
      <c r="F1765" t="s">
        <v>91</v>
      </c>
      <c r="G1765" t="s">
        <v>22</v>
      </c>
      <c r="H1765" t="s">
        <v>53</v>
      </c>
      <c r="I1765" t="s">
        <v>3006</v>
      </c>
      <c r="J1765">
        <v>2019</v>
      </c>
      <c r="K1765">
        <v>43698.521897777777</v>
      </c>
      <c r="L1765" t="s">
        <v>1660</v>
      </c>
      <c r="M1765" t="s">
        <v>2777</v>
      </c>
      <c r="N1765" t="s">
        <v>415</v>
      </c>
      <c r="O1765">
        <v>347109</v>
      </c>
      <c r="P1765">
        <v>43698.521897777777</v>
      </c>
      <c r="Q1765">
        <v>43313.957014039355</v>
      </c>
      <c r="R1765">
        <v>1799</v>
      </c>
    </row>
    <row r="1766" spans="1:18" x14ac:dyDescent="0.25">
      <c r="A1766" t="s">
        <v>6047</v>
      </c>
      <c r="B1766" t="s">
        <v>6048</v>
      </c>
      <c r="C1766" t="s">
        <v>6049</v>
      </c>
      <c r="D1766" t="s">
        <v>6049</v>
      </c>
      <c r="E1766" t="s">
        <v>6050</v>
      </c>
      <c r="F1766" t="s">
        <v>91</v>
      </c>
      <c r="G1766" t="s">
        <v>22</v>
      </c>
      <c r="H1766" t="s">
        <v>53</v>
      </c>
      <c r="I1766" t="s">
        <v>3006</v>
      </c>
      <c r="J1766">
        <v>2019</v>
      </c>
      <c r="K1766">
        <v>43698.521897777777</v>
      </c>
      <c r="L1766" t="s">
        <v>1660</v>
      </c>
      <c r="M1766" t="s">
        <v>2777</v>
      </c>
      <c r="N1766" t="s">
        <v>415</v>
      </c>
      <c r="O1766">
        <v>346512</v>
      </c>
      <c r="P1766">
        <v>43698.103472222225</v>
      </c>
      <c r="Q1766">
        <v>43313.957798344905</v>
      </c>
      <c r="R1766">
        <v>1800</v>
      </c>
    </row>
    <row r="1767" spans="1:18" x14ac:dyDescent="0.25">
      <c r="A1767" t="s">
        <v>6051</v>
      </c>
      <c r="B1767" t="s">
        <v>6052</v>
      </c>
      <c r="C1767" t="s">
        <v>6053</v>
      </c>
      <c r="D1767" t="s">
        <v>6053</v>
      </c>
      <c r="E1767" t="s">
        <v>6054</v>
      </c>
      <c r="F1767" t="s">
        <v>91</v>
      </c>
      <c r="G1767" t="s">
        <v>22</v>
      </c>
      <c r="H1767" t="s">
        <v>53</v>
      </c>
      <c r="I1767" t="s">
        <v>3006</v>
      </c>
      <c r="J1767">
        <v>2019</v>
      </c>
      <c r="K1767">
        <v>43698.521897777777</v>
      </c>
      <c r="L1767" t="s">
        <v>1660</v>
      </c>
      <c r="M1767" t="s">
        <v>2777</v>
      </c>
      <c r="N1767" t="s">
        <v>415</v>
      </c>
      <c r="O1767">
        <v>346671</v>
      </c>
      <c r="P1767">
        <v>43698.521897777777</v>
      </c>
      <c r="Q1767">
        <v>43313.95866971065</v>
      </c>
      <c r="R1767">
        <v>1801</v>
      </c>
    </row>
    <row r="1768" spans="1:18" x14ac:dyDescent="0.25">
      <c r="A1768" t="s">
        <v>6055</v>
      </c>
      <c r="B1768" t="s">
        <v>6056</v>
      </c>
      <c r="C1768" t="s">
        <v>6057</v>
      </c>
      <c r="D1768" t="s">
        <v>6057</v>
      </c>
      <c r="E1768" t="s">
        <v>6058</v>
      </c>
      <c r="F1768" t="s">
        <v>91</v>
      </c>
      <c r="G1768" t="s">
        <v>22</v>
      </c>
      <c r="H1768" t="s">
        <v>53</v>
      </c>
      <c r="I1768" t="s">
        <v>3006</v>
      </c>
      <c r="J1768">
        <v>2019</v>
      </c>
      <c r="K1768">
        <v>43698.521897777777</v>
      </c>
      <c r="L1768" t="s">
        <v>1660</v>
      </c>
      <c r="M1768" t="s">
        <v>2777</v>
      </c>
      <c r="N1768" t="s">
        <v>415</v>
      </c>
      <c r="O1768">
        <v>346712</v>
      </c>
      <c r="P1768">
        <v>43698.521897777777</v>
      </c>
      <c r="Q1768">
        <v>43313.970419942132</v>
      </c>
      <c r="R1768">
        <v>1802</v>
      </c>
    </row>
    <row r="1769" spans="1:18" x14ac:dyDescent="0.25">
      <c r="A1769" t="s">
        <v>6059</v>
      </c>
      <c r="B1769" t="s">
        <v>6060</v>
      </c>
      <c r="C1769" t="s">
        <v>6061</v>
      </c>
      <c r="D1769" t="s">
        <v>6061</v>
      </c>
      <c r="E1769" t="s">
        <v>6062</v>
      </c>
      <c r="F1769" t="s">
        <v>91</v>
      </c>
      <c r="G1769" t="s">
        <v>22</v>
      </c>
      <c r="H1769" t="s">
        <v>53</v>
      </c>
      <c r="I1769" t="s">
        <v>3006</v>
      </c>
      <c r="J1769">
        <v>2019</v>
      </c>
      <c r="K1769">
        <v>43698.521897777777</v>
      </c>
      <c r="L1769" t="s">
        <v>1660</v>
      </c>
      <c r="M1769" t="s">
        <v>2777</v>
      </c>
      <c r="N1769" t="s">
        <v>415</v>
      </c>
      <c r="O1769">
        <v>346859</v>
      </c>
      <c r="P1769">
        <v>43698.521897777777</v>
      </c>
      <c r="Q1769">
        <v>43313.97163148148</v>
      </c>
      <c r="R1769">
        <v>1803</v>
      </c>
    </row>
    <row r="1770" spans="1:18" x14ac:dyDescent="0.25">
      <c r="A1770" t="s">
        <v>6063</v>
      </c>
      <c r="B1770" t="s">
        <v>6064</v>
      </c>
      <c r="C1770" t="s">
        <v>6065</v>
      </c>
      <c r="D1770" t="s">
        <v>6065</v>
      </c>
      <c r="E1770" t="s">
        <v>6066</v>
      </c>
      <c r="F1770" t="s">
        <v>91</v>
      </c>
      <c r="G1770" t="s">
        <v>22</v>
      </c>
      <c r="H1770" t="s">
        <v>53</v>
      </c>
      <c r="I1770" t="s">
        <v>3006</v>
      </c>
      <c r="J1770">
        <v>2019</v>
      </c>
      <c r="K1770">
        <v>43698.521897777777</v>
      </c>
      <c r="L1770" t="s">
        <v>1660</v>
      </c>
      <c r="M1770" t="s">
        <v>2777</v>
      </c>
      <c r="N1770" t="s">
        <v>415</v>
      </c>
      <c r="O1770">
        <v>346705</v>
      </c>
      <c r="P1770">
        <v>43698.521897777777</v>
      </c>
      <c r="Q1770">
        <v>43313.972206597224</v>
      </c>
      <c r="R1770">
        <v>1804</v>
      </c>
    </row>
    <row r="1771" spans="1:18" x14ac:dyDescent="0.25">
      <c r="A1771" t="s">
        <v>6067</v>
      </c>
      <c r="B1771" t="s">
        <v>6068</v>
      </c>
      <c r="C1771" t="s">
        <v>6069</v>
      </c>
      <c r="D1771" t="s">
        <v>6069</v>
      </c>
      <c r="E1771" t="s">
        <v>6070</v>
      </c>
      <c r="F1771" t="s">
        <v>91</v>
      </c>
      <c r="G1771" t="s">
        <v>22</v>
      </c>
      <c r="H1771" t="s">
        <v>53</v>
      </c>
      <c r="I1771" t="s">
        <v>3006</v>
      </c>
      <c r="J1771">
        <v>2019</v>
      </c>
      <c r="K1771">
        <v>43698.521897777777</v>
      </c>
      <c r="L1771" t="s">
        <v>1660</v>
      </c>
      <c r="M1771" t="s">
        <v>2777</v>
      </c>
      <c r="N1771" t="s">
        <v>415</v>
      </c>
      <c r="O1771">
        <v>346870</v>
      </c>
      <c r="P1771">
        <v>43698.521897777777</v>
      </c>
      <c r="Q1771">
        <v>43313.972895868057</v>
      </c>
      <c r="R1771">
        <v>1805</v>
      </c>
    </row>
    <row r="1772" spans="1:18" x14ac:dyDescent="0.25">
      <c r="A1772" t="s">
        <v>6071</v>
      </c>
      <c r="B1772" t="s">
        <v>6072</v>
      </c>
      <c r="C1772" t="s">
        <v>6073</v>
      </c>
      <c r="D1772" t="s">
        <v>6073</v>
      </c>
      <c r="E1772" t="s">
        <v>6074</v>
      </c>
      <c r="F1772" t="s">
        <v>91</v>
      </c>
      <c r="G1772" t="s">
        <v>22</v>
      </c>
      <c r="H1772" t="s">
        <v>53</v>
      </c>
      <c r="I1772" t="s">
        <v>3006</v>
      </c>
      <c r="J1772">
        <v>2019</v>
      </c>
      <c r="K1772">
        <v>43698.521897777777</v>
      </c>
      <c r="L1772" t="s">
        <v>1660</v>
      </c>
      <c r="M1772" t="s">
        <v>2777</v>
      </c>
      <c r="N1772" t="s">
        <v>415</v>
      </c>
      <c r="O1772">
        <v>346868</v>
      </c>
      <c r="P1772">
        <v>43698.521897777777</v>
      </c>
      <c r="Q1772">
        <v>43313.973484525464</v>
      </c>
      <c r="R1772">
        <v>1806</v>
      </c>
    </row>
    <row r="1773" spans="1:18" x14ac:dyDescent="0.25">
      <c r="A1773" t="s">
        <v>6075</v>
      </c>
      <c r="B1773" t="s">
        <v>6076</v>
      </c>
      <c r="C1773" t="s">
        <v>6077</v>
      </c>
      <c r="D1773" t="s">
        <v>6077</v>
      </c>
      <c r="E1773" t="s">
        <v>6078</v>
      </c>
      <c r="F1773" t="s">
        <v>91</v>
      </c>
      <c r="G1773" t="s">
        <v>22</v>
      </c>
      <c r="H1773" t="s">
        <v>53</v>
      </c>
      <c r="I1773" t="s">
        <v>3006</v>
      </c>
      <c r="J1773">
        <v>2019</v>
      </c>
      <c r="K1773">
        <v>43698.521897777777</v>
      </c>
      <c r="L1773" t="s">
        <v>1660</v>
      </c>
      <c r="M1773" t="s">
        <v>2777</v>
      </c>
      <c r="N1773" t="s">
        <v>415</v>
      </c>
      <c r="O1773">
        <v>346751</v>
      </c>
      <c r="P1773">
        <v>43698.521897777777</v>
      </c>
      <c r="Q1773">
        <v>43313.974204513892</v>
      </c>
      <c r="R1773">
        <v>1807</v>
      </c>
    </row>
    <row r="1774" spans="1:18" x14ac:dyDescent="0.25">
      <c r="A1774" t="s">
        <v>6079</v>
      </c>
      <c r="B1774" t="s">
        <v>6080</v>
      </c>
      <c r="C1774" t="s">
        <v>6081</v>
      </c>
      <c r="D1774" t="s">
        <v>6081</v>
      </c>
      <c r="E1774" t="s">
        <v>6082</v>
      </c>
      <c r="F1774" t="s">
        <v>91</v>
      </c>
      <c r="G1774" t="s">
        <v>22</v>
      </c>
      <c r="H1774" t="s">
        <v>53</v>
      </c>
      <c r="I1774" t="s">
        <v>3006</v>
      </c>
      <c r="J1774">
        <v>2019</v>
      </c>
      <c r="K1774">
        <v>43698.521897777777</v>
      </c>
      <c r="L1774" t="s">
        <v>1660</v>
      </c>
      <c r="M1774" t="s">
        <v>2777</v>
      </c>
      <c r="N1774" t="s">
        <v>415</v>
      </c>
      <c r="O1774">
        <v>346733</v>
      </c>
      <c r="P1774">
        <v>43698.521897777777</v>
      </c>
      <c r="Q1774">
        <v>43313.974828819446</v>
      </c>
      <c r="R1774">
        <v>1808</v>
      </c>
    </row>
    <row r="1775" spans="1:18" x14ac:dyDescent="0.25">
      <c r="A1775" t="s">
        <v>6083</v>
      </c>
      <c r="B1775" t="s">
        <v>6084</v>
      </c>
      <c r="C1775" t="s">
        <v>6085</v>
      </c>
      <c r="D1775" t="s">
        <v>6085</v>
      </c>
      <c r="E1775" t="s">
        <v>6086</v>
      </c>
      <c r="F1775" t="s">
        <v>91</v>
      </c>
      <c r="G1775" t="s">
        <v>22</v>
      </c>
      <c r="H1775" t="s">
        <v>53</v>
      </c>
      <c r="I1775" t="s">
        <v>3006</v>
      </c>
      <c r="J1775">
        <v>2019</v>
      </c>
      <c r="K1775">
        <v>43698.521897777777</v>
      </c>
      <c r="L1775" t="s">
        <v>1660</v>
      </c>
      <c r="M1775" t="s">
        <v>2777</v>
      </c>
      <c r="N1775" t="s">
        <v>415</v>
      </c>
      <c r="O1775">
        <v>346748</v>
      </c>
      <c r="P1775">
        <v>43698.521897777777</v>
      </c>
      <c r="Q1775">
        <v>43313.975561770836</v>
      </c>
      <c r="R1775">
        <v>1809</v>
      </c>
    </row>
    <row r="1776" spans="1:18" x14ac:dyDescent="0.25">
      <c r="A1776" t="s">
        <v>6087</v>
      </c>
      <c r="B1776" t="s">
        <v>6088</v>
      </c>
      <c r="C1776" t="s">
        <v>6089</v>
      </c>
      <c r="D1776" t="s">
        <v>6089</v>
      </c>
      <c r="E1776" t="s">
        <v>6090</v>
      </c>
      <c r="F1776" t="s">
        <v>91</v>
      </c>
      <c r="G1776" t="s">
        <v>22</v>
      </c>
      <c r="H1776" t="s">
        <v>53</v>
      </c>
      <c r="I1776" t="s">
        <v>3006</v>
      </c>
      <c r="J1776">
        <v>2019</v>
      </c>
      <c r="K1776">
        <v>43698.521897777777</v>
      </c>
      <c r="L1776" t="s">
        <v>1660</v>
      </c>
      <c r="M1776" t="s">
        <v>2777</v>
      </c>
      <c r="N1776" t="s">
        <v>415</v>
      </c>
      <c r="O1776">
        <v>345464</v>
      </c>
      <c r="P1776">
        <v>43695.770833333336</v>
      </c>
      <c r="Q1776">
        <v>43313.976197141201</v>
      </c>
      <c r="R1776">
        <v>1810</v>
      </c>
    </row>
    <row r="1777" spans="1:18" x14ac:dyDescent="0.25">
      <c r="A1777" t="s">
        <v>6091</v>
      </c>
      <c r="B1777" t="s">
        <v>6092</v>
      </c>
      <c r="C1777" t="s">
        <v>6093</v>
      </c>
      <c r="D1777" t="s">
        <v>6093</v>
      </c>
      <c r="E1777" t="s">
        <v>6094</v>
      </c>
      <c r="F1777" t="s">
        <v>91</v>
      </c>
      <c r="G1777" t="s">
        <v>22</v>
      </c>
      <c r="H1777" t="s">
        <v>53</v>
      </c>
      <c r="I1777" t="s">
        <v>3006</v>
      </c>
      <c r="J1777">
        <v>2019</v>
      </c>
      <c r="K1777">
        <v>43698.521897777777</v>
      </c>
      <c r="L1777" t="s">
        <v>1660</v>
      </c>
      <c r="M1777" t="s">
        <v>2777</v>
      </c>
      <c r="N1777" t="s">
        <v>415</v>
      </c>
      <c r="O1777">
        <v>346867</v>
      </c>
      <c r="P1777">
        <v>43698.521897777777</v>
      </c>
      <c r="Q1777">
        <v>43313.977011111114</v>
      </c>
      <c r="R1777">
        <v>1811</v>
      </c>
    </row>
    <row r="1778" spans="1:18" x14ac:dyDescent="0.25">
      <c r="A1778" t="s">
        <v>6095</v>
      </c>
      <c r="B1778" t="s">
        <v>6096</v>
      </c>
      <c r="C1778" t="s">
        <v>6097</v>
      </c>
      <c r="D1778" t="s">
        <v>6097</v>
      </c>
      <c r="E1778" t="s">
        <v>6098</v>
      </c>
      <c r="F1778" t="s">
        <v>91</v>
      </c>
      <c r="G1778" t="s">
        <v>22</v>
      </c>
      <c r="H1778" t="s">
        <v>53</v>
      </c>
      <c r="I1778" t="s">
        <v>3006</v>
      </c>
      <c r="J1778">
        <v>2019</v>
      </c>
      <c r="K1778">
        <v>43698.521897777777</v>
      </c>
      <c r="L1778" t="s">
        <v>1660</v>
      </c>
      <c r="M1778" t="s">
        <v>2777</v>
      </c>
      <c r="N1778" t="s">
        <v>415</v>
      </c>
      <c r="O1778">
        <v>346269</v>
      </c>
      <c r="P1778">
        <v>43698.521897777777</v>
      </c>
      <c r="Q1778">
        <v>43313.979023148146</v>
      </c>
      <c r="R1778">
        <v>1812</v>
      </c>
    </row>
    <row r="1779" spans="1:18" x14ac:dyDescent="0.25">
      <c r="A1779" t="s">
        <v>6099</v>
      </c>
      <c r="B1779" t="s">
        <v>6100</v>
      </c>
      <c r="C1779" t="s">
        <v>6101</v>
      </c>
      <c r="D1779" t="s">
        <v>6101</v>
      </c>
      <c r="E1779" t="s">
        <v>6102</v>
      </c>
      <c r="F1779" t="s">
        <v>91</v>
      </c>
      <c r="G1779" t="s">
        <v>22</v>
      </c>
      <c r="H1779" t="s">
        <v>53</v>
      </c>
      <c r="I1779" t="s">
        <v>3006</v>
      </c>
      <c r="J1779">
        <v>2019</v>
      </c>
      <c r="K1779">
        <v>43698.521897777777</v>
      </c>
      <c r="L1779" t="s">
        <v>1660</v>
      </c>
      <c r="M1779" t="s">
        <v>2777</v>
      </c>
      <c r="N1779" t="s">
        <v>415</v>
      </c>
      <c r="O1779">
        <v>344425</v>
      </c>
      <c r="P1779">
        <v>43692.98333333333</v>
      </c>
      <c r="Q1779">
        <v>43313.980909687503</v>
      </c>
      <c r="R1779">
        <v>1813</v>
      </c>
    </row>
    <row r="1780" spans="1:18" x14ac:dyDescent="0.25">
      <c r="A1780" t="s">
        <v>6103</v>
      </c>
      <c r="B1780" t="s">
        <v>6104</v>
      </c>
      <c r="C1780" t="s">
        <v>6105</v>
      </c>
      <c r="D1780" t="s">
        <v>6105</v>
      </c>
      <c r="E1780" t="s">
        <v>6106</v>
      </c>
      <c r="F1780" t="s">
        <v>91</v>
      </c>
      <c r="G1780" t="s">
        <v>22</v>
      </c>
      <c r="H1780" t="s">
        <v>53</v>
      </c>
      <c r="I1780" t="s">
        <v>3006</v>
      </c>
      <c r="J1780">
        <v>2019</v>
      </c>
      <c r="K1780">
        <v>43698.521897777777</v>
      </c>
      <c r="L1780" t="s">
        <v>1660</v>
      </c>
      <c r="M1780" t="s">
        <v>2777</v>
      </c>
      <c r="N1780" t="s">
        <v>415</v>
      </c>
      <c r="O1780">
        <v>346770</v>
      </c>
      <c r="P1780">
        <v>43698.35701388889</v>
      </c>
      <c r="Q1780">
        <v>43313.98180922454</v>
      </c>
      <c r="R1780">
        <v>1814</v>
      </c>
    </row>
    <row r="1781" spans="1:18" x14ac:dyDescent="0.25">
      <c r="A1781" t="s">
        <v>6107</v>
      </c>
      <c r="B1781" t="s">
        <v>6108</v>
      </c>
      <c r="C1781" t="s">
        <v>6109</v>
      </c>
      <c r="D1781" t="s">
        <v>6109</v>
      </c>
      <c r="E1781" t="s">
        <v>6110</v>
      </c>
      <c r="F1781" t="s">
        <v>91</v>
      </c>
      <c r="G1781" t="s">
        <v>22</v>
      </c>
      <c r="H1781" t="s">
        <v>53</v>
      </c>
      <c r="I1781" t="s">
        <v>3006</v>
      </c>
      <c r="J1781">
        <v>2019</v>
      </c>
      <c r="K1781">
        <v>43698.521897777777</v>
      </c>
      <c r="L1781" t="s">
        <v>1660</v>
      </c>
      <c r="M1781" t="s">
        <v>2777</v>
      </c>
      <c r="N1781" t="s">
        <v>415</v>
      </c>
      <c r="O1781">
        <v>346965</v>
      </c>
      <c r="P1781">
        <v>43698.521897777777</v>
      </c>
      <c r="Q1781">
        <v>43313.982800081016</v>
      </c>
      <c r="R1781">
        <v>1815</v>
      </c>
    </row>
    <row r="1782" spans="1:18" x14ac:dyDescent="0.25">
      <c r="A1782" t="s">
        <v>6111</v>
      </c>
      <c r="B1782" t="s">
        <v>6112</v>
      </c>
      <c r="C1782" t="s">
        <v>6113</v>
      </c>
      <c r="D1782" t="s">
        <v>6113</v>
      </c>
      <c r="E1782" t="s">
        <v>6114</v>
      </c>
      <c r="F1782" t="s">
        <v>91</v>
      </c>
      <c r="G1782" t="s">
        <v>22</v>
      </c>
      <c r="H1782" t="s">
        <v>53</v>
      </c>
      <c r="I1782" t="s">
        <v>3006</v>
      </c>
      <c r="J1782">
        <v>2019</v>
      </c>
      <c r="K1782">
        <v>43698.521897777777</v>
      </c>
      <c r="L1782" t="s">
        <v>1660</v>
      </c>
      <c r="M1782" t="s">
        <v>2777</v>
      </c>
      <c r="N1782" t="s">
        <v>415</v>
      </c>
      <c r="O1782">
        <v>346689</v>
      </c>
      <c r="P1782">
        <v>43698.521897777777</v>
      </c>
      <c r="Q1782">
        <v>43313.98364082176</v>
      </c>
      <c r="R1782">
        <v>1816</v>
      </c>
    </row>
    <row r="1783" spans="1:18" x14ac:dyDescent="0.25">
      <c r="A1783" t="s">
        <v>6115</v>
      </c>
      <c r="B1783" t="s">
        <v>6116</v>
      </c>
      <c r="C1783" t="s">
        <v>6117</v>
      </c>
      <c r="D1783" t="s">
        <v>6117</v>
      </c>
      <c r="E1783" t="s">
        <v>6118</v>
      </c>
      <c r="F1783" t="s">
        <v>91</v>
      </c>
      <c r="G1783" t="s">
        <v>22</v>
      </c>
      <c r="H1783" t="s">
        <v>53</v>
      </c>
      <c r="I1783" t="s">
        <v>3006</v>
      </c>
      <c r="J1783">
        <v>2019</v>
      </c>
      <c r="K1783">
        <v>43698.521897777777</v>
      </c>
      <c r="L1783" t="s">
        <v>1660</v>
      </c>
      <c r="M1783" t="s">
        <v>2777</v>
      </c>
      <c r="N1783" t="s">
        <v>415</v>
      </c>
      <c r="O1783">
        <v>346844</v>
      </c>
      <c r="P1783">
        <v>43698.521897777777</v>
      </c>
      <c r="Q1783">
        <v>43313.98492800926</v>
      </c>
      <c r="R1783">
        <v>1817</v>
      </c>
    </row>
    <row r="1784" spans="1:18" x14ac:dyDescent="0.25">
      <c r="A1784" t="s">
        <v>25</v>
      </c>
      <c r="B1784" t="s">
        <v>25</v>
      </c>
      <c r="C1784" t="s">
        <v>6119</v>
      </c>
      <c r="D1784" t="s">
        <v>6119</v>
      </c>
      <c r="E1784" t="s">
        <v>6120</v>
      </c>
      <c r="F1784" t="s">
        <v>21</v>
      </c>
      <c r="G1784" t="s">
        <v>22</v>
      </c>
      <c r="H1784" t="s">
        <v>25</v>
      </c>
      <c r="I1784" t="s">
        <v>25</v>
      </c>
      <c r="K1784">
        <v>43698.521897777777</v>
      </c>
      <c r="L1784" t="s">
        <v>25</v>
      </c>
      <c r="M1784" t="s">
        <v>5389</v>
      </c>
      <c r="N1784" t="s">
        <v>415</v>
      </c>
      <c r="Q1784">
        <v>43314.423772187503</v>
      </c>
      <c r="R1784">
        <v>1818</v>
      </c>
    </row>
    <row r="1785" spans="1:18" x14ac:dyDescent="0.25">
      <c r="A1785" t="s">
        <v>6121</v>
      </c>
      <c r="B1785" t="s">
        <v>6122</v>
      </c>
      <c r="C1785" t="s">
        <v>6123</v>
      </c>
      <c r="D1785" t="s">
        <v>6123</v>
      </c>
      <c r="E1785" t="s">
        <v>6123</v>
      </c>
      <c r="F1785" t="s">
        <v>91</v>
      </c>
      <c r="G1785" t="s">
        <v>63</v>
      </c>
      <c r="H1785" t="s">
        <v>53</v>
      </c>
      <c r="I1785" t="s">
        <v>54</v>
      </c>
      <c r="J1785">
        <v>2007</v>
      </c>
      <c r="K1785">
        <v>43698.521897777777</v>
      </c>
      <c r="L1785" t="s">
        <v>422</v>
      </c>
      <c r="M1785" t="s">
        <v>2777</v>
      </c>
      <c r="N1785" t="s">
        <v>93</v>
      </c>
      <c r="O1785">
        <v>346979</v>
      </c>
      <c r="P1785">
        <v>43698.521897777777</v>
      </c>
      <c r="Q1785">
        <v>43315.441209918979</v>
      </c>
      <c r="R1785">
        <v>1819</v>
      </c>
    </row>
    <row r="1786" spans="1:18" x14ac:dyDescent="0.25">
      <c r="A1786" t="s">
        <v>25</v>
      </c>
      <c r="B1786" t="s">
        <v>25</v>
      </c>
      <c r="C1786" t="s">
        <v>6124</v>
      </c>
      <c r="D1786" t="s">
        <v>6125</v>
      </c>
      <c r="E1786" t="s">
        <v>6126</v>
      </c>
      <c r="F1786" t="s">
        <v>91</v>
      </c>
      <c r="G1786" t="s">
        <v>106</v>
      </c>
      <c r="H1786" t="s">
        <v>25</v>
      </c>
      <c r="I1786" t="s">
        <v>25</v>
      </c>
      <c r="K1786">
        <v>43698.521897777777</v>
      </c>
      <c r="L1786" t="s">
        <v>422</v>
      </c>
      <c r="M1786" t="s">
        <v>42</v>
      </c>
      <c r="N1786" t="s">
        <v>415</v>
      </c>
      <c r="O1786">
        <v>346511</v>
      </c>
      <c r="P1786">
        <v>43697.916666666664</v>
      </c>
      <c r="Q1786">
        <v>43316.497257141207</v>
      </c>
      <c r="R1786">
        <v>1823</v>
      </c>
    </row>
    <row r="1787" spans="1:18" x14ac:dyDescent="0.25">
      <c r="A1787" t="s">
        <v>6127</v>
      </c>
      <c r="B1787" t="s">
        <v>6128</v>
      </c>
      <c r="C1787" t="s">
        <v>6129</v>
      </c>
      <c r="D1787" t="s">
        <v>6129</v>
      </c>
      <c r="E1787" t="s">
        <v>6129</v>
      </c>
      <c r="F1787" t="s">
        <v>21</v>
      </c>
      <c r="G1787" t="s">
        <v>63</v>
      </c>
      <c r="H1787" t="s">
        <v>34</v>
      </c>
      <c r="I1787" t="s">
        <v>703</v>
      </c>
      <c r="J1787">
        <v>2005</v>
      </c>
      <c r="K1787">
        <v>43698.521897777777</v>
      </c>
      <c r="L1787" t="s">
        <v>422</v>
      </c>
      <c r="M1787" t="s">
        <v>2777</v>
      </c>
      <c r="N1787" t="s">
        <v>27</v>
      </c>
      <c r="O1787">
        <v>291265</v>
      </c>
      <c r="P1787">
        <v>43559.729166666664</v>
      </c>
      <c r="Q1787">
        <v>43319.486673182873</v>
      </c>
      <c r="R1787">
        <v>1824</v>
      </c>
    </row>
    <row r="1788" spans="1:18" x14ac:dyDescent="0.25">
      <c r="A1788" t="s">
        <v>6130</v>
      </c>
      <c r="B1788" t="s">
        <v>6131</v>
      </c>
      <c r="C1788" t="s">
        <v>6132</v>
      </c>
      <c r="D1788" t="s">
        <v>6132</v>
      </c>
      <c r="E1788" t="s">
        <v>6132</v>
      </c>
      <c r="F1788" t="s">
        <v>91</v>
      </c>
      <c r="G1788" t="s">
        <v>63</v>
      </c>
      <c r="H1788" t="s">
        <v>110</v>
      </c>
      <c r="I1788" t="s">
        <v>111</v>
      </c>
      <c r="J1788">
        <v>2007</v>
      </c>
      <c r="K1788">
        <v>43698.521897777777</v>
      </c>
      <c r="L1788" t="s">
        <v>422</v>
      </c>
      <c r="M1788" t="s">
        <v>2777</v>
      </c>
      <c r="N1788" t="s">
        <v>415</v>
      </c>
      <c r="O1788">
        <v>346676</v>
      </c>
      <c r="P1788">
        <v>43698.197916666664</v>
      </c>
      <c r="Q1788">
        <v>43319.487736493058</v>
      </c>
      <c r="R1788">
        <v>1825</v>
      </c>
    </row>
    <row r="1789" spans="1:18" x14ac:dyDescent="0.25">
      <c r="A1789" t="s">
        <v>6133</v>
      </c>
      <c r="B1789" t="s">
        <v>6134</v>
      </c>
      <c r="C1789" t="s">
        <v>6135</v>
      </c>
      <c r="D1789" t="s">
        <v>6135</v>
      </c>
      <c r="E1789" t="s">
        <v>6135</v>
      </c>
      <c r="F1789" t="s">
        <v>91</v>
      </c>
      <c r="G1789" t="s">
        <v>63</v>
      </c>
      <c r="H1789" t="s">
        <v>34</v>
      </c>
      <c r="I1789" t="s">
        <v>703</v>
      </c>
      <c r="J1789">
        <v>2012</v>
      </c>
      <c r="K1789">
        <v>43698.521897777777</v>
      </c>
      <c r="L1789" t="s">
        <v>422</v>
      </c>
      <c r="M1789" t="s">
        <v>2777</v>
      </c>
      <c r="N1789" t="s">
        <v>93</v>
      </c>
      <c r="O1789">
        <v>347122</v>
      </c>
      <c r="P1789">
        <v>43698.521897777777</v>
      </c>
      <c r="Q1789">
        <v>43319.488601539349</v>
      </c>
      <c r="R1789">
        <v>1826</v>
      </c>
    </row>
    <row r="1790" spans="1:18" x14ac:dyDescent="0.25">
      <c r="A1790" t="s">
        <v>6136</v>
      </c>
      <c r="B1790" t="s">
        <v>6137</v>
      </c>
      <c r="C1790" t="s">
        <v>6138</v>
      </c>
      <c r="D1790" t="s">
        <v>6138</v>
      </c>
      <c r="E1790" t="s">
        <v>6138</v>
      </c>
      <c r="F1790" t="s">
        <v>21</v>
      </c>
      <c r="G1790" t="s">
        <v>63</v>
      </c>
      <c r="H1790" t="s">
        <v>53</v>
      </c>
      <c r="I1790" t="s">
        <v>471</v>
      </c>
      <c r="J1790">
        <v>2013</v>
      </c>
      <c r="K1790">
        <v>43698.521897777777</v>
      </c>
      <c r="L1790" t="s">
        <v>422</v>
      </c>
      <c r="M1790" t="s">
        <v>2777</v>
      </c>
      <c r="N1790" t="s">
        <v>415</v>
      </c>
      <c r="O1790">
        <v>345199</v>
      </c>
      <c r="P1790">
        <v>43694.135416666664</v>
      </c>
      <c r="Q1790">
        <v>43319.489419444442</v>
      </c>
      <c r="R1790">
        <v>1827</v>
      </c>
    </row>
    <row r="1791" spans="1:18" x14ac:dyDescent="0.25">
      <c r="A1791" t="s">
        <v>6139</v>
      </c>
      <c r="B1791" t="s">
        <v>6140</v>
      </c>
      <c r="C1791" t="s">
        <v>6141</v>
      </c>
      <c r="D1791" t="s">
        <v>6141</v>
      </c>
      <c r="E1791" t="s">
        <v>6141</v>
      </c>
      <c r="F1791" t="s">
        <v>91</v>
      </c>
      <c r="G1791" t="s">
        <v>63</v>
      </c>
      <c r="H1791" t="s">
        <v>53</v>
      </c>
      <c r="I1791" t="s">
        <v>54</v>
      </c>
      <c r="J1791">
        <v>2005</v>
      </c>
      <c r="K1791">
        <v>43698.521897777777</v>
      </c>
      <c r="L1791" t="s">
        <v>422</v>
      </c>
      <c r="M1791" t="s">
        <v>2777</v>
      </c>
      <c r="N1791" t="s">
        <v>415</v>
      </c>
      <c r="O1791">
        <v>346789</v>
      </c>
      <c r="P1791">
        <v>43698.34375</v>
      </c>
      <c r="Q1791">
        <v>43319.489992476854</v>
      </c>
      <c r="R1791">
        <v>1828</v>
      </c>
    </row>
    <row r="1792" spans="1:18" x14ac:dyDescent="0.25">
      <c r="A1792" t="s">
        <v>6142</v>
      </c>
      <c r="B1792" t="s">
        <v>6143</v>
      </c>
      <c r="C1792" t="s">
        <v>6144</v>
      </c>
      <c r="D1792" t="s">
        <v>6144</v>
      </c>
      <c r="E1792" t="s">
        <v>6144</v>
      </c>
      <c r="F1792" t="s">
        <v>21</v>
      </c>
      <c r="G1792" t="s">
        <v>63</v>
      </c>
      <c r="H1792" t="s">
        <v>53</v>
      </c>
      <c r="I1792" t="s">
        <v>471</v>
      </c>
      <c r="J1792">
        <v>2009</v>
      </c>
      <c r="K1792">
        <v>43698.521897777777</v>
      </c>
      <c r="L1792" t="s">
        <v>92</v>
      </c>
      <c r="M1792" t="s">
        <v>1941</v>
      </c>
      <c r="N1792" t="s">
        <v>27</v>
      </c>
      <c r="O1792">
        <v>216262</v>
      </c>
      <c r="P1792">
        <v>43347.632060185184</v>
      </c>
      <c r="Q1792">
        <v>43319.491174849536</v>
      </c>
      <c r="R1792">
        <v>1829</v>
      </c>
    </row>
    <row r="1793" spans="1:18" x14ac:dyDescent="0.25">
      <c r="A1793" t="s">
        <v>6145</v>
      </c>
      <c r="B1793" t="s">
        <v>6146</v>
      </c>
      <c r="C1793" t="s">
        <v>6147</v>
      </c>
      <c r="D1793" t="s">
        <v>6147</v>
      </c>
      <c r="E1793" t="s">
        <v>6148</v>
      </c>
      <c r="F1793" t="s">
        <v>91</v>
      </c>
      <c r="G1793" t="s">
        <v>22</v>
      </c>
      <c r="H1793" t="s">
        <v>53</v>
      </c>
      <c r="I1793" t="s">
        <v>3006</v>
      </c>
      <c r="J1793">
        <v>2019</v>
      </c>
      <c r="K1793">
        <v>43698.521897777777</v>
      </c>
      <c r="L1793" t="s">
        <v>1916</v>
      </c>
      <c r="M1793" t="s">
        <v>1941</v>
      </c>
      <c r="N1793" t="s">
        <v>415</v>
      </c>
      <c r="O1793">
        <v>347060</v>
      </c>
      <c r="P1793">
        <v>43698.521897777777</v>
      </c>
      <c r="Q1793">
        <v>43319.557793136577</v>
      </c>
      <c r="R1793">
        <v>1830</v>
      </c>
    </row>
    <row r="1794" spans="1:18" x14ac:dyDescent="0.25">
      <c r="A1794" t="s">
        <v>6149</v>
      </c>
      <c r="B1794" t="s">
        <v>6150</v>
      </c>
      <c r="C1794" t="s">
        <v>6151</v>
      </c>
      <c r="D1794" t="s">
        <v>6151</v>
      </c>
      <c r="E1794" t="s">
        <v>6152</v>
      </c>
      <c r="F1794" t="s">
        <v>91</v>
      </c>
      <c r="G1794" t="s">
        <v>22</v>
      </c>
      <c r="H1794" t="s">
        <v>53</v>
      </c>
      <c r="I1794" t="s">
        <v>3006</v>
      </c>
      <c r="J1794">
        <v>2019</v>
      </c>
      <c r="K1794">
        <v>43698.521897777777</v>
      </c>
      <c r="L1794" t="s">
        <v>92</v>
      </c>
      <c r="M1794" t="s">
        <v>1941</v>
      </c>
      <c r="N1794" t="s">
        <v>415</v>
      </c>
      <c r="O1794">
        <v>344629</v>
      </c>
      <c r="P1794">
        <v>43697.989583333336</v>
      </c>
      <c r="Q1794">
        <v>43319.558519710648</v>
      </c>
      <c r="R1794">
        <v>1831</v>
      </c>
    </row>
    <row r="1795" spans="1:18" x14ac:dyDescent="0.25">
      <c r="A1795" t="s">
        <v>6153</v>
      </c>
      <c r="B1795" t="s">
        <v>6154</v>
      </c>
      <c r="C1795" t="s">
        <v>6155</v>
      </c>
      <c r="D1795" t="s">
        <v>6155</v>
      </c>
      <c r="E1795" t="s">
        <v>6156</v>
      </c>
      <c r="F1795" t="s">
        <v>91</v>
      </c>
      <c r="G1795" t="s">
        <v>22</v>
      </c>
      <c r="H1795" t="s">
        <v>53</v>
      </c>
      <c r="I1795" t="s">
        <v>3006</v>
      </c>
      <c r="J1795">
        <v>2019</v>
      </c>
      <c r="K1795">
        <v>43698.521897777777</v>
      </c>
      <c r="L1795" t="s">
        <v>193</v>
      </c>
      <c r="M1795" t="s">
        <v>1941</v>
      </c>
      <c r="N1795" t="s">
        <v>415</v>
      </c>
      <c r="O1795">
        <v>346994</v>
      </c>
      <c r="P1795">
        <v>43698.521897777777</v>
      </c>
      <c r="Q1795">
        <v>43319.559186458333</v>
      </c>
      <c r="R1795">
        <v>1832</v>
      </c>
    </row>
    <row r="1796" spans="1:18" x14ac:dyDescent="0.25">
      <c r="A1796" t="s">
        <v>6157</v>
      </c>
      <c r="B1796" t="s">
        <v>6158</v>
      </c>
      <c r="C1796" t="s">
        <v>6159</v>
      </c>
      <c r="D1796" t="s">
        <v>6159</v>
      </c>
      <c r="E1796" t="s">
        <v>6160</v>
      </c>
      <c r="F1796" t="s">
        <v>91</v>
      </c>
      <c r="G1796" t="s">
        <v>22</v>
      </c>
      <c r="H1796" t="s">
        <v>53</v>
      </c>
      <c r="I1796" t="s">
        <v>3006</v>
      </c>
      <c r="J1796">
        <v>2019</v>
      </c>
      <c r="K1796">
        <v>43698.521897777777</v>
      </c>
      <c r="L1796" t="s">
        <v>1916</v>
      </c>
      <c r="M1796" t="s">
        <v>1941</v>
      </c>
      <c r="N1796" t="s">
        <v>415</v>
      </c>
      <c r="O1796">
        <v>347102</v>
      </c>
      <c r="P1796">
        <v>43698.521897777777</v>
      </c>
      <c r="Q1796">
        <v>43319.559953935182</v>
      </c>
      <c r="R1796">
        <v>1833</v>
      </c>
    </row>
    <row r="1797" spans="1:18" x14ac:dyDescent="0.25">
      <c r="A1797" t="s">
        <v>6161</v>
      </c>
      <c r="B1797" t="s">
        <v>6162</v>
      </c>
      <c r="C1797" t="s">
        <v>6163</v>
      </c>
      <c r="D1797" t="s">
        <v>6163</v>
      </c>
      <c r="E1797" t="s">
        <v>6164</v>
      </c>
      <c r="F1797" t="s">
        <v>91</v>
      </c>
      <c r="G1797" t="s">
        <v>22</v>
      </c>
      <c r="H1797" t="s">
        <v>53</v>
      </c>
      <c r="I1797" t="s">
        <v>3006</v>
      </c>
      <c r="J1797">
        <v>2019</v>
      </c>
      <c r="K1797">
        <v>43698.521897777777</v>
      </c>
      <c r="L1797" t="s">
        <v>1916</v>
      </c>
      <c r="M1797" t="s">
        <v>1941</v>
      </c>
      <c r="N1797" t="s">
        <v>415</v>
      </c>
      <c r="O1797">
        <v>346560</v>
      </c>
      <c r="P1797">
        <v>43698.521897777777</v>
      </c>
      <c r="Q1797">
        <v>43319.560621759258</v>
      </c>
      <c r="R1797">
        <v>1834</v>
      </c>
    </row>
    <row r="1798" spans="1:18" x14ac:dyDescent="0.25">
      <c r="A1798" t="s">
        <v>6165</v>
      </c>
      <c r="B1798" t="s">
        <v>6166</v>
      </c>
      <c r="C1798" t="s">
        <v>6167</v>
      </c>
      <c r="D1798" t="s">
        <v>6167</v>
      </c>
      <c r="E1798" t="s">
        <v>6168</v>
      </c>
      <c r="F1798" t="s">
        <v>91</v>
      </c>
      <c r="G1798" t="s">
        <v>22</v>
      </c>
      <c r="H1798" t="s">
        <v>53</v>
      </c>
      <c r="I1798" t="s">
        <v>3006</v>
      </c>
      <c r="J1798">
        <v>2019</v>
      </c>
      <c r="K1798">
        <v>43698.521897777777</v>
      </c>
      <c r="L1798" t="s">
        <v>193</v>
      </c>
      <c r="M1798" t="s">
        <v>1941</v>
      </c>
      <c r="N1798" t="s">
        <v>415</v>
      </c>
      <c r="O1798">
        <v>345672</v>
      </c>
      <c r="P1798">
        <v>43698.521897777777</v>
      </c>
      <c r="Q1798">
        <v>43319.561220868054</v>
      </c>
      <c r="R1798">
        <v>1835</v>
      </c>
    </row>
    <row r="1799" spans="1:18" x14ac:dyDescent="0.25">
      <c r="A1799" t="s">
        <v>6169</v>
      </c>
      <c r="B1799" t="s">
        <v>6170</v>
      </c>
      <c r="C1799" t="s">
        <v>6171</v>
      </c>
      <c r="D1799" t="s">
        <v>6171</v>
      </c>
      <c r="E1799" t="s">
        <v>6172</v>
      </c>
      <c r="F1799" t="s">
        <v>91</v>
      </c>
      <c r="G1799" t="s">
        <v>22</v>
      </c>
      <c r="H1799" t="s">
        <v>53</v>
      </c>
      <c r="I1799" t="s">
        <v>3006</v>
      </c>
      <c r="J1799">
        <v>2019</v>
      </c>
      <c r="K1799">
        <v>43698.521897777777</v>
      </c>
      <c r="L1799" t="s">
        <v>1916</v>
      </c>
      <c r="M1799" t="s">
        <v>1941</v>
      </c>
      <c r="N1799" t="s">
        <v>415</v>
      </c>
      <c r="O1799">
        <v>347133</v>
      </c>
      <c r="P1799">
        <v>43698.521897777777</v>
      </c>
      <c r="Q1799">
        <v>43319.561825196761</v>
      </c>
      <c r="R1799">
        <v>1836</v>
      </c>
    </row>
    <row r="1800" spans="1:18" x14ac:dyDescent="0.25">
      <c r="A1800" t="s">
        <v>6173</v>
      </c>
      <c r="B1800" t="s">
        <v>6174</v>
      </c>
      <c r="C1800" t="s">
        <v>6175</v>
      </c>
      <c r="D1800" t="s">
        <v>6175</v>
      </c>
      <c r="E1800" t="s">
        <v>6176</v>
      </c>
      <c r="F1800" t="s">
        <v>91</v>
      </c>
      <c r="G1800" t="s">
        <v>22</v>
      </c>
      <c r="H1800" t="s">
        <v>53</v>
      </c>
      <c r="I1800" t="s">
        <v>3006</v>
      </c>
      <c r="J1800">
        <v>2019</v>
      </c>
      <c r="K1800">
        <v>43698.521897777777</v>
      </c>
      <c r="L1800" t="s">
        <v>193</v>
      </c>
      <c r="M1800" t="s">
        <v>1941</v>
      </c>
      <c r="N1800" t="s">
        <v>415</v>
      </c>
      <c r="O1800">
        <v>346132</v>
      </c>
      <c r="P1800">
        <v>43698.521897777777</v>
      </c>
      <c r="Q1800">
        <v>43319.562470567129</v>
      </c>
      <c r="R1800">
        <v>1837</v>
      </c>
    </row>
    <row r="1801" spans="1:18" x14ac:dyDescent="0.25">
      <c r="A1801" t="s">
        <v>6177</v>
      </c>
      <c r="B1801" t="s">
        <v>6178</v>
      </c>
      <c r="C1801" t="s">
        <v>6179</v>
      </c>
      <c r="D1801" t="s">
        <v>6179</v>
      </c>
      <c r="E1801" t="s">
        <v>6180</v>
      </c>
      <c r="F1801" t="s">
        <v>91</v>
      </c>
      <c r="G1801" t="s">
        <v>22</v>
      </c>
      <c r="H1801" t="s">
        <v>53</v>
      </c>
      <c r="I1801" t="s">
        <v>3006</v>
      </c>
      <c r="J1801">
        <v>2019</v>
      </c>
      <c r="K1801">
        <v>43698.521897777777</v>
      </c>
      <c r="L1801" t="s">
        <v>193</v>
      </c>
      <c r="M1801" t="s">
        <v>1941</v>
      </c>
      <c r="N1801" t="s">
        <v>415</v>
      </c>
      <c r="O1801">
        <v>347078</v>
      </c>
      <c r="P1801">
        <v>43698.521897777777</v>
      </c>
      <c r="Q1801">
        <v>43319.563192905094</v>
      </c>
      <c r="R1801">
        <v>1838</v>
      </c>
    </row>
    <row r="1802" spans="1:18" x14ac:dyDescent="0.25">
      <c r="A1802" t="s">
        <v>6181</v>
      </c>
      <c r="B1802" t="s">
        <v>6182</v>
      </c>
      <c r="C1802" t="s">
        <v>6183</v>
      </c>
      <c r="D1802" t="s">
        <v>6183</v>
      </c>
      <c r="E1802" t="s">
        <v>6184</v>
      </c>
      <c r="F1802" t="s">
        <v>91</v>
      </c>
      <c r="G1802" t="s">
        <v>22</v>
      </c>
      <c r="H1802" t="s">
        <v>53</v>
      </c>
      <c r="I1802" t="s">
        <v>3006</v>
      </c>
      <c r="J1802">
        <v>2019</v>
      </c>
      <c r="K1802">
        <v>43698.521897777777</v>
      </c>
      <c r="L1802" t="s">
        <v>1916</v>
      </c>
      <c r="M1802" t="s">
        <v>1941</v>
      </c>
      <c r="N1802" t="s">
        <v>415</v>
      </c>
      <c r="O1802">
        <v>345331</v>
      </c>
      <c r="P1802">
        <v>43698.521897777777</v>
      </c>
      <c r="Q1802">
        <v>43319.563948414354</v>
      </c>
      <c r="R1802">
        <v>1839</v>
      </c>
    </row>
    <row r="1803" spans="1:18" x14ac:dyDescent="0.25">
      <c r="A1803" t="s">
        <v>6185</v>
      </c>
      <c r="B1803" t="s">
        <v>1666</v>
      </c>
      <c r="C1803" t="s">
        <v>6186</v>
      </c>
      <c r="D1803" t="s">
        <v>6186</v>
      </c>
      <c r="E1803" t="s">
        <v>6187</v>
      </c>
      <c r="F1803" t="s">
        <v>91</v>
      </c>
      <c r="G1803" t="s">
        <v>63</v>
      </c>
      <c r="H1803" t="s">
        <v>53</v>
      </c>
      <c r="I1803" t="s">
        <v>471</v>
      </c>
      <c r="J1803">
        <v>2016</v>
      </c>
      <c r="K1803">
        <v>43698.521897777777</v>
      </c>
      <c r="L1803" t="s">
        <v>466</v>
      </c>
      <c r="M1803" t="s">
        <v>1738</v>
      </c>
      <c r="N1803" t="s">
        <v>1305</v>
      </c>
      <c r="O1803">
        <v>345749</v>
      </c>
      <c r="P1803">
        <v>43698.521897777777</v>
      </c>
      <c r="Q1803">
        <v>43321.608511377315</v>
      </c>
      <c r="R1803">
        <v>1840</v>
      </c>
    </row>
    <row r="1804" spans="1:18" x14ac:dyDescent="0.25">
      <c r="A1804" t="s">
        <v>6188</v>
      </c>
      <c r="B1804" t="s">
        <v>3423</v>
      </c>
      <c r="C1804" t="s">
        <v>6189</v>
      </c>
      <c r="D1804" t="s">
        <v>6189</v>
      </c>
      <c r="E1804" t="s">
        <v>6190</v>
      </c>
      <c r="F1804" t="s">
        <v>91</v>
      </c>
      <c r="G1804" t="s">
        <v>63</v>
      </c>
      <c r="H1804" t="s">
        <v>53</v>
      </c>
      <c r="I1804" t="s">
        <v>471</v>
      </c>
      <c r="J1804">
        <v>2016</v>
      </c>
      <c r="K1804">
        <v>43698.521897777777</v>
      </c>
      <c r="L1804" t="s">
        <v>466</v>
      </c>
      <c r="M1804" t="s">
        <v>1738</v>
      </c>
      <c r="N1804" t="s">
        <v>1305</v>
      </c>
      <c r="O1804">
        <v>342687</v>
      </c>
      <c r="P1804">
        <v>43692.610312500001</v>
      </c>
      <c r="Q1804">
        <v>43321.609972256942</v>
      </c>
      <c r="R1804">
        <v>1841</v>
      </c>
    </row>
    <row r="1805" spans="1:18" x14ac:dyDescent="0.25">
      <c r="A1805" t="s">
        <v>6191</v>
      </c>
      <c r="B1805" t="s">
        <v>1494</v>
      </c>
      <c r="C1805" t="s">
        <v>6192</v>
      </c>
      <c r="D1805" t="s">
        <v>6192</v>
      </c>
      <c r="E1805" t="s">
        <v>6193</v>
      </c>
      <c r="F1805" t="s">
        <v>91</v>
      </c>
      <c r="G1805" t="s">
        <v>63</v>
      </c>
      <c r="H1805" t="s">
        <v>53</v>
      </c>
      <c r="I1805" t="s">
        <v>471</v>
      </c>
      <c r="J1805">
        <v>2016</v>
      </c>
      <c r="K1805">
        <v>43698.521897777777</v>
      </c>
      <c r="L1805" t="s">
        <v>466</v>
      </c>
      <c r="M1805" t="s">
        <v>1738</v>
      </c>
      <c r="N1805" t="s">
        <v>1305</v>
      </c>
      <c r="O1805">
        <v>345825</v>
      </c>
      <c r="P1805">
        <v>43698.521897777777</v>
      </c>
      <c r="Q1805">
        <v>43321.610655358796</v>
      </c>
      <c r="R1805">
        <v>1842</v>
      </c>
    </row>
    <row r="1806" spans="1:18" x14ac:dyDescent="0.25">
      <c r="A1806" t="s">
        <v>6194</v>
      </c>
      <c r="B1806" t="s">
        <v>6195</v>
      </c>
      <c r="C1806" t="s">
        <v>6196</v>
      </c>
      <c r="D1806" t="s">
        <v>6196</v>
      </c>
      <c r="E1806" t="s">
        <v>6196</v>
      </c>
      <c r="F1806" t="s">
        <v>91</v>
      </c>
      <c r="G1806" t="s">
        <v>63</v>
      </c>
      <c r="H1806" t="s">
        <v>236</v>
      </c>
      <c r="I1806" t="s">
        <v>41</v>
      </c>
      <c r="J1806">
        <v>2012</v>
      </c>
      <c r="K1806">
        <v>43698.521897777777</v>
      </c>
      <c r="L1806" t="s">
        <v>92</v>
      </c>
      <c r="M1806" t="s">
        <v>1941</v>
      </c>
      <c r="N1806" t="s">
        <v>2778</v>
      </c>
      <c r="O1806">
        <v>345197</v>
      </c>
      <c r="P1806">
        <v>43698.521897777777</v>
      </c>
      <c r="Q1806">
        <v>43322.467043136574</v>
      </c>
      <c r="R1806">
        <v>1843</v>
      </c>
    </row>
    <row r="1807" spans="1:18" x14ac:dyDescent="0.25">
      <c r="A1807" t="s">
        <v>6197</v>
      </c>
      <c r="B1807" t="s">
        <v>4486</v>
      </c>
      <c r="C1807" t="s">
        <v>6198</v>
      </c>
      <c r="D1807" t="s">
        <v>6198</v>
      </c>
      <c r="E1807" t="s">
        <v>6198</v>
      </c>
      <c r="F1807" t="s">
        <v>21</v>
      </c>
      <c r="G1807" t="s">
        <v>63</v>
      </c>
      <c r="H1807" t="s">
        <v>53</v>
      </c>
      <c r="I1807" t="s">
        <v>471</v>
      </c>
      <c r="J1807">
        <v>2015</v>
      </c>
      <c r="K1807">
        <v>43698.521897777777</v>
      </c>
      <c r="L1807" t="s">
        <v>1005</v>
      </c>
      <c r="M1807" t="s">
        <v>1941</v>
      </c>
      <c r="N1807" t="s">
        <v>27</v>
      </c>
      <c r="O1807">
        <v>316839</v>
      </c>
      <c r="P1807">
        <v>43626.663888888892</v>
      </c>
      <c r="Q1807">
        <v>43322.468017280095</v>
      </c>
      <c r="R1807">
        <v>1844</v>
      </c>
    </row>
    <row r="1808" spans="1:18" x14ac:dyDescent="0.25">
      <c r="A1808" t="s">
        <v>6199</v>
      </c>
      <c r="B1808" t="s">
        <v>6200</v>
      </c>
      <c r="C1808" t="s">
        <v>6201</v>
      </c>
      <c r="D1808" t="s">
        <v>6201</v>
      </c>
      <c r="E1808" t="s">
        <v>6201</v>
      </c>
      <c r="F1808" t="s">
        <v>21</v>
      </c>
      <c r="G1808" t="s">
        <v>63</v>
      </c>
      <c r="H1808" t="s">
        <v>53</v>
      </c>
      <c r="I1808" t="s">
        <v>471</v>
      </c>
      <c r="J1808">
        <v>2011</v>
      </c>
      <c r="K1808">
        <v>43698.521897777777</v>
      </c>
      <c r="L1808" t="s">
        <v>422</v>
      </c>
      <c r="M1808" t="s">
        <v>2777</v>
      </c>
      <c r="N1808" t="s">
        <v>27</v>
      </c>
      <c r="O1808">
        <v>216770</v>
      </c>
      <c r="P1808">
        <v>43347.895833333336</v>
      </c>
      <c r="Q1808">
        <v>43322.468797604168</v>
      </c>
      <c r="R1808">
        <v>1845</v>
      </c>
    </row>
    <row r="1809" spans="1:18" x14ac:dyDescent="0.25">
      <c r="A1809" t="s">
        <v>6202</v>
      </c>
      <c r="B1809" t="s">
        <v>6203</v>
      </c>
      <c r="C1809" t="s">
        <v>6204</v>
      </c>
      <c r="D1809" t="s">
        <v>6204</v>
      </c>
      <c r="E1809" t="s">
        <v>6204</v>
      </c>
      <c r="F1809" t="s">
        <v>21</v>
      </c>
      <c r="G1809" t="s">
        <v>63</v>
      </c>
      <c r="H1809" t="s">
        <v>53</v>
      </c>
      <c r="I1809" t="s">
        <v>471</v>
      </c>
      <c r="J1809">
        <v>2014</v>
      </c>
      <c r="K1809">
        <v>43698.521897777777</v>
      </c>
      <c r="L1809" t="s">
        <v>1005</v>
      </c>
      <c r="M1809" t="s">
        <v>37</v>
      </c>
      <c r="N1809" t="s">
        <v>415</v>
      </c>
      <c r="O1809">
        <v>255906</v>
      </c>
      <c r="P1809">
        <v>43459.6</v>
      </c>
      <c r="Q1809">
        <v>43322.469475659724</v>
      </c>
      <c r="R1809">
        <v>1846</v>
      </c>
    </row>
    <row r="1810" spans="1:18" x14ac:dyDescent="0.25">
      <c r="A1810" t="s">
        <v>6205</v>
      </c>
      <c r="B1810" t="s">
        <v>6206</v>
      </c>
      <c r="C1810" t="s">
        <v>6207</v>
      </c>
      <c r="D1810" t="s">
        <v>6207</v>
      </c>
      <c r="E1810" t="s">
        <v>6207</v>
      </c>
      <c r="F1810" t="s">
        <v>91</v>
      </c>
      <c r="G1810" t="s">
        <v>63</v>
      </c>
      <c r="H1810" t="s">
        <v>110</v>
      </c>
      <c r="I1810" t="s">
        <v>111</v>
      </c>
      <c r="J1810">
        <v>2013</v>
      </c>
      <c r="K1810">
        <v>43698.521897777777</v>
      </c>
      <c r="L1810" t="s">
        <v>193</v>
      </c>
      <c r="M1810" t="s">
        <v>1941</v>
      </c>
      <c r="N1810" t="s">
        <v>93</v>
      </c>
      <c r="O1810">
        <v>346917</v>
      </c>
      <c r="P1810">
        <v>43698.521897777777</v>
      </c>
      <c r="Q1810">
        <v>43322.47024771991</v>
      </c>
      <c r="R1810">
        <v>1847</v>
      </c>
    </row>
    <row r="1811" spans="1:18" x14ac:dyDescent="0.25">
      <c r="A1811" t="s">
        <v>6208</v>
      </c>
      <c r="B1811" t="s">
        <v>6209</v>
      </c>
      <c r="C1811" t="s">
        <v>6210</v>
      </c>
      <c r="D1811" t="s">
        <v>6210</v>
      </c>
      <c r="E1811" t="s">
        <v>6210</v>
      </c>
      <c r="F1811" t="s">
        <v>21</v>
      </c>
      <c r="G1811" t="s">
        <v>63</v>
      </c>
      <c r="H1811" t="s">
        <v>34</v>
      </c>
      <c r="I1811" t="s">
        <v>35</v>
      </c>
      <c r="J1811">
        <v>2019</v>
      </c>
      <c r="K1811">
        <v>43698.521897777777</v>
      </c>
      <c r="L1811" t="s">
        <v>1005</v>
      </c>
      <c r="M1811" t="s">
        <v>42</v>
      </c>
      <c r="N1811" t="s">
        <v>415</v>
      </c>
      <c r="O1811">
        <v>306717</v>
      </c>
      <c r="P1811">
        <v>43601.319560185184</v>
      </c>
      <c r="Q1811">
        <v>43326.768265243052</v>
      </c>
      <c r="R1811">
        <v>1848</v>
      </c>
    </row>
    <row r="1812" spans="1:18" x14ac:dyDescent="0.25">
      <c r="A1812" t="s">
        <v>25</v>
      </c>
      <c r="B1812" t="s">
        <v>25</v>
      </c>
      <c r="C1812" t="s">
        <v>4494</v>
      </c>
      <c r="D1812" t="s">
        <v>4494</v>
      </c>
      <c r="E1812" t="s">
        <v>6211</v>
      </c>
      <c r="F1812" t="s">
        <v>21</v>
      </c>
      <c r="G1812" t="s">
        <v>106</v>
      </c>
      <c r="H1812" t="s">
        <v>25</v>
      </c>
      <c r="I1812" t="s">
        <v>25</v>
      </c>
      <c r="K1812">
        <v>43698.521897777777</v>
      </c>
      <c r="L1812" t="s">
        <v>422</v>
      </c>
      <c r="M1812" t="s">
        <v>2777</v>
      </c>
      <c r="N1812" t="s">
        <v>27</v>
      </c>
      <c r="O1812">
        <v>220415</v>
      </c>
      <c r="P1812">
        <v>43358.729166666664</v>
      </c>
      <c r="Q1812">
        <v>43326.932146145831</v>
      </c>
      <c r="R1812">
        <v>1849</v>
      </c>
    </row>
    <row r="1813" spans="1:18" x14ac:dyDescent="0.25">
      <c r="A1813" t="s">
        <v>25</v>
      </c>
      <c r="B1813" t="s">
        <v>25</v>
      </c>
      <c r="C1813" t="s">
        <v>4494</v>
      </c>
      <c r="D1813" t="s">
        <v>4494</v>
      </c>
      <c r="E1813" t="s">
        <v>6212</v>
      </c>
      <c r="F1813" t="s">
        <v>21</v>
      </c>
      <c r="G1813" t="s">
        <v>106</v>
      </c>
      <c r="H1813" t="s">
        <v>25</v>
      </c>
      <c r="I1813" t="s">
        <v>25</v>
      </c>
      <c r="K1813">
        <v>43698.521897777777</v>
      </c>
      <c r="L1813" t="s">
        <v>422</v>
      </c>
      <c r="M1813" t="s">
        <v>42</v>
      </c>
      <c r="N1813" t="s">
        <v>27</v>
      </c>
      <c r="O1813">
        <v>260628</v>
      </c>
      <c r="P1813">
        <v>43476.520833333336</v>
      </c>
      <c r="Q1813">
        <v>43326.932393831019</v>
      </c>
      <c r="R1813">
        <v>1850</v>
      </c>
    </row>
    <row r="1814" spans="1:18" x14ac:dyDescent="0.25">
      <c r="A1814" t="s">
        <v>25</v>
      </c>
      <c r="B1814" t="s">
        <v>25</v>
      </c>
      <c r="C1814" t="s">
        <v>6213</v>
      </c>
      <c r="D1814" t="s">
        <v>6213</v>
      </c>
      <c r="E1814" t="s">
        <v>6214</v>
      </c>
      <c r="F1814" t="s">
        <v>21</v>
      </c>
      <c r="G1814" t="s">
        <v>106</v>
      </c>
      <c r="H1814" t="s">
        <v>25</v>
      </c>
      <c r="I1814" t="s">
        <v>25</v>
      </c>
      <c r="K1814">
        <v>43698.521897777777</v>
      </c>
      <c r="L1814" t="s">
        <v>422</v>
      </c>
      <c r="M1814" t="s">
        <v>42</v>
      </c>
      <c r="N1814" t="s">
        <v>27</v>
      </c>
      <c r="O1814">
        <v>299688</v>
      </c>
      <c r="P1814">
        <v>43581.635416666664</v>
      </c>
      <c r="Q1814">
        <v>43326.941803900459</v>
      </c>
      <c r="R1814">
        <v>1851</v>
      </c>
    </row>
    <row r="1815" spans="1:18" x14ac:dyDescent="0.25">
      <c r="A1815" t="s">
        <v>25</v>
      </c>
      <c r="B1815" t="s">
        <v>25</v>
      </c>
      <c r="C1815" t="s">
        <v>6213</v>
      </c>
      <c r="D1815" t="s">
        <v>6213</v>
      </c>
      <c r="E1815" t="s">
        <v>6215</v>
      </c>
      <c r="F1815" t="s">
        <v>21</v>
      </c>
      <c r="G1815" t="s">
        <v>106</v>
      </c>
      <c r="H1815" t="s">
        <v>25</v>
      </c>
      <c r="I1815" t="s">
        <v>25</v>
      </c>
      <c r="K1815">
        <v>43698.521897777777</v>
      </c>
      <c r="L1815" t="s">
        <v>422</v>
      </c>
      <c r="M1815" t="s">
        <v>42</v>
      </c>
      <c r="N1815" t="s">
        <v>27</v>
      </c>
      <c r="O1815">
        <v>227489</v>
      </c>
      <c r="P1815">
        <v>43378.697916666664</v>
      </c>
      <c r="Q1815">
        <v>43326.941996875001</v>
      </c>
      <c r="R1815">
        <v>1852</v>
      </c>
    </row>
    <row r="1816" spans="1:18" x14ac:dyDescent="0.25">
      <c r="A1816" t="s">
        <v>6216</v>
      </c>
      <c r="B1816" t="s">
        <v>6217</v>
      </c>
      <c r="C1816" t="s">
        <v>6218</v>
      </c>
      <c r="D1816" t="s">
        <v>6218</v>
      </c>
      <c r="E1816" t="s">
        <v>6218</v>
      </c>
      <c r="F1816" t="s">
        <v>21</v>
      </c>
      <c r="G1816" t="s">
        <v>63</v>
      </c>
      <c r="H1816" t="s">
        <v>591</v>
      </c>
      <c r="I1816" t="s">
        <v>3071</v>
      </c>
      <c r="J1816">
        <v>2012</v>
      </c>
      <c r="K1816">
        <v>43698.521897777777</v>
      </c>
      <c r="L1816" t="s">
        <v>422</v>
      </c>
      <c r="M1816" t="s">
        <v>1941</v>
      </c>
      <c r="N1816" t="s">
        <v>27</v>
      </c>
      <c r="O1816">
        <v>214202</v>
      </c>
      <c r="P1816">
        <v>43340.0625</v>
      </c>
      <c r="Q1816">
        <v>43327.636777002313</v>
      </c>
      <c r="R1816">
        <v>1853</v>
      </c>
    </row>
    <row r="1817" spans="1:18" x14ac:dyDescent="0.25">
      <c r="A1817" t="s">
        <v>6219</v>
      </c>
      <c r="B1817" t="s">
        <v>1581</v>
      </c>
      <c r="C1817" t="s">
        <v>6220</v>
      </c>
      <c r="D1817" t="s">
        <v>6220</v>
      </c>
      <c r="E1817" t="s">
        <v>6221</v>
      </c>
      <c r="F1817" t="s">
        <v>91</v>
      </c>
      <c r="G1817" t="s">
        <v>63</v>
      </c>
      <c r="H1817" t="s">
        <v>53</v>
      </c>
      <c r="I1817" t="s">
        <v>471</v>
      </c>
      <c r="J1817">
        <v>2016</v>
      </c>
      <c r="K1817">
        <v>43698.521897777777</v>
      </c>
      <c r="L1817" t="s">
        <v>466</v>
      </c>
      <c r="M1817" t="s">
        <v>1738</v>
      </c>
      <c r="N1817" t="s">
        <v>1305</v>
      </c>
      <c r="O1817">
        <v>340710</v>
      </c>
      <c r="P1817">
        <v>43698.521897777777</v>
      </c>
      <c r="Q1817">
        <v>43328.750581053238</v>
      </c>
      <c r="R1817">
        <v>1854</v>
      </c>
    </row>
    <row r="1818" spans="1:18" x14ac:dyDescent="0.25">
      <c r="A1818" t="s">
        <v>6222</v>
      </c>
      <c r="B1818" t="s">
        <v>1490</v>
      </c>
      <c r="C1818" t="s">
        <v>6223</v>
      </c>
      <c r="D1818" t="s">
        <v>6223</v>
      </c>
      <c r="E1818" t="s">
        <v>6224</v>
      </c>
      <c r="F1818" t="s">
        <v>91</v>
      </c>
      <c r="G1818" t="s">
        <v>63</v>
      </c>
      <c r="H1818" t="s">
        <v>53</v>
      </c>
      <c r="I1818" t="s">
        <v>471</v>
      </c>
      <c r="J1818">
        <v>2016</v>
      </c>
      <c r="K1818">
        <v>43698.521897777777</v>
      </c>
      <c r="L1818" t="s">
        <v>466</v>
      </c>
      <c r="M1818" t="s">
        <v>1738</v>
      </c>
      <c r="N1818" t="s">
        <v>1305</v>
      </c>
      <c r="O1818">
        <v>346159</v>
      </c>
      <c r="P1818">
        <v>43698.521897777777</v>
      </c>
      <c r="Q1818">
        <v>43328.773962847219</v>
      </c>
      <c r="R1818">
        <v>1855</v>
      </c>
    </row>
    <row r="1819" spans="1:18" x14ac:dyDescent="0.25">
      <c r="A1819" t="s">
        <v>6225</v>
      </c>
      <c r="B1819" t="s">
        <v>1470</v>
      </c>
      <c r="C1819" t="s">
        <v>6226</v>
      </c>
      <c r="D1819" t="s">
        <v>6226</v>
      </c>
      <c r="E1819" t="s">
        <v>6227</v>
      </c>
      <c r="F1819" t="s">
        <v>253</v>
      </c>
      <c r="G1819" t="s">
        <v>63</v>
      </c>
      <c r="H1819" t="s">
        <v>53</v>
      </c>
      <c r="I1819" t="s">
        <v>471</v>
      </c>
      <c r="J1819">
        <v>2016</v>
      </c>
      <c r="K1819">
        <v>43698.521897777777</v>
      </c>
      <c r="L1819" t="s">
        <v>466</v>
      </c>
      <c r="M1819" t="s">
        <v>1738</v>
      </c>
      <c r="N1819" t="s">
        <v>1305</v>
      </c>
      <c r="O1819">
        <v>342724</v>
      </c>
      <c r="P1819">
        <v>43692.518750000003</v>
      </c>
      <c r="Q1819">
        <v>43328.776433333333</v>
      </c>
      <c r="R1819">
        <v>1856</v>
      </c>
    </row>
    <row r="1820" spans="1:18" x14ac:dyDescent="0.25">
      <c r="A1820" t="s">
        <v>6228</v>
      </c>
      <c r="B1820" t="s">
        <v>6229</v>
      </c>
      <c r="C1820" t="s">
        <v>6230</v>
      </c>
      <c r="D1820" t="s">
        <v>6230</v>
      </c>
      <c r="E1820" t="s">
        <v>6230</v>
      </c>
      <c r="F1820" t="s">
        <v>21</v>
      </c>
      <c r="G1820" t="s">
        <v>63</v>
      </c>
      <c r="H1820" t="s">
        <v>53</v>
      </c>
      <c r="I1820" t="s">
        <v>471</v>
      </c>
      <c r="J1820">
        <v>2011</v>
      </c>
      <c r="K1820">
        <v>43698.521897777777</v>
      </c>
      <c r="L1820" t="s">
        <v>422</v>
      </c>
      <c r="M1820" t="s">
        <v>2777</v>
      </c>
      <c r="N1820" t="s">
        <v>27</v>
      </c>
      <c r="O1820">
        <v>244648</v>
      </c>
      <c r="P1820">
        <v>43427.114583333336</v>
      </c>
      <c r="Q1820">
        <v>43329.474196493058</v>
      </c>
      <c r="R1820">
        <v>1857</v>
      </c>
    </row>
    <row r="1821" spans="1:18" x14ac:dyDescent="0.25">
      <c r="A1821" t="s">
        <v>6231</v>
      </c>
      <c r="B1821" t="s">
        <v>6232</v>
      </c>
      <c r="C1821" t="s">
        <v>6233</v>
      </c>
      <c r="D1821" t="s">
        <v>6233</v>
      </c>
      <c r="E1821" t="s">
        <v>6233</v>
      </c>
      <c r="F1821" t="s">
        <v>253</v>
      </c>
      <c r="G1821" t="s">
        <v>63</v>
      </c>
      <c r="H1821" t="s">
        <v>6234</v>
      </c>
      <c r="I1821" t="s">
        <v>59</v>
      </c>
      <c r="J1821">
        <v>2007</v>
      </c>
      <c r="K1821">
        <v>43698.521897777777</v>
      </c>
      <c r="L1821" t="s">
        <v>422</v>
      </c>
      <c r="M1821" t="s">
        <v>2777</v>
      </c>
      <c r="N1821" t="s">
        <v>415</v>
      </c>
      <c r="O1821">
        <v>346797</v>
      </c>
      <c r="P1821">
        <v>43698.354166666664</v>
      </c>
      <c r="Q1821">
        <v>43329.476586192133</v>
      </c>
      <c r="R1821">
        <v>1858</v>
      </c>
    </row>
    <row r="1822" spans="1:18" x14ac:dyDescent="0.25">
      <c r="A1822" t="s">
        <v>6235</v>
      </c>
      <c r="B1822" t="s">
        <v>6236</v>
      </c>
      <c r="C1822" t="s">
        <v>6237</v>
      </c>
      <c r="D1822" t="s">
        <v>6237</v>
      </c>
      <c r="E1822" t="s">
        <v>6237</v>
      </c>
      <c r="F1822" t="s">
        <v>91</v>
      </c>
      <c r="G1822" t="s">
        <v>63</v>
      </c>
      <c r="H1822" t="s">
        <v>53</v>
      </c>
      <c r="I1822" t="s">
        <v>54</v>
      </c>
      <c r="J1822">
        <v>2008</v>
      </c>
      <c r="K1822">
        <v>43698.521897777777</v>
      </c>
      <c r="L1822" t="s">
        <v>466</v>
      </c>
      <c r="M1822" t="s">
        <v>154</v>
      </c>
      <c r="N1822" t="s">
        <v>1305</v>
      </c>
      <c r="O1822">
        <v>345651</v>
      </c>
      <c r="P1822">
        <v>43698.521897777777</v>
      </c>
      <c r="Q1822">
        <v>43333.518152928242</v>
      </c>
      <c r="R1822">
        <v>1859</v>
      </c>
    </row>
    <row r="1823" spans="1:18" x14ac:dyDescent="0.25">
      <c r="A1823" t="s">
        <v>25</v>
      </c>
      <c r="B1823" t="s">
        <v>25</v>
      </c>
      <c r="C1823" t="s">
        <v>6238</v>
      </c>
      <c r="D1823" t="s">
        <v>6238</v>
      </c>
      <c r="E1823" t="s">
        <v>6239</v>
      </c>
      <c r="F1823" t="s">
        <v>21</v>
      </c>
      <c r="G1823" t="s">
        <v>106</v>
      </c>
      <c r="H1823" t="s">
        <v>25</v>
      </c>
      <c r="I1823" t="s">
        <v>25</v>
      </c>
      <c r="K1823">
        <v>43698.521897777777</v>
      </c>
      <c r="L1823" t="s">
        <v>422</v>
      </c>
      <c r="M1823" t="s">
        <v>42</v>
      </c>
      <c r="N1823" t="s">
        <v>27</v>
      </c>
      <c r="O1823">
        <v>305548</v>
      </c>
      <c r="P1823">
        <v>43595.78125</v>
      </c>
      <c r="Q1823">
        <v>43333.941777349537</v>
      </c>
      <c r="R1823">
        <v>1860</v>
      </c>
    </row>
    <row r="1824" spans="1:18" x14ac:dyDescent="0.25">
      <c r="A1824" t="s">
        <v>6240</v>
      </c>
      <c r="B1824" t="s">
        <v>6241</v>
      </c>
      <c r="C1824" t="s">
        <v>6242</v>
      </c>
      <c r="D1824" t="s">
        <v>6242</v>
      </c>
      <c r="E1824" t="s">
        <v>6243</v>
      </c>
      <c r="F1824" t="s">
        <v>91</v>
      </c>
      <c r="G1824" t="s">
        <v>22</v>
      </c>
      <c r="H1824" t="s">
        <v>53</v>
      </c>
      <c r="I1824" t="s">
        <v>3006</v>
      </c>
      <c r="J1824">
        <v>2019</v>
      </c>
      <c r="K1824">
        <v>43698.521897777777</v>
      </c>
      <c r="L1824" t="s">
        <v>422</v>
      </c>
      <c r="M1824" t="s">
        <v>2777</v>
      </c>
      <c r="N1824" t="s">
        <v>415</v>
      </c>
      <c r="O1824">
        <v>346761</v>
      </c>
      <c r="P1824">
        <v>43698.109722222223</v>
      </c>
      <c r="Q1824">
        <v>43335.59522427083</v>
      </c>
      <c r="R1824">
        <v>1861</v>
      </c>
    </row>
    <row r="1825" spans="1:18" x14ac:dyDescent="0.25">
      <c r="A1825" t="s">
        <v>6244</v>
      </c>
      <c r="B1825" t="s">
        <v>6245</v>
      </c>
      <c r="C1825" t="s">
        <v>6246</v>
      </c>
      <c r="D1825" t="s">
        <v>6246</v>
      </c>
      <c r="E1825" t="s">
        <v>6247</v>
      </c>
      <c r="F1825" t="s">
        <v>91</v>
      </c>
      <c r="G1825" t="s">
        <v>22</v>
      </c>
      <c r="H1825" t="s">
        <v>53</v>
      </c>
      <c r="I1825" t="s">
        <v>3006</v>
      </c>
      <c r="J1825">
        <v>2019</v>
      </c>
      <c r="K1825">
        <v>43698.521897777777</v>
      </c>
      <c r="L1825" t="s">
        <v>422</v>
      </c>
      <c r="M1825" t="s">
        <v>2777</v>
      </c>
      <c r="N1825" t="s">
        <v>415</v>
      </c>
      <c r="O1825">
        <v>346956</v>
      </c>
      <c r="P1825">
        <v>43698.521897777777</v>
      </c>
      <c r="Q1825">
        <v>43335.595992974537</v>
      </c>
      <c r="R1825">
        <v>1862</v>
      </c>
    </row>
    <row r="1826" spans="1:18" x14ac:dyDescent="0.25">
      <c r="A1826" t="s">
        <v>6248</v>
      </c>
      <c r="B1826" t="s">
        <v>6249</v>
      </c>
      <c r="C1826" t="s">
        <v>6250</v>
      </c>
      <c r="D1826" t="s">
        <v>6250</v>
      </c>
      <c r="E1826" t="s">
        <v>6251</v>
      </c>
      <c r="F1826" t="s">
        <v>91</v>
      </c>
      <c r="G1826" t="s">
        <v>22</v>
      </c>
      <c r="H1826" t="s">
        <v>53</v>
      </c>
      <c r="I1826" t="s">
        <v>3006</v>
      </c>
      <c r="J1826">
        <v>2019</v>
      </c>
      <c r="K1826">
        <v>43698.521897777777</v>
      </c>
      <c r="L1826" t="s">
        <v>422</v>
      </c>
      <c r="M1826" t="s">
        <v>2777</v>
      </c>
      <c r="N1826" t="s">
        <v>415</v>
      </c>
      <c r="O1826">
        <v>346320</v>
      </c>
      <c r="P1826">
        <v>43697.364583333336</v>
      </c>
      <c r="Q1826">
        <v>43335.596710300924</v>
      </c>
      <c r="R1826">
        <v>1863</v>
      </c>
    </row>
    <row r="1827" spans="1:18" x14ac:dyDescent="0.25">
      <c r="A1827" t="s">
        <v>6252</v>
      </c>
      <c r="B1827" t="s">
        <v>6253</v>
      </c>
      <c r="C1827" t="s">
        <v>6254</v>
      </c>
      <c r="D1827" t="s">
        <v>6254</v>
      </c>
      <c r="E1827" t="s">
        <v>6255</v>
      </c>
      <c r="F1827" t="s">
        <v>91</v>
      </c>
      <c r="G1827" t="s">
        <v>22</v>
      </c>
      <c r="H1827" t="s">
        <v>53</v>
      </c>
      <c r="I1827" t="s">
        <v>3006</v>
      </c>
      <c r="J1827">
        <v>2019</v>
      </c>
      <c r="K1827">
        <v>43698.521897777777</v>
      </c>
      <c r="L1827" t="s">
        <v>422</v>
      </c>
      <c r="M1827" t="s">
        <v>2777</v>
      </c>
      <c r="N1827" t="s">
        <v>1439</v>
      </c>
      <c r="O1827">
        <v>347104</v>
      </c>
      <c r="P1827">
        <v>43698.521897777777</v>
      </c>
      <c r="Q1827">
        <v>43335.621493553241</v>
      </c>
      <c r="R1827">
        <v>1864</v>
      </c>
    </row>
    <row r="1828" spans="1:18" x14ac:dyDescent="0.25">
      <c r="A1828" t="s">
        <v>6256</v>
      </c>
      <c r="B1828" t="s">
        <v>6257</v>
      </c>
      <c r="C1828" t="s">
        <v>6258</v>
      </c>
      <c r="D1828" t="s">
        <v>6258</v>
      </c>
      <c r="E1828" t="s">
        <v>6259</v>
      </c>
      <c r="F1828" t="s">
        <v>91</v>
      </c>
      <c r="G1828" t="s">
        <v>22</v>
      </c>
      <c r="H1828" t="s">
        <v>53</v>
      </c>
      <c r="I1828" t="s">
        <v>3006</v>
      </c>
      <c r="J1828">
        <v>2019</v>
      </c>
      <c r="K1828">
        <v>43698.521897777777</v>
      </c>
      <c r="L1828" t="s">
        <v>422</v>
      </c>
      <c r="M1828" t="s">
        <v>2777</v>
      </c>
      <c r="N1828" t="s">
        <v>415</v>
      </c>
      <c r="O1828">
        <v>346888</v>
      </c>
      <c r="P1828">
        <v>43698.521897777777</v>
      </c>
      <c r="Q1828">
        <v>43335.626889895837</v>
      </c>
      <c r="R1828">
        <v>1865</v>
      </c>
    </row>
    <row r="1829" spans="1:18" x14ac:dyDescent="0.25">
      <c r="A1829" t="s">
        <v>6260</v>
      </c>
      <c r="B1829" t="s">
        <v>6261</v>
      </c>
      <c r="C1829" t="s">
        <v>6262</v>
      </c>
      <c r="D1829" t="s">
        <v>6262</v>
      </c>
      <c r="E1829" t="s">
        <v>6263</v>
      </c>
      <c r="F1829" t="s">
        <v>91</v>
      </c>
      <c r="G1829" t="s">
        <v>22</v>
      </c>
      <c r="H1829" t="s">
        <v>53</v>
      </c>
      <c r="I1829" t="s">
        <v>3006</v>
      </c>
      <c r="J1829">
        <v>2019</v>
      </c>
      <c r="K1829">
        <v>43698.521897777777</v>
      </c>
      <c r="L1829" t="s">
        <v>422</v>
      </c>
      <c r="M1829" t="s">
        <v>2777</v>
      </c>
      <c r="N1829" t="s">
        <v>415</v>
      </c>
      <c r="O1829">
        <v>346675</v>
      </c>
      <c r="P1829">
        <v>43698.0625</v>
      </c>
      <c r="Q1829">
        <v>43335.627663159721</v>
      </c>
      <c r="R1829">
        <v>1866</v>
      </c>
    </row>
    <row r="1830" spans="1:18" x14ac:dyDescent="0.25">
      <c r="A1830" t="s">
        <v>6264</v>
      </c>
      <c r="B1830" t="s">
        <v>6265</v>
      </c>
      <c r="C1830" t="s">
        <v>6266</v>
      </c>
      <c r="D1830" t="s">
        <v>6266</v>
      </c>
      <c r="E1830" t="s">
        <v>6267</v>
      </c>
      <c r="F1830" t="s">
        <v>91</v>
      </c>
      <c r="G1830" t="s">
        <v>22</v>
      </c>
      <c r="H1830" t="s">
        <v>53</v>
      </c>
      <c r="I1830" t="s">
        <v>3006</v>
      </c>
      <c r="J1830">
        <v>2019</v>
      </c>
      <c r="K1830">
        <v>43698.521897777777</v>
      </c>
      <c r="L1830" t="s">
        <v>2783</v>
      </c>
      <c r="M1830" t="s">
        <v>2777</v>
      </c>
      <c r="N1830" t="s">
        <v>994</v>
      </c>
      <c r="O1830">
        <v>346973</v>
      </c>
      <c r="P1830">
        <v>43698.521897777777</v>
      </c>
      <c r="Q1830">
        <v>43335.629068287039</v>
      </c>
      <c r="R1830">
        <v>1867</v>
      </c>
    </row>
    <row r="1831" spans="1:18" x14ac:dyDescent="0.25">
      <c r="A1831" t="s">
        <v>6268</v>
      </c>
      <c r="B1831" t="s">
        <v>6269</v>
      </c>
      <c r="C1831" t="s">
        <v>6270</v>
      </c>
      <c r="D1831" t="s">
        <v>6270</v>
      </c>
      <c r="E1831" t="s">
        <v>6271</v>
      </c>
      <c r="F1831" t="s">
        <v>91</v>
      </c>
      <c r="G1831" t="s">
        <v>22</v>
      </c>
      <c r="H1831" t="s">
        <v>53</v>
      </c>
      <c r="I1831" t="s">
        <v>3006</v>
      </c>
      <c r="J1831">
        <v>2019</v>
      </c>
      <c r="K1831">
        <v>43698.521897777777</v>
      </c>
      <c r="L1831" t="s">
        <v>422</v>
      </c>
      <c r="M1831" t="s">
        <v>2777</v>
      </c>
      <c r="N1831" t="s">
        <v>415</v>
      </c>
      <c r="O1831">
        <v>347033</v>
      </c>
      <c r="P1831">
        <v>43698.521897777777</v>
      </c>
      <c r="Q1831">
        <v>43335.629796030094</v>
      </c>
      <c r="R1831">
        <v>1868</v>
      </c>
    </row>
    <row r="1832" spans="1:18" x14ac:dyDescent="0.25">
      <c r="A1832" t="s">
        <v>6272</v>
      </c>
      <c r="B1832" t="s">
        <v>6273</v>
      </c>
      <c r="C1832" t="s">
        <v>6274</v>
      </c>
      <c r="D1832" t="s">
        <v>6274</v>
      </c>
      <c r="E1832" t="s">
        <v>6275</v>
      </c>
      <c r="F1832" t="s">
        <v>91</v>
      </c>
      <c r="G1832" t="s">
        <v>22</v>
      </c>
      <c r="H1832" t="s">
        <v>53</v>
      </c>
      <c r="I1832" t="s">
        <v>3006</v>
      </c>
      <c r="J1832">
        <v>2019</v>
      </c>
      <c r="K1832">
        <v>43698.521897777777</v>
      </c>
      <c r="L1832" t="s">
        <v>422</v>
      </c>
      <c r="M1832" t="s">
        <v>2777</v>
      </c>
      <c r="N1832" t="s">
        <v>415</v>
      </c>
      <c r="O1832">
        <v>347000</v>
      </c>
      <c r="P1832">
        <v>43698.521897777777</v>
      </c>
      <c r="Q1832">
        <v>43335.632557175923</v>
      </c>
      <c r="R1832">
        <v>1869</v>
      </c>
    </row>
    <row r="1833" spans="1:18" x14ac:dyDescent="0.25">
      <c r="A1833" t="s">
        <v>6276</v>
      </c>
      <c r="B1833" t="s">
        <v>6277</v>
      </c>
      <c r="C1833" t="s">
        <v>6278</v>
      </c>
      <c r="D1833" t="s">
        <v>6278</v>
      </c>
      <c r="E1833" t="s">
        <v>6279</v>
      </c>
      <c r="F1833" t="s">
        <v>91</v>
      </c>
      <c r="G1833" t="s">
        <v>22</v>
      </c>
      <c r="H1833" t="s">
        <v>53</v>
      </c>
      <c r="I1833" t="s">
        <v>3006</v>
      </c>
      <c r="J1833">
        <v>2019</v>
      </c>
      <c r="K1833">
        <v>43698.521897777777</v>
      </c>
      <c r="L1833" t="s">
        <v>422</v>
      </c>
      <c r="M1833" t="s">
        <v>2777</v>
      </c>
      <c r="N1833" t="s">
        <v>415</v>
      </c>
      <c r="O1833">
        <v>346688</v>
      </c>
      <c r="P1833">
        <v>43698.166666666664</v>
      </c>
      <c r="Q1833">
        <v>43335.633466400461</v>
      </c>
      <c r="R1833">
        <v>1870</v>
      </c>
    </row>
    <row r="1834" spans="1:18" x14ac:dyDescent="0.25">
      <c r="A1834" t="s">
        <v>6280</v>
      </c>
      <c r="B1834" t="s">
        <v>6281</v>
      </c>
      <c r="C1834" t="s">
        <v>6282</v>
      </c>
      <c r="D1834" t="s">
        <v>6282</v>
      </c>
      <c r="E1834" t="s">
        <v>6283</v>
      </c>
      <c r="F1834" t="s">
        <v>91</v>
      </c>
      <c r="G1834" t="s">
        <v>22</v>
      </c>
      <c r="H1834" t="s">
        <v>53</v>
      </c>
      <c r="I1834" t="s">
        <v>3006</v>
      </c>
      <c r="J1834">
        <v>2019</v>
      </c>
      <c r="K1834">
        <v>43698.521897777777</v>
      </c>
      <c r="L1834" t="s">
        <v>422</v>
      </c>
      <c r="M1834" t="s">
        <v>2777</v>
      </c>
      <c r="N1834" t="s">
        <v>415</v>
      </c>
      <c r="O1834">
        <v>347026</v>
      </c>
      <c r="P1834">
        <v>43698.521897777777</v>
      </c>
      <c r="Q1834">
        <v>43335.634644016201</v>
      </c>
      <c r="R1834">
        <v>1871</v>
      </c>
    </row>
    <row r="1835" spans="1:18" x14ac:dyDescent="0.25">
      <c r="A1835" t="s">
        <v>6284</v>
      </c>
      <c r="B1835" t="s">
        <v>6285</v>
      </c>
      <c r="C1835" t="s">
        <v>6286</v>
      </c>
      <c r="D1835" t="s">
        <v>6286</v>
      </c>
      <c r="E1835" t="s">
        <v>6287</v>
      </c>
      <c r="F1835" t="s">
        <v>91</v>
      </c>
      <c r="G1835" t="s">
        <v>22</v>
      </c>
      <c r="H1835" t="s">
        <v>53</v>
      </c>
      <c r="I1835" t="s">
        <v>3006</v>
      </c>
      <c r="J1835">
        <v>2019</v>
      </c>
      <c r="K1835">
        <v>43698.521897777777</v>
      </c>
      <c r="L1835" t="s">
        <v>422</v>
      </c>
      <c r="M1835" t="s">
        <v>2777</v>
      </c>
      <c r="N1835" t="s">
        <v>415</v>
      </c>
      <c r="O1835">
        <v>347143</v>
      </c>
      <c r="P1835">
        <v>43698.521897777777</v>
      </c>
      <c r="Q1835">
        <v>43335.635645335649</v>
      </c>
      <c r="R1835">
        <v>1872</v>
      </c>
    </row>
    <row r="1836" spans="1:18" x14ac:dyDescent="0.25">
      <c r="A1836" t="s">
        <v>6288</v>
      </c>
      <c r="B1836" t="s">
        <v>6289</v>
      </c>
      <c r="C1836" t="s">
        <v>6290</v>
      </c>
      <c r="D1836" t="s">
        <v>6290</v>
      </c>
      <c r="E1836" t="s">
        <v>6291</v>
      </c>
      <c r="F1836" t="s">
        <v>91</v>
      </c>
      <c r="G1836" t="s">
        <v>22</v>
      </c>
      <c r="H1836" t="s">
        <v>53</v>
      </c>
      <c r="I1836" t="s">
        <v>3006</v>
      </c>
      <c r="J1836">
        <v>2019</v>
      </c>
      <c r="K1836">
        <v>43698.521897777777</v>
      </c>
      <c r="L1836" t="s">
        <v>422</v>
      </c>
      <c r="M1836" t="s">
        <v>2777</v>
      </c>
      <c r="N1836" t="s">
        <v>415</v>
      </c>
      <c r="O1836">
        <v>347092</v>
      </c>
      <c r="P1836">
        <v>43698.521897777777</v>
      </c>
      <c r="Q1836">
        <v>43335.636293946758</v>
      </c>
      <c r="R1836">
        <v>1873</v>
      </c>
    </row>
    <row r="1837" spans="1:18" x14ac:dyDescent="0.25">
      <c r="A1837" t="s">
        <v>6292</v>
      </c>
      <c r="B1837" t="s">
        <v>6293</v>
      </c>
      <c r="C1837" t="s">
        <v>6294</v>
      </c>
      <c r="D1837" t="s">
        <v>6294</v>
      </c>
      <c r="E1837" t="s">
        <v>6295</v>
      </c>
      <c r="F1837" t="s">
        <v>91</v>
      </c>
      <c r="G1837" t="s">
        <v>22</v>
      </c>
      <c r="H1837" t="s">
        <v>53</v>
      </c>
      <c r="I1837" t="s">
        <v>3006</v>
      </c>
      <c r="J1837">
        <v>2019</v>
      </c>
      <c r="K1837">
        <v>43698.521897777777</v>
      </c>
      <c r="L1837" t="s">
        <v>422</v>
      </c>
      <c r="M1837" t="s">
        <v>2777</v>
      </c>
      <c r="N1837" t="s">
        <v>415</v>
      </c>
      <c r="O1837">
        <v>347108</v>
      </c>
      <c r="P1837">
        <v>43698.521897777777</v>
      </c>
      <c r="Q1837">
        <v>43335.637506168983</v>
      </c>
      <c r="R1837">
        <v>1874</v>
      </c>
    </row>
    <row r="1838" spans="1:18" x14ac:dyDescent="0.25">
      <c r="A1838" t="s">
        <v>6296</v>
      </c>
      <c r="B1838" t="s">
        <v>6297</v>
      </c>
      <c r="C1838" t="s">
        <v>6298</v>
      </c>
      <c r="D1838" t="s">
        <v>6298</v>
      </c>
      <c r="E1838" t="s">
        <v>6299</v>
      </c>
      <c r="F1838" t="s">
        <v>91</v>
      </c>
      <c r="G1838" t="s">
        <v>22</v>
      </c>
      <c r="H1838" t="s">
        <v>53</v>
      </c>
      <c r="I1838" t="s">
        <v>3006</v>
      </c>
      <c r="J1838">
        <v>2019</v>
      </c>
      <c r="K1838">
        <v>43698.521897777777</v>
      </c>
      <c r="L1838" t="s">
        <v>422</v>
      </c>
      <c r="M1838" t="s">
        <v>2777</v>
      </c>
      <c r="N1838" t="s">
        <v>415</v>
      </c>
      <c r="O1838">
        <v>347027</v>
      </c>
      <c r="P1838">
        <v>43698.521897777777</v>
      </c>
      <c r="Q1838">
        <v>43335.638260416665</v>
      </c>
      <c r="R1838">
        <v>1875</v>
      </c>
    </row>
    <row r="1839" spans="1:18" x14ac:dyDescent="0.25">
      <c r="A1839" t="s">
        <v>6300</v>
      </c>
      <c r="B1839" t="s">
        <v>6301</v>
      </c>
      <c r="C1839" t="s">
        <v>6302</v>
      </c>
      <c r="D1839" t="s">
        <v>6302</v>
      </c>
      <c r="E1839" t="s">
        <v>6303</v>
      </c>
      <c r="F1839" t="s">
        <v>91</v>
      </c>
      <c r="G1839" t="s">
        <v>22</v>
      </c>
      <c r="H1839" t="s">
        <v>53</v>
      </c>
      <c r="I1839" t="s">
        <v>3006</v>
      </c>
      <c r="J1839">
        <v>2019</v>
      </c>
      <c r="K1839">
        <v>43698.521897777777</v>
      </c>
      <c r="L1839" t="s">
        <v>422</v>
      </c>
      <c r="M1839" t="s">
        <v>2777</v>
      </c>
      <c r="N1839" t="s">
        <v>415</v>
      </c>
      <c r="O1839">
        <v>347145</v>
      </c>
      <c r="P1839">
        <v>43698.521897777777</v>
      </c>
      <c r="Q1839">
        <v>43335.63966508102</v>
      </c>
      <c r="R1839">
        <v>1876</v>
      </c>
    </row>
    <row r="1840" spans="1:18" x14ac:dyDescent="0.25">
      <c r="A1840" t="s">
        <v>6304</v>
      </c>
      <c r="B1840" t="s">
        <v>6305</v>
      </c>
      <c r="C1840" t="s">
        <v>6306</v>
      </c>
      <c r="D1840" t="s">
        <v>6306</v>
      </c>
      <c r="E1840" t="s">
        <v>6307</v>
      </c>
      <c r="F1840" t="s">
        <v>91</v>
      </c>
      <c r="G1840" t="s">
        <v>22</v>
      </c>
      <c r="H1840" t="s">
        <v>53</v>
      </c>
      <c r="I1840" t="s">
        <v>3006</v>
      </c>
      <c r="J1840">
        <v>2019</v>
      </c>
      <c r="K1840">
        <v>43698.521897777777</v>
      </c>
      <c r="L1840" t="s">
        <v>2783</v>
      </c>
      <c r="M1840" t="s">
        <v>2777</v>
      </c>
      <c r="N1840" t="s">
        <v>4658</v>
      </c>
      <c r="O1840">
        <v>347031</v>
      </c>
      <c r="P1840">
        <v>43698.521897777777</v>
      </c>
      <c r="Q1840">
        <v>43335.648950115741</v>
      </c>
      <c r="R1840">
        <v>1877</v>
      </c>
    </row>
    <row r="1841" spans="1:18" x14ac:dyDescent="0.25">
      <c r="A1841" t="s">
        <v>6308</v>
      </c>
      <c r="B1841" t="s">
        <v>6309</v>
      </c>
      <c r="C1841" t="s">
        <v>6310</v>
      </c>
      <c r="D1841" t="s">
        <v>6310</v>
      </c>
      <c r="E1841" t="s">
        <v>6311</v>
      </c>
      <c r="F1841" t="s">
        <v>91</v>
      </c>
      <c r="G1841" t="s">
        <v>22</v>
      </c>
      <c r="H1841" t="s">
        <v>998</v>
      </c>
      <c r="I1841" t="s">
        <v>3006</v>
      </c>
      <c r="J1841">
        <v>2019</v>
      </c>
      <c r="K1841">
        <v>43698.521897777777</v>
      </c>
      <c r="L1841" t="s">
        <v>422</v>
      </c>
      <c r="M1841" t="s">
        <v>2777</v>
      </c>
      <c r="N1841" t="s">
        <v>415</v>
      </c>
      <c r="O1841">
        <v>338707</v>
      </c>
      <c r="P1841">
        <v>43678.697916666664</v>
      </c>
      <c r="Q1841">
        <v>43335.649875266201</v>
      </c>
      <c r="R1841">
        <v>1878</v>
      </c>
    </row>
    <row r="1842" spans="1:18" x14ac:dyDescent="0.25">
      <c r="A1842" t="s">
        <v>6312</v>
      </c>
      <c r="B1842" t="s">
        <v>6313</v>
      </c>
      <c r="C1842" t="s">
        <v>6314</v>
      </c>
      <c r="D1842" t="s">
        <v>6314</v>
      </c>
      <c r="E1842" t="s">
        <v>6315</v>
      </c>
      <c r="F1842" t="s">
        <v>91</v>
      </c>
      <c r="G1842" t="s">
        <v>22</v>
      </c>
      <c r="H1842" t="s">
        <v>53</v>
      </c>
      <c r="I1842" t="s">
        <v>3006</v>
      </c>
      <c r="J1842">
        <v>2019</v>
      </c>
      <c r="K1842">
        <v>43698.521897777777</v>
      </c>
      <c r="L1842" t="s">
        <v>422</v>
      </c>
      <c r="M1842" t="s">
        <v>2777</v>
      </c>
      <c r="N1842" t="s">
        <v>415</v>
      </c>
      <c r="O1842">
        <v>346960</v>
      </c>
      <c r="P1842">
        <v>43698.521897777777</v>
      </c>
      <c r="Q1842">
        <v>43335.65077565972</v>
      </c>
      <c r="R1842">
        <v>1879</v>
      </c>
    </row>
    <row r="1843" spans="1:18" x14ac:dyDescent="0.25">
      <c r="A1843" t="s">
        <v>6316</v>
      </c>
      <c r="B1843" t="s">
        <v>6317</v>
      </c>
      <c r="C1843" t="s">
        <v>6318</v>
      </c>
      <c r="D1843" t="s">
        <v>6318</v>
      </c>
      <c r="E1843" t="s">
        <v>6319</v>
      </c>
      <c r="F1843" t="s">
        <v>91</v>
      </c>
      <c r="G1843" t="s">
        <v>22</v>
      </c>
      <c r="H1843" t="s">
        <v>53</v>
      </c>
      <c r="I1843" t="s">
        <v>3006</v>
      </c>
      <c r="J1843">
        <v>2019</v>
      </c>
      <c r="K1843">
        <v>43698.521897777777</v>
      </c>
      <c r="L1843" t="s">
        <v>422</v>
      </c>
      <c r="M1843" t="s">
        <v>2777</v>
      </c>
      <c r="N1843" t="s">
        <v>415</v>
      </c>
      <c r="O1843">
        <v>347081</v>
      </c>
      <c r="P1843">
        <v>43698.521897777777</v>
      </c>
      <c r="Q1843">
        <v>43335.651823263892</v>
      </c>
      <c r="R1843">
        <v>1880</v>
      </c>
    </row>
    <row r="1844" spans="1:18" x14ac:dyDescent="0.25">
      <c r="A1844" t="s">
        <v>6320</v>
      </c>
      <c r="B1844" t="s">
        <v>6321</v>
      </c>
      <c r="C1844" t="s">
        <v>6322</v>
      </c>
      <c r="D1844" t="s">
        <v>6322</v>
      </c>
      <c r="E1844" t="s">
        <v>6323</v>
      </c>
      <c r="F1844" t="s">
        <v>91</v>
      </c>
      <c r="G1844" t="s">
        <v>22</v>
      </c>
      <c r="H1844" t="s">
        <v>53</v>
      </c>
      <c r="I1844" t="s">
        <v>3006</v>
      </c>
      <c r="J1844">
        <v>2019</v>
      </c>
      <c r="K1844">
        <v>43698.521897777777</v>
      </c>
      <c r="L1844" t="s">
        <v>422</v>
      </c>
      <c r="M1844" t="s">
        <v>2777</v>
      </c>
      <c r="N1844" t="s">
        <v>415</v>
      </c>
      <c r="O1844">
        <v>346655</v>
      </c>
      <c r="P1844">
        <v>43698.052083333336</v>
      </c>
      <c r="Q1844">
        <v>43335.653117013891</v>
      </c>
      <c r="R1844">
        <v>1881</v>
      </c>
    </row>
    <row r="1845" spans="1:18" x14ac:dyDescent="0.25">
      <c r="A1845" t="s">
        <v>6324</v>
      </c>
      <c r="B1845" t="s">
        <v>6325</v>
      </c>
      <c r="C1845" t="s">
        <v>6326</v>
      </c>
      <c r="D1845" t="s">
        <v>6326</v>
      </c>
      <c r="E1845" t="s">
        <v>6327</v>
      </c>
      <c r="F1845" t="s">
        <v>91</v>
      </c>
      <c r="G1845" t="s">
        <v>22</v>
      </c>
      <c r="H1845" t="s">
        <v>53</v>
      </c>
      <c r="I1845" t="s">
        <v>3006</v>
      </c>
      <c r="J1845">
        <v>2019</v>
      </c>
      <c r="K1845">
        <v>43698.521897777777</v>
      </c>
      <c r="L1845" t="s">
        <v>422</v>
      </c>
      <c r="M1845" t="s">
        <v>2777</v>
      </c>
      <c r="N1845" t="s">
        <v>415</v>
      </c>
      <c r="O1845">
        <v>347149</v>
      </c>
      <c r="P1845">
        <v>43698.521897777777</v>
      </c>
      <c r="Q1845">
        <v>43335.653737499997</v>
      </c>
      <c r="R1845">
        <v>1882</v>
      </c>
    </row>
    <row r="1846" spans="1:18" x14ac:dyDescent="0.25">
      <c r="A1846" t="s">
        <v>6328</v>
      </c>
      <c r="B1846" t="s">
        <v>6329</v>
      </c>
      <c r="C1846" t="s">
        <v>6330</v>
      </c>
      <c r="D1846" t="s">
        <v>6330</v>
      </c>
      <c r="E1846" t="s">
        <v>6331</v>
      </c>
      <c r="F1846" t="s">
        <v>91</v>
      </c>
      <c r="G1846" t="s">
        <v>22</v>
      </c>
      <c r="H1846" t="s">
        <v>53</v>
      </c>
      <c r="I1846" t="s">
        <v>3006</v>
      </c>
      <c r="J1846">
        <v>2019</v>
      </c>
      <c r="K1846">
        <v>43698.521897777777</v>
      </c>
      <c r="L1846" t="s">
        <v>2783</v>
      </c>
      <c r="M1846" t="s">
        <v>2777</v>
      </c>
      <c r="N1846" t="s">
        <v>2784</v>
      </c>
      <c r="O1846">
        <v>347042</v>
      </c>
      <c r="P1846">
        <v>43698.521897777777</v>
      </c>
      <c r="Q1846">
        <v>43335.654676701386</v>
      </c>
      <c r="R1846">
        <v>1883</v>
      </c>
    </row>
    <row r="1847" spans="1:18" x14ac:dyDescent="0.25">
      <c r="A1847" t="s">
        <v>6332</v>
      </c>
      <c r="B1847" t="s">
        <v>6333</v>
      </c>
      <c r="C1847" t="s">
        <v>6334</v>
      </c>
      <c r="D1847" t="s">
        <v>6334</v>
      </c>
      <c r="E1847" t="s">
        <v>6335</v>
      </c>
      <c r="F1847" t="s">
        <v>91</v>
      </c>
      <c r="G1847" t="s">
        <v>22</v>
      </c>
      <c r="H1847" t="s">
        <v>53</v>
      </c>
      <c r="I1847" t="s">
        <v>3006</v>
      </c>
      <c r="J1847">
        <v>2019</v>
      </c>
      <c r="K1847">
        <v>43698.521897777777</v>
      </c>
      <c r="L1847" t="s">
        <v>422</v>
      </c>
      <c r="M1847" t="s">
        <v>2777</v>
      </c>
      <c r="N1847" t="s">
        <v>415</v>
      </c>
      <c r="O1847">
        <v>347082</v>
      </c>
      <c r="P1847">
        <v>43698.521897777777</v>
      </c>
      <c r="Q1847">
        <v>43335.655393437497</v>
      </c>
      <c r="R1847">
        <v>1884</v>
      </c>
    </row>
    <row r="1848" spans="1:18" x14ac:dyDescent="0.25">
      <c r="A1848" t="s">
        <v>6336</v>
      </c>
      <c r="B1848" t="s">
        <v>6337</v>
      </c>
      <c r="C1848" t="s">
        <v>6338</v>
      </c>
      <c r="D1848" t="s">
        <v>6338</v>
      </c>
      <c r="E1848" t="s">
        <v>6339</v>
      </c>
      <c r="F1848" t="s">
        <v>91</v>
      </c>
      <c r="G1848" t="s">
        <v>22</v>
      </c>
      <c r="H1848" t="s">
        <v>53</v>
      </c>
      <c r="I1848" t="s">
        <v>3006</v>
      </c>
      <c r="J1848">
        <v>2019</v>
      </c>
      <c r="K1848">
        <v>43698.521897777777</v>
      </c>
      <c r="L1848" t="s">
        <v>422</v>
      </c>
      <c r="M1848" t="s">
        <v>2777</v>
      </c>
      <c r="N1848" t="s">
        <v>415</v>
      </c>
      <c r="O1848">
        <v>347019</v>
      </c>
      <c r="P1848">
        <v>43698.521897777777</v>
      </c>
      <c r="Q1848">
        <v>43335.656136574071</v>
      </c>
      <c r="R1848">
        <v>1885</v>
      </c>
    </row>
    <row r="1849" spans="1:18" x14ac:dyDescent="0.25">
      <c r="A1849" t="s">
        <v>6340</v>
      </c>
      <c r="B1849" t="s">
        <v>6341</v>
      </c>
      <c r="C1849" t="s">
        <v>6342</v>
      </c>
      <c r="D1849" t="s">
        <v>6342</v>
      </c>
      <c r="E1849" t="s">
        <v>6343</v>
      </c>
      <c r="F1849" t="s">
        <v>91</v>
      </c>
      <c r="G1849" t="s">
        <v>22</v>
      </c>
      <c r="H1849" t="s">
        <v>53</v>
      </c>
      <c r="I1849" t="s">
        <v>3006</v>
      </c>
      <c r="J1849">
        <v>2019</v>
      </c>
      <c r="K1849">
        <v>43698.521897777777</v>
      </c>
      <c r="L1849" t="s">
        <v>422</v>
      </c>
      <c r="M1849" t="s">
        <v>2777</v>
      </c>
      <c r="N1849" t="s">
        <v>415</v>
      </c>
      <c r="O1849">
        <v>346926</v>
      </c>
      <c r="P1849">
        <v>43698.521897777777</v>
      </c>
      <c r="Q1849">
        <v>43335.656716666665</v>
      </c>
      <c r="R1849">
        <v>1886</v>
      </c>
    </row>
    <row r="1850" spans="1:18" x14ac:dyDescent="0.25">
      <c r="A1850" t="s">
        <v>6344</v>
      </c>
      <c r="B1850" t="s">
        <v>6345</v>
      </c>
      <c r="C1850" t="s">
        <v>6346</v>
      </c>
      <c r="D1850" t="s">
        <v>6346</v>
      </c>
      <c r="E1850" t="s">
        <v>6347</v>
      </c>
      <c r="F1850" t="s">
        <v>91</v>
      </c>
      <c r="G1850" t="s">
        <v>22</v>
      </c>
      <c r="H1850" t="s">
        <v>53</v>
      </c>
      <c r="I1850" t="s">
        <v>3006</v>
      </c>
      <c r="J1850">
        <v>2019</v>
      </c>
      <c r="K1850">
        <v>43698.521897777777</v>
      </c>
      <c r="L1850" t="s">
        <v>422</v>
      </c>
      <c r="M1850" t="s">
        <v>2777</v>
      </c>
      <c r="N1850" t="s">
        <v>415</v>
      </c>
      <c r="O1850">
        <v>346773</v>
      </c>
      <c r="P1850">
        <v>43698.15625</v>
      </c>
      <c r="Q1850">
        <v>43335.657328356479</v>
      </c>
      <c r="R1850">
        <v>1887</v>
      </c>
    </row>
    <row r="1851" spans="1:18" x14ac:dyDescent="0.25">
      <c r="A1851" t="s">
        <v>6348</v>
      </c>
      <c r="B1851" t="s">
        <v>6349</v>
      </c>
      <c r="C1851" t="s">
        <v>6350</v>
      </c>
      <c r="D1851" t="s">
        <v>6350</v>
      </c>
      <c r="E1851" t="s">
        <v>6351</v>
      </c>
      <c r="F1851" t="s">
        <v>91</v>
      </c>
      <c r="G1851" t="s">
        <v>22</v>
      </c>
      <c r="H1851" t="s">
        <v>53</v>
      </c>
      <c r="I1851" t="s">
        <v>3006</v>
      </c>
      <c r="J1851">
        <v>2019</v>
      </c>
      <c r="K1851">
        <v>43698.521897777777</v>
      </c>
      <c r="L1851" t="s">
        <v>422</v>
      </c>
      <c r="M1851" t="s">
        <v>2777</v>
      </c>
      <c r="N1851" t="s">
        <v>415</v>
      </c>
      <c r="O1851">
        <v>347146</v>
      </c>
      <c r="P1851">
        <v>43698.521897777777</v>
      </c>
      <c r="Q1851">
        <v>43335.657994710651</v>
      </c>
      <c r="R1851">
        <v>1888</v>
      </c>
    </row>
    <row r="1852" spans="1:18" x14ac:dyDescent="0.25">
      <c r="A1852" t="s">
        <v>6352</v>
      </c>
      <c r="B1852" t="s">
        <v>6353</v>
      </c>
      <c r="C1852" t="s">
        <v>6354</v>
      </c>
      <c r="D1852" t="s">
        <v>6354</v>
      </c>
      <c r="E1852" t="s">
        <v>6355</v>
      </c>
      <c r="F1852" t="s">
        <v>91</v>
      </c>
      <c r="G1852" t="s">
        <v>22</v>
      </c>
      <c r="H1852" t="s">
        <v>53</v>
      </c>
      <c r="I1852" t="s">
        <v>3006</v>
      </c>
      <c r="J1852">
        <v>2019</v>
      </c>
      <c r="K1852">
        <v>43698.521897777777</v>
      </c>
      <c r="L1852" t="s">
        <v>422</v>
      </c>
      <c r="M1852" t="s">
        <v>2777</v>
      </c>
      <c r="N1852" t="s">
        <v>415</v>
      </c>
      <c r="O1852">
        <v>347101</v>
      </c>
      <c r="P1852">
        <v>43698.521897777777</v>
      </c>
      <c r="Q1852">
        <v>43335.658968784723</v>
      </c>
      <c r="R1852">
        <v>1889</v>
      </c>
    </row>
    <row r="1853" spans="1:18" x14ac:dyDescent="0.25">
      <c r="A1853" t="s">
        <v>6356</v>
      </c>
      <c r="B1853" t="s">
        <v>6357</v>
      </c>
      <c r="C1853" t="s">
        <v>6358</v>
      </c>
      <c r="D1853" t="s">
        <v>6358</v>
      </c>
      <c r="E1853" t="s">
        <v>6359</v>
      </c>
      <c r="F1853" t="s">
        <v>21</v>
      </c>
      <c r="G1853" t="s">
        <v>22</v>
      </c>
      <c r="H1853" t="s">
        <v>53</v>
      </c>
      <c r="I1853" t="s">
        <v>3006</v>
      </c>
      <c r="J1853">
        <v>2019</v>
      </c>
      <c r="K1853">
        <v>43698.521897777777</v>
      </c>
      <c r="L1853" t="s">
        <v>2783</v>
      </c>
      <c r="M1853" t="s">
        <v>2777</v>
      </c>
      <c r="N1853" t="s">
        <v>2778</v>
      </c>
      <c r="O1853">
        <v>314779</v>
      </c>
      <c r="P1853">
        <v>43622.399305555555</v>
      </c>
      <c r="Q1853">
        <v>43335.659861921296</v>
      </c>
      <c r="R1853">
        <v>1890</v>
      </c>
    </row>
    <row r="1854" spans="1:18" x14ac:dyDescent="0.25">
      <c r="A1854" t="s">
        <v>6360</v>
      </c>
      <c r="B1854" t="s">
        <v>5182</v>
      </c>
      <c r="C1854" t="s">
        <v>6361</v>
      </c>
      <c r="D1854" t="s">
        <v>6361</v>
      </c>
      <c r="E1854" t="s">
        <v>6361</v>
      </c>
      <c r="F1854" t="s">
        <v>91</v>
      </c>
      <c r="G1854" t="s">
        <v>63</v>
      </c>
      <c r="H1854" t="s">
        <v>53</v>
      </c>
      <c r="I1854" t="s">
        <v>471</v>
      </c>
      <c r="J1854">
        <v>2014</v>
      </c>
      <c r="K1854">
        <v>43698.521897777777</v>
      </c>
      <c r="L1854" t="s">
        <v>466</v>
      </c>
      <c r="M1854" t="s">
        <v>154</v>
      </c>
      <c r="N1854" t="s">
        <v>1305</v>
      </c>
      <c r="O1854">
        <v>345761</v>
      </c>
      <c r="P1854">
        <v>43698.521897777777</v>
      </c>
      <c r="Q1854">
        <v>43339.629501157404</v>
      </c>
      <c r="R1854">
        <v>1891</v>
      </c>
    </row>
    <row r="1855" spans="1:18" x14ac:dyDescent="0.25">
      <c r="A1855" t="s">
        <v>6362</v>
      </c>
      <c r="B1855" t="s">
        <v>1518</v>
      </c>
      <c r="C1855" t="s">
        <v>6363</v>
      </c>
      <c r="D1855" t="s">
        <v>6363</v>
      </c>
      <c r="E1855" t="s">
        <v>6363</v>
      </c>
      <c r="F1855" t="s">
        <v>21</v>
      </c>
      <c r="G1855" t="s">
        <v>63</v>
      </c>
      <c r="H1855" t="s">
        <v>53</v>
      </c>
      <c r="I1855" t="s">
        <v>471</v>
      </c>
      <c r="J1855">
        <v>2008</v>
      </c>
      <c r="K1855">
        <v>43698.521897777777</v>
      </c>
      <c r="L1855" t="s">
        <v>466</v>
      </c>
      <c r="M1855" t="s">
        <v>154</v>
      </c>
      <c r="N1855" t="s">
        <v>1305</v>
      </c>
      <c r="O1855">
        <v>286670</v>
      </c>
      <c r="P1855">
        <v>43550.991018518522</v>
      </c>
      <c r="Q1855">
        <v>43339.645204479166</v>
      </c>
      <c r="R1855">
        <v>1892</v>
      </c>
    </row>
    <row r="1856" spans="1:18" x14ac:dyDescent="0.25">
      <c r="A1856" t="s">
        <v>6364</v>
      </c>
      <c r="B1856" t="s">
        <v>2301</v>
      </c>
      <c r="C1856" t="s">
        <v>6365</v>
      </c>
      <c r="D1856" t="s">
        <v>6365</v>
      </c>
      <c r="E1856" t="s">
        <v>6366</v>
      </c>
      <c r="F1856" t="s">
        <v>91</v>
      </c>
      <c r="G1856" t="s">
        <v>63</v>
      </c>
      <c r="H1856" t="s">
        <v>53</v>
      </c>
      <c r="I1856" t="s">
        <v>471</v>
      </c>
      <c r="J1856">
        <v>2017</v>
      </c>
      <c r="K1856">
        <v>43698.521897777777</v>
      </c>
      <c r="L1856" t="s">
        <v>466</v>
      </c>
      <c r="M1856" t="s">
        <v>154</v>
      </c>
      <c r="N1856" t="s">
        <v>1305</v>
      </c>
      <c r="O1856">
        <v>345214</v>
      </c>
      <c r="P1856">
        <v>43698.521897777777</v>
      </c>
      <c r="Q1856">
        <v>43339.832045370371</v>
      </c>
      <c r="R1856">
        <v>1893</v>
      </c>
    </row>
    <row r="1857" spans="1:18" x14ac:dyDescent="0.25">
      <c r="A1857" t="s">
        <v>6367</v>
      </c>
      <c r="B1857" t="s">
        <v>2305</v>
      </c>
      <c r="C1857" t="s">
        <v>6368</v>
      </c>
      <c r="D1857" t="s">
        <v>6368</v>
      </c>
      <c r="E1857" t="s">
        <v>6369</v>
      </c>
      <c r="F1857" t="s">
        <v>91</v>
      </c>
      <c r="G1857" t="s">
        <v>63</v>
      </c>
      <c r="H1857" t="s">
        <v>53</v>
      </c>
      <c r="I1857" t="s">
        <v>471</v>
      </c>
      <c r="J1857">
        <v>2017</v>
      </c>
      <c r="K1857">
        <v>43698.521897777777</v>
      </c>
      <c r="L1857" t="s">
        <v>466</v>
      </c>
      <c r="M1857" t="s">
        <v>154</v>
      </c>
      <c r="N1857" t="s">
        <v>1305</v>
      </c>
      <c r="O1857">
        <v>345824</v>
      </c>
      <c r="P1857">
        <v>43698.521897777777</v>
      </c>
      <c r="Q1857">
        <v>43339.842289270833</v>
      </c>
      <c r="R1857">
        <v>1894</v>
      </c>
    </row>
    <row r="1858" spans="1:18" x14ac:dyDescent="0.25">
      <c r="A1858" t="s">
        <v>25</v>
      </c>
      <c r="B1858" t="s">
        <v>25</v>
      </c>
      <c r="C1858" t="s">
        <v>5855</v>
      </c>
      <c r="D1858" t="s">
        <v>5855</v>
      </c>
      <c r="E1858" t="s">
        <v>6370</v>
      </c>
      <c r="F1858" t="s">
        <v>21</v>
      </c>
      <c r="G1858" t="s">
        <v>106</v>
      </c>
      <c r="H1858" t="s">
        <v>25</v>
      </c>
      <c r="I1858" t="s">
        <v>25</v>
      </c>
      <c r="K1858">
        <v>43698.521897777777</v>
      </c>
      <c r="L1858" t="s">
        <v>422</v>
      </c>
      <c r="M1858" t="s">
        <v>42</v>
      </c>
      <c r="N1858" t="s">
        <v>27</v>
      </c>
      <c r="O1858">
        <v>282733</v>
      </c>
      <c r="P1858">
        <v>43538.572916666664</v>
      </c>
      <c r="Q1858">
        <v>43340.613288692133</v>
      </c>
      <c r="R1858">
        <v>1895</v>
      </c>
    </row>
    <row r="1859" spans="1:18" x14ac:dyDescent="0.25">
      <c r="A1859" t="s">
        <v>6371</v>
      </c>
      <c r="B1859" t="s">
        <v>542</v>
      </c>
      <c r="C1859" t="s">
        <v>6372</v>
      </c>
      <c r="D1859" t="s">
        <v>6372</v>
      </c>
      <c r="E1859" t="s">
        <v>6372</v>
      </c>
      <c r="F1859" t="s">
        <v>91</v>
      </c>
      <c r="G1859" t="s">
        <v>63</v>
      </c>
      <c r="H1859" t="s">
        <v>53</v>
      </c>
      <c r="I1859" t="s">
        <v>471</v>
      </c>
      <c r="J1859">
        <v>2014</v>
      </c>
      <c r="K1859">
        <v>43698.521897777777</v>
      </c>
      <c r="L1859" t="s">
        <v>466</v>
      </c>
      <c r="M1859" t="s">
        <v>154</v>
      </c>
      <c r="N1859" t="s">
        <v>1305</v>
      </c>
      <c r="O1859">
        <v>345149</v>
      </c>
      <c r="P1859">
        <v>43698.521897777777</v>
      </c>
      <c r="Q1859">
        <v>43343.410455983794</v>
      </c>
      <c r="R1859">
        <v>1896</v>
      </c>
    </row>
    <row r="1860" spans="1:18" x14ac:dyDescent="0.25">
      <c r="A1860" t="s">
        <v>6373</v>
      </c>
      <c r="B1860" t="s">
        <v>6374</v>
      </c>
      <c r="C1860" t="s">
        <v>6375</v>
      </c>
      <c r="D1860" t="s">
        <v>6375</v>
      </c>
      <c r="E1860" t="s">
        <v>6376</v>
      </c>
      <c r="F1860" t="s">
        <v>91</v>
      </c>
      <c r="G1860" t="s">
        <v>63</v>
      </c>
      <c r="H1860" t="s">
        <v>25</v>
      </c>
      <c r="I1860" t="s">
        <v>25</v>
      </c>
      <c r="K1860">
        <v>43698.521897777777</v>
      </c>
      <c r="L1860" t="s">
        <v>422</v>
      </c>
      <c r="M1860" t="s">
        <v>42</v>
      </c>
      <c r="N1860" t="s">
        <v>415</v>
      </c>
      <c r="O1860">
        <v>197806</v>
      </c>
      <c r="P1860">
        <v>43286.439583333333</v>
      </c>
      <c r="Q1860">
        <v>43343.635549999999</v>
      </c>
      <c r="R1860">
        <v>1897</v>
      </c>
    </row>
    <row r="1861" spans="1:18" x14ac:dyDescent="0.25">
      <c r="A1861" t="s">
        <v>6377</v>
      </c>
      <c r="B1861" t="s">
        <v>297</v>
      </c>
      <c r="C1861" t="s">
        <v>6378</v>
      </c>
      <c r="D1861" t="s">
        <v>6378</v>
      </c>
      <c r="E1861" t="s">
        <v>6378</v>
      </c>
      <c r="F1861" t="s">
        <v>21</v>
      </c>
      <c r="G1861" t="s">
        <v>63</v>
      </c>
      <c r="H1861" t="s">
        <v>53</v>
      </c>
      <c r="I1861" t="s">
        <v>54</v>
      </c>
      <c r="J1861">
        <v>2006</v>
      </c>
      <c r="K1861">
        <v>43698.521897777777</v>
      </c>
      <c r="L1861" t="s">
        <v>466</v>
      </c>
      <c r="M1861" t="s">
        <v>154</v>
      </c>
      <c r="N1861" t="s">
        <v>27</v>
      </c>
      <c r="O1861">
        <v>297912</v>
      </c>
      <c r="P1861">
        <v>43582.801388888889</v>
      </c>
      <c r="Q1861">
        <v>43350.509148576391</v>
      </c>
      <c r="R1861">
        <v>1898</v>
      </c>
    </row>
    <row r="1862" spans="1:18" x14ac:dyDescent="0.25">
      <c r="A1862" t="s">
        <v>6379</v>
      </c>
      <c r="B1862" t="s">
        <v>2604</v>
      </c>
      <c r="C1862" t="s">
        <v>6380</v>
      </c>
      <c r="D1862" t="s">
        <v>6380</v>
      </c>
      <c r="E1862" t="s">
        <v>6381</v>
      </c>
      <c r="F1862" t="s">
        <v>91</v>
      </c>
      <c r="G1862" t="s">
        <v>63</v>
      </c>
      <c r="H1862" t="s">
        <v>53</v>
      </c>
      <c r="I1862" t="s">
        <v>471</v>
      </c>
      <c r="J1862">
        <v>2017</v>
      </c>
      <c r="K1862">
        <v>43698.521897777777</v>
      </c>
      <c r="L1862" t="s">
        <v>466</v>
      </c>
      <c r="M1862" t="s">
        <v>154</v>
      </c>
      <c r="N1862" t="s">
        <v>1305</v>
      </c>
      <c r="O1862">
        <v>343791</v>
      </c>
      <c r="P1862">
        <v>43695.76021990741</v>
      </c>
      <c r="Q1862">
        <v>43353.388540509259</v>
      </c>
      <c r="R1862">
        <v>1899</v>
      </c>
    </row>
    <row r="1863" spans="1:18" x14ac:dyDescent="0.25">
      <c r="A1863" t="s">
        <v>25</v>
      </c>
      <c r="B1863" t="s">
        <v>25</v>
      </c>
      <c r="C1863" t="s">
        <v>5855</v>
      </c>
      <c r="D1863" t="s">
        <v>5855</v>
      </c>
      <c r="E1863" t="s">
        <v>6382</v>
      </c>
      <c r="F1863" t="s">
        <v>21</v>
      </c>
      <c r="G1863" t="s">
        <v>106</v>
      </c>
      <c r="H1863" t="s">
        <v>25</v>
      </c>
      <c r="I1863" t="s">
        <v>25</v>
      </c>
      <c r="K1863">
        <v>43698.521897777777</v>
      </c>
      <c r="L1863" t="s">
        <v>422</v>
      </c>
      <c r="M1863" t="s">
        <v>42</v>
      </c>
      <c r="N1863" t="s">
        <v>27</v>
      </c>
      <c r="O1863">
        <v>276547</v>
      </c>
      <c r="P1863">
        <v>43522.71875</v>
      </c>
      <c r="Q1863">
        <v>43353.870039965281</v>
      </c>
      <c r="R1863">
        <v>1900</v>
      </c>
    </row>
    <row r="1864" spans="1:18" x14ac:dyDescent="0.25">
      <c r="A1864" t="s">
        <v>6383</v>
      </c>
      <c r="B1864" t="s">
        <v>6384</v>
      </c>
      <c r="C1864" t="s">
        <v>6385</v>
      </c>
      <c r="D1864" t="s">
        <v>6385</v>
      </c>
      <c r="E1864" t="s">
        <v>6385</v>
      </c>
      <c r="F1864" t="s">
        <v>91</v>
      </c>
      <c r="G1864" t="s">
        <v>63</v>
      </c>
      <c r="H1864" t="s">
        <v>53</v>
      </c>
      <c r="I1864" t="s">
        <v>54</v>
      </c>
      <c r="J1864">
        <v>2006</v>
      </c>
      <c r="K1864">
        <v>43698.521897777777</v>
      </c>
      <c r="L1864" t="s">
        <v>422</v>
      </c>
      <c r="M1864" t="s">
        <v>2777</v>
      </c>
      <c r="N1864" t="s">
        <v>415</v>
      </c>
      <c r="O1864">
        <v>347043</v>
      </c>
      <c r="P1864">
        <v>43698.521897777777</v>
      </c>
      <c r="Q1864">
        <v>43354.447264317132</v>
      </c>
      <c r="R1864">
        <v>1901</v>
      </c>
    </row>
    <row r="1865" spans="1:18" x14ac:dyDescent="0.25">
      <c r="A1865" t="s">
        <v>6386</v>
      </c>
      <c r="B1865" t="s">
        <v>6387</v>
      </c>
      <c r="C1865" t="s">
        <v>6388</v>
      </c>
      <c r="D1865" t="s">
        <v>6388</v>
      </c>
      <c r="E1865" t="s">
        <v>6388</v>
      </c>
      <c r="F1865" t="s">
        <v>91</v>
      </c>
      <c r="G1865" t="s">
        <v>63</v>
      </c>
      <c r="H1865" t="s">
        <v>53</v>
      </c>
      <c r="I1865" t="s">
        <v>3693</v>
      </c>
      <c r="J1865">
        <v>2019</v>
      </c>
      <c r="K1865">
        <v>43698.521897777777</v>
      </c>
      <c r="L1865" t="s">
        <v>1005</v>
      </c>
      <c r="M1865" t="s">
        <v>1941</v>
      </c>
      <c r="N1865" t="s">
        <v>415</v>
      </c>
      <c r="O1865">
        <v>346152</v>
      </c>
      <c r="P1865">
        <v>43698.521897777777</v>
      </c>
      <c r="Q1865">
        <v>43355.347033483798</v>
      </c>
      <c r="R1865">
        <v>1902</v>
      </c>
    </row>
    <row r="1866" spans="1:18" x14ac:dyDescent="0.25">
      <c r="A1866" t="s">
        <v>25</v>
      </c>
      <c r="B1866" t="s">
        <v>25</v>
      </c>
      <c r="C1866" t="s">
        <v>6389</v>
      </c>
      <c r="D1866" t="s">
        <v>6389</v>
      </c>
      <c r="E1866" t="s">
        <v>6390</v>
      </c>
      <c r="F1866" t="s">
        <v>21</v>
      </c>
      <c r="G1866" t="s">
        <v>106</v>
      </c>
      <c r="H1866" t="s">
        <v>25</v>
      </c>
      <c r="I1866" t="s">
        <v>25</v>
      </c>
      <c r="K1866">
        <v>43698.521897777777</v>
      </c>
      <c r="L1866" t="s">
        <v>422</v>
      </c>
      <c r="M1866" t="s">
        <v>42</v>
      </c>
      <c r="N1866" t="s">
        <v>415</v>
      </c>
      <c r="O1866">
        <v>267767</v>
      </c>
      <c r="P1866">
        <v>43497.666666666664</v>
      </c>
      <c r="Q1866">
        <v>43357.44305065972</v>
      </c>
      <c r="R1866">
        <v>1903</v>
      </c>
    </row>
    <row r="1867" spans="1:18" x14ac:dyDescent="0.25">
      <c r="A1867" t="s">
        <v>25</v>
      </c>
      <c r="B1867" t="s">
        <v>25</v>
      </c>
      <c r="C1867" t="s">
        <v>6389</v>
      </c>
      <c r="D1867" t="s">
        <v>6389</v>
      </c>
      <c r="E1867" t="s">
        <v>6391</v>
      </c>
      <c r="F1867" t="s">
        <v>21</v>
      </c>
      <c r="G1867" t="s">
        <v>106</v>
      </c>
      <c r="H1867" t="s">
        <v>25</v>
      </c>
      <c r="I1867" t="s">
        <v>25</v>
      </c>
      <c r="K1867">
        <v>43698.521897777777</v>
      </c>
      <c r="L1867" t="s">
        <v>422</v>
      </c>
      <c r="M1867" t="s">
        <v>42</v>
      </c>
      <c r="N1867" t="s">
        <v>415</v>
      </c>
      <c r="O1867">
        <v>249698</v>
      </c>
      <c r="P1867">
        <v>43440.8125</v>
      </c>
      <c r="Q1867">
        <v>43357.443265393522</v>
      </c>
      <c r="R1867">
        <v>1904</v>
      </c>
    </row>
    <row r="1868" spans="1:18" x14ac:dyDescent="0.25">
      <c r="A1868" t="s">
        <v>6392</v>
      </c>
      <c r="B1868" t="s">
        <v>6393</v>
      </c>
      <c r="C1868" t="s">
        <v>6394</v>
      </c>
      <c r="D1868" t="s">
        <v>6394</v>
      </c>
      <c r="E1868" t="s">
        <v>6394</v>
      </c>
      <c r="F1868" t="s">
        <v>91</v>
      </c>
      <c r="G1868" t="s">
        <v>63</v>
      </c>
      <c r="H1868" t="s">
        <v>53</v>
      </c>
      <c r="I1868" t="s">
        <v>3693</v>
      </c>
      <c r="J1868">
        <v>2019</v>
      </c>
      <c r="K1868">
        <v>43698.521897777777</v>
      </c>
      <c r="L1868" t="s">
        <v>1005</v>
      </c>
      <c r="M1868" t="s">
        <v>1941</v>
      </c>
      <c r="N1868" t="s">
        <v>415</v>
      </c>
      <c r="O1868">
        <v>346644</v>
      </c>
      <c r="P1868">
        <v>43698.521897777777</v>
      </c>
      <c r="Q1868">
        <v>43357.632724456016</v>
      </c>
      <c r="R1868">
        <v>1905</v>
      </c>
    </row>
    <row r="1869" spans="1:18" x14ac:dyDescent="0.25">
      <c r="A1869" t="s">
        <v>6395</v>
      </c>
      <c r="B1869" t="s">
        <v>6396</v>
      </c>
      <c r="C1869" t="s">
        <v>6397</v>
      </c>
      <c r="D1869" t="s">
        <v>6397</v>
      </c>
      <c r="E1869" t="s">
        <v>6397</v>
      </c>
      <c r="F1869" t="s">
        <v>91</v>
      </c>
      <c r="G1869" t="s">
        <v>63</v>
      </c>
      <c r="H1869" t="s">
        <v>34</v>
      </c>
      <c r="I1869" t="s">
        <v>35</v>
      </c>
      <c r="J1869">
        <v>2019</v>
      </c>
      <c r="K1869">
        <v>43698.521897777777</v>
      </c>
      <c r="L1869" t="s">
        <v>1005</v>
      </c>
      <c r="M1869" t="s">
        <v>1941</v>
      </c>
      <c r="N1869" t="s">
        <v>415</v>
      </c>
      <c r="O1869">
        <v>344649</v>
      </c>
      <c r="P1869">
        <v>43695.154861111114</v>
      </c>
      <c r="Q1869">
        <v>43368.413787118057</v>
      </c>
      <c r="R1869">
        <v>1907</v>
      </c>
    </row>
    <row r="1870" spans="1:18" x14ac:dyDescent="0.25">
      <c r="A1870" t="s">
        <v>6398</v>
      </c>
      <c r="B1870" t="s">
        <v>6399</v>
      </c>
      <c r="C1870" t="s">
        <v>6400</v>
      </c>
      <c r="D1870" t="s">
        <v>6400</v>
      </c>
      <c r="E1870" t="s">
        <v>6400</v>
      </c>
      <c r="F1870" t="s">
        <v>91</v>
      </c>
      <c r="G1870" t="s">
        <v>63</v>
      </c>
      <c r="H1870" t="s">
        <v>53</v>
      </c>
      <c r="I1870" t="s">
        <v>471</v>
      </c>
      <c r="J1870">
        <v>2012</v>
      </c>
      <c r="K1870">
        <v>43698.521897777777</v>
      </c>
      <c r="L1870" t="s">
        <v>578</v>
      </c>
      <c r="M1870" t="s">
        <v>1941</v>
      </c>
      <c r="N1870" t="s">
        <v>93</v>
      </c>
      <c r="O1870">
        <v>347131</v>
      </c>
      <c r="P1870">
        <v>43698.521897777777</v>
      </c>
      <c r="Q1870">
        <v>43368.418072025466</v>
      </c>
      <c r="R1870">
        <v>1908</v>
      </c>
    </row>
    <row r="1871" spans="1:18" x14ac:dyDescent="0.25">
      <c r="A1871" t="s">
        <v>6401</v>
      </c>
      <c r="B1871" t="s">
        <v>1662</v>
      </c>
      <c r="C1871" t="s">
        <v>6402</v>
      </c>
      <c r="D1871" t="s">
        <v>6402</v>
      </c>
      <c r="E1871" t="s">
        <v>6402</v>
      </c>
      <c r="F1871" t="s">
        <v>91</v>
      </c>
      <c r="G1871" t="s">
        <v>63</v>
      </c>
      <c r="H1871" t="s">
        <v>53</v>
      </c>
      <c r="I1871" t="s">
        <v>471</v>
      </c>
      <c r="J1871">
        <v>2016</v>
      </c>
      <c r="K1871">
        <v>43698.521897777777</v>
      </c>
      <c r="L1871" t="s">
        <v>1056</v>
      </c>
      <c r="M1871" t="s">
        <v>1941</v>
      </c>
      <c r="N1871" t="s">
        <v>93</v>
      </c>
      <c r="O1871">
        <v>342099</v>
      </c>
      <c r="P1871">
        <v>43686.869444444441</v>
      </c>
      <c r="Q1871">
        <v>43368.419726504631</v>
      </c>
      <c r="R1871">
        <v>1909</v>
      </c>
    </row>
    <row r="1872" spans="1:18" x14ac:dyDescent="0.25">
      <c r="A1872" t="s">
        <v>6403</v>
      </c>
      <c r="B1872" t="s">
        <v>6404</v>
      </c>
      <c r="C1872" t="s">
        <v>6405</v>
      </c>
      <c r="D1872" t="s">
        <v>6405</v>
      </c>
      <c r="E1872" t="s">
        <v>6405</v>
      </c>
      <c r="F1872" t="s">
        <v>21</v>
      </c>
      <c r="G1872" t="s">
        <v>63</v>
      </c>
      <c r="H1872" t="s">
        <v>34</v>
      </c>
      <c r="I1872" t="s">
        <v>35</v>
      </c>
      <c r="J1872">
        <v>2019</v>
      </c>
      <c r="K1872">
        <v>43698.521897777777</v>
      </c>
      <c r="L1872" t="s">
        <v>1005</v>
      </c>
      <c r="M1872" t="s">
        <v>1941</v>
      </c>
      <c r="N1872" t="s">
        <v>27</v>
      </c>
      <c r="O1872">
        <v>284196</v>
      </c>
      <c r="P1872">
        <v>43545.016215277778</v>
      </c>
      <c r="Q1872">
        <v>43368.421466585649</v>
      </c>
      <c r="R1872">
        <v>1910</v>
      </c>
    </row>
    <row r="1873" spans="1:18" x14ac:dyDescent="0.25">
      <c r="A1873" t="s">
        <v>6406</v>
      </c>
      <c r="B1873" t="s">
        <v>6407</v>
      </c>
      <c r="C1873" t="s">
        <v>6408</v>
      </c>
      <c r="D1873" t="s">
        <v>6408</v>
      </c>
      <c r="E1873" t="s">
        <v>6408</v>
      </c>
      <c r="F1873" t="s">
        <v>253</v>
      </c>
      <c r="G1873" t="s">
        <v>63</v>
      </c>
      <c r="H1873" t="s">
        <v>34</v>
      </c>
      <c r="I1873" t="s">
        <v>35</v>
      </c>
      <c r="J1873">
        <v>2019</v>
      </c>
      <c r="K1873">
        <v>43698.521897777777</v>
      </c>
      <c r="L1873" t="s">
        <v>1005</v>
      </c>
      <c r="M1873" t="s">
        <v>1941</v>
      </c>
      <c r="N1873" t="s">
        <v>415</v>
      </c>
      <c r="O1873">
        <v>334574</v>
      </c>
      <c r="P1873">
        <v>43671.76458333333</v>
      </c>
      <c r="Q1873">
        <v>43368.423822187498</v>
      </c>
      <c r="R1873">
        <v>1911</v>
      </c>
    </row>
    <row r="1874" spans="1:18" x14ac:dyDescent="0.25">
      <c r="A1874" t="s">
        <v>6409</v>
      </c>
      <c r="B1874" t="s">
        <v>6410</v>
      </c>
      <c r="C1874" t="s">
        <v>6411</v>
      </c>
      <c r="D1874" t="s">
        <v>6411</v>
      </c>
      <c r="E1874" t="s">
        <v>6411</v>
      </c>
      <c r="F1874" t="s">
        <v>91</v>
      </c>
      <c r="G1874" t="s">
        <v>63</v>
      </c>
      <c r="H1874" t="s">
        <v>53</v>
      </c>
      <c r="I1874" t="s">
        <v>471</v>
      </c>
      <c r="J1874">
        <v>2019</v>
      </c>
      <c r="K1874">
        <v>43698.521897777777</v>
      </c>
      <c r="L1874" t="s">
        <v>1660</v>
      </c>
      <c r="M1874" t="s">
        <v>2777</v>
      </c>
      <c r="N1874" t="s">
        <v>415</v>
      </c>
      <c r="O1874">
        <v>346741</v>
      </c>
      <c r="P1874">
        <v>43698.521897777777</v>
      </c>
      <c r="Q1874">
        <v>43368.522379548609</v>
      </c>
      <c r="R1874">
        <v>1912</v>
      </c>
    </row>
    <row r="1875" spans="1:18" x14ac:dyDescent="0.25">
      <c r="A1875" t="s">
        <v>6412</v>
      </c>
      <c r="B1875" t="s">
        <v>6413</v>
      </c>
      <c r="C1875" t="s">
        <v>6414</v>
      </c>
      <c r="D1875" t="s">
        <v>6414</v>
      </c>
      <c r="E1875" t="s">
        <v>6414</v>
      </c>
      <c r="F1875" t="s">
        <v>21</v>
      </c>
      <c r="G1875" t="s">
        <v>63</v>
      </c>
      <c r="H1875" t="s">
        <v>53</v>
      </c>
      <c r="I1875" t="s">
        <v>471</v>
      </c>
      <c r="J1875">
        <v>2012</v>
      </c>
      <c r="K1875">
        <v>43698.521897777777</v>
      </c>
      <c r="L1875" t="s">
        <v>1660</v>
      </c>
      <c r="M1875" t="s">
        <v>2777</v>
      </c>
      <c r="N1875" t="s">
        <v>27</v>
      </c>
      <c r="O1875">
        <v>282491</v>
      </c>
      <c r="P1875">
        <v>43538.748611111114</v>
      </c>
      <c r="Q1875">
        <v>43368.52289641204</v>
      </c>
      <c r="R1875">
        <v>1913</v>
      </c>
    </row>
    <row r="1876" spans="1:18" x14ac:dyDescent="0.25">
      <c r="A1876" t="s">
        <v>6415</v>
      </c>
      <c r="B1876" t="s">
        <v>6416</v>
      </c>
      <c r="C1876" t="s">
        <v>6417</v>
      </c>
      <c r="D1876" t="s">
        <v>6417</v>
      </c>
      <c r="E1876" t="s">
        <v>6417</v>
      </c>
      <c r="F1876" t="s">
        <v>21</v>
      </c>
      <c r="G1876" t="s">
        <v>63</v>
      </c>
      <c r="H1876" t="s">
        <v>53</v>
      </c>
      <c r="I1876" t="s">
        <v>471</v>
      </c>
      <c r="J1876">
        <v>2013</v>
      </c>
      <c r="K1876">
        <v>43698.521897777777</v>
      </c>
      <c r="L1876" t="s">
        <v>466</v>
      </c>
      <c r="M1876" t="s">
        <v>154</v>
      </c>
      <c r="N1876" t="s">
        <v>1305</v>
      </c>
      <c r="O1876">
        <v>307056</v>
      </c>
      <c r="P1876">
        <v>43602.818182870367</v>
      </c>
      <c r="Q1876">
        <v>43371.50835625</v>
      </c>
      <c r="R1876">
        <v>1914</v>
      </c>
    </row>
    <row r="1877" spans="1:18" x14ac:dyDescent="0.25">
      <c r="A1877" t="s">
        <v>6418</v>
      </c>
      <c r="B1877" t="s">
        <v>6419</v>
      </c>
      <c r="C1877" t="s">
        <v>6420</v>
      </c>
      <c r="D1877" t="s">
        <v>6420</v>
      </c>
      <c r="E1877" t="s">
        <v>6420</v>
      </c>
      <c r="F1877" t="s">
        <v>253</v>
      </c>
      <c r="G1877" t="s">
        <v>63</v>
      </c>
      <c r="H1877" t="s">
        <v>53</v>
      </c>
      <c r="I1877" t="s">
        <v>471</v>
      </c>
      <c r="J1877">
        <v>2011</v>
      </c>
      <c r="K1877">
        <v>43698.521897777777</v>
      </c>
      <c r="L1877" t="s">
        <v>3142</v>
      </c>
      <c r="M1877" t="s">
        <v>37</v>
      </c>
      <c r="N1877" t="s">
        <v>415</v>
      </c>
      <c r="O1877">
        <v>336665</v>
      </c>
      <c r="P1877">
        <v>43677.341666666667</v>
      </c>
      <c r="Q1877">
        <v>43374.505612233799</v>
      </c>
      <c r="R1877">
        <v>1915</v>
      </c>
    </row>
    <row r="1878" spans="1:18" x14ac:dyDescent="0.25">
      <c r="A1878" t="s">
        <v>6421</v>
      </c>
      <c r="B1878" t="s">
        <v>675</v>
      </c>
      <c r="C1878" t="s">
        <v>6422</v>
      </c>
      <c r="D1878" t="s">
        <v>6422</v>
      </c>
      <c r="E1878" t="s">
        <v>6422</v>
      </c>
      <c r="F1878" t="s">
        <v>253</v>
      </c>
      <c r="G1878" t="s">
        <v>63</v>
      </c>
      <c r="H1878" t="s">
        <v>236</v>
      </c>
      <c r="I1878" t="s">
        <v>556</v>
      </c>
      <c r="J1878">
        <v>2014</v>
      </c>
      <c r="K1878">
        <v>43698.521897777777</v>
      </c>
      <c r="L1878" t="s">
        <v>1660</v>
      </c>
      <c r="M1878" t="s">
        <v>2777</v>
      </c>
      <c r="N1878" t="s">
        <v>27</v>
      </c>
      <c r="O1878">
        <v>304820</v>
      </c>
      <c r="P1878">
        <v>43594.84375</v>
      </c>
      <c r="Q1878">
        <v>43375.68356041667</v>
      </c>
      <c r="R1878">
        <v>1916</v>
      </c>
    </row>
    <row r="1879" spans="1:18" x14ac:dyDescent="0.25">
      <c r="A1879" t="s">
        <v>6423</v>
      </c>
      <c r="B1879" t="s">
        <v>1637</v>
      </c>
      <c r="C1879" t="s">
        <v>6424</v>
      </c>
      <c r="D1879" t="s">
        <v>6424</v>
      </c>
      <c r="E1879" t="s">
        <v>6425</v>
      </c>
      <c r="F1879" t="s">
        <v>91</v>
      </c>
      <c r="G1879" t="s">
        <v>63</v>
      </c>
      <c r="H1879" t="s">
        <v>53</v>
      </c>
      <c r="I1879" t="s">
        <v>471</v>
      </c>
      <c r="J1879">
        <v>2016</v>
      </c>
      <c r="K1879">
        <v>43698.521897777777</v>
      </c>
      <c r="L1879" t="s">
        <v>466</v>
      </c>
      <c r="M1879" t="s">
        <v>154</v>
      </c>
      <c r="N1879" t="s">
        <v>1305</v>
      </c>
      <c r="O1879">
        <v>345457</v>
      </c>
      <c r="P1879">
        <v>43698.521897777777</v>
      </c>
      <c r="Q1879">
        <v>43375.726680011576</v>
      </c>
      <c r="R1879">
        <v>1917</v>
      </c>
    </row>
    <row r="1880" spans="1:18" x14ac:dyDescent="0.25">
      <c r="A1880" t="s">
        <v>6426</v>
      </c>
      <c r="B1880" t="s">
        <v>6427</v>
      </c>
      <c r="C1880" t="s">
        <v>6428</v>
      </c>
      <c r="D1880" t="s">
        <v>6428</v>
      </c>
      <c r="E1880" t="s">
        <v>6428</v>
      </c>
      <c r="F1880" t="s">
        <v>91</v>
      </c>
      <c r="G1880" t="s">
        <v>63</v>
      </c>
      <c r="H1880" t="s">
        <v>34</v>
      </c>
      <c r="I1880" t="s">
        <v>35</v>
      </c>
      <c r="J1880">
        <v>2019</v>
      </c>
      <c r="K1880">
        <v>43698.521897777777</v>
      </c>
      <c r="L1880" t="s">
        <v>1005</v>
      </c>
      <c r="M1880" t="s">
        <v>1941</v>
      </c>
      <c r="N1880" t="s">
        <v>415</v>
      </c>
      <c r="O1880">
        <v>346699</v>
      </c>
      <c r="P1880">
        <v>43698.521897777777</v>
      </c>
      <c r="Q1880">
        <v>43377.624825960651</v>
      </c>
      <c r="R1880">
        <v>1918</v>
      </c>
    </row>
    <row r="1881" spans="1:18" x14ac:dyDescent="0.25">
      <c r="A1881" t="s">
        <v>6429</v>
      </c>
      <c r="B1881" t="s">
        <v>6430</v>
      </c>
      <c r="C1881" t="s">
        <v>6431</v>
      </c>
      <c r="D1881" t="s">
        <v>6431</v>
      </c>
      <c r="E1881" t="s">
        <v>6431</v>
      </c>
      <c r="F1881" t="s">
        <v>91</v>
      </c>
      <c r="G1881" t="s">
        <v>63</v>
      </c>
      <c r="H1881" t="s">
        <v>53</v>
      </c>
      <c r="I1881" t="s">
        <v>744</v>
      </c>
      <c r="J1881">
        <v>2005</v>
      </c>
      <c r="K1881">
        <v>43698.521897777777</v>
      </c>
      <c r="L1881" t="s">
        <v>422</v>
      </c>
      <c r="M1881" t="s">
        <v>2777</v>
      </c>
      <c r="N1881" t="s">
        <v>93</v>
      </c>
      <c r="O1881">
        <v>346972</v>
      </c>
      <c r="P1881">
        <v>43698.521897777777</v>
      </c>
      <c r="Q1881">
        <v>43378.410488310183</v>
      </c>
      <c r="R1881">
        <v>1919</v>
      </c>
    </row>
    <row r="1882" spans="1:18" x14ac:dyDescent="0.25">
      <c r="A1882" t="s">
        <v>6432</v>
      </c>
      <c r="B1882" t="s">
        <v>6433</v>
      </c>
      <c r="C1882" t="s">
        <v>6434</v>
      </c>
      <c r="D1882" t="s">
        <v>6434</v>
      </c>
      <c r="E1882" t="s">
        <v>6434</v>
      </c>
      <c r="F1882" t="s">
        <v>21</v>
      </c>
      <c r="G1882" t="s">
        <v>63</v>
      </c>
      <c r="H1882" t="s">
        <v>34</v>
      </c>
      <c r="I1882" t="s">
        <v>1044</v>
      </c>
      <c r="J1882">
        <v>2012</v>
      </c>
      <c r="K1882">
        <v>43698.521897777777</v>
      </c>
      <c r="L1882" t="s">
        <v>466</v>
      </c>
      <c r="M1882" t="s">
        <v>154</v>
      </c>
      <c r="N1882" t="s">
        <v>1305</v>
      </c>
      <c r="O1882">
        <v>305923</v>
      </c>
      <c r="P1882">
        <v>43603.763888888891</v>
      </c>
      <c r="Q1882">
        <v>43382.471185219911</v>
      </c>
      <c r="R1882">
        <v>1920</v>
      </c>
    </row>
    <row r="1883" spans="1:18" x14ac:dyDescent="0.25">
      <c r="A1883" t="s">
        <v>6435</v>
      </c>
      <c r="B1883" t="s">
        <v>6436</v>
      </c>
      <c r="C1883" t="s">
        <v>6437</v>
      </c>
      <c r="D1883" t="s">
        <v>6437</v>
      </c>
      <c r="E1883" t="s">
        <v>6437</v>
      </c>
      <c r="F1883" t="s">
        <v>91</v>
      </c>
      <c r="G1883" t="s">
        <v>63</v>
      </c>
      <c r="H1883" t="s">
        <v>34</v>
      </c>
      <c r="I1883" t="s">
        <v>35</v>
      </c>
      <c r="J1883">
        <v>2007</v>
      </c>
      <c r="K1883">
        <v>43698.521897777777</v>
      </c>
      <c r="L1883" t="s">
        <v>1940</v>
      </c>
      <c r="M1883" t="s">
        <v>1941</v>
      </c>
      <c r="N1883" t="s">
        <v>27</v>
      </c>
      <c r="O1883">
        <v>347072</v>
      </c>
      <c r="P1883">
        <v>43698.521897777777</v>
      </c>
      <c r="Q1883">
        <v>43383.678832638892</v>
      </c>
      <c r="R1883">
        <v>1921</v>
      </c>
    </row>
    <row r="1884" spans="1:18" x14ac:dyDescent="0.25">
      <c r="A1884" t="s">
        <v>6438</v>
      </c>
      <c r="B1884" t="s">
        <v>911</v>
      </c>
      <c r="C1884" t="s">
        <v>6439</v>
      </c>
      <c r="D1884" t="s">
        <v>6439</v>
      </c>
      <c r="E1884" t="s">
        <v>6440</v>
      </c>
      <c r="F1884" t="s">
        <v>21</v>
      </c>
      <c r="G1884" t="s">
        <v>63</v>
      </c>
      <c r="H1884" t="s">
        <v>34</v>
      </c>
      <c r="I1884" t="s">
        <v>35</v>
      </c>
      <c r="J1884">
        <v>2007</v>
      </c>
      <c r="K1884">
        <v>43698.521897777777</v>
      </c>
      <c r="L1884" t="s">
        <v>193</v>
      </c>
      <c r="M1884" t="s">
        <v>1941</v>
      </c>
      <c r="N1884" t="s">
        <v>27</v>
      </c>
      <c r="O1884">
        <v>302031</v>
      </c>
      <c r="P1884">
        <v>43647.704293981478</v>
      </c>
      <c r="Q1884">
        <v>43383.679457905091</v>
      </c>
      <c r="R1884">
        <v>1922</v>
      </c>
    </row>
    <row r="1885" spans="1:18" x14ac:dyDescent="0.25">
      <c r="A1885" t="s">
        <v>6441</v>
      </c>
      <c r="B1885" t="s">
        <v>6442</v>
      </c>
      <c r="C1885" t="s">
        <v>6443</v>
      </c>
      <c r="D1885" t="s">
        <v>6443</v>
      </c>
      <c r="E1885" t="s">
        <v>6443</v>
      </c>
      <c r="F1885" t="s">
        <v>91</v>
      </c>
      <c r="G1885" t="s">
        <v>63</v>
      </c>
      <c r="H1885" t="s">
        <v>53</v>
      </c>
      <c r="I1885" t="s">
        <v>3693</v>
      </c>
      <c r="J1885">
        <v>2019</v>
      </c>
      <c r="K1885">
        <v>43698.521897777777</v>
      </c>
      <c r="L1885" t="s">
        <v>193</v>
      </c>
      <c r="M1885" t="s">
        <v>1941</v>
      </c>
      <c r="N1885" t="s">
        <v>415</v>
      </c>
      <c r="O1885">
        <v>346565</v>
      </c>
      <c r="P1885">
        <v>43698.521897777777</v>
      </c>
      <c r="Q1885">
        <v>43383.680204201388</v>
      </c>
      <c r="R1885">
        <v>1923</v>
      </c>
    </row>
    <row r="1886" spans="1:18" x14ac:dyDescent="0.25">
      <c r="A1886" t="s">
        <v>6444</v>
      </c>
      <c r="B1886" t="s">
        <v>6445</v>
      </c>
      <c r="C1886" t="s">
        <v>6446</v>
      </c>
      <c r="D1886" t="s">
        <v>6446</v>
      </c>
      <c r="E1886" t="s">
        <v>6446</v>
      </c>
      <c r="F1886" t="s">
        <v>91</v>
      </c>
      <c r="G1886" t="s">
        <v>63</v>
      </c>
      <c r="H1886" t="s">
        <v>236</v>
      </c>
      <c r="I1886" t="s">
        <v>41</v>
      </c>
      <c r="J1886">
        <v>2007</v>
      </c>
      <c r="K1886">
        <v>43698.521897777777</v>
      </c>
      <c r="L1886" t="s">
        <v>193</v>
      </c>
      <c r="M1886" t="s">
        <v>1941</v>
      </c>
      <c r="N1886" t="s">
        <v>415</v>
      </c>
      <c r="O1886">
        <v>345421</v>
      </c>
      <c r="P1886">
        <v>43698.521897777777</v>
      </c>
      <c r="Q1886">
        <v>43383.680755636575</v>
      </c>
      <c r="R1886">
        <v>1924</v>
      </c>
    </row>
    <row r="1887" spans="1:18" x14ac:dyDescent="0.25">
      <c r="A1887" t="s">
        <v>25</v>
      </c>
      <c r="B1887" t="s">
        <v>25</v>
      </c>
      <c r="C1887" t="s">
        <v>6447</v>
      </c>
      <c r="D1887" t="s">
        <v>6447</v>
      </c>
      <c r="E1887" t="s">
        <v>6448</v>
      </c>
      <c r="F1887" t="s">
        <v>91</v>
      </c>
      <c r="G1887" t="s">
        <v>106</v>
      </c>
      <c r="H1887" t="s">
        <v>25</v>
      </c>
      <c r="I1887" t="s">
        <v>25</v>
      </c>
      <c r="K1887">
        <v>43698.521897777777</v>
      </c>
      <c r="L1887" t="s">
        <v>422</v>
      </c>
      <c r="M1887" t="s">
        <v>42</v>
      </c>
      <c r="N1887" t="s">
        <v>27</v>
      </c>
      <c r="O1887">
        <v>347051</v>
      </c>
      <c r="P1887">
        <v>43698.521897777777</v>
      </c>
      <c r="Q1887">
        <v>43388.960481284725</v>
      </c>
      <c r="R1887">
        <v>1925</v>
      </c>
    </row>
    <row r="1888" spans="1:18" x14ac:dyDescent="0.25">
      <c r="A1888" t="s">
        <v>6449</v>
      </c>
      <c r="B1888" t="s">
        <v>6450</v>
      </c>
      <c r="C1888" t="s">
        <v>6451</v>
      </c>
      <c r="D1888" t="s">
        <v>6451</v>
      </c>
      <c r="E1888" t="s">
        <v>6452</v>
      </c>
      <c r="F1888" t="s">
        <v>91</v>
      </c>
      <c r="G1888" t="s">
        <v>63</v>
      </c>
      <c r="H1888" t="s">
        <v>34</v>
      </c>
      <c r="I1888" t="s">
        <v>35</v>
      </c>
      <c r="J1888">
        <v>2019</v>
      </c>
      <c r="K1888">
        <v>43698.521897777777</v>
      </c>
      <c r="L1888" t="s">
        <v>466</v>
      </c>
      <c r="M1888" t="s">
        <v>154</v>
      </c>
      <c r="N1888" t="s">
        <v>467</v>
      </c>
      <c r="O1888">
        <v>346103</v>
      </c>
      <c r="P1888">
        <v>43698.521897777777</v>
      </c>
      <c r="Q1888">
        <v>43389.692697569444</v>
      </c>
      <c r="R1888">
        <v>1927</v>
      </c>
    </row>
    <row r="1889" spans="1:18" x14ac:dyDescent="0.25">
      <c r="A1889" t="s">
        <v>6453</v>
      </c>
      <c r="B1889" t="s">
        <v>6454</v>
      </c>
      <c r="C1889" t="s">
        <v>6455</v>
      </c>
      <c r="D1889" t="s">
        <v>6455</v>
      </c>
      <c r="E1889" t="s">
        <v>6456</v>
      </c>
      <c r="F1889" t="s">
        <v>91</v>
      </c>
      <c r="G1889" t="s">
        <v>63</v>
      </c>
      <c r="H1889" t="s">
        <v>34</v>
      </c>
      <c r="I1889" t="s">
        <v>35</v>
      </c>
      <c r="J1889">
        <v>2019</v>
      </c>
      <c r="K1889">
        <v>43698.521897777777</v>
      </c>
      <c r="L1889" t="s">
        <v>466</v>
      </c>
      <c r="M1889" t="s">
        <v>154</v>
      </c>
      <c r="N1889" t="s">
        <v>1305</v>
      </c>
      <c r="O1889">
        <v>345470</v>
      </c>
      <c r="P1889">
        <v>43698.521897777777</v>
      </c>
      <c r="Q1889">
        <v>43389.693755243054</v>
      </c>
      <c r="R1889">
        <v>1928</v>
      </c>
    </row>
    <row r="1890" spans="1:18" x14ac:dyDescent="0.25">
      <c r="A1890" t="s">
        <v>6457</v>
      </c>
      <c r="B1890" t="s">
        <v>6458</v>
      </c>
      <c r="C1890" t="s">
        <v>6459</v>
      </c>
      <c r="D1890" t="s">
        <v>6459</v>
      </c>
      <c r="E1890" t="s">
        <v>6460</v>
      </c>
      <c r="F1890" t="s">
        <v>91</v>
      </c>
      <c r="G1890" t="s">
        <v>63</v>
      </c>
      <c r="H1890" t="s">
        <v>34</v>
      </c>
      <c r="I1890" t="s">
        <v>35</v>
      </c>
      <c r="J1890">
        <v>2019</v>
      </c>
      <c r="K1890">
        <v>43698.521897777777</v>
      </c>
      <c r="L1890" t="s">
        <v>466</v>
      </c>
      <c r="M1890" t="s">
        <v>154</v>
      </c>
      <c r="N1890" t="s">
        <v>1305</v>
      </c>
      <c r="O1890">
        <v>345849</v>
      </c>
      <c r="P1890">
        <v>43698.521897777777</v>
      </c>
      <c r="Q1890">
        <v>43389.694914432868</v>
      </c>
      <c r="R1890">
        <v>1929</v>
      </c>
    </row>
    <row r="1891" spans="1:18" x14ac:dyDescent="0.25">
      <c r="A1891" t="s">
        <v>6461</v>
      </c>
      <c r="B1891" t="s">
        <v>6462</v>
      </c>
      <c r="C1891" t="s">
        <v>6463</v>
      </c>
      <c r="D1891" t="s">
        <v>6463</v>
      </c>
      <c r="E1891" t="s">
        <v>6464</v>
      </c>
      <c r="F1891" t="s">
        <v>91</v>
      </c>
      <c r="G1891" t="s">
        <v>63</v>
      </c>
      <c r="H1891" t="s">
        <v>34</v>
      </c>
      <c r="I1891" t="s">
        <v>35</v>
      </c>
      <c r="J1891">
        <v>2019</v>
      </c>
      <c r="K1891">
        <v>43698.521897777777</v>
      </c>
      <c r="L1891" t="s">
        <v>466</v>
      </c>
      <c r="M1891" t="s">
        <v>154</v>
      </c>
      <c r="N1891" t="s">
        <v>1305</v>
      </c>
      <c r="O1891">
        <v>346187</v>
      </c>
      <c r="P1891">
        <v>43698.521897777777</v>
      </c>
      <c r="Q1891">
        <v>43389.697137384261</v>
      </c>
      <c r="R1891">
        <v>1930</v>
      </c>
    </row>
    <row r="1892" spans="1:18" x14ac:dyDescent="0.25">
      <c r="A1892" t="s">
        <v>6465</v>
      </c>
      <c r="B1892" t="s">
        <v>6466</v>
      </c>
      <c r="C1892" t="s">
        <v>6467</v>
      </c>
      <c r="D1892" t="s">
        <v>6467</v>
      </c>
      <c r="E1892" t="s">
        <v>6468</v>
      </c>
      <c r="F1892" t="s">
        <v>91</v>
      </c>
      <c r="G1892" t="s">
        <v>63</v>
      </c>
      <c r="H1892" t="s">
        <v>34</v>
      </c>
      <c r="I1892" t="s">
        <v>35</v>
      </c>
      <c r="J1892">
        <v>2019</v>
      </c>
      <c r="K1892">
        <v>43698.521897777777</v>
      </c>
      <c r="L1892" t="s">
        <v>466</v>
      </c>
      <c r="M1892" t="s">
        <v>154</v>
      </c>
      <c r="N1892" t="s">
        <v>1305</v>
      </c>
      <c r="O1892">
        <v>345769</v>
      </c>
      <c r="P1892">
        <v>43698.521897777777</v>
      </c>
      <c r="Q1892">
        <v>43389.697902118052</v>
      </c>
      <c r="R1892">
        <v>1931</v>
      </c>
    </row>
    <row r="1893" spans="1:18" x14ac:dyDescent="0.25">
      <c r="A1893" t="s">
        <v>6469</v>
      </c>
      <c r="B1893" t="s">
        <v>6470</v>
      </c>
      <c r="C1893" t="s">
        <v>6471</v>
      </c>
      <c r="D1893" t="s">
        <v>6471</v>
      </c>
      <c r="E1893" t="s">
        <v>6472</v>
      </c>
      <c r="F1893" t="s">
        <v>91</v>
      </c>
      <c r="G1893" t="s">
        <v>63</v>
      </c>
      <c r="H1893" t="s">
        <v>34</v>
      </c>
      <c r="I1893" t="s">
        <v>35</v>
      </c>
      <c r="J1893">
        <v>2019</v>
      </c>
      <c r="K1893">
        <v>43698.521897777777</v>
      </c>
      <c r="L1893" t="s">
        <v>466</v>
      </c>
      <c r="M1893" t="s">
        <v>154</v>
      </c>
      <c r="N1893" t="s">
        <v>1305</v>
      </c>
      <c r="O1893">
        <v>345851</v>
      </c>
      <c r="P1893">
        <v>43698.521897777777</v>
      </c>
      <c r="Q1893">
        <v>43389.808222534724</v>
      </c>
      <c r="R1893">
        <v>1932</v>
      </c>
    </row>
    <row r="1894" spans="1:18" x14ac:dyDescent="0.25">
      <c r="A1894" t="s">
        <v>6473</v>
      </c>
      <c r="B1894" t="s">
        <v>6474</v>
      </c>
      <c r="C1894" t="s">
        <v>6475</v>
      </c>
      <c r="D1894" t="s">
        <v>6475</v>
      </c>
      <c r="E1894" t="s">
        <v>6476</v>
      </c>
      <c r="F1894" t="s">
        <v>253</v>
      </c>
      <c r="G1894" t="s">
        <v>63</v>
      </c>
      <c r="H1894" t="s">
        <v>34</v>
      </c>
      <c r="I1894" t="s">
        <v>35</v>
      </c>
      <c r="J1894">
        <v>2019</v>
      </c>
      <c r="K1894">
        <v>43698.521897777777</v>
      </c>
      <c r="L1894" t="s">
        <v>466</v>
      </c>
      <c r="M1894" t="s">
        <v>154</v>
      </c>
      <c r="N1894" t="s">
        <v>1305</v>
      </c>
      <c r="O1894">
        <v>337337</v>
      </c>
      <c r="P1894">
        <v>43675.536805555559</v>
      </c>
      <c r="Q1894">
        <v>43389.809714201387</v>
      </c>
      <c r="R1894">
        <v>1933</v>
      </c>
    </row>
    <row r="1895" spans="1:18" x14ac:dyDescent="0.25">
      <c r="A1895" t="s">
        <v>6477</v>
      </c>
      <c r="B1895" t="s">
        <v>6478</v>
      </c>
      <c r="C1895" t="s">
        <v>6479</v>
      </c>
      <c r="D1895" t="s">
        <v>6479</v>
      </c>
      <c r="E1895" t="s">
        <v>6480</v>
      </c>
      <c r="F1895" t="s">
        <v>91</v>
      </c>
      <c r="G1895" t="s">
        <v>63</v>
      </c>
      <c r="H1895" t="s">
        <v>34</v>
      </c>
      <c r="I1895" t="s">
        <v>35</v>
      </c>
      <c r="J1895">
        <v>2019</v>
      </c>
      <c r="K1895">
        <v>43698.521897777777</v>
      </c>
      <c r="L1895" t="s">
        <v>466</v>
      </c>
      <c r="M1895" t="s">
        <v>154</v>
      </c>
      <c r="N1895" t="s">
        <v>1305</v>
      </c>
      <c r="O1895">
        <v>345346</v>
      </c>
      <c r="P1895">
        <v>43698.521897777777</v>
      </c>
      <c r="Q1895">
        <v>43389.829101041665</v>
      </c>
      <c r="R1895">
        <v>1934</v>
      </c>
    </row>
    <row r="1896" spans="1:18" x14ac:dyDescent="0.25">
      <c r="A1896" t="s">
        <v>6481</v>
      </c>
      <c r="B1896" t="s">
        <v>6482</v>
      </c>
      <c r="C1896" t="s">
        <v>6483</v>
      </c>
      <c r="D1896" t="s">
        <v>6483</v>
      </c>
      <c r="E1896" t="s">
        <v>6484</v>
      </c>
      <c r="F1896" t="s">
        <v>91</v>
      </c>
      <c r="G1896" t="s">
        <v>63</v>
      </c>
      <c r="H1896" t="s">
        <v>34</v>
      </c>
      <c r="I1896" t="s">
        <v>35</v>
      </c>
      <c r="J1896">
        <v>2019</v>
      </c>
      <c r="K1896">
        <v>43698.521897777777</v>
      </c>
      <c r="L1896" t="s">
        <v>466</v>
      </c>
      <c r="M1896" t="s">
        <v>154</v>
      </c>
      <c r="N1896" t="s">
        <v>1305</v>
      </c>
      <c r="O1896">
        <v>339642</v>
      </c>
      <c r="P1896">
        <v>43684.73165509259</v>
      </c>
      <c r="Q1896">
        <v>43389.830303506948</v>
      </c>
      <c r="R1896">
        <v>1935</v>
      </c>
    </row>
    <row r="1897" spans="1:18" x14ac:dyDescent="0.25">
      <c r="A1897" t="s">
        <v>6485</v>
      </c>
      <c r="B1897" t="s">
        <v>6486</v>
      </c>
      <c r="C1897" t="s">
        <v>6487</v>
      </c>
      <c r="D1897" t="s">
        <v>6487</v>
      </c>
      <c r="E1897" t="s">
        <v>6488</v>
      </c>
      <c r="F1897" t="s">
        <v>253</v>
      </c>
      <c r="G1897" t="s">
        <v>63</v>
      </c>
      <c r="H1897" t="s">
        <v>34</v>
      </c>
      <c r="I1897" t="s">
        <v>35</v>
      </c>
      <c r="J1897">
        <v>2019</v>
      </c>
      <c r="K1897">
        <v>43698.521897777777</v>
      </c>
      <c r="L1897" t="s">
        <v>466</v>
      </c>
      <c r="M1897" t="s">
        <v>154</v>
      </c>
      <c r="N1897" t="s">
        <v>1305</v>
      </c>
      <c r="O1897">
        <v>345796</v>
      </c>
      <c r="P1897">
        <v>43698.521897777777</v>
      </c>
      <c r="Q1897">
        <v>43389.832863425923</v>
      </c>
      <c r="R1897">
        <v>1936</v>
      </c>
    </row>
    <row r="1898" spans="1:18" x14ac:dyDescent="0.25">
      <c r="A1898" t="s">
        <v>6489</v>
      </c>
      <c r="B1898" t="s">
        <v>6490</v>
      </c>
      <c r="C1898" t="s">
        <v>6491</v>
      </c>
      <c r="D1898" t="s">
        <v>6491</v>
      </c>
      <c r="E1898" t="s">
        <v>6492</v>
      </c>
      <c r="F1898" t="s">
        <v>91</v>
      </c>
      <c r="G1898" t="s">
        <v>63</v>
      </c>
      <c r="H1898" t="s">
        <v>34</v>
      </c>
      <c r="I1898" t="s">
        <v>35</v>
      </c>
      <c r="J1898">
        <v>2019</v>
      </c>
      <c r="K1898">
        <v>43698.521897777777</v>
      </c>
      <c r="L1898" t="s">
        <v>466</v>
      </c>
      <c r="M1898" t="s">
        <v>154</v>
      </c>
      <c r="N1898" t="s">
        <v>1305</v>
      </c>
      <c r="O1898">
        <v>346170</v>
      </c>
      <c r="P1898">
        <v>43698.521897777777</v>
      </c>
      <c r="Q1898">
        <v>43389.833622650462</v>
      </c>
      <c r="R1898">
        <v>1937</v>
      </c>
    </row>
    <row r="1899" spans="1:18" x14ac:dyDescent="0.25">
      <c r="A1899" t="s">
        <v>6493</v>
      </c>
      <c r="B1899" t="s">
        <v>6494</v>
      </c>
      <c r="C1899" t="s">
        <v>6495</v>
      </c>
      <c r="D1899" t="s">
        <v>6495</v>
      </c>
      <c r="E1899" t="s">
        <v>6496</v>
      </c>
      <c r="F1899" t="s">
        <v>91</v>
      </c>
      <c r="G1899" t="s">
        <v>63</v>
      </c>
      <c r="H1899" t="s">
        <v>34</v>
      </c>
      <c r="I1899" t="s">
        <v>35</v>
      </c>
      <c r="J1899">
        <v>2019</v>
      </c>
      <c r="K1899">
        <v>43698.521897777777</v>
      </c>
      <c r="L1899" t="s">
        <v>466</v>
      </c>
      <c r="M1899" t="s">
        <v>154</v>
      </c>
      <c r="N1899" t="s">
        <v>1305</v>
      </c>
      <c r="O1899">
        <v>346171</v>
      </c>
      <c r="P1899">
        <v>43698.521897777777</v>
      </c>
      <c r="Q1899">
        <v>43389.834477812503</v>
      </c>
      <c r="R1899">
        <v>1938</v>
      </c>
    </row>
    <row r="1900" spans="1:18" x14ac:dyDescent="0.25">
      <c r="A1900" t="s">
        <v>6497</v>
      </c>
      <c r="B1900" t="s">
        <v>6498</v>
      </c>
      <c r="C1900" t="s">
        <v>6499</v>
      </c>
      <c r="D1900" t="s">
        <v>6499</v>
      </c>
      <c r="E1900" t="s">
        <v>6500</v>
      </c>
      <c r="F1900" t="s">
        <v>91</v>
      </c>
      <c r="G1900" t="s">
        <v>63</v>
      </c>
      <c r="H1900" t="s">
        <v>34</v>
      </c>
      <c r="I1900" t="s">
        <v>35</v>
      </c>
      <c r="J1900">
        <v>2019</v>
      </c>
      <c r="K1900">
        <v>43698.521897777777</v>
      </c>
      <c r="L1900" t="s">
        <v>466</v>
      </c>
      <c r="M1900" t="s">
        <v>154</v>
      </c>
      <c r="N1900" t="s">
        <v>1305</v>
      </c>
      <c r="O1900">
        <v>345544</v>
      </c>
      <c r="P1900">
        <v>43698.521897777777</v>
      </c>
      <c r="Q1900">
        <v>43389.835042708335</v>
      </c>
      <c r="R1900">
        <v>1939</v>
      </c>
    </row>
    <row r="1901" spans="1:18" x14ac:dyDescent="0.25">
      <c r="A1901" t="s">
        <v>6501</v>
      </c>
      <c r="B1901" t="s">
        <v>6502</v>
      </c>
      <c r="C1901" t="s">
        <v>6503</v>
      </c>
      <c r="D1901" t="s">
        <v>6503</v>
      </c>
      <c r="E1901" t="s">
        <v>6504</v>
      </c>
      <c r="F1901" t="s">
        <v>91</v>
      </c>
      <c r="G1901" t="s">
        <v>63</v>
      </c>
      <c r="H1901" t="s">
        <v>34</v>
      </c>
      <c r="I1901" t="s">
        <v>35</v>
      </c>
      <c r="J1901">
        <v>2019</v>
      </c>
      <c r="K1901">
        <v>43698.521897777777</v>
      </c>
      <c r="L1901" t="s">
        <v>466</v>
      </c>
      <c r="M1901" t="s">
        <v>154</v>
      </c>
      <c r="N1901" t="s">
        <v>1305</v>
      </c>
      <c r="O1901">
        <v>339981</v>
      </c>
      <c r="P1901">
        <v>43684.804236111115</v>
      </c>
      <c r="Q1901">
        <v>43389.835652627313</v>
      </c>
      <c r="R1901">
        <v>1940</v>
      </c>
    </row>
    <row r="1902" spans="1:18" x14ac:dyDescent="0.25">
      <c r="A1902" t="s">
        <v>6505</v>
      </c>
      <c r="B1902" t="s">
        <v>6506</v>
      </c>
      <c r="C1902" t="s">
        <v>6507</v>
      </c>
      <c r="D1902" t="s">
        <v>6507</v>
      </c>
      <c r="E1902" t="s">
        <v>6508</v>
      </c>
      <c r="F1902" t="s">
        <v>91</v>
      </c>
      <c r="G1902" t="s">
        <v>63</v>
      </c>
      <c r="H1902" t="s">
        <v>34</v>
      </c>
      <c r="I1902" t="s">
        <v>35</v>
      </c>
      <c r="J1902">
        <v>2019</v>
      </c>
      <c r="K1902">
        <v>43698.521897777777</v>
      </c>
      <c r="L1902" t="s">
        <v>466</v>
      </c>
      <c r="M1902" t="s">
        <v>154</v>
      </c>
      <c r="N1902" t="s">
        <v>1305</v>
      </c>
      <c r="O1902">
        <v>345688</v>
      </c>
      <c r="P1902">
        <v>43698.521897777777</v>
      </c>
      <c r="Q1902">
        <v>43389.840607673614</v>
      </c>
      <c r="R1902">
        <v>1941</v>
      </c>
    </row>
    <row r="1903" spans="1:18" x14ac:dyDescent="0.25">
      <c r="A1903" t="s">
        <v>6509</v>
      </c>
      <c r="B1903" t="s">
        <v>6510</v>
      </c>
      <c r="C1903" t="s">
        <v>6511</v>
      </c>
      <c r="D1903" t="s">
        <v>6511</v>
      </c>
      <c r="E1903" t="s">
        <v>6512</v>
      </c>
      <c r="F1903" t="s">
        <v>91</v>
      </c>
      <c r="G1903" t="s">
        <v>22</v>
      </c>
      <c r="H1903" t="s">
        <v>34</v>
      </c>
      <c r="I1903" t="s">
        <v>35</v>
      </c>
      <c r="J1903">
        <v>2019</v>
      </c>
      <c r="K1903">
        <v>43698.521897777777</v>
      </c>
      <c r="L1903" t="s">
        <v>578</v>
      </c>
      <c r="M1903" t="s">
        <v>42</v>
      </c>
      <c r="N1903" t="s">
        <v>415</v>
      </c>
      <c r="O1903">
        <v>346838</v>
      </c>
      <c r="P1903">
        <v>43698.521897777777</v>
      </c>
      <c r="Q1903">
        <v>43389.8428915162</v>
      </c>
      <c r="R1903">
        <v>1942</v>
      </c>
    </row>
    <row r="1904" spans="1:18" x14ac:dyDescent="0.25">
      <c r="A1904" t="s">
        <v>6513</v>
      </c>
      <c r="B1904" t="s">
        <v>6514</v>
      </c>
      <c r="C1904" t="s">
        <v>6515</v>
      </c>
      <c r="D1904" t="s">
        <v>6515</v>
      </c>
      <c r="E1904" t="s">
        <v>6516</v>
      </c>
      <c r="F1904" t="s">
        <v>21</v>
      </c>
      <c r="G1904" t="s">
        <v>22</v>
      </c>
      <c r="H1904" t="s">
        <v>34</v>
      </c>
      <c r="I1904" t="s">
        <v>35</v>
      </c>
      <c r="J1904">
        <v>2019</v>
      </c>
      <c r="K1904">
        <v>43698.521897777777</v>
      </c>
      <c r="L1904" t="s">
        <v>1005</v>
      </c>
      <c r="M1904" t="s">
        <v>42</v>
      </c>
      <c r="N1904" t="s">
        <v>415</v>
      </c>
      <c r="O1904">
        <v>248530</v>
      </c>
      <c r="P1904">
        <v>43440.43472222222</v>
      </c>
      <c r="Q1904">
        <v>43389.844635497684</v>
      </c>
      <c r="R1904">
        <v>1943</v>
      </c>
    </row>
    <row r="1905" spans="1:18" x14ac:dyDescent="0.25">
      <c r="A1905" t="s">
        <v>6517</v>
      </c>
      <c r="B1905" t="s">
        <v>6518</v>
      </c>
      <c r="C1905" t="s">
        <v>6519</v>
      </c>
      <c r="D1905" t="s">
        <v>6519</v>
      </c>
      <c r="E1905" t="s">
        <v>6520</v>
      </c>
      <c r="F1905" t="s">
        <v>21</v>
      </c>
      <c r="G1905" t="s">
        <v>22</v>
      </c>
      <c r="H1905" t="s">
        <v>34</v>
      </c>
      <c r="I1905" t="s">
        <v>35</v>
      </c>
      <c r="J1905">
        <v>2019</v>
      </c>
      <c r="K1905">
        <v>43698.521897777777</v>
      </c>
      <c r="L1905" t="s">
        <v>1005</v>
      </c>
      <c r="M1905" t="s">
        <v>42</v>
      </c>
      <c r="N1905" t="s">
        <v>415</v>
      </c>
      <c r="O1905">
        <v>257531</v>
      </c>
      <c r="P1905">
        <v>43467.8125</v>
      </c>
      <c r="Q1905">
        <v>43389.845290821759</v>
      </c>
      <c r="R1905">
        <v>1944</v>
      </c>
    </row>
    <row r="1906" spans="1:18" x14ac:dyDescent="0.25">
      <c r="A1906" t="s">
        <v>6521</v>
      </c>
      <c r="B1906" t="s">
        <v>6522</v>
      </c>
      <c r="C1906" t="s">
        <v>6523</v>
      </c>
      <c r="D1906" t="s">
        <v>6523</v>
      </c>
      <c r="E1906" t="s">
        <v>6524</v>
      </c>
      <c r="F1906" t="s">
        <v>21</v>
      </c>
      <c r="G1906" t="s">
        <v>22</v>
      </c>
      <c r="H1906" t="s">
        <v>34</v>
      </c>
      <c r="I1906" t="s">
        <v>35</v>
      </c>
      <c r="J1906">
        <v>2019</v>
      </c>
      <c r="K1906">
        <v>43698.521897777777</v>
      </c>
      <c r="L1906" t="s">
        <v>1005</v>
      </c>
      <c r="M1906" t="s">
        <v>42</v>
      </c>
      <c r="N1906" t="s">
        <v>415</v>
      </c>
      <c r="O1906">
        <v>257804</v>
      </c>
      <c r="P1906">
        <v>43469.941666666666</v>
      </c>
      <c r="Q1906">
        <v>43389.845814201391</v>
      </c>
      <c r="R1906">
        <v>1945</v>
      </c>
    </row>
    <row r="1907" spans="1:18" x14ac:dyDescent="0.25">
      <c r="A1907" t="s">
        <v>6525</v>
      </c>
      <c r="B1907" t="s">
        <v>6526</v>
      </c>
      <c r="C1907" t="s">
        <v>6527</v>
      </c>
      <c r="D1907" t="s">
        <v>6527</v>
      </c>
      <c r="E1907" t="s">
        <v>6528</v>
      </c>
      <c r="F1907" t="s">
        <v>91</v>
      </c>
      <c r="G1907" t="s">
        <v>22</v>
      </c>
      <c r="H1907" t="s">
        <v>34</v>
      </c>
      <c r="I1907" t="s">
        <v>35</v>
      </c>
      <c r="J1907">
        <v>2019</v>
      </c>
      <c r="K1907">
        <v>43698.521897777777</v>
      </c>
      <c r="L1907" t="s">
        <v>193</v>
      </c>
      <c r="M1907" t="s">
        <v>42</v>
      </c>
      <c r="N1907" t="s">
        <v>415</v>
      </c>
      <c r="O1907">
        <v>343883</v>
      </c>
      <c r="P1907">
        <v>43694.435416666667</v>
      </c>
      <c r="Q1907">
        <v>43389.846450150464</v>
      </c>
      <c r="R1907">
        <v>1946</v>
      </c>
    </row>
    <row r="1908" spans="1:18" x14ac:dyDescent="0.25">
      <c r="A1908" t="s">
        <v>6529</v>
      </c>
      <c r="B1908" t="s">
        <v>6530</v>
      </c>
      <c r="C1908" t="s">
        <v>6531</v>
      </c>
      <c r="D1908" t="s">
        <v>6531</v>
      </c>
      <c r="E1908" t="s">
        <v>6532</v>
      </c>
      <c r="F1908" t="s">
        <v>91</v>
      </c>
      <c r="G1908" t="s">
        <v>22</v>
      </c>
      <c r="H1908" t="s">
        <v>34</v>
      </c>
      <c r="I1908" t="s">
        <v>35</v>
      </c>
      <c r="J1908">
        <v>2019</v>
      </c>
      <c r="K1908">
        <v>43698.521897777777</v>
      </c>
      <c r="L1908" t="s">
        <v>193</v>
      </c>
      <c r="M1908" t="s">
        <v>42</v>
      </c>
      <c r="N1908" t="s">
        <v>415</v>
      </c>
      <c r="O1908">
        <v>346222</v>
      </c>
      <c r="P1908">
        <v>43698.521897777777</v>
      </c>
      <c r="Q1908">
        <v>43389.84732847222</v>
      </c>
      <c r="R1908">
        <v>1947</v>
      </c>
    </row>
    <row r="1909" spans="1:18" x14ac:dyDescent="0.25">
      <c r="A1909" t="s">
        <v>6533</v>
      </c>
      <c r="B1909" t="s">
        <v>6534</v>
      </c>
      <c r="C1909" t="s">
        <v>6535</v>
      </c>
      <c r="D1909" t="s">
        <v>6535</v>
      </c>
      <c r="E1909" t="s">
        <v>6536</v>
      </c>
      <c r="F1909" t="s">
        <v>253</v>
      </c>
      <c r="G1909" t="s">
        <v>22</v>
      </c>
      <c r="H1909" t="s">
        <v>34</v>
      </c>
      <c r="I1909" t="s">
        <v>35</v>
      </c>
      <c r="J1909">
        <v>2019</v>
      </c>
      <c r="K1909">
        <v>43698.521897777777</v>
      </c>
      <c r="L1909" t="s">
        <v>193</v>
      </c>
      <c r="M1909" t="s">
        <v>42</v>
      </c>
      <c r="N1909" t="s">
        <v>415</v>
      </c>
      <c r="O1909">
        <v>338888</v>
      </c>
      <c r="P1909">
        <v>43680.507303240738</v>
      </c>
      <c r="Q1909">
        <v>43389.847876388892</v>
      </c>
      <c r="R1909">
        <v>1948</v>
      </c>
    </row>
    <row r="1910" spans="1:18" x14ac:dyDescent="0.25">
      <c r="A1910" t="s">
        <v>6537</v>
      </c>
      <c r="B1910" t="s">
        <v>6538</v>
      </c>
      <c r="C1910" t="s">
        <v>6539</v>
      </c>
      <c r="D1910" t="s">
        <v>6539</v>
      </c>
      <c r="E1910" t="s">
        <v>6540</v>
      </c>
      <c r="F1910" t="s">
        <v>253</v>
      </c>
      <c r="G1910" t="s">
        <v>22</v>
      </c>
      <c r="H1910" t="s">
        <v>34</v>
      </c>
      <c r="I1910" t="s">
        <v>35</v>
      </c>
      <c r="J1910">
        <v>2019</v>
      </c>
      <c r="K1910">
        <v>43698.521897777777</v>
      </c>
      <c r="L1910" t="s">
        <v>1916</v>
      </c>
      <c r="M1910" t="s">
        <v>42</v>
      </c>
      <c r="N1910" t="s">
        <v>415</v>
      </c>
      <c r="O1910">
        <v>341823</v>
      </c>
      <c r="P1910">
        <v>43687.827488425923</v>
      </c>
      <c r="Q1910">
        <v>43389.859141006942</v>
      </c>
      <c r="R1910">
        <v>1949</v>
      </c>
    </row>
    <row r="1911" spans="1:18" x14ac:dyDescent="0.25">
      <c r="A1911" t="s">
        <v>6541</v>
      </c>
      <c r="B1911" t="s">
        <v>6542</v>
      </c>
      <c r="C1911" t="s">
        <v>6543</v>
      </c>
      <c r="D1911" t="s">
        <v>6543</v>
      </c>
      <c r="E1911" t="s">
        <v>6544</v>
      </c>
      <c r="F1911" t="s">
        <v>91</v>
      </c>
      <c r="G1911" t="s">
        <v>22</v>
      </c>
      <c r="H1911" t="s">
        <v>34</v>
      </c>
      <c r="I1911" t="s">
        <v>35</v>
      </c>
      <c r="J1911">
        <v>2019</v>
      </c>
      <c r="K1911">
        <v>43698.521897777777</v>
      </c>
      <c r="L1911" t="s">
        <v>193</v>
      </c>
      <c r="M1911" t="s">
        <v>42</v>
      </c>
      <c r="N1911" t="s">
        <v>415</v>
      </c>
      <c r="O1911">
        <v>346179</v>
      </c>
      <c r="P1911">
        <v>43698.521897777777</v>
      </c>
      <c r="Q1911">
        <v>43389.859696030093</v>
      </c>
      <c r="R1911">
        <v>1950</v>
      </c>
    </row>
    <row r="1912" spans="1:18" x14ac:dyDescent="0.25">
      <c r="A1912" t="s">
        <v>6545</v>
      </c>
      <c r="B1912" t="s">
        <v>6546</v>
      </c>
      <c r="C1912" t="s">
        <v>6547</v>
      </c>
      <c r="D1912" t="s">
        <v>6547</v>
      </c>
      <c r="E1912" t="s">
        <v>6548</v>
      </c>
      <c r="F1912" t="s">
        <v>91</v>
      </c>
      <c r="G1912" t="s">
        <v>22</v>
      </c>
      <c r="H1912" t="s">
        <v>34</v>
      </c>
      <c r="I1912" t="s">
        <v>35</v>
      </c>
      <c r="J1912">
        <v>2019</v>
      </c>
      <c r="K1912">
        <v>43698.521897777777</v>
      </c>
      <c r="L1912" t="s">
        <v>193</v>
      </c>
      <c r="M1912" t="s">
        <v>42</v>
      </c>
      <c r="N1912" t="s">
        <v>415</v>
      </c>
      <c r="O1912">
        <v>346162</v>
      </c>
      <c r="P1912">
        <v>43697.893333333333</v>
      </c>
      <c r="Q1912">
        <v>43389.861639814815</v>
      </c>
      <c r="R1912">
        <v>1951</v>
      </c>
    </row>
    <row r="1913" spans="1:18" x14ac:dyDescent="0.25">
      <c r="A1913" t="s">
        <v>6549</v>
      </c>
      <c r="B1913" t="s">
        <v>6550</v>
      </c>
      <c r="C1913" t="s">
        <v>6551</v>
      </c>
      <c r="D1913" t="s">
        <v>6551</v>
      </c>
      <c r="E1913" t="s">
        <v>6552</v>
      </c>
      <c r="F1913" t="s">
        <v>21</v>
      </c>
      <c r="G1913" t="s">
        <v>22</v>
      </c>
      <c r="H1913" t="s">
        <v>34</v>
      </c>
      <c r="I1913" t="s">
        <v>35</v>
      </c>
      <c r="J1913">
        <v>2019</v>
      </c>
      <c r="K1913">
        <v>43698.521897777777</v>
      </c>
      <c r="L1913" t="s">
        <v>25</v>
      </c>
      <c r="M1913" t="s">
        <v>42</v>
      </c>
      <c r="N1913" t="s">
        <v>415</v>
      </c>
      <c r="Q1913">
        <v>43389.862189270832</v>
      </c>
      <c r="R1913">
        <v>1952</v>
      </c>
    </row>
    <row r="1914" spans="1:18" x14ac:dyDescent="0.25">
      <c r="A1914" t="s">
        <v>6553</v>
      </c>
      <c r="B1914" t="s">
        <v>6554</v>
      </c>
      <c r="C1914" t="s">
        <v>6555</v>
      </c>
      <c r="D1914" t="s">
        <v>6555</v>
      </c>
      <c r="E1914" t="s">
        <v>6556</v>
      </c>
      <c r="F1914" t="s">
        <v>91</v>
      </c>
      <c r="G1914" t="s">
        <v>22</v>
      </c>
      <c r="H1914" t="s">
        <v>34</v>
      </c>
      <c r="I1914" t="s">
        <v>35</v>
      </c>
      <c r="J1914">
        <v>2019</v>
      </c>
      <c r="K1914">
        <v>43698.521897777777</v>
      </c>
      <c r="L1914" t="s">
        <v>193</v>
      </c>
      <c r="M1914" t="s">
        <v>42</v>
      </c>
      <c r="N1914" t="s">
        <v>415</v>
      </c>
      <c r="O1914">
        <v>347069</v>
      </c>
      <c r="P1914">
        <v>43698.521897777777</v>
      </c>
      <c r="Q1914">
        <v>43389.86478989583</v>
      </c>
      <c r="R1914">
        <v>1953</v>
      </c>
    </row>
    <row r="1915" spans="1:18" x14ac:dyDescent="0.25">
      <c r="A1915" t="s">
        <v>6557</v>
      </c>
      <c r="B1915" t="s">
        <v>6558</v>
      </c>
      <c r="C1915" t="s">
        <v>6559</v>
      </c>
      <c r="D1915" t="s">
        <v>6559</v>
      </c>
      <c r="E1915" t="s">
        <v>6560</v>
      </c>
      <c r="F1915" t="s">
        <v>21</v>
      </c>
      <c r="G1915" t="s">
        <v>22</v>
      </c>
      <c r="H1915" t="s">
        <v>34</v>
      </c>
      <c r="I1915" t="s">
        <v>35</v>
      </c>
      <c r="J1915">
        <v>2019</v>
      </c>
      <c r="K1915">
        <v>43698.521897777777</v>
      </c>
      <c r="L1915" t="s">
        <v>1005</v>
      </c>
      <c r="M1915" t="s">
        <v>42</v>
      </c>
      <c r="N1915" t="s">
        <v>415</v>
      </c>
      <c r="O1915">
        <v>256017</v>
      </c>
      <c r="P1915">
        <v>43461.731828703705</v>
      </c>
      <c r="Q1915">
        <v>43389.866586145836</v>
      </c>
      <c r="R1915">
        <v>1954</v>
      </c>
    </row>
    <row r="1916" spans="1:18" x14ac:dyDescent="0.25">
      <c r="A1916" t="s">
        <v>6561</v>
      </c>
      <c r="B1916" t="s">
        <v>6562</v>
      </c>
      <c r="C1916" t="s">
        <v>6563</v>
      </c>
      <c r="D1916" t="s">
        <v>6563</v>
      </c>
      <c r="E1916" t="s">
        <v>6564</v>
      </c>
      <c r="F1916" t="s">
        <v>21</v>
      </c>
      <c r="G1916" t="s">
        <v>22</v>
      </c>
      <c r="H1916" t="s">
        <v>34</v>
      </c>
      <c r="I1916" t="s">
        <v>35</v>
      </c>
      <c r="J1916">
        <v>2019</v>
      </c>
      <c r="K1916">
        <v>43698.521897777777</v>
      </c>
      <c r="L1916" t="s">
        <v>193</v>
      </c>
      <c r="M1916" t="s">
        <v>42</v>
      </c>
      <c r="N1916" t="s">
        <v>415</v>
      </c>
      <c r="O1916">
        <v>257353</v>
      </c>
      <c r="P1916">
        <v>43468.934386574074</v>
      </c>
      <c r="Q1916">
        <v>43389.867785451388</v>
      </c>
      <c r="R1916">
        <v>1955</v>
      </c>
    </row>
    <row r="1917" spans="1:18" x14ac:dyDescent="0.25">
      <c r="A1917" t="s">
        <v>6565</v>
      </c>
      <c r="B1917" t="s">
        <v>6566</v>
      </c>
      <c r="C1917" t="s">
        <v>6567</v>
      </c>
      <c r="D1917" t="s">
        <v>6567</v>
      </c>
      <c r="E1917" t="s">
        <v>6568</v>
      </c>
      <c r="F1917" t="s">
        <v>91</v>
      </c>
      <c r="G1917" t="s">
        <v>22</v>
      </c>
      <c r="H1917" t="s">
        <v>34</v>
      </c>
      <c r="I1917" t="s">
        <v>35</v>
      </c>
      <c r="J1917">
        <v>2019</v>
      </c>
      <c r="K1917">
        <v>43698.521897777777</v>
      </c>
      <c r="L1917" t="s">
        <v>193</v>
      </c>
      <c r="M1917" t="s">
        <v>42</v>
      </c>
      <c r="N1917" t="s">
        <v>415</v>
      </c>
      <c r="O1917">
        <v>346715</v>
      </c>
      <c r="P1917">
        <v>43698.521897777777</v>
      </c>
      <c r="Q1917">
        <v>43389.869946331019</v>
      </c>
      <c r="R1917">
        <v>1956</v>
      </c>
    </row>
    <row r="1918" spans="1:18" x14ac:dyDescent="0.25">
      <c r="A1918" t="s">
        <v>6569</v>
      </c>
      <c r="B1918" t="s">
        <v>6570</v>
      </c>
      <c r="C1918" t="s">
        <v>6571</v>
      </c>
      <c r="D1918" t="s">
        <v>6571</v>
      </c>
      <c r="E1918" t="s">
        <v>6571</v>
      </c>
      <c r="F1918" t="s">
        <v>21</v>
      </c>
      <c r="G1918" t="s">
        <v>63</v>
      </c>
      <c r="H1918" t="s">
        <v>998</v>
      </c>
      <c r="I1918" t="s">
        <v>810</v>
      </c>
      <c r="J1918">
        <v>2017</v>
      </c>
      <c r="K1918">
        <v>43698.521897777777</v>
      </c>
      <c r="L1918" t="s">
        <v>193</v>
      </c>
      <c r="M1918" t="s">
        <v>1941</v>
      </c>
      <c r="N1918" t="s">
        <v>415</v>
      </c>
      <c r="O1918">
        <v>340458</v>
      </c>
      <c r="P1918">
        <v>43684.507256944446</v>
      </c>
      <c r="Q1918">
        <v>43392.660521296297</v>
      </c>
      <c r="R1918">
        <v>1957</v>
      </c>
    </row>
    <row r="1919" spans="1:18" x14ac:dyDescent="0.25">
      <c r="A1919" t="s">
        <v>6572</v>
      </c>
      <c r="B1919" t="s">
        <v>1200</v>
      </c>
      <c r="C1919" t="s">
        <v>6573</v>
      </c>
      <c r="D1919" t="s">
        <v>6573</v>
      </c>
      <c r="E1919" t="s">
        <v>6573</v>
      </c>
      <c r="F1919" t="s">
        <v>91</v>
      </c>
      <c r="G1919" t="s">
        <v>63</v>
      </c>
      <c r="H1919" t="s">
        <v>53</v>
      </c>
      <c r="I1919" t="s">
        <v>810</v>
      </c>
      <c r="J1919">
        <v>2016</v>
      </c>
      <c r="K1919">
        <v>43698.521897777777</v>
      </c>
      <c r="L1919" t="s">
        <v>1005</v>
      </c>
      <c r="M1919" t="s">
        <v>1941</v>
      </c>
      <c r="N1919" t="s">
        <v>415</v>
      </c>
      <c r="O1919">
        <v>346253</v>
      </c>
      <c r="P1919">
        <v>43698.521897777777</v>
      </c>
      <c r="Q1919">
        <v>43392.662108101853</v>
      </c>
      <c r="R1919">
        <v>1958</v>
      </c>
    </row>
    <row r="1920" spans="1:18" x14ac:dyDescent="0.25">
      <c r="A1920" t="s">
        <v>6574</v>
      </c>
      <c r="B1920" t="s">
        <v>6575</v>
      </c>
      <c r="C1920" t="s">
        <v>6576</v>
      </c>
      <c r="D1920" t="s">
        <v>6576</v>
      </c>
      <c r="E1920" t="s">
        <v>6576</v>
      </c>
      <c r="F1920" t="s">
        <v>91</v>
      </c>
      <c r="G1920" t="s">
        <v>63</v>
      </c>
      <c r="H1920" t="s">
        <v>53</v>
      </c>
      <c r="I1920" t="s">
        <v>471</v>
      </c>
      <c r="J1920">
        <v>2019</v>
      </c>
      <c r="K1920">
        <v>43698.521897777777</v>
      </c>
      <c r="L1920" t="s">
        <v>1005</v>
      </c>
      <c r="M1920" t="s">
        <v>37</v>
      </c>
      <c r="N1920" t="s">
        <v>415</v>
      </c>
      <c r="O1920">
        <v>346135</v>
      </c>
      <c r="P1920">
        <v>43698.521897777777</v>
      </c>
      <c r="Q1920">
        <v>43392.897802893516</v>
      </c>
      <c r="R1920">
        <v>1959</v>
      </c>
    </row>
    <row r="1921" spans="1:18" x14ac:dyDescent="0.25">
      <c r="A1921" t="s">
        <v>6577</v>
      </c>
      <c r="B1921" t="s">
        <v>6578</v>
      </c>
      <c r="C1921" t="s">
        <v>6579</v>
      </c>
      <c r="D1921" t="s">
        <v>6579</v>
      </c>
      <c r="E1921" t="s">
        <v>6579</v>
      </c>
      <c r="F1921" t="s">
        <v>91</v>
      </c>
      <c r="G1921" t="s">
        <v>63</v>
      </c>
      <c r="H1921" t="s">
        <v>34</v>
      </c>
      <c r="I1921" t="s">
        <v>703</v>
      </c>
      <c r="J1921">
        <v>2013</v>
      </c>
      <c r="K1921">
        <v>43698.521897777777</v>
      </c>
      <c r="L1921" t="s">
        <v>422</v>
      </c>
      <c r="M1921" t="s">
        <v>2777</v>
      </c>
      <c r="N1921" t="s">
        <v>415</v>
      </c>
      <c r="O1921">
        <v>346802</v>
      </c>
      <c r="P1921">
        <v>43698.260416666664</v>
      </c>
      <c r="Q1921">
        <v>43395.509957638889</v>
      </c>
      <c r="R1921">
        <v>1960</v>
      </c>
    </row>
    <row r="1922" spans="1:18" x14ac:dyDescent="0.25">
      <c r="A1922" t="s">
        <v>6580</v>
      </c>
      <c r="B1922" t="s">
        <v>6581</v>
      </c>
      <c r="C1922" t="s">
        <v>6582</v>
      </c>
      <c r="D1922" t="s">
        <v>6582</v>
      </c>
      <c r="E1922" t="s">
        <v>6582</v>
      </c>
      <c r="F1922" t="s">
        <v>21</v>
      </c>
      <c r="G1922" t="s">
        <v>63</v>
      </c>
      <c r="H1922" t="s">
        <v>53</v>
      </c>
      <c r="I1922" t="s">
        <v>471</v>
      </c>
      <c r="J1922">
        <v>2011</v>
      </c>
      <c r="K1922">
        <v>43698.521897777777</v>
      </c>
      <c r="L1922" t="s">
        <v>25</v>
      </c>
      <c r="M1922" t="s">
        <v>2777</v>
      </c>
      <c r="N1922" t="s">
        <v>27</v>
      </c>
      <c r="O1922">
        <v>236966</v>
      </c>
      <c r="P1922">
        <v>43405.680555555555</v>
      </c>
      <c r="Q1922">
        <v>43395.517106284722</v>
      </c>
      <c r="R1922">
        <v>1961</v>
      </c>
    </row>
    <row r="1923" spans="1:18" x14ac:dyDescent="0.25">
      <c r="A1923" t="s">
        <v>6583</v>
      </c>
      <c r="B1923" t="s">
        <v>6584</v>
      </c>
      <c r="C1923" t="s">
        <v>6585</v>
      </c>
      <c r="D1923" t="s">
        <v>6585</v>
      </c>
      <c r="E1923" t="s">
        <v>6585</v>
      </c>
      <c r="F1923" t="s">
        <v>21</v>
      </c>
      <c r="G1923" t="s">
        <v>63</v>
      </c>
      <c r="H1923" t="s">
        <v>53</v>
      </c>
      <c r="I1923" t="s">
        <v>25</v>
      </c>
      <c r="J1923">
        <v>2017</v>
      </c>
      <c r="K1923">
        <v>43698.521897777777</v>
      </c>
      <c r="L1923" t="s">
        <v>466</v>
      </c>
      <c r="M1923" t="s">
        <v>154</v>
      </c>
      <c r="N1923" t="s">
        <v>1305</v>
      </c>
      <c r="O1923">
        <v>307028</v>
      </c>
      <c r="P1923">
        <v>43604.084803240738</v>
      </c>
      <c r="Q1923">
        <v>43397.459555127316</v>
      </c>
      <c r="R1923">
        <v>1962</v>
      </c>
    </row>
    <row r="1924" spans="1:18" x14ac:dyDescent="0.25">
      <c r="A1924" t="s">
        <v>6586</v>
      </c>
      <c r="B1924" t="s">
        <v>6587</v>
      </c>
      <c r="C1924" t="s">
        <v>6588</v>
      </c>
      <c r="D1924" t="s">
        <v>6588</v>
      </c>
      <c r="E1924" t="s">
        <v>6588</v>
      </c>
      <c r="F1924" t="s">
        <v>21</v>
      </c>
      <c r="G1924" t="s">
        <v>63</v>
      </c>
      <c r="H1924" t="s">
        <v>53</v>
      </c>
      <c r="I1924" t="s">
        <v>25</v>
      </c>
      <c r="J1924">
        <v>2006</v>
      </c>
      <c r="K1924">
        <v>43698.521897777777</v>
      </c>
      <c r="L1924" t="s">
        <v>466</v>
      </c>
      <c r="M1924" t="s">
        <v>154</v>
      </c>
      <c r="N1924" t="s">
        <v>1305</v>
      </c>
      <c r="O1924">
        <v>306219</v>
      </c>
      <c r="P1924">
        <v>43602.071550925924</v>
      </c>
      <c r="Q1924">
        <v>43398.407691006942</v>
      </c>
      <c r="R1924">
        <v>1963</v>
      </c>
    </row>
    <row r="1925" spans="1:18" x14ac:dyDescent="0.25">
      <c r="A1925" t="s">
        <v>6589</v>
      </c>
      <c r="B1925" t="s">
        <v>6590</v>
      </c>
      <c r="C1925" t="s">
        <v>6591</v>
      </c>
      <c r="D1925" t="s">
        <v>6591</v>
      </c>
      <c r="E1925" t="s">
        <v>6591</v>
      </c>
      <c r="F1925" t="s">
        <v>21</v>
      </c>
      <c r="G1925" t="s">
        <v>63</v>
      </c>
      <c r="H1925" t="s">
        <v>53</v>
      </c>
      <c r="I1925" t="s">
        <v>3693</v>
      </c>
      <c r="J1925">
        <v>2019</v>
      </c>
      <c r="K1925">
        <v>43698.521897777777</v>
      </c>
      <c r="L1925" t="s">
        <v>1005</v>
      </c>
      <c r="M1925" t="s">
        <v>1941</v>
      </c>
      <c r="N1925" t="s">
        <v>27</v>
      </c>
      <c r="O1925">
        <v>291448</v>
      </c>
      <c r="P1925">
        <v>43561.647222222222</v>
      </c>
      <c r="Q1925">
        <v>43398.62276755787</v>
      </c>
      <c r="R1925">
        <v>1964</v>
      </c>
    </row>
    <row r="1926" spans="1:18" x14ac:dyDescent="0.25">
      <c r="A1926" t="s">
        <v>6592</v>
      </c>
      <c r="B1926" t="s">
        <v>6593</v>
      </c>
      <c r="C1926" t="s">
        <v>6594</v>
      </c>
      <c r="D1926" t="s">
        <v>6594</v>
      </c>
      <c r="E1926" t="s">
        <v>6594</v>
      </c>
      <c r="F1926" t="s">
        <v>21</v>
      </c>
      <c r="G1926" t="s">
        <v>63</v>
      </c>
      <c r="H1926" t="s">
        <v>53</v>
      </c>
      <c r="I1926" t="s">
        <v>3693</v>
      </c>
      <c r="J1926">
        <v>2019</v>
      </c>
      <c r="K1926">
        <v>43698.521897777777</v>
      </c>
      <c r="L1926" t="s">
        <v>25</v>
      </c>
      <c r="M1926" t="s">
        <v>1941</v>
      </c>
      <c r="N1926" t="s">
        <v>27</v>
      </c>
      <c r="Q1926">
        <v>43398.62411099537</v>
      </c>
      <c r="R1926">
        <v>1965</v>
      </c>
    </row>
    <row r="1927" spans="1:18" x14ac:dyDescent="0.25">
      <c r="A1927" t="s">
        <v>25</v>
      </c>
      <c r="B1927" t="s">
        <v>25</v>
      </c>
      <c r="C1927" t="s">
        <v>5855</v>
      </c>
      <c r="D1927" t="s">
        <v>5855</v>
      </c>
      <c r="E1927" t="s">
        <v>6595</v>
      </c>
      <c r="F1927" t="s">
        <v>21</v>
      </c>
      <c r="G1927" t="s">
        <v>106</v>
      </c>
      <c r="H1927" t="s">
        <v>25</v>
      </c>
      <c r="I1927" t="s">
        <v>25</v>
      </c>
      <c r="K1927">
        <v>43698.521897777777</v>
      </c>
      <c r="L1927" t="s">
        <v>422</v>
      </c>
      <c r="M1927" t="s">
        <v>42</v>
      </c>
      <c r="N1927" t="s">
        <v>27</v>
      </c>
      <c r="Q1927">
        <v>43402.667047719908</v>
      </c>
      <c r="R1927">
        <v>1966</v>
      </c>
    </row>
    <row r="1928" spans="1:18" x14ac:dyDescent="0.25">
      <c r="A1928" t="s">
        <v>6596</v>
      </c>
      <c r="B1928" t="s">
        <v>6597</v>
      </c>
      <c r="C1928" t="s">
        <v>6598</v>
      </c>
      <c r="D1928" t="s">
        <v>6598</v>
      </c>
      <c r="E1928" t="s">
        <v>6598</v>
      </c>
      <c r="F1928" t="s">
        <v>91</v>
      </c>
      <c r="G1928" t="s">
        <v>63</v>
      </c>
      <c r="H1928" t="s">
        <v>34</v>
      </c>
      <c r="I1928" t="s">
        <v>703</v>
      </c>
      <c r="J1928">
        <v>2012</v>
      </c>
      <c r="K1928">
        <v>43698.521897777777</v>
      </c>
      <c r="L1928" t="s">
        <v>422</v>
      </c>
      <c r="M1928" t="s">
        <v>2777</v>
      </c>
      <c r="N1928" t="s">
        <v>415</v>
      </c>
      <c r="O1928">
        <v>346988</v>
      </c>
      <c r="P1928">
        <v>43698.521897777777</v>
      </c>
      <c r="Q1928">
        <v>43403.680417361109</v>
      </c>
      <c r="R1928">
        <v>1967</v>
      </c>
    </row>
    <row r="1929" spans="1:18" x14ac:dyDescent="0.25">
      <c r="A1929" t="s">
        <v>6599</v>
      </c>
      <c r="B1929" t="s">
        <v>6600</v>
      </c>
      <c r="C1929" t="s">
        <v>6601</v>
      </c>
      <c r="D1929" t="s">
        <v>6601</v>
      </c>
      <c r="E1929" t="s">
        <v>6601</v>
      </c>
      <c r="F1929" t="s">
        <v>21</v>
      </c>
      <c r="G1929" t="s">
        <v>63</v>
      </c>
      <c r="H1929" t="s">
        <v>53</v>
      </c>
      <c r="I1929" t="s">
        <v>471</v>
      </c>
      <c r="J1929">
        <v>2013</v>
      </c>
      <c r="K1929">
        <v>43698.521897777777</v>
      </c>
      <c r="L1929" t="s">
        <v>1660</v>
      </c>
      <c r="M1929" t="s">
        <v>2777</v>
      </c>
      <c r="N1929" t="s">
        <v>27</v>
      </c>
      <c r="O1929">
        <v>251227</v>
      </c>
      <c r="P1929">
        <v>43445.851388888892</v>
      </c>
      <c r="Q1929">
        <v>43403.682327662034</v>
      </c>
      <c r="R1929">
        <v>1968</v>
      </c>
    </row>
    <row r="1930" spans="1:18" x14ac:dyDescent="0.25">
      <c r="A1930" t="s">
        <v>6602</v>
      </c>
      <c r="B1930" t="s">
        <v>6603</v>
      </c>
      <c r="C1930" t="s">
        <v>6604</v>
      </c>
      <c r="D1930" t="s">
        <v>6604</v>
      </c>
      <c r="E1930" t="s">
        <v>6604</v>
      </c>
      <c r="F1930" t="s">
        <v>21</v>
      </c>
      <c r="G1930" t="s">
        <v>63</v>
      </c>
      <c r="H1930" t="s">
        <v>34</v>
      </c>
      <c r="I1930" t="s">
        <v>703</v>
      </c>
      <c r="J1930">
        <v>2009</v>
      </c>
      <c r="K1930">
        <v>43698.521897777777</v>
      </c>
      <c r="L1930" t="s">
        <v>1660</v>
      </c>
      <c r="M1930" t="s">
        <v>37</v>
      </c>
      <c r="N1930" t="s">
        <v>415</v>
      </c>
      <c r="O1930">
        <v>335672</v>
      </c>
      <c r="P1930">
        <v>43673.060416666667</v>
      </c>
      <c r="Q1930">
        <v>43404.502353356482</v>
      </c>
      <c r="R1930">
        <v>1969</v>
      </c>
    </row>
    <row r="1931" spans="1:18" x14ac:dyDescent="0.25">
      <c r="A1931" t="s">
        <v>6605</v>
      </c>
      <c r="B1931" t="s">
        <v>6606</v>
      </c>
      <c r="C1931" t="s">
        <v>6607</v>
      </c>
      <c r="D1931" t="s">
        <v>6607</v>
      </c>
      <c r="E1931" t="s">
        <v>6607</v>
      </c>
      <c r="F1931" t="s">
        <v>21</v>
      </c>
      <c r="G1931" t="s">
        <v>63</v>
      </c>
      <c r="H1931" t="s">
        <v>53</v>
      </c>
      <c r="I1931" t="s">
        <v>471</v>
      </c>
      <c r="J1931">
        <v>2013</v>
      </c>
      <c r="K1931">
        <v>43698.521897777777</v>
      </c>
      <c r="L1931" t="s">
        <v>466</v>
      </c>
      <c r="M1931" t="s">
        <v>154</v>
      </c>
      <c r="N1931" t="s">
        <v>1305</v>
      </c>
      <c r="O1931">
        <v>307709</v>
      </c>
      <c r="P1931">
        <v>43604.523726851854</v>
      </c>
      <c r="Q1931">
        <v>43404.577374803244</v>
      </c>
      <c r="R1931">
        <v>1970</v>
      </c>
    </row>
    <row r="1932" spans="1:18" x14ac:dyDescent="0.25">
      <c r="A1932" t="s">
        <v>6608</v>
      </c>
      <c r="B1932" t="s">
        <v>6609</v>
      </c>
      <c r="C1932" t="s">
        <v>6610</v>
      </c>
      <c r="D1932" t="s">
        <v>6610</v>
      </c>
      <c r="E1932" t="s">
        <v>6610</v>
      </c>
      <c r="F1932" t="s">
        <v>253</v>
      </c>
      <c r="G1932" t="s">
        <v>63</v>
      </c>
      <c r="H1932" t="s">
        <v>53</v>
      </c>
      <c r="I1932" t="s">
        <v>54</v>
      </c>
      <c r="J1932">
        <v>2012</v>
      </c>
      <c r="K1932">
        <v>43698.521897777777</v>
      </c>
      <c r="L1932" t="s">
        <v>466</v>
      </c>
      <c r="M1932" t="s">
        <v>154</v>
      </c>
      <c r="N1932" t="s">
        <v>467</v>
      </c>
      <c r="O1932">
        <v>309738</v>
      </c>
      <c r="P1932">
        <v>43611.188067129631</v>
      </c>
      <c r="Q1932">
        <v>43405.527512766203</v>
      </c>
      <c r="R1932">
        <v>1971</v>
      </c>
    </row>
    <row r="1933" spans="1:18" x14ac:dyDescent="0.25">
      <c r="A1933" t="s">
        <v>6611</v>
      </c>
      <c r="B1933" t="s">
        <v>6612</v>
      </c>
      <c r="C1933" t="s">
        <v>6613</v>
      </c>
      <c r="D1933" t="s">
        <v>6613</v>
      </c>
      <c r="E1933" t="s">
        <v>6614</v>
      </c>
      <c r="F1933" t="s">
        <v>21</v>
      </c>
      <c r="G1933" t="s">
        <v>22</v>
      </c>
      <c r="H1933" t="s">
        <v>53</v>
      </c>
      <c r="I1933" t="s">
        <v>3006</v>
      </c>
      <c r="J1933">
        <v>2019</v>
      </c>
      <c r="K1933">
        <v>43698.521897777777</v>
      </c>
      <c r="L1933" t="s">
        <v>1005</v>
      </c>
      <c r="M1933" t="s">
        <v>37</v>
      </c>
      <c r="N1933" t="s">
        <v>415</v>
      </c>
      <c r="O1933">
        <v>325963</v>
      </c>
      <c r="P1933">
        <v>43649.181944444441</v>
      </c>
      <c r="Q1933">
        <v>43409.54427658565</v>
      </c>
      <c r="R1933">
        <v>1972</v>
      </c>
    </row>
    <row r="1934" spans="1:18" x14ac:dyDescent="0.25">
      <c r="A1934" t="s">
        <v>6615</v>
      </c>
      <c r="B1934" t="s">
        <v>6616</v>
      </c>
      <c r="C1934" t="s">
        <v>6617</v>
      </c>
      <c r="D1934" t="s">
        <v>6617</v>
      </c>
      <c r="E1934" t="s">
        <v>6618</v>
      </c>
      <c r="F1934" t="s">
        <v>91</v>
      </c>
      <c r="G1934" t="s">
        <v>22</v>
      </c>
      <c r="H1934" t="s">
        <v>53</v>
      </c>
      <c r="I1934" t="s">
        <v>3006</v>
      </c>
      <c r="J1934">
        <v>2019</v>
      </c>
      <c r="K1934">
        <v>43698.521897777777</v>
      </c>
      <c r="L1934" t="s">
        <v>578</v>
      </c>
      <c r="M1934" t="s">
        <v>37</v>
      </c>
      <c r="N1934" t="s">
        <v>2778</v>
      </c>
      <c r="O1934">
        <v>346999</v>
      </c>
      <c r="P1934">
        <v>43698.521897777777</v>
      </c>
      <c r="Q1934">
        <v>43409.545664780089</v>
      </c>
      <c r="R1934">
        <v>1973</v>
      </c>
    </row>
    <row r="1935" spans="1:18" x14ac:dyDescent="0.25">
      <c r="A1935" t="s">
        <v>6619</v>
      </c>
      <c r="B1935" t="s">
        <v>6620</v>
      </c>
      <c r="C1935" t="s">
        <v>6621</v>
      </c>
      <c r="D1935" t="s">
        <v>6621</v>
      </c>
      <c r="E1935" t="s">
        <v>6622</v>
      </c>
      <c r="F1935" t="s">
        <v>21</v>
      </c>
      <c r="G1935" t="s">
        <v>22</v>
      </c>
      <c r="H1935" t="s">
        <v>53</v>
      </c>
      <c r="I1935" t="s">
        <v>3006</v>
      </c>
      <c r="J1935">
        <v>2019</v>
      </c>
      <c r="K1935">
        <v>43698.521897777777</v>
      </c>
      <c r="L1935" t="s">
        <v>1005</v>
      </c>
      <c r="M1935" t="s">
        <v>37</v>
      </c>
      <c r="N1935" t="s">
        <v>415</v>
      </c>
      <c r="O1935">
        <v>329444</v>
      </c>
      <c r="P1935">
        <v>43658.088888888888</v>
      </c>
      <c r="Q1935">
        <v>43409.547703206015</v>
      </c>
      <c r="R1935">
        <v>1974</v>
      </c>
    </row>
    <row r="1936" spans="1:18" x14ac:dyDescent="0.25">
      <c r="A1936" t="s">
        <v>6623</v>
      </c>
      <c r="B1936" t="s">
        <v>6624</v>
      </c>
      <c r="C1936" t="s">
        <v>6625</v>
      </c>
      <c r="D1936" t="s">
        <v>6625</v>
      </c>
      <c r="E1936" t="s">
        <v>6626</v>
      </c>
      <c r="F1936" t="s">
        <v>91</v>
      </c>
      <c r="G1936" t="s">
        <v>22</v>
      </c>
      <c r="H1936" t="s">
        <v>53</v>
      </c>
      <c r="I1936" t="s">
        <v>3006</v>
      </c>
      <c r="J1936">
        <v>2019</v>
      </c>
      <c r="K1936">
        <v>43698.521897777777</v>
      </c>
      <c r="L1936" t="s">
        <v>1005</v>
      </c>
      <c r="M1936" t="s">
        <v>37</v>
      </c>
      <c r="N1936" t="s">
        <v>415</v>
      </c>
      <c r="O1936">
        <v>345430</v>
      </c>
      <c r="P1936">
        <v>43698.521897777777</v>
      </c>
      <c r="Q1936">
        <v>43409.549186145836</v>
      </c>
      <c r="R1936">
        <v>1975</v>
      </c>
    </row>
    <row r="1937" spans="1:18" x14ac:dyDescent="0.25">
      <c r="A1937" t="s">
        <v>6627</v>
      </c>
      <c r="B1937" t="s">
        <v>6628</v>
      </c>
      <c r="C1937" t="s">
        <v>6629</v>
      </c>
      <c r="D1937" t="s">
        <v>6629</v>
      </c>
      <c r="E1937" t="s">
        <v>6630</v>
      </c>
      <c r="F1937" t="s">
        <v>91</v>
      </c>
      <c r="G1937" t="s">
        <v>22</v>
      </c>
      <c r="H1937" t="s">
        <v>53</v>
      </c>
      <c r="I1937" t="s">
        <v>3006</v>
      </c>
      <c r="J1937">
        <v>2019</v>
      </c>
      <c r="K1937">
        <v>43698.521897777777</v>
      </c>
      <c r="L1937" t="s">
        <v>193</v>
      </c>
      <c r="M1937" t="s">
        <v>37</v>
      </c>
      <c r="N1937" t="s">
        <v>415</v>
      </c>
      <c r="O1937">
        <v>346097</v>
      </c>
      <c r="P1937">
        <v>43698.521897777777</v>
      </c>
      <c r="Q1937">
        <v>43409.550590011575</v>
      </c>
      <c r="R1937">
        <v>1976</v>
      </c>
    </row>
    <row r="1938" spans="1:18" x14ac:dyDescent="0.25">
      <c r="A1938" t="s">
        <v>6631</v>
      </c>
      <c r="B1938" t="s">
        <v>6632</v>
      </c>
      <c r="C1938" t="s">
        <v>6633</v>
      </c>
      <c r="D1938" t="s">
        <v>6633</v>
      </c>
      <c r="E1938" t="s">
        <v>6634</v>
      </c>
      <c r="F1938" t="s">
        <v>21</v>
      </c>
      <c r="G1938" t="s">
        <v>22</v>
      </c>
      <c r="H1938" t="s">
        <v>53</v>
      </c>
      <c r="I1938" t="s">
        <v>3006</v>
      </c>
      <c r="J1938">
        <v>2019</v>
      </c>
      <c r="K1938">
        <v>43698.521897777777</v>
      </c>
      <c r="L1938" t="s">
        <v>1005</v>
      </c>
      <c r="M1938" t="s">
        <v>37</v>
      </c>
      <c r="N1938" t="s">
        <v>415</v>
      </c>
      <c r="O1938">
        <v>279698</v>
      </c>
      <c r="P1938">
        <v>43533.927083333336</v>
      </c>
      <c r="Q1938">
        <v>43409.551598298611</v>
      </c>
      <c r="R1938">
        <v>1977</v>
      </c>
    </row>
    <row r="1939" spans="1:18" x14ac:dyDescent="0.25">
      <c r="A1939" t="s">
        <v>6635</v>
      </c>
      <c r="B1939" t="s">
        <v>6636</v>
      </c>
      <c r="C1939" t="s">
        <v>6637</v>
      </c>
      <c r="D1939" t="s">
        <v>6637</v>
      </c>
      <c r="E1939" t="s">
        <v>6638</v>
      </c>
      <c r="F1939" t="s">
        <v>21</v>
      </c>
      <c r="G1939" t="s">
        <v>22</v>
      </c>
      <c r="H1939" t="s">
        <v>53</v>
      </c>
      <c r="I1939" t="s">
        <v>6639</v>
      </c>
      <c r="J1939">
        <v>2019</v>
      </c>
      <c r="K1939">
        <v>43698.521897777777</v>
      </c>
      <c r="L1939" t="s">
        <v>1660</v>
      </c>
      <c r="M1939" t="s">
        <v>37</v>
      </c>
      <c r="N1939" t="s">
        <v>415</v>
      </c>
      <c r="O1939">
        <v>268143</v>
      </c>
      <c r="P1939">
        <v>43503.162499999999</v>
      </c>
      <c r="Q1939">
        <v>43409.557979363424</v>
      </c>
      <c r="R1939">
        <v>1978</v>
      </c>
    </row>
    <row r="1940" spans="1:18" x14ac:dyDescent="0.25">
      <c r="A1940" t="s">
        <v>6640</v>
      </c>
      <c r="B1940" t="s">
        <v>6641</v>
      </c>
      <c r="C1940" t="s">
        <v>6642</v>
      </c>
      <c r="D1940" t="s">
        <v>6642</v>
      </c>
      <c r="E1940" t="s">
        <v>6643</v>
      </c>
      <c r="F1940" t="s">
        <v>91</v>
      </c>
      <c r="G1940" t="s">
        <v>22</v>
      </c>
      <c r="H1940" t="s">
        <v>53</v>
      </c>
      <c r="I1940" t="s">
        <v>3006</v>
      </c>
      <c r="J1940">
        <v>2019</v>
      </c>
      <c r="K1940">
        <v>43698.521897777777</v>
      </c>
      <c r="L1940" t="s">
        <v>193</v>
      </c>
      <c r="M1940" t="s">
        <v>37</v>
      </c>
      <c r="N1940" t="s">
        <v>415</v>
      </c>
      <c r="O1940">
        <v>345074</v>
      </c>
      <c r="P1940">
        <v>43693.660416666666</v>
      </c>
      <c r="Q1940">
        <v>43409.629476006943</v>
      </c>
      <c r="R1940">
        <v>1979</v>
      </c>
    </row>
    <row r="1941" spans="1:18" x14ac:dyDescent="0.25">
      <c r="A1941" t="s">
        <v>6644</v>
      </c>
      <c r="B1941" t="s">
        <v>6645</v>
      </c>
      <c r="C1941" t="s">
        <v>6646</v>
      </c>
      <c r="D1941" t="s">
        <v>6646</v>
      </c>
      <c r="E1941" t="s">
        <v>6647</v>
      </c>
      <c r="F1941" t="s">
        <v>21</v>
      </c>
      <c r="G1941" t="s">
        <v>22</v>
      </c>
      <c r="H1941" t="s">
        <v>53</v>
      </c>
      <c r="I1941" t="s">
        <v>3006</v>
      </c>
      <c r="J1941">
        <v>2019</v>
      </c>
      <c r="K1941">
        <v>43698.521897777777</v>
      </c>
      <c r="L1941" t="s">
        <v>1005</v>
      </c>
      <c r="M1941" t="s">
        <v>37</v>
      </c>
      <c r="N1941" t="s">
        <v>415</v>
      </c>
      <c r="O1941">
        <v>268816</v>
      </c>
      <c r="P1941">
        <v>43504.972916666666</v>
      </c>
      <c r="Q1941">
        <v>43409.630573958333</v>
      </c>
      <c r="R1941">
        <v>1980</v>
      </c>
    </row>
    <row r="1942" spans="1:18" x14ac:dyDescent="0.25">
      <c r="A1942" t="s">
        <v>6648</v>
      </c>
      <c r="B1942" t="s">
        <v>6649</v>
      </c>
      <c r="C1942" t="s">
        <v>6650</v>
      </c>
      <c r="D1942" t="s">
        <v>6650</v>
      </c>
      <c r="E1942" t="s">
        <v>6651</v>
      </c>
      <c r="F1942" t="s">
        <v>21</v>
      </c>
      <c r="G1942" t="s">
        <v>22</v>
      </c>
      <c r="H1942" t="s">
        <v>53</v>
      </c>
      <c r="I1942" t="s">
        <v>3006</v>
      </c>
      <c r="J1942">
        <v>2019</v>
      </c>
      <c r="K1942">
        <v>43698.521897777777</v>
      </c>
      <c r="L1942" t="s">
        <v>1005</v>
      </c>
      <c r="M1942" t="s">
        <v>37</v>
      </c>
      <c r="N1942" t="s">
        <v>415</v>
      </c>
      <c r="O1942">
        <v>319398</v>
      </c>
      <c r="P1942">
        <v>43631.086111111108</v>
      </c>
      <c r="Q1942">
        <v>43409.631552858795</v>
      </c>
      <c r="R1942">
        <v>1981</v>
      </c>
    </row>
    <row r="1943" spans="1:18" x14ac:dyDescent="0.25">
      <c r="A1943" t="s">
        <v>6652</v>
      </c>
      <c r="B1943" t="s">
        <v>6653</v>
      </c>
      <c r="C1943" t="s">
        <v>6654</v>
      </c>
      <c r="D1943" t="s">
        <v>6654</v>
      </c>
      <c r="E1943" t="s">
        <v>6655</v>
      </c>
      <c r="F1943" t="s">
        <v>91</v>
      </c>
      <c r="G1943" t="s">
        <v>22</v>
      </c>
      <c r="H1943" t="s">
        <v>53</v>
      </c>
      <c r="I1943" t="s">
        <v>3006</v>
      </c>
      <c r="J1943">
        <v>2019</v>
      </c>
      <c r="K1943">
        <v>43698.521897777777</v>
      </c>
      <c r="L1943" t="s">
        <v>1005</v>
      </c>
      <c r="M1943" t="s">
        <v>37</v>
      </c>
      <c r="N1943" t="s">
        <v>415</v>
      </c>
      <c r="O1943">
        <v>345365</v>
      </c>
      <c r="P1943">
        <v>43698.521897777777</v>
      </c>
      <c r="Q1943">
        <v>43409.63243784722</v>
      </c>
      <c r="R1943">
        <v>1982</v>
      </c>
    </row>
    <row r="1944" spans="1:18" x14ac:dyDescent="0.25">
      <c r="A1944" t="s">
        <v>6656</v>
      </c>
      <c r="B1944" t="s">
        <v>6657</v>
      </c>
      <c r="C1944" t="s">
        <v>6658</v>
      </c>
      <c r="D1944" t="s">
        <v>6658</v>
      </c>
      <c r="E1944" t="s">
        <v>6659</v>
      </c>
      <c r="F1944" t="s">
        <v>21</v>
      </c>
      <c r="G1944" t="s">
        <v>22</v>
      </c>
      <c r="H1944" t="s">
        <v>53</v>
      </c>
      <c r="I1944" t="s">
        <v>3006</v>
      </c>
      <c r="J1944">
        <v>2019</v>
      </c>
      <c r="K1944">
        <v>43698.521897777777</v>
      </c>
      <c r="L1944" t="s">
        <v>1005</v>
      </c>
      <c r="M1944" t="s">
        <v>37</v>
      </c>
      <c r="N1944" t="s">
        <v>415</v>
      </c>
      <c r="O1944">
        <v>274154</v>
      </c>
      <c r="P1944">
        <v>43517.490277777775</v>
      </c>
      <c r="Q1944">
        <v>43409.63311130787</v>
      </c>
      <c r="R1944">
        <v>1983</v>
      </c>
    </row>
    <row r="1945" spans="1:18" x14ac:dyDescent="0.25">
      <c r="A1945" t="s">
        <v>6660</v>
      </c>
      <c r="B1945" t="s">
        <v>6661</v>
      </c>
      <c r="C1945" t="s">
        <v>6662</v>
      </c>
      <c r="D1945" t="s">
        <v>6662</v>
      </c>
      <c r="E1945" t="s">
        <v>6663</v>
      </c>
      <c r="F1945" t="s">
        <v>91</v>
      </c>
      <c r="G1945" t="s">
        <v>22</v>
      </c>
      <c r="H1945" t="s">
        <v>53</v>
      </c>
      <c r="I1945" t="s">
        <v>3006</v>
      </c>
      <c r="J1945">
        <v>2019</v>
      </c>
      <c r="K1945">
        <v>43698.521897777777</v>
      </c>
      <c r="L1945" t="s">
        <v>1005</v>
      </c>
      <c r="M1945" t="s">
        <v>37</v>
      </c>
      <c r="N1945" t="s">
        <v>415</v>
      </c>
      <c r="O1945">
        <v>346549</v>
      </c>
      <c r="P1945">
        <v>43698.521897777777</v>
      </c>
      <c r="Q1945">
        <v>43409.633809872685</v>
      </c>
      <c r="R1945">
        <v>1984</v>
      </c>
    </row>
    <row r="1946" spans="1:18" x14ac:dyDescent="0.25">
      <c r="A1946" t="s">
        <v>6664</v>
      </c>
      <c r="B1946" t="s">
        <v>6665</v>
      </c>
      <c r="C1946" t="s">
        <v>6666</v>
      </c>
      <c r="D1946" t="s">
        <v>6666</v>
      </c>
      <c r="E1946" t="s">
        <v>6667</v>
      </c>
      <c r="F1946" t="s">
        <v>21</v>
      </c>
      <c r="G1946" t="s">
        <v>22</v>
      </c>
      <c r="H1946" t="s">
        <v>53</v>
      </c>
      <c r="I1946" t="s">
        <v>3006</v>
      </c>
      <c r="J1946">
        <v>2019</v>
      </c>
      <c r="K1946">
        <v>43698.521897777777</v>
      </c>
      <c r="L1946" t="s">
        <v>1005</v>
      </c>
      <c r="M1946" t="s">
        <v>37</v>
      </c>
      <c r="N1946" t="s">
        <v>415</v>
      </c>
      <c r="O1946">
        <v>280766</v>
      </c>
      <c r="P1946">
        <v>43536.963888888888</v>
      </c>
      <c r="Q1946">
        <v>43409.634738229164</v>
      </c>
      <c r="R1946">
        <v>1985</v>
      </c>
    </row>
    <row r="1947" spans="1:18" x14ac:dyDescent="0.25">
      <c r="A1947" t="s">
        <v>6668</v>
      </c>
      <c r="B1947" t="s">
        <v>6669</v>
      </c>
      <c r="C1947" t="s">
        <v>6670</v>
      </c>
      <c r="D1947" t="s">
        <v>6670</v>
      </c>
      <c r="E1947" t="s">
        <v>6671</v>
      </c>
      <c r="F1947" t="s">
        <v>91</v>
      </c>
      <c r="G1947" t="s">
        <v>22</v>
      </c>
      <c r="H1947" t="s">
        <v>53</v>
      </c>
      <c r="I1947" t="s">
        <v>3006</v>
      </c>
      <c r="J1947">
        <v>2019</v>
      </c>
      <c r="K1947">
        <v>43698.521897777777</v>
      </c>
      <c r="L1947" t="s">
        <v>1005</v>
      </c>
      <c r="M1947" t="s">
        <v>37</v>
      </c>
      <c r="N1947" t="s">
        <v>415</v>
      </c>
      <c r="O1947">
        <v>344632</v>
      </c>
      <c r="P1947">
        <v>43696.153310185182</v>
      </c>
      <c r="Q1947">
        <v>43409.635459456018</v>
      </c>
      <c r="R1947">
        <v>1986</v>
      </c>
    </row>
    <row r="1948" spans="1:18" x14ac:dyDescent="0.25">
      <c r="A1948" t="s">
        <v>6672</v>
      </c>
      <c r="B1948" t="s">
        <v>6673</v>
      </c>
      <c r="C1948" t="s">
        <v>6674</v>
      </c>
      <c r="D1948" t="s">
        <v>6674</v>
      </c>
      <c r="E1948" t="s">
        <v>6675</v>
      </c>
      <c r="F1948" t="s">
        <v>21</v>
      </c>
      <c r="G1948" t="s">
        <v>22</v>
      </c>
      <c r="H1948" t="s">
        <v>53</v>
      </c>
      <c r="I1948" t="s">
        <v>3006</v>
      </c>
      <c r="J1948">
        <v>2019</v>
      </c>
      <c r="K1948">
        <v>43698.521897777777</v>
      </c>
      <c r="L1948" t="s">
        <v>466</v>
      </c>
      <c r="M1948" t="s">
        <v>154</v>
      </c>
      <c r="N1948" t="s">
        <v>1305</v>
      </c>
      <c r="O1948">
        <v>336541</v>
      </c>
      <c r="P1948">
        <v>43673.538888888892</v>
      </c>
      <c r="Q1948">
        <v>43409.651001736114</v>
      </c>
      <c r="R1948">
        <v>1987</v>
      </c>
    </row>
    <row r="1949" spans="1:18" x14ac:dyDescent="0.25">
      <c r="A1949" t="s">
        <v>6676</v>
      </c>
      <c r="B1949" t="s">
        <v>6677</v>
      </c>
      <c r="C1949" t="s">
        <v>6678</v>
      </c>
      <c r="D1949" t="s">
        <v>6678</v>
      </c>
      <c r="E1949" t="s">
        <v>6679</v>
      </c>
      <c r="F1949" t="s">
        <v>21</v>
      </c>
      <c r="G1949" t="s">
        <v>22</v>
      </c>
      <c r="H1949" t="s">
        <v>53</v>
      </c>
      <c r="I1949" t="s">
        <v>3006</v>
      </c>
      <c r="J1949">
        <v>2019</v>
      </c>
      <c r="K1949">
        <v>43698.521897777777</v>
      </c>
      <c r="L1949" t="s">
        <v>466</v>
      </c>
      <c r="M1949" t="s">
        <v>154</v>
      </c>
      <c r="N1949" t="s">
        <v>1305</v>
      </c>
      <c r="O1949">
        <v>331586</v>
      </c>
      <c r="P1949">
        <v>43667.631493055553</v>
      </c>
      <c r="Q1949">
        <v>43409.651663969904</v>
      </c>
      <c r="R1949">
        <v>1988</v>
      </c>
    </row>
    <row r="1950" spans="1:18" x14ac:dyDescent="0.25">
      <c r="A1950" t="s">
        <v>6680</v>
      </c>
      <c r="B1950" t="s">
        <v>6681</v>
      </c>
      <c r="C1950" t="s">
        <v>6682</v>
      </c>
      <c r="D1950" t="s">
        <v>6682</v>
      </c>
      <c r="E1950" t="s">
        <v>6683</v>
      </c>
      <c r="F1950" t="s">
        <v>21</v>
      </c>
      <c r="G1950" t="s">
        <v>22</v>
      </c>
      <c r="H1950" t="s">
        <v>53</v>
      </c>
      <c r="I1950" t="s">
        <v>3006</v>
      </c>
      <c r="J1950">
        <v>2019</v>
      </c>
      <c r="K1950">
        <v>43698.521897777777</v>
      </c>
      <c r="L1950" t="s">
        <v>899</v>
      </c>
      <c r="M1950" t="s">
        <v>154</v>
      </c>
      <c r="N1950" t="s">
        <v>1305</v>
      </c>
      <c r="O1950">
        <v>341689</v>
      </c>
      <c r="P1950">
        <v>43685.654988425929</v>
      </c>
      <c r="Q1950">
        <v>43409.652116469908</v>
      </c>
      <c r="R1950">
        <v>1989</v>
      </c>
    </row>
    <row r="1951" spans="1:18" x14ac:dyDescent="0.25">
      <c r="A1951" t="s">
        <v>6684</v>
      </c>
      <c r="B1951" t="s">
        <v>6685</v>
      </c>
      <c r="C1951" t="s">
        <v>6686</v>
      </c>
      <c r="D1951" t="s">
        <v>6686</v>
      </c>
      <c r="E1951" t="s">
        <v>6687</v>
      </c>
      <c r="F1951" t="s">
        <v>21</v>
      </c>
      <c r="G1951" t="s">
        <v>22</v>
      </c>
      <c r="H1951" t="s">
        <v>53</v>
      </c>
      <c r="I1951" t="s">
        <v>3006</v>
      </c>
      <c r="J1951">
        <v>2019</v>
      </c>
      <c r="K1951">
        <v>43698.521897777777</v>
      </c>
      <c r="L1951" t="s">
        <v>466</v>
      </c>
      <c r="M1951" t="s">
        <v>154</v>
      </c>
      <c r="N1951" t="s">
        <v>1305</v>
      </c>
      <c r="O1951">
        <v>338775</v>
      </c>
      <c r="P1951">
        <v>43678.466666666667</v>
      </c>
      <c r="Q1951">
        <v>43409.652556863424</v>
      </c>
      <c r="R1951">
        <v>1990</v>
      </c>
    </row>
    <row r="1952" spans="1:18" x14ac:dyDescent="0.25">
      <c r="A1952" t="s">
        <v>6688</v>
      </c>
      <c r="B1952" t="s">
        <v>6689</v>
      </c>
      <c r="C1952" t="s">
        <v>6690</v>
      </c>
      <c r="D1952" t="s">
        <v>6690</v>
      </c>
      <c r="E1952" t="s">
        <v>6691</v>
      </c>
      <c r="F1952" t="s">
        <v>91</v>
      </c>
      <c r="G1952" t="s">
        <v>22</v>
      </c>
      <c r="H1952" t="s">
        <v>53</v>
      </c>
      <c r="I1952" t="s">
        <v>3006</v>
      </c>
      <c r="J1952">
        <v>2019</v>
      </c>
      <c r="K1952">
        <v>43698.521897777777</v>
      </c>
      <c r="L1952" t="s">
        <v>1978</v>
      </c>
      <c r="M1952" t="s">
        <v>154</v>
      </c>
      <c r="N1952" t="s">
        <v>1305</v>
      </c>
      <c r="O1952">
        <v>344687</v>
      </c>
      <c r="P1952">
        <v>43692.716678240744</v>
      </c>
      <c r="Q1952">
        <v>43409.652961921296</v>
      </c>
      <c r="R1952">
        <v>1991</v>
      </c>
    </row>
    <row r="1953" spans="1:18" x14ac:dyDescent="0.25">
      <c r="A1953" t="s">
        <v>6692</v>
      </c>
      <c r="B1953" t="s">
        <v>6693</v>
      </c>
      <c r="C1953" t="s">
        <v>6694</v>
      </c>
      <c r="D1953" t="s">
        <v>6694</v>
      </c>
      <c r="E1953" t="s">
        <v>6695</v>
      </c>
      <c r="F1953" t="s">
        <v>91</v>
      </c>
      <c r="G1953" t="s">
        <v>63</v>
      </c>
      <c r="H1953" t="s">
        <v>53</v>
      </c>
      <c r="I1953" t="s">
        <v>3006</v>
      </c>
      <c r="J1953">
        <v>2019</v>
      </c>
      <c r="K1953">
        <v>43698.521897777777</v>
      </c>
      <c r="L1953" t="s">
        <v>466</v>
      </c>
      <c r="M1953" t="s">
        <v>154</v>
      </c>
      <c r="N1953" t="s">
        <v>1305</v>
      </c>
      <c r="O1953">
        <v>347115</v>
      </c>
      <c r="P1953">
        <v>43698.521897777777</v>
      </c>
      <c r="Q1953">
        <v>43409.653362650461</v>
      </c>
      <c r="R1953">
        <v>1992</v>
      </c>
    </row>
    <row r="1954" spans="1:18" x14ac:dyDescent="0.25">
      <c r="A1954" t="s">
        <v>6696</v>
      </c>
      <c r="B1954" t="s">
        <v>6697</v>
      </c>
      <c r="C1954" t="s">
        <v>6698</v>
      </c>
      <c r="D1954" t="s">
        <v>6698</v>
      </c>
      <c r="E1954" t="s">
        <v>6699</v>
      </c>
      <c r="F1954" t="s">
        <v>21</v>
      </c>
      <c r="G1954" t="s">
        <v>22</v>
      </c>
      <c r="H1954" t="s">
        <v>53</v>
      </c>
      <c r="I1954" t="s">
        <v>3006</v>
      </c>
      <c r="J1954">
        <v>2019</v>
      </c>
      <c r="K1954">
        <v>43698.521897777777</v>
      </c>
      <c r="L1954" t="s">
        <v>899</v>
      </c>
      <c r="M1954" t="s">
        <v>154</v>
      </c>
      <c r="N1954" t="s">
        <v>1305</v>
      </c>
      <c r="O1954">
        <v>341959</v>
      </c>
      <c r="P1954">
        <v>43686.746527777781</v>
      </c>
      <c r="Q1954">
        <v>43409.653813541663</v>
      </c>
      <c r="R1954">
        <v>1993</v>
      </c>
    </row>
    <row r="1955" spans="1:18" x14ac:dyDescent="0.25">
      <c r="A1955" t="s">
        <v>6700</v>
      </c>
      <c r="B1955" t="s">
        <v>6701</v>
      </c>
      <c r="C1955" t="s">
        <v>6702</v>
      </c>
      <c r="D1955" t="s">
        <v>6702</v>
      </c>
      <c r="E1955" t="s">
        <v>6703</v>
      </c>
      <c r="F1955" t="s">
        <v>91</v>
      </c>
      <c r="G1955" t="s">
        <v>22</v>
      </c>
      <c r="H1955" t="s">
        <v>53</v>
      </c>
      <c r="I1955" t="s">
        <v>3006</v>
      </c>
      <c r="J1955">
        <v>2019</v>
      </c>
      <c r="K1955">
        <v>43698.521897777777</v>
      </c>
      <c r="L1955" t="s">
        <v>466</v>
      </c>
      <c r="M1955" t="s">
        <v>154</v>
      </c>
      <c r="N1955" t="s">
        <v>1305</v>
      </c>
      <c r="O1955">
        <v>346191</v>
      </c>
      <c r="P1955">
        <v>43698.521897777777</v>
      </c>
      <c r="Q1955">
        <v>43409.654237187497</v>
      </c>
      <c r="R1955">
        <v>1994</v>
      </c>
    </row>
    <row r="1956" spans="1:18" x14ac:dyDescent="0.25">
      <c r="A1956" t="s">
        <v>6704</v>
      </c>
      <c r="B1956" t="s">
        <v>6705</v>
      </c>
      <c r="C1956" t="s">
        <v>6706</v>
      </c>
      <c r="D1956" t="s">
        <v>6706</v>
      </c>
      <c r="E1956" t="s">
        <v>6707</v>
      </c>
      <c r="F1956" t="s">
        <v>91</v>
      </c>
      <c r="G1956" t="s">
        <v>22</v>
      </c>
      <c r="H1956" t="s">
        <v>998</v>
      </c>
      <c r="I1956" t="s">
        <v>3006</v>
      </c>
      <c r="J1956">
        <v>2019</v>
      </c>
      <c r="K1956">
        <v>43698.521897777777</v>
      </c>
      <c r="L1956" t="s">
        <v>466</v>
      </c>
      <c r="M1956" t="s">
        <v>154</v>
      </c>
      <c r="N1956" t="s">
        <v>1305</v>
      </c>
      <c r="O1956">
        <v>342540</v>
      </c>
      <c r="P1956">
        <v>43689.6875</v>
      </c>
      <c r="Q1956">
        <v>43409.654666319446</v>
      </c>
      <c r="R1956">
        <v>1995</v>
      </c>
    </row>
    <row r="1957" spans="1:18" x14ac:dyDescent="0.25">
      <c r="A1957" t="s">
        <v>6708</v>
      </c>
      <c r="B1957" t="s">
        <v>6709</v>
      </c>
      <c r="C1957" t="s">
        <v>6710</v>
      </c>
      <c r="D1957" t="s">
        <v>6710</v>
      </c>
      <c r="E1957" t="s">
        <v>6711</v>
      </c>
      <c r="F1957" t="s">
        <v>21</v>
      </c>
      <c r="G1957" t="s">
        <v>22</v>
      </c>
      <c r="H1957" t="s">
        <v>53</v>
      </c>
      <c r="I1957" t="s">
        <v>3006</v>
      </c>
      <c r="J1957">
        <v>2019</v>
      </c>
      <c r="K1957">
        <v>43698.521897777777</v>
      </c>
      <c r="L1957" t="s">
        <v>466</v>
      </c>
      <c r="M1957" t="s">
        <v>154</v>
      </c>
      <c r="N1957" t="s">
        <v>1305</v>
      </c>
      <c r="O1957">
        <v>342363</v>
      </c>
      <c r="P1957">
        <v>43687.51798611111</v>
      </c>
      <c r="Q1957">
        <v>43409.655160034723</v>
      </c>
      <c r="R1957">
        <v>1996</v>
      </c>
    </row>
    <row r="1958" spans="1:18" x14ac:dyDescent="0.25">
      <c r="A1958" t="s">
        <v>6712</v>
      </c>
      <c r="B1958" t="s">
        <v>6713</v>
      </c>
      <c r="C1958" t="s">
        <v>6714</v>
      </c>
      <c r="D1958" t="s">
        <v>6714</v>
      </c>
      <c r="E1958" t="s">
        <v>6714</v>
      </c>
      <c r="F1958" t="s">
        <v>21</v>
      </c>
      <c r="G1958" t="s">
        <v>63</v>
      </c>
      <c r="H1958" t="s">
        <v>53</v>
      </c>
      <c r="I1958" t="s">
        <v>810</v>
      </c>
      <c r="J1958">
        <v>2012</v>
      </c>
      <c r="K1958">
        <v>43698.521897777777</v>
      </c>
      <c r="L1958" t="s">
        <v>1056</v>
      </c>
      <c r="M1958" t="s">
        <v>1941</v>
      </c>
      <c r="N1958" t="s">
        <v>415</v>
      </c>
      <c r="O1958">
        <v>284413</v>
      </c>
      <c r="P1958">
        <v>43543.595196759263</v>
      </c>
      <c r="Q1958">
        <v>43409.662147141207</v>
      </c>
      <c r="R1958">
        <v>1997</v>
      </c>
    </row>
    <row r="1959" spans="1:18" x14ac:dyDescent="0.25">
      <c r="A1959" t="s">
        <v>6715</v>
      </c>
      <c r="B1959" t="s">
        <v>6716</v>
      </c>
      <c r="C1959" t="s">
        <v>6717</v>
      </c>
      <c r="D1959" t="s">
        <v>6717</v>
      </c>
      <c r="E1959" t="s">
        <v>6717</v>
      </c>
      <c r="F1959" t="s">
        <v>21</v>
      </c>
      <c r="G1959" t="s">
        <v>63</v>
      </c>
      <c r="H1959" t="s">
        <v>53</v>
      </c>
      <c r="I1959" t="s">
        <v>810</v>
      </c>
      <c r="J1959">
        <v>2012</v>
      </c>
      <c r="K1959">
        <v>43698.521897777777</v>
      </c>
      <c r="L1959" t="s">
        <v>193</v>
      </c>
      <c r="M1959" t="s">
        <v>1941</v>
      </c>
      <c r="N1959" t="s">
        <v>415</v>
      </c>
      <c r="O1959">
        <v>245237</v>
      </c>
      <c r="P1959">
        <v>43431.726388888892</v>
      </c>
      <c r="Q1959">
        <v>43409.667973495372</v>
      </c>
      <c r="R1959">
        <v>1998</v>
      </c>
    </row>
    <row r="1960" spans="1:18" x14ac:dyDescent="0.25">
      <c r="A1960" t="s">
        <v>6718</v>
      </c>
      <c r="B1960" t="s">
        <v>6719</v>
      </c>
      <c r="C1960" t="s">
        <v>6720</v>
      </c>
      <c r="D1960" t="s">
        <v>6720</v>
      </c>
      <c r="E1960" t="s">
        <v>6720</v>
      </c>
      <c r="F1960" t="s">
        <v>91</v>
      </c>
      <c r="G1960" t="s">
        <v>63</v>
      </c>
      <c r="H1960" t="s">
        <v>53</v>
      </c>
      <c r="I1960" t="s">
        <v>810</v>
      </c>
      <c r="J1960">
        <v>2017</v>
      </c>
      <c r="K1960">
        <v>43698.521897777777</v>
      </c>
      <c r="L1960" t="s">
        <v>1005</v>
      </c>
      <c r="M1960" t="s">
        <v>1941</v>
      </c>
      <c r="N1960" t="s">
        <v>415</v>
      </c>
      <c r="O1960">
        <v>345312</v>
      </c>
      <c r="P1960">
        <v>43698.521897777777</v>
      </c>
      <c r="Q1960">
        <v>43409.669333599537</v>
      </c>
      <c r="R1960">
        <v>1999</v>
      </c>
    </row>
    <row r="1961" spans="1:18" x14ac:dyDescent="0.25">
      <c r="A1961" t="s">
        <v>6721</v>
      </c>
      <c r="B1961" t="s">
        <v>6722</v>
      </c>
      <c r="C1961" t="s">
        <v>6723</v>
      </c>
      <c r="D1961" t="s">
        <v>6723</v>
      </c>
      <c r="E1961" t="s">
        <v>6723</v>
      </c>
      <c r="F1961" t="s">
        <v>91</v>
      </c>
      <c r="G1961" t="s">
        <v>63</v>
      </c>
      <c r="H1961" t="s">
        <v>53</v>
      </c>
      <c r="I1961" t="s">
        <v>3693</v>
      </c>
      <c r="J1961">
        <v>2019</v>
      </c>
      <c r="K1961">
        <v>43698.521897777777</v>
      </c>
      <c r="L1961" t="s">
        <v>1005</v>
      </c>
      <c r="M1961" t="s">
        <v>1941</v>
      </c>
      <c r="N1961" t="s">
        <v>415</v>
      </c>
      <c r="O1961">
        <v>346589</v>
      </c>
      <c r="P1961">
        <v>43698.521897777777</v>
      </c>
      <c r="Q1961">
        <v>43409.67127835648</v>
      </c>
      <c r="R1961">
        <v>2000</v>
      </c>
    </row>
    <row r="1962" spans="1:18" x14ac:dyDescent="0.25">
      <c r="A1962" t="s">
        <v>6724</v>
      </c>
      <c r="B1962" t="s">
        <v>6725</v>
      </c>
      <c r="C1962" t="s">
        <v>6726</v>
      </c>
      <c r="D1962" t="s">
        <v>6726</v>
      </c>
      <c r="E1962" t="s">
        <v>6727</v>
      </c>
      <c r="F1962" t="s">
        <v>91</v>
      </c>
      <c r="G1962" t="s">
        <v>22</v>
      </c>
      <c r="H1962" t="s">
        <v>53</v>
      </c>
      <c r="I1962" t="s">
        <v>3006</v>
      </c>
      <c r="J1962">
        <v>2019</v>
      </c>
      <c r="K1962">
        <v>43698.521897777777</v>
      </c>
      <c r="L1962" t="s">
        <v>1809</v>
      </c>
      <c r="M1962" t="s">
        <v>154</v>
      </c>
      <c r="N1962" t="s">
        <v>1305</v>
      </c>
      <c r="O1962">
        <v>346884</v>
      </c>
      <c r="P1962">
        <v>43698.521897777777</v>
      </c>
      <c r="Q1962">
        <v>43409.794543055556</v>
      </c>
      <c r="R1962">
        <v>2001</v>
      </c>
    </row>
    <row r="1963" spans="1:18" x14ac:dyDescent="0.25">
      <c r="A1963" t="s">
        <v>6728</v>
      </c>
      <c r="B1963" t="s">
        <v>6729</v>
      </c>
      <c r="C1963" t="s">
        <v>6730</v>
      </c>
      <c r="D1963" t="s">
        <v>6730</v>
      </c>
      <c r="E1963" t="s">
        <v>6731</v>
      </c>
      <c r="F1963" t="s">
        <v>91</v>
      </c>
      <c r="G1963" t="s">
        <v>22</v>
      </c>
      <c r="H1963" t="s">
        <v>53</v>
      </c>
      <c r="I1963" t="s">
        <v>3006</v>
      </c>
      <c r="J1963">
        <v>2019</v>
      </c>
      <c r="K1963">
        <v>43698.521897777777</v>
      </c>
      <c r="L1963" t="s">
        <v>1809</v>
      </c>
      <c r="M1963" t="s">
        <v>154</v>
      </c>
      <c r="N1963" t="s">
        <v>1305</v>
      </c>
      <c r="O1963">
        <v>344295</v>
      </c>
      <c r="P1963">
        <v>43692.458333333336</v>
      </c>
      <c r="Q1963">
        <v>43409.79652653935</v>
      </c>
      <c r="R1963">
        <v>2002</v>
      </c>
    </row>
    <row r="1964" spans="1:18" x14ac:dyDescent="0.25">
      <c r="A1964" t="s">
        <v>6732</v>
      </c>
      <c r="B1964" t="s">
        <v>6733</v>
      </c>
      <c r="C1964" t="s">
        <v>6734</v>
      </c>
      <c r="D1964" t="s">
        <v>6734</v>
      </c>
      <c r="E1964" t="s">
        <v>6735</v>
      </c>
      <c r="F1964" t="s">
        <v>91</v>
      </c>
      <c r="G1964" t="s">
        <v>22</v>
      </c>
      <c r="H1964" t="s">
        <v>53</v>
      </c>
      <c r="I1964" t="s">
        <v>3006</v>
      </c>
      <c r="J1964">
        <v>2019</v>
      </c>
      <c r="K1964">
        <v>43698.521897777777</v>
      </c>
      <c r="L1964" t="s">
        <v>1809</v>
      </c>
      <c r="M1964" t="s">
        <v>154</v>
      </c>
      <c r="N1964" t="s">
        <v>1305</v>
      </c>
      <c r="O1964">
        <v>346874</v>
      </c>
      <c r="P1964">
        <v>43698.521897777777</v>
      </c>
      <c r="Q1964">
        <v>43409.797265393521</v>
      </c>
      <c r="R1964">
        <v>2003</v>
      </c>
    </row>
    <row r="1965" spans="1:18" x14ac:dyDescent="0.25">
      <c r="A1965" t="s">
        <v>6736</v>
      </c>
      <c r="B1965" t="s">
        <v>6737</v>
      </c>
      <c r="C1965" t="s">
        <v>6738</v>
      </c>
      <c r="D1965" t="s">
        <v>6738</v>
      </c>
      <c r="E1965" t="s">
        <v>6739</v>
      </c>
      <c r="F1965" t="s">
        <v>91</v>
      </c>
      <c r="G1965" t="s">
        <v>22</v>
      </c>
      <c r="H1965" t="s">
        <v>53</v>
      </c>
      <c r="I1965" t="s">
        <v>3006</v>
      </c>
      <c r="J1965">
        <v>2019</v>
      </c>
      <c r="K1965">
        <v>43698.521897777777</v>
      </c>
      <c r="L1965" t="s">
        <v>1809</v>
      </c>
      <c r="M1965" t="s">
        <v>154</v>
      </c>
      <c r="N1965" t="s">
        <v>1305</v>
      </c>
      <c r="O1965">
        <v>346871</v>
      </c>
      <c r="P1965">
        <v>43698.521897777777</v>
      </c>
      <c r="Q1965">
        <v>43409.798288969905</v>
      </c>
      <c r="R1965">
        <v>2004</v>
      </c>
    </row>
    <row r="1966" spans="1:18" x14ac:dyDescent="0.25">
      <c r="A1966" t="s">
        <v>6740</v>
      </c>
      <c r="B1966" t="s">
        <v>6741</v>
      </c>
      <c r="C1966" t="s">
        <v>6742</v>
      </c>
      <c r="D1966" t="s">
        <v>6742</v>
      </c>
      <c r="E1966" t="s">
        <v>6743</v>
      </c>
      <c r="F1966" t="s">
        <v>91</v>
      </c>
      <c r="G1966" t="s">
        <v>22</v>
      </c>
      <c r="H1966" t="s">
        <v>53</v>
      </c>
      <c r="I1966" t="s">
        <v>3006</v>
      </c>
      <c r="J1966">
        <v>2019</v>
      </c>
      <c r="K1966">
        <v>43698.521897777777</v>
      </c>
      <c r="L1966" t="s">
        <v>1809</v>
      </c>
      <c r="M1966" t="s">
        <v>154</v>
      </c>
      <c r="N1966" t="s">
        <v>1305</v>
      </c>
      <c r="O1966">
        <v>346763</v>
      </c>
      <c r="P1966">
        <v>43698.521897777777</v>
      </c>
      <c r="Q1966">
        <v>43409.79891273148</v>
      </c>
      <c r="R1966">
        <v>2005</v>
      </c>
    </row>
    <row r="1967" spans="1:18" x14ac:dyDescent="0.25">
      <c r="A1967" t="s">
        <v>6744</v>
      </c>
      <c r="B1967" t="s">
        <v>6745</v>
      </c>
      <c r="C1967" t="s">
        <v>6746</v>
      </c>
      <c r="D1967" t="s">
        <v>6746</v>
      </c>
      <c r="E1967" t="s">
        <v>6747</v>
      </c>
      <c r="F1967" t="s">
        <v>91</v>
      </c>
      <c r="G1967" t="s">
        <v>22</v>
      </c>
      <c r="H1967" t="s">
        <v>53</v>
      </c>
      <c r="I1967" t="s">
        <v>3006</v>
      </c>
      <c r="J1967">
        <v>2019</v>
      </c>
      <c r="K1967">
        <v>43698.521897777777</v>
      </c>
      <c r="L1967" t="s">
        <v>422</v>
      </c>
      <c r="M1967" t="s">
        <v>2777</v>
      </c>
      <c r="N1967" t="s">
        <v>93</v>
      </c>
      <c r="O1967">
        <v>346985</v>
      </c>
      <c r="P1967">
        <v>43698.521897777777</v>
      </c>
      <c r="Q1967">
        <v>43409.800104166665</v>
      </c>
      <c r="R1967">
        <v>2006</v>
      </c>
    </row>
    <row r="1968" spans="1:18" x14ac:dyDescent="0.25">
      <c r="A1968" t="s">
        <v>6748</v>
      </c>
      <c r="B1968" t="s">
        <v>6749</v>
      </c>
      <c r="C1968" t="s">
        <v>6750</v>
      </c>
      <c r="D1968" t="s">
        <v>6750</v>
      </c>
      <c r="E1968" t="s">
        <v>6751</v>
      </c>
      <c r="F1968" t="s">
        <v>91</v>
      </c>
      <c r="G1968" t="s">
        <v>22</v>
      </c>
      <c r="H1968" t="s">
        <v>53</v>
      </c>
      <c r="I1968" t="s">
        <v>3006</v>
      </c>
      <c r="J1968">
        <v>2019</v>
      </c>
      <c r="K1968">
        <v>43698.521897777777</v>
      </c>
      <c r="L1968" t="s">
        <v>422</v>
      </c>
      <c r="M1968" t="s">
        <v>2777</v>
      </c>
      <c r="N1968" t="s">
        <v>1439</v>
      </c>
      <c r="O1968">
        <v>346739</v>
      </c>
      <c r="P1968">
        <v>43698.15625</v>
      </c>
      <c r="Q1968">
        <v>43409.800879513889</v>
      </c>
      <c r="R1968">
        <v>2007</v>
      </c>
    </row>
    <row r="1969" spans="1:18" x14ac:dyDescent="0.25">
      <c r="A1969" t="s">
        <v>6752</v>
      </c>
      <c r="B1969" t="s">
        <v>6753</v>
      </c>
      <c r="C1969" t="s">
        <v>6754</v>
      </c>
      <c r="D1969" t="s">
        <v>6754</v>
      </c>
      <c r="E1969" t="s">
        <v>6755</v>
      </c>
      <c r="F1969" t="s">
        <v>91</v>
      </c>
      <c r="G1969" t="s">
        <v>22</v>
      </c>
      <c r="H1969" t="s">
        <v>53</v>
      </c>
      <c r="I1969" t="s">
        <v>3006</v>
      </c>
      <c r="J1969">
        <v>2019</v>
      </c>
      <c r="K1969">
        <v>43698.521897777777</v>
      </c>
      <c r="L1969" t="s">
        <v>2783</v>
      </c>
      <c r="M1969" t="s">
        <v>2777</v>
      </c>
      <c r="N1969" t="s">
        <v>3293</v>
      </c>
      <c r="O1969">
        <v>346684</v>
      </c>
      <c r="P1969">
        <v>43698.239583333336</v>
      </c>
      <c r="Q1969">
        <v>43409.801588969909</v>
      </c>
      <c r="R1969">
        <v>2008</v>
      </c>
    </row>
    <row r="1970" spans="1:18" x14ac:dyDescent="0.25">
      <c r="A1970" t="s">
        <v>6756</v>
      </c>
      <c r="B1970" t="s">
        <v>6757</v>
      </c>
      <c r="C1970" t="s">
        <v>6758</v>
      </c>
      <c r="D1970" t="s">
        <v>6758</v>
      </c>
      <c r="E1970" t="s">
        <v>6759</v>
      </c>
      <c r="F1970" t="s">
        <v>91</v>
      </c>
      <c r="G1970" t="s">
        <v>22</v>
      </c>
      <c r="H1970" t="s">
        <v>53</v>
      </c>
      <c r="I1970" t="s">
        <v>3006</v>
      </c>
      <c r="J1970">
        <v>2019</v>
      </c>
      <c r="K1970">
        <v>43698.521897777777</v>
      </c>
      <c r="L1970" t="s">
        <v>422</v>
      </c>
      <c r="M1970" t="s">
        <v>2777</v>
      </c>
      <c r="N1970" t="s">
        <v>2778</v>
      </c>
      <c r="O1970">
        <v>344641</v>
      </c>
      <c r="P1970">
        <v>43692.791666666664</v>
      </c>
      <c r="Q1970">
        <v>43409.803536689818</v>
      </c>
      <c r="R1970">
        <v>2009</v>
      </c>
    </row>
    <row r="1971" spans="1:18" x14ac:dyDescent="0.25">
      <c r="A1971" t="s">
        <v>6760</v>
      </c>
      <c r="B1971" t="s">
        <v>6761</v>
      </c>
      <c r="C1971" t="s">
        <v>6762</v>
      </c>
      <c r="D1971" t="s">
        <v>6762</v>
      </c>
      <c r="E1971" t="s">
        <v>6763</v>
      </c>
      <c r="F1971" t="s">
        <v>91</v>
      </c>
      <c r="G1971" t="s">
        <v>22</v>
      </c>
      <c r="H1971" t="s">
        <v>53</v>
      </c>
      <c r="I1971" t="s">
        <v>3006</v>
      </c>
      <c r="J1971">
        <v>2019</v>
      </c>
      <c r="K1971">
        <v>43698.521897777777</v>
      </c>
      <c r="L1971" t="s">
        <v>422</v>
      </c>
      <c r="M1971" t="s">
        <v>2777</v>
      </c>
      <c r="N1971" t="s">
        <v>415</v>
      </c>
      <c r="O1971">
        <v>346356</v>
      </c>
      <c r="P1971">
        <v>43697.081944444442</v>
      </c>
      <c r="Q1971">
        <v>43409.80442291667</v>
      </c>
      <c r="R1971">
        <v>2010</v>
      </c>
    </row>
    <row r="1972" spans="1:18" x14ac:dyDescent="0.25">
      <c r="A1972" t="s">
        <v>6764</v>
      </c>
      <c r="B1972" t="s">
        <v>6765</v>
      </c>
      <c r="C1972" t="s">
        <v>6766</v>
      </c>
      <c r="D1972" t="s">
        <v>6766</v>
      </c>
      <c r="E1972" t="s">
        <v>6767</v>
      </c>
      <c r="F1972" t="s">
        <v>91</v>
      </c>
      <c r="G1972" t="s">
        <v>22</v>
      </c>
      <c r="H1972" t="s">
        <v>53</v>
      </c>
      <c r="I1972" t="s">
        <v>3006</v>
      </c>
      <c r="J1972">
        <v>2019</v>
      </c>
      <c r="K1972">
        <v>43698.521897777777</v>
      </c>
      <c r="L1972" t="s">
        <v>422</v>
      </c>
      <c r="M1972" t="s">
        <v>2777</v>
      </c>
      <c r="N1972" t="s">
        <v>2778</v>
      </c>
      <c r="O1972">
        <v>347025</v>
      </c>
      <c r="P1972">
        <v>43698.521897777777</v>
      </c>
      <c r="Q1972">
        <v>43409.805424849539</v>
      </c>
      <c r="R1972">
        <v>2011</v>
      </c>
    </row>
    <row r="1973" spans="1:18" x14ac:dyDescent="0.25">
      <c r="A1973" t="s">
        <v>6768</v>
      </c>
      <c r="B1973" t="s">
        <v>6769</v>
      </c>
      <c r="C1973" t="s">
        <v>6770</v>
      </c>
      <c r="D1973" t="s">
        <v>6770</v>
      </c>
      <c r="E1973" t="s">
        <v>6771</v>
      </c>
      <c r="F1973" t="s">
        <v>91</v>
      </c>
      <c r="G1973" t="s">
        <v>22</v>
      </c>
      <c r="H1973" t="s">
        <v>53</v>
      </c>
      <c r="I1973" t="s">
        <v>3006</v>
      </c>
      <c r="J1973">
        <v>2019</v>
      </c>
      <c r="K1973">
        <v>43698.521897777777</v>
      </c>
      <c r="L1973" t="s">
        <v>422</v>
      </c>
      <c r="M1973" t="s">
        <v>2777</v>
      </c>
      <c r="N1973" t="s">
        <v>2778</v>
      </c>
      <c r="O1973">
        <v>346658</v>
      </c>
      <c r="P1973">
        <v>43698.114583333336</v>
      </c>
      <c r="Q1973">
        <v>43409.806017905095</v>
      </c>
      <c r="R1973">
        <v>2012</v>
      </c>
    </row>
    <row r="1974" spans="1:18" x14ac:dyDescent="0.25">
      <c r="A1974" t="s">
        <v>6772</v>
      </c>
      <c r="B1974" t="s">
        <v>6773</v>
      </c>
      <c r="C1974" t="s">
        <v>6774</v>
      </c>
      <c r="D1974" t="s">
        <v>6774</v>
      </c>
      <c r="E1974" t="s">
        <v>6775</v>
      </c>
      <c r="F1974" t="s">
        <v>91</v>
      </c>
      <c r="G1974" t="s">
        <v>22</v>
      </c>
      <c r="H1974" t="s">
        <v>53</v>
      </c>
      <c r="I1974" t="s">
        <v>3006</v>
      </c>
      <c r="J1974">
        <v>2019</v>
      </c>
      <c r="K1974">
        <v>43698.521897777777</v>
      </c>
      <c r="L1974" t="s">
        <v>422</v>
      </c>
      <c r="M1974" t="s">
        <v>2777</v>
      </c>
      <c r="N1974" t="s">
        <v>1439</v>
      </c>
      <c r="O1974">
        <v>347155</v>
      </c>
      <c r="P1974">
        <v>43698.521897777777</v>
      </c>
      <c r="Q1974">
        <v>43409.806854282404</v>
      </c>
      <c r="R1974">
        <v>2013</v>
      </c>
    </row>
    <row r="1975" spans="1:18" x14ac:dyDescent="0.25">
      <c r="A1975" t="s">
        <v>6776</v>
      </c>
      <c r="B1975" t="s">
        <v>6777</v>
      </c>
      <c r="C1975" t="s">
        <v>6778</v>
      </c>
      <c r="D1975" t="s">
        <v>6778</v>
      </c>
      <c r="E1975" t="s">
        <v>6779</v>
      </c>
      <c r="F1975" t="s">
        <v>91</v>
      </c>
      <c r="G1975" t="s">
        <v>22</v>
      </c>
      <c r="H1975" t="s">
        <v>53</v>
      </c>
      <c r="I1975" t="s">
        <v>3006</v>
      </c>
      <c r="J1975">
        <v>2019</v>
      </c>
      <c r="K1975">
        <v>43698.521897777777</v>
      </c>
      <c r="L1975" t="s">
        <v>422</v>
      </c>
      <c r="M1975" t="s">
        <v>2777</v>
      </c>
      <c r="N1975" t="s">
        <v>3298</v>
      </c>
      <c r="O1975">
        <v>346949</v>
      </c>
      <c r="P1975">
        <v>43698.521897777777</v>
      </c>
      <c r="Q1975">
        <v>43409.807620104169</v>
      </c>
      <c r="R1975">
        <v>2014</v>
      </c>
    </row>
    <row r="1976" spans="1:18" x14ac:dyDescent="0.25">
      <c r="A1976" t="s">
        <v>6780</v>
      </c>
      <c r="B1976" t="s">
        <v>6781</v>
      </c>
      <c r="C1976" t="s">
        <v>6782</v>
      </c>
      <c r="D1976" t="s">
        <v>6782</v>
      </c>
      <c r="E1976" t="s">
        <v>6783</v>
      </c>
      <c r="F1976" t="s">
        <v>91</v>
      </c>
      <c r="G1976" t="s">
        <v>22</v>
      </c>
      <c r="H1976" t="s">
        <v>53</v>
      </c>
      <c r="I1976" t="s">
        <v>3006</v>
      </c>
      <c r="J1976">
        <v>2019</v>
      </c>
      <c r="K1976">
        <v>43698.521897777777</v>
      </c>
      <c r="L1976" t="s">
        <v>422</v>
      </c>
      <c r="M1976" t="s">
        <v>2777</v>
      </c>
      <c r="N1976" t="s">
        <v>2778</v>
      </c>
      <c r="O1976">
        <v>346473</v>
      </c>
      <c r="P1976">
        <v>43697.895833333336</v>
      </c>
      <c r="Q1976">
        <v>43409.808413506944</v>
      </c>
      <c r="R1976">
        <v>2015</v>
      </c>
    </row>
    <row r="1977" spans="1:18" x14ac:dyDescent="0.25">
      <c r="A1977" t="s">
        <v>6784</v>
      </c>
      <c r="B1977" t="s">
        <v>6785</v>
      </c>
      <c r="C1977" t="s">
        <v>6786</v>
      </c>
      <c r="D1977" t="s">
        <v>6786</v>
      </c>
      <c r="E1977" t="s">
        <v>6787</v>
      </c>
      <c r="F1977" t="s">
        <v>21</v>
      </c>
      <c r="G1977" t="s">
        <v>22</v>
      </c>
      <c r="H1977" t="s">
        <v>53</v>
      </c>
      <c r="I1977" t="s">
        <v>3006</v>
      </c>
      <c r="J1977">
        <v>2019</v>
      </c>
      <c r="K1977">
        <v>43698.521897777777</v>
      </c>
      <c r="L1977" t="s">
        <v>422</v>
      </c>
      <c r="M1977" t="s">
        <v>2777</v>
      </c>
      <c r="N1977" t="s">
        <v>27</v>
      </c>
      <c r="O1977">
        <v>246394</v>
      </c>
      <c r="P1977">
        <v>43432.15625</v>
      </c>
      <c r="Q1977">
        <v>43409.8094528125</v>
      </c>
      <c r="R1977">
        <v>2016</v>
      </c>
    </row>
    <row r="1978" spans="1:18" x14ac:dyDescent="0.25">
      <c r="A1978" t="s">
        <v>6788</v>
      </c>
      <c r="B1978" t="s">
        <v>6789</v>
      </c>
      <c r="C1978" t="s">
        <v>6790</v>
      </c>
      <c r="D1978" t="s">
        <v>6790</v>
      </c>
      <c r="E1978" t="s">
        <v>6791</v>
      </c>
      <c r="F1978" t="s">
        <v>91</v>
      </c>
      <c r="G1978" t="s">
        <v>22</v>
      </c>
      <c r="H1978" t="s">
        <v>53</v>
      </c>
      <c r="I1978" t="s">
        <v>3006</v>
      </c>
      <c r="J1978">
        <v>2019</v>
      </c>
      <c r="K1978">
        <v>43698.521897777777</v>
      </c>
      <c r="L1978" t="s">
        <v>422</v>
      </c>
      <c r="M1978" t="s">
        <v>2777</v>
      </c>
      <c r="N1978" t="s">
        <v>27</v>
      </c>
      <c r="O1978">
        <v>346858</v>
      </c>
      <c r="P1978">
        <v>43698.521897777777</v>
      </c>
      <c r="Q1978">
        <v>43409.811287500001</v>
      </c>
      <c r="R1978">
        <v>2017</v>
      </c>
    </row>
    <row r="1979" spans="1:18" x14ac:dyDescent="0.25">
      <c r="A1979" t="s">
        <v>6792</v>
      </c>
      <c r="B1979" t="s">
        <v>6793</v>
      </c>
      <c r="C1979" t="s">
        <v>6794</v>
      </c>
      <c r="D1979" t="s">
        <v>6794</v>
      </c>
      <c r="E1979" t="s">
        <v>6795</v>
      </c>
      <c r="F1979" t="s">
        <v>21</v>
      </c>
      <c r="G1979" t="s">
        <v>22</v>
      </c>
      <c r="H1979" t="s">
        <v>53</v>
      </c>
      <c r="I1979" t="s">
        <v>3006</v>
      </c>
      <c r="J1979">
        <v>2019</v>
      </c>
      <c r="K1979">
        <v>43698.521897777777</v>
      </c>
      <c r="L1979" t="s">
        <v>25</v>
      </c>
      <c r="M1979" t="s">
        <v>2777</v>
      </c>
      <c r="N1979" t="s">
        <v>27</v>
      </c>
      <c r="Q1979">
        <v>43409.819891122686</v>
      </c>
      <c r="R1979">
        <v>2018</v>
      </c>
    </row>
    <row r="1980" spans="1:18" x14ac:dyDescent="0.25">
      <c r="A1980" t="s">
        <v>6796</v>
      </c>
      <c r="B1980" t="s">
        <v>6797</v>
      </c>
      <c r="C1980" t="s">
        <v>6798</v>
      </c>
      <c r="D1980" t="s">
        <v>6798</v>
      </c>
      <c r="E1980" t="s">
        <v>6799</v>
      </c>
      <c r="F1980" t="s">
        <v>21</v>
      </c>
      <c r="G1980" t="s">
        <v>22</v>
      </c>
      <c r="H1980" t="s">
        <v>53</v>
      </c>
      <c r="I1980" t="s">
        <v>3006</v>
      </c>
      <c r="J1980">
        <v>2019</v>
      </c>
      <c r="K1980">
        <v>43698.521897777777</v>
      </c>
      <c r="L1980" t="s">
        <v>25</v>
      </c>
      <c r="M1980" t="s">
        <v>2777</v>
      </c>
      <c r="N1980" t="s">
        <v>27</v>
      </c>
      <c r="Q1980">
        <v>43409.820727743056</v>
      </c>
      <c r="R1980">
        <v>2019</v>
      </c>
    </row>
    <row r="1981" spans="1:18" x14ac:dyDescent="0.25">
      <c r="A1981" t="s">
        <v>6800</v>
      </c>
      <c r="B1981" t="s">
        <v>6801</v>
      </c>
      <c r="C1981" t="s">
        <v>6802</v>
      </c>
      <c r="D1981" t="s">
        <v>6802</v>
      </c>
      <c r="E1981" t="s">
        <v>6803</v>
      </c>
      <c r="F1981" t="s">
        <v>91</v>
      </c>
      <c r="G1981" t="s">
        <v>22</v>
      </c>
      <c r="H1981" t="s">
        <v>53</v>
      </c>
      <c r="I1981" t="s">
        <v>3006</v>
      </c>
      <c r="J1981">
        <v>2019</v>
      </c>
      <c r="K1981">
        <v>43698.521897777777</v>
      </c>
      <c r="L1981" t="s">
        <v>422</v>
      </c>
      <c r="M1981" t="s">
        <v>2777</v>
      </c>
      <c r="N1981" t="s">
        <v>27</v>
      </c>
      <c r="O1981">
        <v>346984</v>
      </c>
      <c r="P1981">
        <v>43698.521897777777</v>
      </c>
      <c r="Q1981">
        <v>43409.821727546296</v>
      </c>
      <c r="R1981">
        <v>2020</v>
      </c>
    </row>
    <row r="1982" spans="1:18" x14ac:dyDescent="0.25">
      <c r="A1982" t="s">
        <v>6804</v>
      </c>
      <c r="B1982" t="s">
        <v>6805</v>
      </c>
      <c r="C1982" t="s">
        <v>6806</v>
      </c>
      <c r="D1982" t="s">
        <v>6806</v>
      </c>
      <c r="E1982" t="s">
        <v>6807</v>
      </c>
      <c r="F1982" t="s">
        <v>21</v>
      </c>
      <c r="G1982" t="s">
        <v>22</v>
      </c>
      <c r="H1982" t="s">
        <v>53</v>
      </c>
      <c r="I1982" t="s">
        <v>3006</v>
      </c>
      <c r="J1982">
        <v>2019</v>
      </c>
      <c r="K1982">
        <v>43698.521897777777</v>
      </c>
      <c r="L1982" t="s">
        <v>422</v>
      </c>
      <c r="M1982" t="s">
        <v>2777</v>
      </c>
      <c r="N1982" t="s">
        <v>27</v>
      </c>
      <c r="O1982">
        <v>253327</v>
      </c>
      <c r="P1982">
        <v>43451.145833333336</v>
      </c>
      <c r="Q1982">
        <v>43409.82246635417</v>
      </c>
      <c r="R1982">
        <v>2021</v>
      </c>
    </row>
    <row r="1983" spans="1:18" x14ac:dyDescent="0.25">
      <c r="A1983" t="s">
        <v>6808</v>
      </c>
      <c r="B1983" t="s">
        <v>6809</v>
      </c>
      <c r="C1983" t="s">
        <v>6810</v>
      </c>
      <c r="D1983" t="s">
        <v>6810</v>
      </c>
      <c r="E1983" t="s">
        <v>6811</v>
      </c>
      <c r="F1983" t="s">
        <v>91</v>
      </c>
      <c r="G1983" t="s">
        <v>22</v>
      </c>
      <c r="H1983" t="s">
        <v>53</v>
      </c>
      <c r="I1983" t="s">
        <v>3006</v>
      </c>
      <c r="J1983">
        <v>2019</v>
      </c>
      <c r="K1983">
        <v>43698.521897777777</v>
      </c>
      <c r="L1983" t="s">
        <v>422</v>
      </c>
      <c r="M1983" t="s">
        <v>2777</v>
      </c>
      <c r="N1983" t="s">
        <v>2778</v>
      </c>
      <c r="O1983">
        <v>347156</v>
      </c>
      <c r="P1983">
        <v>43698.521897777777</v>
      </c>
      <c r="Q1983">
        <v>43409.823679016205</v>
      </c>
      <c r="R1983">
        <v>2022</v>
      </c>
    </row>
    <row r="1984" spans="1:18" x14ac:dyDescent="0.25">
      <c r="A1984" t="s">
        <v>6812</v>
      </c>
      <c r="B1984" t="s">
        <v>6813</v>
      </c>
      <c r="C1984" t="s">
        <v>6814</v>
      </c>
      <c r="D1984" t="s">
        <v>6814</v>
      </c>
      <c r="E1984" t="s">
        <v>6815</v>
      </c>
      <c r="F1984" t="s">
        <v>91</v>
      </c>
      <c r="G1984" t="s">
        <v>22</v>
      </c>
      <c r="H1984" t="s">
        <v>53</v>
      </c>
      <c r="I1984" t="s">
        <v>3006</v>
      </c>
      <c r="J1984">
        <v>2019</v>
      </c>
      <c r="K1984">
        <v>43698.521897777777</v>
      </c>
      <c r="L1984" t="s">
        <v>422</v>
      </c>
      <c r="M1984" t="s">
        <v>2777</v>
      </c>
      <c r="N1984" t="s">
        <v>2778</v>
      </c>
      <c r="O1984">
        <v>346639</v>
      </c>
      <c r="P1984">
        <v>43697.9375</v>
      </c>
      <c r="Q1984">
        <v>43409.824505902776</v>
      </c>
      <c r="R1984">
        <v>2023</v>
      </c>
    </row>
    <row r="1985" spans="1:18" x14ac:dyDescent="0.25">
      <c r="A1985" t="s">
        <v>6816</v>
      </c>
      <c r="B1985" t="s">
        <v>6817</v>
      </c>
      <c r="C1985" t="s">
        <v>6818</v>
      </c>
      <c r="D1985" t="s">
        <v>6818</v>
      </c>
      <c r="E1985" t="s">
        <v>6819</v>
      </c>
      <c r="F1985" t="s">
        <v>91</v>
      </c>
      <c r="G1985" t="s">
        <v>22</v>
      </c>
      <c r="H1985" t="s">
        <v>53</v>
      </c>
      <c r="I1985" t="s">
        <v>3006</v>
      </c>
      <c r="J1985">
        <v>2019</v>
      </c>
      <c r="K1985">
        <v>43698.521897777777</v>
      </c>
      <c r="L1985" t="s">
        <v>422</v>
      </c>
      <c r="M1985" t="s">
        <v>2777</v>
      </c>
      <c r="N1985" t="s">
        <v>1439</v>
      </c>
      <c r="O1985">
        <v>346969</v>
      </c>
      <c r="P1985">
        <v>43698.521897777777</v>
      </c>
      <c r="Q1985">
        <v>43409.825571562498</v>
      </c>
      <c r="R1985">
        <v>2024</v>
      </c>
    </row>
    <row r="1986" spans="1:18" x14ac:dyDescent="0.25">
      <c r="A1986" t="s">
        <v>6820</v>
      </c>
      <c r="B1986" t="s">
        <v>6821</v>
      </c>
      <c r="C1986" t="s">
        <v>6822</v>
      </c>
      <c r="D1986" t="s">
        <v>6822</v>
      </c>
      <c r="E1986" t="s">
        <v>6823</v>
      </c>
      <c r="F1986" t="s">
        <v>21</v>
      </c>
      <c r="G1986" t="s">
        <v>22</v>
      </c>
      <c r="H1986" t="s">
        <v>53</v>
      </c>
      <c r="I1986" t="s">
        <v>3006</v>
      </c>
      <c r="J1986">
        <v>2019</v>
      </c>
      <c r="K1986">
        <v>43698.521897777777</v>
      </c>
      <c r="L1986" t="s">
        <v>25</v>
      </c>
      <c r="M1986" t="s">
        <v>2777</v>
      </c>
      <c r="N1986" t="s">
        <v>27</v>
      </c>
      <c r="Q1986">
        <v>43409.826405173611</v>
      </c>
      <c r="R1986">
        <v>2025</v>
      </c>
    </row>
    <row r="1987" spans="1:18" x14ac:dyDescent="0.25">
      <c r="A1987" t="s">
        <v>6824</v>
      </c>
      <c r="B1987" t="s">
        <v>6825</v>
      </c>
      <c r="C1987" t="s">
        <v>6826</v>
      </c>
      <c r="D1987" t="s">
        <v>6826</v>
      </c>
      <c r="E1987" t="s">
        <v>6827</v>
      </c>
      <c r="F1987" t="s">
        <v>91</v>
      </c>
      <c r="G1987" t="s">
        <v>22</v>
      </c>
      <c r="H1987" t="s">
        <v>53</v>
      </c>
      <c r="I1987" t="s">
        <v>3006</v>
      </c>
      <c r="J1987">
        <v>2019</v>
      </c>
      <c r="K1987">
        <v>43698.521897777777</v>
      </c>
      <c r="L1987" t="s">
        <v>422</v>
      </c>
      <c r="M1987" t="s">
        <v>2777</v>
      </c>
      <c r="N1987" t="s">
        <v>2778</v>
      </c>
      <c r="O1987">
        <v>346957</v>
      </c>
      <c r="P1987">
        <v>43698.521897777777</v>
      </c>
      <c r="Q1987">
        <v>43409.827213425924</v>
      </c>
      <c r="R1987">
        <v>2026</v>
      </c>
    </row>
    <row r="1988" spans="1:18" x14ac:dyDescent="0.25">
      <c r="A1988" t="s">
        <v>6828</v>
      </c>
      <c r="B1988" t="s">
        <v>6829</v>
      </c>
      <c r="C1988" t="s">
        <v>6830</v>
      </c>
      <c r="D1988" t="s">
        <v>6830</v>
      </c>
      <c r="E1988" t="s">
        <v>6831</v>
      </c>
      <c r="F1988" t="s">
        <v>91</v>
      </c>
      <c r="G1988" t="s">
        <v>22</v>
      </c>
      <c r="H1988" t="s">
        <v>53</v>
      </c>
      <c r="I1988" t="s">
        <v>3006</v>
      </c>
      <c r="J1988">
        <v>2019</v>
      </c>
      <c r="K1988">
        <v>43698.521897777777</v>
      </c>
      <c r="L1988" t="s">
        <v>422</v>
      </c>
      <c r="M1988" t="s">
        <v>2777</v>
      </c>
      <c r="N1988" t="s">
        <v>2778</v>
      </c>
      <c r="O1988">
        <v>347050</v>
      </c>
      <c r="P1988">
        <v>43698.521897777777</v>
      </c>
      <c r="Q1988">
        <v>43409.827926273145</v>
      </c>
      <c r="R1988">
        <v>2027</v>
      </c>
    </row>
    <row r="1989" spans="1:18" x14ac:dyDescent="0.25">
      <c r="A1989" t="s">
        <v>6832</v>
      </c>
      <c r="B1989" t="s">
        <v>6833</v>
      </c>
      <c r="C1989" t="s">
        <v>6834</v>
      </c>
      <c r="D1989" t="s">
        <v>6834</v>
      </c>
      <c r="E1989" t="s">
        <v>6835</v>
      </c>
      <c r="F1989" t="s">
        <v>91</v>
      </c>
      <c r="G1989" t="s">
        <v>22</v>
      </c>
      <c r="H1989" t="s">
        <v>53</v>
      </c>
      <c r="I1989" t="s">
        <v>3006</v>
      </c>
      <c r="J1989">
        <v>2019</v>
      </c>
      <c r="K1989">
        <v>43698.521897777777</v>
      </c>
      <c r="L1989" t="s">
        <v>422</v>
      </c>
      <c r="M1989" t="s">
        <v>2777</v>
      </c>
      <c r="N1989" t="s">
        <v>1439</v>
      </c>
      <c r="O1989">
        <v>347141</v>
      </c>
      <c r="P1989">
        <v>43698.521897777777</v>
      </c>
      <c r="Q1989">
        <v>43409.828764502316</v>
      </c>
      <c r="R1989">
        <v>2028</v>
      </c>
    </row>
    <row r="1990" spans="1:18" x14ac:dyDescent="0.25">
      <c r="A1990" t="s">
        <v>6836</v>
      </c>
      <c r="B1990" t="s">
        <v>6837</v>
      </c>
      <c r="C1990" t="s">
        <v>6838</v>
      </c>
      <c r="D1990" t="s">
        <v>6838</v>
      </c>
      <c r="E1990" t="s">
        <v>6839</v>
      </c>
      <c r="F1990" t="s">
        <v>91</v>
      </c>
      <c r="G1990" t="s">
        <v>22</v>
      </c>
      <c r="H1990" t="s">
        <v>53</v>
      </c>
      <c r="I1990" t="s">
        <v>3006</v>
      </c>
      <c r="J1990">
        <v>2019</v>
      </c>
      <c r="K1990">
        <v>43698.521897777777</v>
      </c>
      <c r="L1990" t="s">
        <v>422</v>
      </c>
      <c r="M1990" t="s">
        <v>2777</v>
      </c>
      <c r="N1990" t="s">
        <v>1439</v>
      </c>
      <c r="O1990">
        <v>347020</v>
      </c>
      <c r="P1990">
        <v>43698.521897777777</v>
      </c>
      <c r="Q1990">
        <v>43409.829729131947</v>
      </c>
      <c r="R1990">
        <v>2029</v>
      </c>
    </row>
    <row r="1991" spans="1:18" x14ac:dyDescent="0.25">
      <c r="A1991" t="s">
        <v>6840</v>
      </c>
      <c r="B1991" t="s">
        <v>6841</v>
      </c>
      <c r="C1991" t="s">
        <v>6842</v>
      </c>
      <c r="D1991" t="s">
        <v>6842</v>
      </c>
      <c r="E1991" t="s">
        <v>6843</v>
      </c>
      <c r="F1991" t="s">
        <v>91</v>
      </c>
      <c r="G1991" t="s">
        <v>22</v>
      </c>
      <c r="H1991" t="s">
        <v>53</v>
      </c>
      <c r="I1991" t="s">
        <v>3006</v>
      </c>
      <c r="J1991">
        <v>2019</v>
      </c>
      <c r="K1991">
        <v>43698.521897777777</v>
      </c>
      <c r="L1991" t="s">
        <v>422</v>
      </c>
      <c r="M1991" t="s">
        <v>2777</v>
      </c>
      <c r="N1991" t="s">
        <v>415</v>
      </c>
      <c r="O1991">
        <v>346963</v>
      </c>
      <c r="P1991">
        <v>43698.521897777777</v>
      </c>
      <c r="Q1991">
        <v>43409.83041072917</v>
      </c>
      <c r="R1991">
        <v>2030</v>
      </c>
    </row>
    <row r="1992" spans="1:18" x14ac:dyDescent="0.25">
      <c r="A1992" t="s">
        <v>6844</v>
      </c>
      <c r="B1992" t="s">
        <v>6845</v>
      </c>
      <c r="C1992" t="s">
        <v>6846</v>
      </c>
      <c r="D1992" t="s">
        <v>6846</v>
      </c>
      <c r="E1992" t="s">
        <v>6847</v>
      </c>
      <c r="F1992" t="s">
        <v>91</v>
      </c>
      <c r="G1992" t="s">
        <v>22</v>
      </c>
      <c r="H1992" t="s">
        <v>53</v>
      </c>
      <c r="I1992" t="s">
        <v>3006</v>
      </c>
      <c r="J1992">
        <v>2019</v>
      </c>
      <c r="K1992">
        <v>43698.521897777777</v>
      </c>
      <c r="L1992" t="s">
        <v>2686</v>
      </c>
      <c r="M1992" t="s">
        <v>42</v>
      </c>
      <c r="N1992" t="s">
        <v>415</v>
      </c>
      <c r="O1992">
        <v>347037</v>
      </c>
      <c r="P1992">
        <v>43698.521897777777</v>
      </c>
      <c r="Q1992">
        <v>43409.831194872684</v>
      </c>
      <c r="R1992">
        <v>2031</v>
      </c>
    </row>
    <row r="1993" spans="1:18" x14ac:dyDescent="0.25">
      <c r="A1993" t="s">
        <v>6848</v>
      </c>
      <c r="B1993" t="s">
        <v>6849</v>
      </c>
      <c r="C1993" t="s">
        <v>6850</v>
      </c>
      <c r="D1993" t="s">
        <v>6850</v>
      </c>
      <c r="E1993" t="s">
        <v>6851</v>
      </c>
      <c r="F1993" t="s">
        <v>91</v>
      </c>
      <c r="G1993" t="s">
        <v>22</v>
      </c>
      <c r="H1993" t="s">
        <v>53</v>
      </c>
      <c r="I1993" t="s">
        <v>3006</v>
      </c>
      <c r="J1993">
        <v>2019</v>
      </c>
      <c r="K1993">
        <v>43698.521897777777</v>
      </c>
      <c r="L1993" t="s">
        <v>2686</v>
      </c>
      <c r="M1993" t="s">
        <v>42</v>
      </c>
      <c r="N1993" t="s">
        <v>415</v>
      </c>
      <c r="O1993">
        <v>346961</v>
      </c>
      <c r="P1993">
        <v>43698.521897777777</v>
      </c>
      <c r="Q1993">
        <v>43409.83193753472</v>
      </c>
      <c r="R1993">
        <v>2032</v>
      </c>
    </row>
    <row r="1994" spans="1:18" x14ac:dyDescent="0.25">
      <c r="A1994" t="s">
        <v>6852</v>
      </c>
      <c r="B1994" t="s">
        <v>6853</v>
      </c>
      <c r="C1994" t="s">
        <v>6854</v>
      </c>
      <c r="D1994" t="s">
        <v>6854</v>
      </c>
      <c r="E1994" t="s">
        <v>6855</v>
      </c>
      <c r="F1994" t="s">
        <v>91</v>
      </c>
      <c r="G1994" t="s">
        <v>22</v>
      </c>
      <c r="H1994" t="s">
        <v>53</v>
      </c>
      <c r="I1994" t="s">
        <v>3006</v>
      </c>
      <c r="J1994">
        <v>2019</v>
      </c>
      <c r="K1994">
        <v>43698.521897777777</v>
      </c>
      <c r="L1994" t="s">
        <v>2686</v>
      </c>
      <c r="M1994" t="s">
        <v>42</v>
      </c>
      <c r="N1994" t="s">
        <v>415</v>
      </c>
      <c r="O1994">
        <v>346970</v>
      </c>
      <c r="P1994">
        <v>43698.521897777777</v>
      </c>
      <c r="Q1994">
        <v>43409.832846527781</v>
      </c>
      <c r="R1994">
        <v>2033</v>
      </c>
    </row>
    <row r="1995" spans="1:18" x14ac:dyDescent="0.25">
      <c r="A1995" t="s">
        <v>6856</v>
      </c>
      <c r="B1995" t="s">
        <v>6857</v>
      </c>
      <c r="C1995" t="s">
        <v>6858</v>
      </c>
      <c r="D1995" t="s">
        <v>6858</v>
      </c>
      <c r="E1995" t="s">
        <v>6859</v>
      </c>
      <c r="F1995" t="s">
        <v>91</v>
      </c>
      <c r="G1995" t="s">
        <v>22</v>
      </c>
      <c r="H1995" t="s">
        <v>53</v>
      </c>
      <c r="I1995" t="s">
        <v>3006</v>
      </c>
      <c r="J1995">
        <v>2019</v>
      </c>
      <c r="K1995">
        <v>43698.521897777777</v>
      </c>
      <c r="L1995" t="s">
        <v>422</v>
      </c>
      <c r="M1995" t="s">
        <v>42</v>
      </c>
      <c r="N1995" t="s">
        <v>415</v>
      </c>
      <c r="O1995">
        <v>347032</v>
      </c>
      <c r="P1995">
        <v>43698.521897777777</v>
      </c>
      <c r="Q1995">
        <v>43409.833898530094</v>
      </c>
      <c r="R1995">
        <v>2034</v>
      </c>
    </row>
    <row r="1996" spans="1:18" x14ac:dyDescent="0.25">
      <c r="A1996" t="s">
        <v>6860</v>
      </c>
      <c r="B1996" t="s">
        <v>6861</v>
      </c>
      <c r="C1996" t="s">
        <v>6862</v>
      </c>
      <c r="D1996" t="s">
        <v>6862</v>
      </c>
      <c r="E1996" t="s">
        <v>6863</v>
      </c>
      <c r="F1996" t="s">
        <v>91</v>
      </c>
      <c r="G1996" t="s">
        <v>22</v>
      </c>
      <c r="H1996" t="s">
        <v>53</v>
      </c>
      <c r="I1996" t="s">
        <v>3006</v>
      </c>
      <c r="J1996">
        <v>2019</v>
      </c>
      <c r="K1996">
        <v>43698.521897777777</v>
      </c>
      <c r="L1996" t="s">
        <v>578</v>
      </c>
      <c r="M1996" t="s">
        <v>42</v>
      </c>
      <c r="N1996" t="s">
        <v>415</v>
      </c>
      <c r="O1996">
        <v>346962</v>
      </c>
      <c r="P1996">
        <v>43698.521897777777</v>
      </c>
      <c r="Q1996">
        <v>43409.834525312501</v>
      </c>
      <c r="R1996">
        <v>2035</v>
      </c>
    </row>
    <row r="1997" spans="1:18" x14ac:dyDescent="0.25">
      <c r="A1997" t="s">
        <v>6864</v>
      </c>
      <c r="B1997" t="s">
        <v>6865</v>
      </c>
      <c r="C1997" t="s">
        <v>6866</v>
      </c>
      <c r="D1997" t="s">
        <v>6866</v>
      </c>
      <c r="E1997" t="s">
        <v>6867</v>
      </c>
      <c r="F1997" t="s">
        <v>91</v>
      </c>
      <c r="G1997" t="s">
        <v>22</v>
      </c>
      <c r="H1997" t="s">
        <v>53</v>
      </c>
      <c r="I1997" t="s">
        <v>3006</v>
      </c>
      <c r="J1997">
        <v>2019</v>
      </c>
      <c r="K1997">
        <v>43698.521897777777</v>
      </c>
      <c r="L1997" t="s">
        <v>2686</v>
      </c>
      <c r="M1997" t="s">
        <v>42</v>
      </c>
      <c r="N1997" t="s">
        <v>415</v>
      </c>
      <c r="O1997">
        <v>341514</v>
      </c>
      <c r="P1997">
        <v>43686.138888888891</v>
      </c>
      <c r="Q1997">
        <v>43409.835485300922</v>
      </c>
      <c r="R1997">
        <v>2036</v>
      </c>
    </row>
    <row r="1998" spans="1:18" x14ac:dyDescent="0.25">
      <c r="A1998" t="s">
        <v>6868</v>
      </c>
      <c r="B1998" t="s">
        <v>6869</v>
      </c>
      <c r="C1998" t="s">
        <v>6870</v>
      </c>
      <c r="D1998" t="s">
        <v>6870</v>
      </c>
      <c r="E1998" t="s">
        <v>6871</v>
      </c>
      <c r="F1998" t="s">
        <v>91</v>
      </c>
      <c r="G1998" t="s">
        <v>22</v>
      </c>
      <c r="H1998" t="s">
        <v>53</v>
      </c>
      <c r="I1998" t="s">
        <v>3006</v>
      </c>
      <c r="J1998">
        <v>2019</v>
      </c>
      <c r="K1998">
        <v>43698.521897777777</v>
      </c>
      <c r="L1998" t="s">
        <v>578</v>
      </c>
      <c r="M1998" t="s">
        <v>42</v>
      </c>
      <c r="N1998" t="s">
        <v>415</v>
      </c>
      <c r="O1998">
        <v>335211</v>
      </c>
      <c r="P1998">
        <v>43670.745833333334</v>
      </c>
      <c r="Q1998">
        <v>43409.836181250001</v>
      </c>
      <c r="R1998">
        <v>2037</v>
      </c>
    </row>
    <row r="1999" spans="1:18" x14ac:dyDescent="0.25">
      <c r="A1999" t="s">
        <v>6872</v>
      </c>
      <c r="B1999" t="s">
        <v>6873</v>
      </c>
      <c r="C1999" t="s">
        <v>6874</v>
      </c>
      <c r="D1999" t="s">
        <v>6874</v>
      </c>
      <c r="E1999" t="s">
        <v>6875</v>
      </c>
      <c r="F1999" t="s">
        <v>91</v>
      </c>
      <c r="G1999" t="s">
        <v>22</v>
      </c>
      <c r="H1999" t="s">
        <v>53</v>
      </c>
      <c r="I1999" t="s">
        <v>3006</v>
      </c>
      <c r="J1999">
        <v>2019</v>
      </c>
      <c r="K1999">
        <v>43698.521897777777</v>
      </c>
      <c r="L1999" t="s">
        <v>578</v>
      </c>
      <c r="M1999" t="s">
        <v>42</v>
      </c>
      <c r="N1999" t="s">
        <v>415</v>
      </c>
      <c r="O1999">
        <v>346922</v>
      </c>
      <c r="P1999">
        <v>43698.521897777777</v>
      </c>
      <c r="Q1999">
        <v>43409.836880324074</v>
      </c>
      <c r="R1999">
        <v>2038</v>
      </c>
    </row>
    <row r="2000" spans="1:18" x14ac:dyDescent="0.25">
      <c r="A2000" t="s">
        <v>6876</v>
      </c>
      <c r="B2000" t="s">
        <v>6877</v>
      </c>
      <c r="C2000" t="s">
        <v>6878</v>
      </c>
      <c r="D2000" t="s">
        <v>6878</v>
      </c>
      <c r="E2000" t="s">
        <v>6879</v>
      </c>
      <c r="F2000" t="s">
        <v>91</v>
      </c>
      <c r="G2000" t="s">
        <v>22</v>
      </c>
      <c r="H2000" t="s">
        <v>53</v>
      </c>
      <c r="I2000" t="s">
        <v>3006</v>
      </c>
      <c r="J2000">
        <v>2019</v>
      </c>
      <c r="K2000">
        <v>43698.521897777777</v>
      </c>
      <c r="L2000" t="s">
        <v>2686</v>
      </c>
      <c r="M2000" t="s">
        <v>42</v>
      </c>
      <c r="N2000" t="s">
        <v>415</v>
      </c>
      <c r="O2000">
        <v>346950</v>
      </c>
      <c r="P2000">
        <v>43698.521897777777</v>
      </c>
      <c r="Q2000">
        <v>43409.837780555557</v>
      </c>
      <c r="R2000">
        <v>2039</v>
      </c>
    </row>
    <row r="2001" spans="1:18" x14ac:dyDescent="0.25">
      <c r="A2001" t="s">
        <v>6880</v>
      </c>
      <c r="B2001" t="s">
        <v>6881</v>
      </c>
      <c r="C2001" t="s">
        <v>6882</v>
      </c>
      <c r="D2001" t="s">
        <v>6882</v>
      </c>
      <c r="E2001" t="s">
        <v>6883</v>
      </c>
      <c r="F2001" t="s">
        <v>91</v>
      </c>
      <c r="G2001" t="s">
        <v>22</v>
      </c>
      <c r="H2001" t="s">
        <v>53</v>
      </c>
      <c r="I2001" t="s">
        <v>3006</v>
      </c>
      <c r="J2001">
        <v>2019</v>
      </c>
      <c r="K2001">
        <v>43698.521897777777</v>
      </c>
      <c r="L2001" t="s">
        <v>578</v>
      </c>
      <c r="M2001" t="s">
        <v>42</v>
      </c>
      <c r="N2001" t="s">
        <v>415</v>
      </c>
      <c r="O2001">
        <v>346841</v>
      </c>
      <c r="P2001">
        <v>43698.521897777777</v>
      </c>
      <c r="Q2001">
        <v>43409.838535034723</v>
      </c>
      <c r="R2001">
        <v>2040</v>
      </c>
    </row>
    <row r="2002" spans="1:18" x14ac:dyDescent="0.25">
      <c r="A2002" t="s">
        <v>6884</v>
      </c>
      <c r="B2002" t="s">
        <v>6885</v>
      </c>
      <c r="C2002" t="s">
        <v>6886</v>
      </c>
      <c r="D2002" t="s">
        <v>6886</v>
      </c>
      <c r="E2002" t="s">
        <v>6887</v>
      </c>
      <c r="F2002" t="s">
        <v>91</v>
      </c>
      <c r="G2002" t="s">
        <v>22</v>
      </c>
      <c r="H2002" t="s">
        <v>53</v>
      </c>
      <c r="I2002" t="s">
        <v>3006</v>
      </c>
      <c r="J2002">
        <v>2019</v>
      </c>
      <c r="K2002">
        <v>43698.521897777777</v>
      </c>
      <c r="L2002" t="s">
        <v>2686</v>
      </c>
      <c r="M2002" t="s">
        <v>42</v>
      </c>
      <c r="N2002" t="s">
        <v>415</v>
      </c>
      <c r="O2002">
        <v>346925</v>
      </c>
      <c r="P2002">
        <v>43698.521897777777</v>
      </c>
      <c r="Q2002">
        <v>43409.839301423614</v>
      </c>
      <c r="R2002">
        <v>2041</v>
      </c>
    </row>
    <row r="2003" spans="1:18" x14ac:dyDescent="0.25">
      <c r="A2003" t="s">
        <v>6888</v>
      </c>
      <c r="B2003" t="s">
        <v>6889</v>
      </c>
      <c r="C2003" t="s">
        <v>6890</v>
      </c>
      <c r="D2003" t="s">
        <v>6890</v>
      </c>
      <c r="E2003" t="s">
        <v>6891</v>
      </c>
      <c r="F2003" t="s">
        <v>91</v>
      </c>
      <c r="G2003" t="s">
        <v>22</v>
      </c>
      <c r="H2003" t="s">
        <v>53</v>
      </c>
      <c r="I2003" t="s">
        <v>3006</v>
      </c>
      <c r="J2003">
        <v>2019</v>
      </c>
      <c r="K2003">
        <v>43698.521897777777</v>
      </c>
      <c r="L2003" t="s">
        <v>1640</v>
      </c>
      <c r="M2003" t="s">
        <v>42</v>
      </c>
      <c r="N2003" t="s">
        <v>415</v>
      </c>
      <c r="O2003">
        <v>347076</v>
      </c>
      <c r="P2003">
        <v>43698.521897777777</v>
      </c>
      <c r="Q2003">
        <v>43409.839943252315</v>
      </c>
      <c r="R2003">
        <v>2042</v>
      </c>
    </row>
    <row r="2004" spans="1:18" x14ac:dyDescent="0.25">
      <c r="A2004" t="s">
        <v>6892</v>
      </c>
      <c r="B2004" t="s">
        <v>6893</v>
      </c>
      <c r="C2004" t="s">
        <v>6894</v>
      </c>
      <c r="D2004" t="s">
        <v>6894</v>
      </c>
      <c r="E2004" t="s">
        <v>6895</v>
      </c>
      <c r="F2004" t="s">
        <v>91</v>
      </c>
      <c r="G2004" t="s">
        <v>22</v>
      </c>
      <c r="H2004" t="s">
        <v>53</v>
      </c>
      <c r="I2004" t="s">
        <v>3006</v>
      </c>
      <c r="J2004">
        <v>2019</v>
      </c>
      <c r="K2004">
        <v>43698.521897777777</v>
      </c>
      <c r="L2004" t="s">
        <v>422</v>
      </c>
      <c r="M2004" t="s">
        <v>42</v>
      </c>
      <c r="N2004" t="s">
        <v>415</v>
      </c>
      <c r="O2004">
        <v>346902</v>
      </c>
      <c r="P2004">
        <v>43698.521897777777</v>
      </c>
      <c r="Q2004">
        <v>43409.841254317129</v>
      </c>
      <c r="R2004">
        <v>2043</v>
      </c>
    </row>
    <row r="2005" spans="1:18" x14ac:dyDescent="0.25">
      <c r="A2005" t="s">
        <v>6896</v>
      </c>
      <c r="B2005" t="s">
        <v>6897</v>
      </c>
      <c r="C2005" t="s">
        <v>6898</v>
      </c>
      <c r="D2005" t="s">
        <v>6898</v>
      </c>
      <c r="E2005" t="s">
        <v>6899</v>
      </c>
      <c r="F2005" t="s">
        <v>91</v>
      </c>
      <c r="G2005" t="s">
        <v>22</v>
      </c>
      <c r="H2005" t="s">
        <v>53</v>
      </c>
      <c r="I2005" t="s">
        <v>3006</v>
      </c>
      <c r="J2005">
        <v>2019</v>
      </c>
      <c r="K2005">
        <v>43698.521897777777</v>
      </c>
      <c r="L2005" t="s">
        <v>578</v>
      </c>
      <c r="M2005" t="s">
        <v>42</v>
      </c>
      <c r="N2005" t="s">
        <v>415</v>
      </c>
      <c r="O2005">
        <v>346816</v>
      </c>
      <c r="P2005">
        <v>43698.521897777777</v>
      </c>
      <c r="Q2005">
        <v>43409.841944826388</v>
      </c>
      <c r="R2005">
        <v>2044</v>
      </c>
    </row>
    <row r="2006" spans="1:18" x14ac:dyDescent="0.25">
      <c r="A2006" t="s">
        <v>6900</v>
      </c>
      <c r="B2006" t="s">
        <v>6901</v>
      </c>
      <c r="C2006" t="s">
        <v>6902</v>
      </c>
      <c r="D2006" t="s">
        <v>6902</v>
      </c>
      <c r="E2006" t="s">
        <v>6903</v>
      </c>
      <c r="F2006" t="s">
        <v>91</v>
      </c>
      <c r="G2006" t="s">
        <v>22</v>
      </c>
      <c r="H2006" t="s">
        <v>53</v>
      </c>
      <c r="I2006" t="s">
        <v>3006</v>
      </c>
      <c r="J2006">
        <v>2019</v>
      </c>
      <c r="K2006">
        <v>43698.521897777777</v>
      </c>
      <c r="L2006" t="s">
        <v>422</v>
      </c>
      <c r="M2006" t="s">
        <v>42</v>
      </c>
      <c r="N2006" t="s">
        <v>415</v>
      </c>
      <c r="O2006">
        <v>347030</v>
      </c>
      <c r="P2006">
        <v>43698.521897777777</v>
      </c>
      <c r="Q2006">
        <v>43409.842758067127</v>
      </c>
      <c r="R2006">
        <v>2045</v>
      </c>
    </row>
    <row r="2007" spans="1:18" x14ac:dyDescent="0.25">
      <c r="A2007" t="s">
        <v>6904</v>
      </c>
      <c r="B2007" t="s">
        <v>6905</v>
      </c>
      <c r="C2007" t="s">
        <v>6906</v>
      </c>
      <c r="D2007" t="s">
        <v>6906</v>
      </c>
      <c r="E2007" t="s">
        <v>6907</v>
      </c>
      <c r="F2007" t="s">
        <v>91</v>
      </c>
      <c r="G2007" t="s">
        <v>22</v>
      </c>
      <c r="H2007" t="s">
        <v>53</v>
      </c>
      <c r="I2007" t="s">
        <v>3006</v>
      </c>
      <c r="J2007">
        <v>2019</v>
      </c>
      <c r="K2007">
        <v>43698.521897777777</v>
      </c>
      <c r="L2007" t="s">
        <v>578</v>
      </c>
      <c r="M2007" t="s">
        <v>42</v>
      </c>
      <c r="N2007" t="s">
        <v>415</v>
      </c>
      <c r="O2007">
        <v>346851</v>
      </c>
      <c r="P2007">
        <v>43698.521897777777</v>
      </c>
      <c r="Q2007">
        <v>43409.84344837963</v>
      </c>
      <c r="R2007">
        <v>2046</v>
      </c>
    </row>
    <row r="2008" spans="1:18" x14ac:dyDescent="0.25">
      <c r="A2008" t="s">
        <v>6908</v>
      </c>
      <c r="B2008" t="s">
        <v>6909</v>
      </c>
      <c r="C2008" t="s">
        <v>6910</v>
      </c>
      <c r="D2008" t="s">
        <v>6910</v>
      </c>
      <c r="E2008" t="s">
        <v>6911</v>
      </c>
      <c r="F2008" t="s">
        <v>91</v>
      </c>
      <c r="G2008" t="s">
        <v>22</v>
      </c>
      <c r="H2008" t="s">
        <v>53</v>
      </c>
      <c r="I2008" t="s">
        <v>3006</v>
      </c>
      <c r="J2008">
        <v>2019</v>
      </c>
      <c r="K2008">
        <v>43698.521897777777</v>
      </c>
      <c r="L2008" t="s">
        <v>422</v>
      </c>
      <c r="M2008" t="s">
        <v>42</v>
      </c>
      <c r="N2008" t="s">
        <v>415</v>
      </c>
      <c r="O2008">
        <v>346875</v>
      </c>
      <c r="P2008">
        <v>43698.267928240741</v>
      </c>
      <c r="Q2008">
        <v>43409.844334259258</v>
      </c>
      <c r="R2008">
        <v>2047</v>
      </c>
    </row>
    <row r="2009" spans="1:18" x14ac:dyDescent="0.25">
      <c r="A2009" t="s">
        <v>6912</v>
      </c>
      <c r="B2009" t="s">
        <v>6913</v>
      </c>
      <c r="C2009" t="s">
        <v>6914</v>
      </c>
      <c r="D2009" t="s">
        <v>6914</v>
      </c>
      <c r="E2009" t="s">
        <v>6915</v>
      </c>
      <c r="F2009" t="s">
        <v>91</v>
      </c>
      <c r="G2009" t="s">
        <v>22</v>
      </c>
      <c r="H2009" t="s">
        <v>53</v>
      </c>
      <c r="I2009" t="s">
        <v>3006</v>
      </c>
      <c r="J2009">
        <v>2019</v>
      </c>
      <c r="K2009">
        <v>43698.521897777777</v>
      </c>
      <c r="L2009" t="s">
        <v>578</v>
      </c>
      <c r="M2009" t="s">
        <v>42</v>
      </c>
      <c r="N2009" t="s">
        <v>415</v>
      </c>
      <c r="O2009">
        <v>344922</v>
      </c>
      <c r="P2009">
        <v>43693.854120370372</v>
      </c>
      <c r="Q2009">
        <v>43409.845103969907</v>
      </c>
      <c r="R2009">
        <v>2048</v>
      </c>
    </row>
    <row r="2010" spans="1:18" x14ac:dyDescent="0.25">
      <c r="A2010" t="s">
        <v>6916</v>
      </c>
      <c r="B2010" t="s">
        <v>6917</v>
      </c>
      <c r="C2010" t="s">
        <v>6918</v>
      </c>
      <c r="D2010" t="s">
        <v>6918</v>
      </c>
      <c r="E2010" t="s">
        <v>6919</v>
      </c>
      <c r="F2010" t="s">
        <v>91</v>
      </c>
      <c r="G2010" t="s">
        <v>22</v>
      </c>
      <c r="H2010" t="s">
        <v>53</v>
      </c>
      <c r="I2010" t="s">
        <v>3006</v>
      </c>
      <c r="J2010">
        <v>2019</v>
      </c>
      <c r="K2010">
        <v>43698.521897777777</v>
      </c>
      <c r="L2010" t="s">
        <v>422</v>
      </c>
      <c r="M2010" t="s">
        <v>42</v>
      </c>
      <c r="N2010" t="s">
        <v>415</v>
      </c>
      <c r="O2010">
        <v>325448</v>
      </c>
      <c r="P2010">
        <v>43644.486111111109</v>
      </c>
      <c r="Q2010">
        <v>43409.845874421299</v>
      </c>
      <c r="R2010">
        <v>2049</v>
      </c>
    </row>
    <row r="2011" spans="1:18" x14ac:dyDescent="0.25">
      <c r="A2011" t="s">
        <v>6920</v>
      </c>
      <c r="B2011" t="s">
        <v>6921</v>
      </c>
      <c r="C2011" t="s">
        <v>6922</v>
      </c>
      <c r="D2011" t="s">
        <v>6922</v>
      </c>
      <c r="E2011" t="s">
        <v>6923</v>
      </c>
      <c r="F2011" t="s">
        <v>91</v>
      </c>
      <c r="G2011" t="s">
        <v>22</v>
      </c>
      <c r="H2011" t="s">
        <v>53</v>
      </c>
      <c r="I2011" t="s">
        <v>3006</v>
      </c>
      <c r="J2011">
        <v>2019</v>
      </c>
      <c r="K2011">
        <v>43698.521897777777</v>
      </c>
      <c r="L2011" t="s">
        <v>422</v>
      </c>
      <c r="M2011" t="s">
        <v>42</v>
      </c>
      <c r="N2011" t="s">
        <v>415</v>
      </c>
      <c r="O2011">
        <v>333540</v>
      </c>
      <c r="P2011">
        <v>43666.15625</v>
      </c>
      <c r="Q2011">
        <v>43409.846599618053</v>
      </c>
      <c r="R2011">
        <v>2050</v>
      </c>
    </row>
    <row r="2012" spans="1:18" x14ac:dyDescent="0.25">
      <c r="A2012" t="s">
        <v>6924</v>
      </c>
      <c r="B2012" t="s">
        <v>6925</v>
      </c>
      <c r="C2012" t="s">
        <v>6926</v>
      </c>
      <c r="D2012" t="s">
        <v>6926</v>
      </c>
      <c r="E2012" t="s">
        <v>6927</v>
      </c>
      <c r="F2012" t="s">
        <v>91</v>
      </c>
      <c r="G2012" t="s">
        <v>22</v>
      </c>
      <c r="H2012" t="s">
        <v>53</v>
      </c>
      <c r="I2012" t="s">
        <v>3006</v>
      </c>
      <c r="J2012">
        <v>2019</v>
      </c>
      <c r="K2012">
        <v>43698.521897777777</v>
      </c>
      <c r="L2012" t="s">
        <v>578</v>
      </c>
      <c r="M2012" t="s">
        <v>42</v>
      </c>
      <c r="N2012" t="s">
        <v>415</v>
      </c>
      <c r="O2012">
        <v>344866</v>
      </c>
      <c r="P2012">
        <v>43693.76122685185</v>
      </c>
      <c r="Q2012">
        <v>43409.847397337966</v>
      </c>
      <c r="R2012">
        <v>2051</v>
      </c>
    </row>
    <row r="2013" spans="1:18" x14ac:dyDescent="0.25">
      <c r="A2013" t="s">
        <v>6928</v>
      </c>
      <c r="B2013" t="s">
        <v>6929</v>
      </c>
      <c r="C2013" t="s">
        <v>6930</v>
      </c>
      <c r="D2013" t="s">
        <v>6930</v>
      </c>
      <c r="E2013" t="s">
        <v>6931</v>
      </c>
      <c r="F2013" t="s">
        <v>91</v>
      </c>
      <c r="G2013" t="s">
        <v>22</v>
      </c>
      <c r="H2013" t="s">
        <v>53</v>
      </c>
      <c r="I2013" t="s">
        <v>3006</v>
      </c>
      <c r="J2013">
        <v>2019</v>
      </c>
      <c r="K2013">
        <v>43698.521897777777</v>
      </c>
      <c r="L2013" t="s">
        <v>422</v>
      </c>
      <c r="M2013" t="s">
        <v>42</v>
      </c>
      <c r="N2013" t="s">
        <v>415</v>
      </c>
      <c r="O2013">
        <v>346990</v>
      </c>
      <c r="P2013">
        <v>43698.521897777777</v>
      </c>
      <c r="Q2013">
        <v>43409.847981331019</v>
      </c>
      <c r="R2013">
        <v>2052</v>
      </c>
    </row>
    <row r="2014" spans="1:18" x14ac:dyDescent="0.25">
      <c r="A2014" t="s">
        <v>6932</v>
      </c>
      <c r="B2014" t="s">
        <v>6933</v>
      </c>
      <c r="C2014" t="s">
        <v>6934</v>
      </c>
      <c r="D2014" t="s">
        <v>6934</v>
      </c>
      <c r="E2014" t="s">
        <v>6935</v>
      </c>
      <c r="F2014" t="s">
        <v>91</v>
      </c>
      <c r="G2014" t="s">
        <v>22</v>
      </c>
      <c r="H2014" t="s">
        <v>53</v>
      </c>
      <c r="I2014" t="s">
        <v>3006</v>
      </c>
      <c r="J2014">
        <v>2019</v>
      </c>
      <c r="K2014">
        <v>43698.521897777777</v>
      </c>
      <c r="L2014" t="s">
        <v>422</v>
      </c>
      <c r="M2014" t="s">
        <v>42</v>
      </c>
      <c r="N2014" t="s">
        <v>415</v>
      </c>
      <c r="O2014">
        <v>340762</v>
      </c>
      <c r="P2014">
        <v>43684.083333333336</v>
      </c>
      <c r="Q2014">
        <v>43409.84895146991</v>
      </c>
      <c r="R2014">
        <v>2053</v>
      </c>
    </row>
    <row r="2015" spans="1:18" x14ac:dyDescent="0.25">
      <c r="A2015" t="s">
        <v>6936</v>
      </c>
      <c r="B2015" t="s">
        <v>6937</v>
      </c>
      <c r="C2015" t="s">
        <v>6938</v>
      </c>
      <c r="D2015" t="s">
        <v>6938</v>
      </c>
      <c r="E2015" t="s">
        <v>6939</v>
      </c>
      <c r="F2015" t="s">
        <v>91</v>
      </c>
      <c r="G2015" t="s">
        <v>22</v>
      </c>
      <c r="H2015" t="s">
        <v>53</v>
      </c>
      <c r="I2015" t="s">
        <v>3006</v>
      </c>
      <c r="J2015">
        <v>2019</v>
      </c>
      <c r="K2015">
        <v>43698.521897777777</v>
      </c>
      <c r="L2015" t="s">
        <v>422</v>
      </c>
      <c r="M2015" t="s">
        <v>42</v>
      </c>
      <c r="N2015" t="s">
        <v>415</v>
      </c>
      <c r="O2015">
        <v>346661</v>
      </c>
      <c r="P2015">
        <v>43697.947916666664</v>
      </c>
      <c r="Q2015">
        <v>43409.849927430558</v>
      </c>
      <c r="R2015">
        <v>2054</v>
      </c>
    </row>
    <row r="2016" spans="1:18" x14ac:dyDescent="0.25">
      <c r="A2016" t="s">
        <v>6940</v>
      </c>
      <c r="B2016" t="s">
        <v>6941</v>
      </c>
      <c r="C2016" t="s">
        <v>6942</v>
      </c>
      <c r="D2016" t="s">
        <v>6942</v>
      </c>
      <c r="E2016" t="s">
        <v>6943</v>
      </c>
      <c r="F2016" t="s">
        <v>91</v>
      </c>
      <c r="G2016" t="s">
        <v>22</v>
      </c>
      <c r="H2016" t="s">
        <v>53</v>
      </c>
      <c r="I2016" t="s">
        <v>3006</v>
      </c>
      <c r="J2016">
        <v>2019</v>
      </c>
      <c r="K2016">
        <v>43698.521897777777</v>
      </c>
      <c r="L2016" t="s">
        <v>422</v>
      </c>
      <c r="M2016" t="s">
        <v>42</v>
      </c>
      <c r="N2016" t="s">
        <v>415</v>
      </c>
      <c r="O2016">
        <v>346811</v>
      </c>
      <c r="P2016">
        <v>43698.424305555556</v>
      </c>
      <c r="Q2016">
        <v>43409.850536921294</v>
      </c>
      <c r="R2016">
        <v>2055</v>
      </c>
    </row>
    <row r="2017" spans="1:18" x14ac:dyDescent="0.25">
      <c r="A2017" t="s">
        <v>6944</v>
      </c>
      <c r="B2017" t="s">
        <v>6945</v>
      </c>
      <c r="C2017" t="s">
        <v>6946</v>
      </c>
      <c r="D2017" t="s">
        <v>6946</v>
      </c>
      <c r="E2017" t="s">
        <v>6946</v>
      </c>
      <c r="F2017" t="s">
        <v>91</v>
      </c>
      <c r="G2017" t="s">
        <v>63</v>
      </c>
      <c r="H2017" t="s">
        <v>34</v>
      </c>
      <c r="I2017" t="s">
        <v>703</v>
      </c>
      <c r="J2017">
        <v>2006</v>
      </c>
      <c r="K2017">
        <v>43698.521897777777</v>
      </c>
      <c r="L2017" t="s">
        <v>422</v>
      </c>
      <c r="M2017" t="s">
        <v>2777</v>
      </c>
      <c r="N2017" t="s">
        <v>415</v>
      </c>
      <c r="O2017">
        <v>346992</v>
      </c>
      <c r="P2017">
        <v>43698.521897777777</v>
      </c>
      <c r="Q2017">
        <v>43412.463425312497</v>
      </c>
      <c r="R2017">
        <v>2056</v>
      </c>
    </row>
    <row r="2018" spans="1:18" x14ac:dyDescent="0.25">
      <c r="A2018" t="s">
        <v>6947</v>
      </c>
      <c r="B2018" t="s">
        <v>6948</v>
      </c>
      <c r="C2018" t="s">
        <v>6949</v>
      </c>
      <c r="D2018" t="s">
        <v>6949</v>
      </c>
      <c r="E2018" t="s">
        <v>6949</v>
      </c>
      <c r="F2018" t="s">
        <v>21</v>
      </c>
      <c r="G2018" t="s">
        <v>63</v>
      </c>
      <c r="H2018" t="s">
        <v>53</v>
      </c>
      <c r="I2018" t="s">
        <v>54</v>
      </c>
      <c r="J2018">
        <v>2004</v>
      </c>
      <c r="K2018">
        <v>43698.521897777777</v>
      </c>
      <c r="L2018" t="s">
        <v>422</v>
      </c>
      <c r="M2018" t="s">
        <v>2777</v>
      </c>
      <c r="N2018" t="s">
        <v>27</v>
      </c>
      <c r="O2018">
        <v>279420</v>
      </c>
      <c r="P2018">
        <v>43530.083333333336</v>
      </c>
      <c r="Q2018">
        <v>43413.543347569444</v>
      </c>
      <c r="R2018">
        <v>2057</v>
      </c>
    </row>
    <row r="2019" spans="1:18" x14ac:dyDescent="0.25">
      <c r="A2019" t="s">
        <v>25</v>
      </c>
      <c r="B2019" t="s">
        <v>25</v>
      </c>
      <c r="C2019" t="s">
        <v>6950</v>
      </c>
      <c r="D2019" t="s">
        <v>6950</v>
      </c>
      <c r="E2019" t="s">
        <v>6951</v>
      </c>
      <c r="F2019" t="s">
        <v>21</v>
      </c>
      <c r="G2019" t="s">
        <v>63</v>
      </c>
      <c r="H2019" t="s">
        <v>25</v>
      </c>
      <c r="I2019" t="s">
        <v>25</v>
      </c>
      <c r="K2019">
        <v>43698.521897777777</v>
      </c>
      <c r="L2019" t="s">
        <v>25</v>
      </c>
      <c r="M2019" t="s">
        <v>42</v>
      </c>
      <c r="N2019" t="s">
        <v>27</v>
      </c>
      <c r="Q2019">
        <v>43414.587340081016</v>
      </c>
      <c r="R2019">
        <v>2058</v>
      </c>
    </row>
    <row r="2020" spans="1:18" x14ac:dyDescent="0.25">
      <c r="A2020" t="s">
        <v>6952</v>
      </c>
      <c r="B2020" t="s">
        <v>6953</v>
      </c>
      <c r="C2020" t="s">
        <v>6954</v>
      </c>
      <c r="D2020" t="s">
        <v>6954</v>
      </c>
      <c r="E2020" t="s">
        <v>6954</v>
      </c>
      <c r="F2020" t="s">
        <v>21</v>
      </c>
      <c r="G2020" t="s">
        <v>63</v>
      </c>
      <c r="H2020" t="s">
        <v>53</v>
      </c>
      <c r="I2020" t="s">
        <v>471</v>
      </c>
      <c r="J2020">
        <v>2014</v>
      </c>
      <c r="K2020">
        <v>43698.521897777777</v>
      </c>
      <c r="L2020" t="s">
        <v>466</v>
      </c>
      <c r="M2020" t="s">
        <v>154</v>
      </c>
      <c r="N2020" t="s">
        <v>1305</v>
      </c>
      <c r="O2020">
        <v>309045</v>
      </c>
      <c r="P2020">
        <v>43606.788194444445</v>
      </c>
      <c r="Q2020">
        <v>43416.530806168979</v>
      </c>
      <c r="R2020">
        <v>2059</v>
      </c>
    </row>
    <row r="2021" spans="1:18" x14ac:dyDescent="0.25">
      <c r="A2021" t="s">
        <v>6955</v>
      </c>
      <c r="B2021" t="s">
        <v>6956</v>
      </c>
      <c r="C2021" t="s">
        <v>6957</v>
      </c>
      <c r="D2021" t="s">
        <v>6957</v>
      </c>
      <c r="E2021" t="s">
        <v>6957</v>
      </c>
      <c r="F2021" t="s">
        <v>21</v>
      </c>
      <c r="G2021" t="s">
        <v>63</v>
      </c>
      <c r="H2021" t="s">
        <v>34</v>
      </c>
      <c r="I2021" t="s">
        <v>35</v>
      </c>
      <c r="J2021">
        <v>2014</v>
      </c>
      <c r="K2021">
        <v>43698.521897777777</v>
      </c>
      <c r="L2021" t="s">
        <v>193</v>
      </c>
      <c r="M2021" t="s">
        <v>1941</v>
      </c>
      <c r="N2021" t="s">
        <v>415</v>
      </c>
      <c r="O2021">
        <v>271772</v>
      </c>
      <c r="P2021">
        <v>43510.256944444445</v>
      </c>
      <c r="Q2021">
        <v>43417.690777465279</v>
      </c>
      <c r="R2021">
        <v>2060</v>
      </c>
    </row>
    <row r="2022" spans="1:18" x14ac:dyDescent="0.25">
      <c r="A2022" t="s">
        <v>6958</v>
      </c>
      <c r="B2022" t="s">
        <v>6959</v>
      </c>
      <c r="C2022" t="s">
        <v>6960</v>
      </c>
      <c r="D2022" t="s">
        <v>6960</v>
      </c>
      <c r="E2022" t="s">
        <v>6960</v>
      </c>
      <c r="F2022" t="s">
        <v>91</v>
      </c>
      <c r="G2022" t="s">
        <v>63</v>
      </c>
      <c r="H2022" t="s">
        <v>34</v>
      </c>
      <c r="I2022" t="s">
        <v>703</v>
      </c>
      <c r="J2022">
        <v>2006</v>
      </c>
      <c r="K2022">
        <v>43698.521897777777</v>
      </c>
      <c r="L2022" t="s">
        <v>422</v>
      </c>
      <c r="M2022" t="s">
        <v>2777</v>
      </c>
      <c r="N2022" t="s">
        <v>415</v>
      </c>
      <c r="O2022">
        <v>346794</v>
      </c>
      <c r="P2022">
        <v>43698.270833333336</v>
      </c>
      <c r="Q2022">
        <v>43419.488798148152</v>
      </c>
      <c r="R2022">
        <v>2061</v>
      </c>
    </row>
    <row r="2023" spans="1:18" x14ac:dyDescent="0.25">
      <c r="A2023" t="s">
        <v>6961</v>
      </c>
      <c r="B2023" t="s">
        <v>6962</v>
      </c>
      <c r="C2023" t="s">
        <v>6963</v>
      </c>
      <c r="D2023" t="s">
        <v>6963</v>
      </c>
      <c r="E2023" t="s">
        <v>6963</v>
      </c>
      <c r="F2023" t="s">
        <v>21</v>
      </c>
      <c r="G2023" t="s">
        <v>63</v>
      </c>
      <c r="H2023" t="s">
        <v>34</v>
      </c>
      <c r="I2023" t="s">
        <v>703</v>
      </c>
      <c r="J2023">
        <v>2004</v>
      </c>
      <c r="K2023">
        <v>43698.521897777777</v>
      </c>
      <c r="L2023" t="s">
        <v>422</v>
      </c>
      <c r="M2023" t="s">
        <v>2777</v>
      </c>
      <c r="N2023" t="s">
        <v>27</v>
      </c>
      <c r="O2023">
        <v>272608</v>
      </c>
      <c r="P2023">
        <v>43511.927083333336</v>
      </c>
      <c r="Q2023">
        <v>43419.489539004629</v>
      </c>
      <c r="R2023">
        <v>2062</v>
      </c>
    </row>
    <row r="2024" spans="1:18" x14ac:dyDescent="0.25">
      <c r="A2024" t="s">
        <v>6964</v>
      </c>
      <c r="B2024" t="s">
        <v>6965</v>
      </c>
      <c r="C2024" t="s">
        <v>6966</v>
      </c>
      <c r="D2024" t="s">
        <v>6966</v>
      </c>
      <c r="E2024" t="s">
        <v>6966</v>
      </c>
      <c r="F2024" t="s">
        <v>21</v>
      </c>
      <c r="G2024" t="s">
        <v>63</v>
      </c>
      <c r="H2024" t="s">
        <v>53</v>
      </c>
      <c r="I2024" t="s">
        <v>471</v>
      </c>
      <c r="J2024">
        <v>2015</v>
      </c>
      <c r="K2024">
        <v>43698.521897777777</v>
      </c>
      <c r="L2024" t="s">
        <v>25</v>
      </c>
      <c r="M2024" t="s">
        <v>2777</v>
      </c>
      <c r="N2024" t="s">
        <v>27</v>
      </c>
      <c r="O2024">
        <v>252583</v>
      </c>
      <c r="P2024">
        <v>43448.930555555555</v>
      </c>
      <c r="Q2024">
        <v>43419.490615162038</v>
      </c>
      <c r="R2024">
        <v>2063</v>
      </c>
    </row>
    <row r="2025" spans="1:18" x14ac:dyDescent="0.25">
      <c r="A2025" t="s">
        <v>6967</v>
      </c>
      <c r="B2025" t="s">
        <v>6968</v>
      </c>
      <c r="C2025" t="s">
        <v>6969</v>
      </c>
      <c r="D2025" t="s">
        <v>6969</v>
      </c>
      <c r="E2025" t="s">
        <v>6969</v>
      </c>
      <c r="F2025" t="s">
        <v>21</v>
      </c>
      <c r="G2025" t="s">
        <v>63</v>
      </c>
      <c r="H2025" t="s">
        <v>53</v>
      </c>
      <c r="I2025" t="s">
        <v>3693</v>
      </c>
      <c r="J2025">
        <v>2019</v>
      </c>
      <c r="K2025">
        <v>43698.521897777777</v>
      </c>
      <c r="L2025" t="s">
        <v>1005</v>
      </c>
      <c r="M2025" t="s">
        <v>1941</v>
      </c>
      <c r="N2025" t="s">
        <v>415</v>
      </c>
      <c r="O2025">
        <v>280217</v>
      </c>
      <c r="P2025">
        <v>43536.389236111114</v>
      </c>
      <c r="Q2025">
        <v>43420.858657025463</v>
      </c>
      <c r="R2025">
        <v>2064</v>
      </c>
    </row>
    <row r="2026" spans="1:18" x14ac:dyDescent="0.25">
      <c r="A2026" t="s">
        <v>6970</v>
      </c>
      <c r="B2026" t="s">
        <v>6971</v>
      </c>
      <c r="C2026" t="s">
        <v>6972</v>
      </c>
      <c r="D2026" t="s">
        <v>6972</v>
      </c>
      <c r="E2026" t="s">
        <v>6972</v>
      </c>
      <c r="F2026" t="s">
        <v>91</v>
      </c>
      <c r="G2026" t="s">
        <v>22</v>
      </c>
      <c r="H2026" t="s">
        <v>2816</v>
      </c>
      <c r="I2026" t="s">
        <v>5748</v>
      </c>
      <c r="J2026">
        <v>2018</v>
      </c>
      <c r="K2026">
        <v>43698.521897777777</v>
      </c>
      <c r="L2026" t="s">
        <v>25</v>
      </c>
      <c r="M2026" t="s">
        <v>42</v>
      </c>
      <c r="N2026" t="s">
        <v>1439</v>
      </c>
      <c r="Q2026">
        <v>43423.364899305554</v>
      </c>
      <c r="R2026">
        <v>2065</v>
      </c>
    </row>
    <row r="2027" spans="1:18" x14ac:dyDescent="0.25">
      <c r="A2027" t="s">
        <v>6973</v>
      </c>
      <c r="B2027" t="s">
        <v>6974</v>
      </c>
      <c r="C2027" t="s">
        <v>6975</v>
      </c>
      <c r="D2027" t="s">
        <v>6975</v>
      </c>
      <c r="E2027" t="s">
        <v>6975</v>
      </c>
      <c r="F2027" t="s">
        <v>91</v>
      </c>
      <c r="G2027" t="s">
        <v>22</v>
      </c>
      <c r="H2027" t="s">
        <v>1315</v>
      </c>
      <c r="I2027" t="s">
        <v>6976</v>
      </c>
      <c r="J2027">
        <v>2018</v>
      </c>
      <c r="K2027">
        <v>43698.521897777777</v>
      </c>
      <c r="L2027" t="s">
        <v>25</v>
      </c>
      <c r="M2027" t="s">
        <v>5389</v>
      </c>
      <c r="N2027" t="s">
        <v>415</v>
      </c>
      <c r="Q2027">
        <v>43425.485161921293</v>
      </c>
      <c r="R2027">
        <v>2066</v>
      </c>
    </row>
    <row r="2028" spans="1:18" x14ac:dyDescent="0.25">
      <c r="A2028" t="s">
        <v>6977</v>
      </c>
      <c r="B2028" t="s">
        <v>6978</v>
      </c>
      <c r="C2028" t="s">
        <v>6979</v>
      </c>
      <c r="D2028" t="s">
        <v>6979</v>
      </c>
      <c r="E2028" t="s">
        <v>6979</v>
      </c>
      <c r="F2028" t="s">
        <v>91</v>
      </c>
      <c r="G2028" t="s">
        <v>22</v>
      </c>
      <c r="H2028" t="s">
        <v>1315</v>
      </c>
      <c r="I2028" t="s">
        <v>5748</v>
      </c>
      <c r="J2028">
        <v>2017</v>
      </c>
      <c r="K2028">
        <v>43698.521897777777</v>
      </c>
      <c r="L2028" t="s">
        <v>25</v>
      </c>
      <c r="M2028" t="s">
        <v>5389</v>
      </c>
      <c r="N2028" t="s">
        <v>994</v>
      </c>
      <c r="Q2028">
        <v>43425.672301817132</v>
      </c>
      <c r="R2028">
        <v>2067</v>
      </c>
    </row>
    <row r="2029" spans="1:18" x14ac:dyDescent="0.25">
      <c r="A2029" t="s">
        <v>6980</v>
      </c>
      <c r="B2029" t="s">
        <v>6981</v>
      </c>
      <c r="C2029" t="s">
        <v>6982</v>
      </c>
      <c r="D2029" t="s">
        <v>6982</v>
      </c>
      <c r="E2029" t="s">
        <v>6982</v>
      </c>
      <c r="F2029" t="s">
        <v>91</v>
      </c>
      <c r="G2029" t="s">
        <v>22</v>
      </c>
      <c r="H2029" t="s">
        <v>1315</v>
      </c>
      <c r="I2029" t="s">
        <v>6976</v>
      </c>
      <c r="J2029">
        <v>2018</v>
      </c>
      <c r="K2029">
        <v>43698.521897777777</v>
      </c>
      <c r="L2029" t="s">
        <v>25</v>
      </c>
      <c r="M2029" t="s">
        <v>5389</v>
      </c>
      <c r="N2029" t="s">
        <v>994</v>
      </c>
      <c r="Q2029">
        <v>43426.469960069444</v>
      </c>
      <c r="R2029">
        <v>2068</v>
      </c>
    </row>
    <row r="2030" spans="1:18" x14ac:dyDescent="0.25">
      <c r="A2030" t="s">
        <v>6983</v>
      </c>
      <c r="B2030" t="s">
        <v>6984</v>
      </c>
      <c r="C2030" t="s">
        <v>6985</v>
      </c>
      <c r="D2030" t="s">
        <v>6985</v>
      </c>
      <c r="E2030" t="s">
        <v>6985</v>
      </c>
      <c r="F2030" t="s">
        <v>21</v>
      </c>
      <c r="G2030" t="s">
        <v>63</v>
      </c>
      <c r="H2030" t="s">
        <v>53</v>
      </c>
      <c r="I2030" t="s">
        <v>744</v>
      </c>
      <c r="J2030">
        <v>2007</v>
      </c>
      <c r="K2030">
        <v>43698.521897777777</v>
      </c>
      <c r="L2030" t="s">
        <v>422</v>
      </c>
      <c r="M2030" t="s">
        <v>2777</v>
      </c>
      <c r="N2030" t="s">
        <v>27</v>
      </c>
      <c r="O2030">
        <v>319718</v>
      </c>
      <c r="P2030">
        <v>43630.71875</v>
      </c>
      <c r="Q2030">
        <v>43426.496252164354</v>
      </c>
      <c r="R2030">
        <v>2069</v>
      </c>
    </row>
    <row r="2031" spans="1:18" x14ac:dyDescent="0.25">
      <c r="A2031" t="s">
        <v>6986</v>
      </c>
      <c r="B2031" t="s">
        <v>6987</v>
      </c>
      <c r="C2031" t="s">
        <v>6988</v>
      </c>
      <c r="D2031" t="s">
        <v>6988</v>
      </c>
      <c r="E2031" t="s">
        <v>6988</v>
      </c>
      <c r="F2031" t="s">
        <v>91</v>
      </c>
      <c r="G2031" t="s">
        <v>63</v>
      </c>
      <c r="H2031" t="s">
        <v>53</v>
      </c>
      <c r="I2031" t="s">
        <v>54</v>
      </c>
      <c r="J2031">
        <v>2006</v>
      </c>
      <c r="K2031">
        <v>43698.521897777777</v>
      </c>
      <c r="L2031" t="s">
        <v>422</v>
      </c>
      <c r="M2031" t="s">
        <v>2777</v>
      </c>
      <c r="N2031" t="s">
        <v>415</v>
      </c>
      <c r="O2031">
        <v>346810</v>
      </c>
      <c r="P2031">
        <v>43698.260416666664</v>
      </c>
      <c r="Q2031">
        <v>43427.367366087965</v>
      </c>
      <c r="R2031">
        <v>2070</v>
      </c>
    </row>
    <row r="2032" spans="1:18" x14ac:dyDescent="0.25">
      <c r="A2032" t="s">
        <v>6989</v>
      </c>
      <c r="B2032" t="s">
        <v>5617</v>
      </c>
      <c r="C2032" t="s">
        <v>6990</v>
      </c>
      <c r="D2032" t="s">
        <v>6990</v>
      </c>
      <c r="E2032" t="s">
        <v>6990</v>
      </c>
      <c r="F2032" t="s">
        <v>21</v>
      </c>
      <c r="G2032" t="s">
        <v>63</v>
      </c>
      <c r="H2032" t="s">
        <v>53</v>
      </c>
      <c r="I2032" t="s">
        <v>25</v>
      </c>
      <c r="J2032">
        <v>2012</v>
      </c>
      <c r="K2032">
        <v>43698.521897777777</v>
      </c>
      <c r="L2032" t="s">
        <v>466</v>
      </c>
      <c r="M2032" t="s">
        <v>154</v>
      </c>
      <c r="N2032" t="s">
        <v>1305</v>
      </c>
      <c r="O2032">
        <v>286345</v>
      </c>
      <c r="P2032">
        <v>43553.469988425924</v>
      </c>
      <c r="Q2032">
        <v>43430.676148842591</v>
      </c>
      <c r="R2032">
        <v>2071</v>
      </c>
    </row>
    <row r="2033" spans="1:18" x14ac:dyDescent="0.25">
      <c r="A2033" t="s">
        <v>6991</v>
      </c>
      <c r="B2033" t="s">
        <v>6992</v>
      </c>
      <c r="C2033" t="s">
        <v>6993</v>
      </c>
      <c r="D2033" t="s">
        <v>6993</v>
      </c>
      <c r="E2033" t="s">
        <v>6993</v>
      </c>
      <c r="F2033" t="s">
        <v>21</v>
      </c>
      <c r="G2033" t="s">
        <v>63</v>
      </c>
      <c r="H2033" t="s">
        <v>53</v>
      </c>
      <c r="I2033" t="s">
        <v>25</v>
      </c>
      <c r="J2033">
        <v>2004</v>
      </c>
      <c r="K2033">
        <v>43698.521897777777</v>
      </c>
      <c r="L2033" t="s">
        <v>466</v>
      </c>
      <c r="M2033" t="s">
        <v>154</v>
      </c>
      <c r="N2033" t="s">
        <v>1305</v>
      </c>
      <c r="O2033">
        <v>311698</v>
      </c>
      <c r="P2033">
        <v>43616.977118055554</v>
      </c>
      <c r="Q2033">
        <v>43430.682372650466</v>
      </c>
      <c r="R2033">
        <v>2072</v>
      </c>
    </row>
    <row r="2034" spans="1:18" x14ac:dyDescent="0.25">
      <c r="A2034" t="s">
        <v>6994</v>
      </c>
      <c r="B2034" t="s">
        <v>6995</v>
      </c>
      <c r="C2034" t="s">
        <v>6996</v>
      </c>
      <c r="D2034" t="s">
        <v>6996</v>
      </c>
      <c r="E2034" t="s">
        <v>6996</v>
      </c>
      <c r="F2034" t="s">
        <v>91</v>
      </c>
      <c r="G2034" t="s">
        <v>63</v>
      </c>
      <c r="H2034" t="s">
        <v>53</v>
      </c>
      <c r="I2034" t="s">
        <v>25</v>
      </c>
      <c r="J2034">
        <v>2017</v>
      </c>
      <c r="K2034">
        <v>43698.521897777777</v>
      </c>
      <c r="L2034" t="s">
        <v>466</v>
      </c>
      <c r="M2034" t="s">
        <v>154</v>
      </c>
      <c r="N2034" t="s">
        <v>1305</v>
      </c>
      <c r="O2034">
        <v>345754</v>
      </c>
      <c r="P2034">
        <v>43698.521897777777</v>
      </c>
      <c r="Q2034">
        <v>43430.704631400462</v>
      </c>
      <c r="R2034">
        <v>2073</v>
      </c>
    </row>
    <row r="2035" spans="1:18" x14ac:dyDescent="0.25">
      <c r="A2035" t="s">
        <v>6997</v>
      </c>
      <c r="B2035" t="s">
        <v>6998</v>
      </c>
      <c r="C2035" t="s">
        <v>6999</v>
      </c>
      <c r="D2035" t="s">
        <v>6999</v>
      </c>
      <c r="E2035" t="s">
        <v>6999</v>
      </c>
      <c r="F2035" t="s">
        <v>21</v>
      </c>
      <c r="G2035" t="s">
        <v>63</v>
      </c>
      <c r="H2035" t="s">
        <v>53</v>
      </c>
      <c r="I2035" t="s">
        <v>54</v>
      </c>
      <c r="J2035">
        <v>2009</v>
      </c>
      <c r="K2035">
        <v>43698.521897777777</v>
      </c>
      <c r="L2035" t="s">
        <v>466</v>
      </c>
      <c r="M2035" t="s">
        <v>154</v>
      </c>
      <c r="N2035" t="s">
        <v>1305</v>
      </c>
      <c r="O2035">
        <v>309101</v>
      </c>
      <c r="P2035">
        <v>43607.431250000001</v>
      </c>
      <c r="Q2035">
        <v>43431.410567824074</v>
      </c>
      <c r="R2035">
        <v>2074</v>
      </c>
    </row>
    <row r="2036" spans="1:18" x14ac:dyDescent="0.25">
      <c r="A2036" t="s">
        <v>7000</v>
      </c>
      <c r="B2036" t="s">
        <v>7001</v>
      </c>
      <c r="C2036" t="s">
        <v>7002</v>
      </c>
      <c r="D2036" t="s">
        <v>7002</v>
      </c>
      <c r="E2036" t="s">
        <v>7002</v>
      </c>
      <c r="F2036" t="s">
        <v>91</v>
      </c>
      <c r="G2036" t="s">
        <v>22</v>
      </c>
      <c r="H2036" t="s">
        <v>53</v>
      </c>
      <c r="I2036" t="s">
        <v>7003</v>
      </c>
      <c r="J2036">
        <v>2019</v>
      </c>
      <c r="K2036">
        <v>43698.521897777777</v>
      </c>
      <c r="L2036" t="s">
        <v>25</v>
      </c>
      <c r="M2036" t="s">
        <v>5389</v>
      </c>
      <c r="N2036" t="s">
        <v>415</v>
      </c>
      <c r="O2036">
        <v>273995</v>
      </c>
      <c r="P2036">
        <v>43516.03402777778</v>
      </c>
      <c r="Q2036">
        <v>43435.476873958331</v>
      </c>
      <c r="R2036">
        <v>2075</v>
      </c>
    </row>
    <row r="2037" spans="1:18" x14ac:dyDescent="0.25">
      <c r="A2037" t="s">
        <v>7004</v>
      </c>
      <c r="B2037" t="s">
        <v>7005</v>
      </c>
      <c r="C2037" t="s">
        <v>7006</v>
      </c>
      <c r="D2037" t="s">
        <v>7006</v>
      </c>
      <c r="E2037" t="s">
        <v>7006</v>
      </c>
      <c r="F2037" t="s">
        <v>21</v>
      </c>
      <c r="G2037" t="s">
        <v>63</v>
      </c>
      <c r="H2037" t="s">
        <v>53</v>
      </c>
      <c r="I2037" t="s">
        <v>471</v>
      </c>
      <c r="J2037">
        <v>2015</v>
      </c>
      <c r="K2037">
        <v>43698.521897777777</v>
      </c>
      <c r="L2037" t="s">
        <v>25</v>
      </c>
      <c r="M2037" t="s">
        <v>2777</v>
      </c>
      <c r="N2037" t="s">
        <v>27</v>
      </c>
      <c r="Q2037">
        <v>43437.472263113428</v>
      </c>
      <c r="R2037">
        <v>2076</v>
      </c>
    </row>
    <row r="2038" spans="1:18" x14ac:dyDescent="0.25">
      <c r="A2038" t="s">
        <v>7007</v>
      </c>
      <c r="B2038" t="s">
        <v>7008</v>
      </c>
      <c r="C2038" t="s">
        <v>7009</v>
      </c>
      <c r="D2038" t="s">
        <v>7009</v>
      </c>
      <c r="E2038" t="s">
        <v>7010</v>
      </c>
      <c r="F2038" t="s">
        <v>91</v>
      </c>
      <c r="G2038" t="s">
        <v>22</v>
      </c>
      <c r="H2038" t="s">
        <v>53</v>
      </c>
      <c r="I2038" t="s">
        <v>3006</v>
      </c>
      <c r="J2038">
        <v>2019</v>
      </c>
      <c r="K2038">
        <v>43698.521897777777</v>
      </c>
      <c r="L2038" t="s">
        <v>1809</v>
      </c>
      <c r="M2038" t="s">
        <v>154</v>
      </c>
      <c r="N2038" t="s">
        <v>1305</v>
      </c>
      <c r="O2038">
        <v>346731</v>
      </c>
      <c r="P2038">
        <v>43698.521897777777</v>
      </c>
      <c r="Q2038">
        <v>43437.649815428238</v>
      </c>
      <c r="R2038">
        <v>2077</v>
      </c>
    </row>
    <row r="2039" spans="1:18" x14ac:dyDescent="0.25">
      <c r="A2039" t="s">
        <v>7011</v>
      </c>
      <c r="B2039" t="s">
        <v>7012</v>
      </c>
      <c r="C2039" t="s">
        <v>7013</v>
      </c>
      <c r="D2039" t="s">
        <v>7013</v>
      </c>
      <c r="E2039" t="s">
        <v>7014</v>
      </c>
      <c r="F2039" t="s">
        <v>91</v>
      </c>
      <c r="G2039" t="s">
        <v>22</v>
      </c>
      <c r="H2039" t="s">
        <v>53</v>
      </c>
      <c r="I2039" t="s">
        <v>3006</v>
      </c>
      <c r="J2039">
        <v>2019</v>
      </c>
      <c r="K2039">
        <v>43698.521897777777</v>
      </c>
      <c r="L2039" t="s">
        <v>1809</v>
      </c>
      <c r="M2039" t="s">
        <v>154</v>
      </c>
      <c r="N2039" t="s">
        <v>1305</v>
      </c>
      <c r="O2039">
        <v>346753</v>
      </c>
      <c r="P2039">
        <v>43698.521897777777</v>
      </c>
      <c r="Q2039">
        <v>43437.65184741898</v>
      </c>
      <c r="R2039">
        <v>2078</v>
      </c>
    </row>
    <row r="2040" spans="1:18" x14ac:dyDescent="0.25">
      <c r="A2040" t="s">
        <v>7015</v>
      </c>
      <c r="B2040" t="s">
        <v>7016</v>
      </c>
      <c r="C2040" t="s">
        <v>7017</v>
      </c>
      <c r="D2040" t="s">
        <v>7017</v>
      </c>
      <c r="E2040" t="s">
        <v>7018</v>
      </c>
      <c r="F2040" t="s">
        <v>91</v>
      </c>
      <c r="G2040" t="s">
        <v>22</v>
      </c>
      <c r="H2040" t="s">
        <v>53</v>
      </c>
      <c r="I2040" t="s">
        <v>3006</v>
      </c>
      <c r="J2040">
        <v>2019</v>
      </c>
      <c r="K2040">
        <v>43698.521897777777</v>
      </c>
      <c r="L2040" t="s">
        <v>1809</v>
      </c>
      <c r="M2040" t="s">
        <v>154</v>
      </c>
      <c r="N2040" t="s">
        <v>1305</v>
      </c>
      <c r="O2040">
        <v>346704</v>
      </c>
      <c r="P2040">
        <v>43698.440312500003</v>
      </c>
      <c r="Q2040">
        <v>43437.653361539349</v>
      </c>
      <c r="R2040">
        <v>2079</v>
      </c>
    </row>
    <row r="2041" spans="1:18" x14ac:dyDescent="0.25">
      <c r="A2041" t="s">
        <v>7019</v>
      </c>
      <c r="B2041" t="s">
        <v>7020</v>
      </c>
      <c r="C2041" t="s">
        <v>7021</v>
      </c>
      <c r="D2041" t="s">
        <v>7021</v>
      </c>
      <c r="E2041" t="s">
        <v>7022</v>
      </c>
      <c r="F2041" t="s">
        <v>91</v>
      </c>
      <c r="G2041" t="s">
        <v>22</v>
      </c>
      <c r="H2041" t="s">
        <v>53</v>
      </c>
      <c r="I2041" t="s">
        <v>3006</v>
      </c>
      <c r="J2041">
        <v>2019</v>
      </c>
      <c r="K2041">
        <v>43698.521897777777</v>
      </c>
      <c r="L2041" t="s">
        <v>1809</v>
      </c>
      <c r="M2041" t="s">
        <v>154</v>
      </c>
      <c r="N2041" t="s">
        <v>1305</v>
      </c>
      <c r="O2041">
        <v>346734</v>
      </c>
      <c r="P2041">
        <v>43698.521897777777</v>
      </c>
      <c r="Q2041">
        <v>43437.655317245371</v>
      </c>
      <c r="R2041">
        <v>2080</v>
      </c>
    </row>
    <row r="2042" spans="1:18" x14ac:dyDescent="0.25">
      <c r="A2042" t="s">
        <v>7023</v>
      </c>
      <c r="B2042" t="s">
        <v>7024</v>
      </c>
      <c r="C2042" t="s">
        <v>7025</v>
      </c>
      <c r="D2042" t="s">
        <v>7025</v>
      </c>
      <c r="E2042" t="s">
        <v>7026</v>
      </c>
      <c r="F2042" t="s">
        <v>91</v>
      </c>
      <c r="G2042" t="s">
        <v>22</v>
      </c>
      <c r="H2042" t="s">
        <v>53</v>
      </c>
      <c r="I2042" t="s">
        <v>3006</v>
      </c>
      <c r="J2042">
        <v>2019</v>
      </c>
      <c r="K2042">
        <v>43698.521897777777</v>
      </c>
      <c r="L2042" t="s">
        <v>1809</v>
      </c>
      <c r="M2042" t="s">
        <v>154</v>
      </c>
      <c r="N2042" t="s">
        <v>1305</v>
      </c>
      <c r="O2042">
        <v>346828</v>
      </c>
      <c r="P2042">
        <v>43698.521897777777</v>
      </c>
      <c r="Q2042">
        <v>43437.657102743055</v>
      </c>
      <c r="R2042">
        <v>2081</v>
      </c>
    </row>
    <row r="2043" spans="1:18" x14ac:dyDescent="0.25">
      <c r="A2043" t="s">
        <v>7027</v>
      </c>
      <c r="B2043" t="s">
        <v>7028</v>
      </c>
      <c r="C2043" t="s">
        <v>7029</v>
      </c>
      <c r="D2043" t="s">
        <v>7029</v>
      </c>
      <c r="E2043" t="s">
        <v>7030</v>
      </c>
      <c r="F2043" t="s">
        <v>91</v>
      </c>
      <c r="G2043" t="s">
        <v>22</v>
      </c>
      <c r="H2043" t="s">
        <v>53</v>
      </c>
      <c r="I2043" t="s">
        <v>3006</v>
      </c>
      <c r="J2043">
        <v>2019</v>
      </c>
      <c r="K2043">
        <v>43698.521897777777</v>
      </c>
      <c r="L2043" t="s">
        <v>422</v>
      </c>
      <c r="M2043" t="s">
        <v>7031</v>
      </c>
      <c r="N2043" t="s">
        <v>415</v>
      </c>
      <c r="O2043">
        <v>347061</v>
      </c>
      <c r="P2043">
        <v>43698.521897777777</v>
      </c>
      <c r="Q2043">
        <v>43439.411996493058</v>
      </c>
      <c r="R2043">
        <v>2082</v>
      </c>
    </row>
    <row r="2044" spans="1:18" x14ac:dyDescent="0.25">
      <c r="A2044" t="s">
        <v>7032</v>
      </c>
      <c r="B2044" t="s">
        <v>7033</v>
      </c>
      <c r="C2044" t="s">
        <v>7034</v>
      </c>
      <c r="D2044" t="s">
        <v>7034</v>
      </c>
      <c r="E2044" t="s">
        <v>7035</v>
      </c>
      <c r="F2044" t="s">
        <v>91</v>
      </c>
      <c r="G2044" t="s">
        <v>22</v>
      </c>
      <c r="H2044" t="s">
        <v>53</v>
      </c>
      <c r="I2044" t="s">
        <v>3006</v>
      </c>
      <c r="J2044">
        <v>2019</v>
      </c>
      <c r="K2044">
        <v>43698.521897777777</v>
      </c>
      <c r="L2044" t="s">
        <v>422</v>
      </c>
      <c r="M2044" t="s">
        <v>7031</v>
      </c>
      <c r="N2044" t="s">
        <v>415</v>
      </c>
      <c r="O2044">
        <v>346913</v>
      </c>
      <c r="P2044">
        <v>43698.521897777777</v>
      </c>
      <c r="Q2044">
        <v>43439.416530405091</v>
      </c>
      <c r="R2044">
        <v>2083</v>
      </c>
    </row>
    <row r="2045" spans="1:18" x14ac:dyDescent="0.25">
      <c r="A2045" t="s">
        <v>7036</v>
      </c>
      <c r="B2045" t="s">
        <v>7037</v>
      </c>
      <c r="C2045" t="s">
        <v>7038</v>
      </c>
      <c r="D2045" t="s">
        <v>7038</v>
      </c>
      <c r="E2045" t="s">
        <v>7039</v>
      </c>
      <c r="F2045" t="s">
        <v>91</v>
      </c>
      <c r="G2045" t="s">
        <v>22</v>
      </c>
      <c r="H2045" t="s">
        <v>998</v>
      </c>
      <c r="I2045" t="s">
        <v>3006</v>
      </c>
      <c r="J2045">
        <v>2019</v>
      </c>
      <c r="K2045">
        <v>43698.521897777777</v>
      </c>
      <c r="L2045" t="s">
        <v>422</v>
      </c>
      <c r="M2045" t="s">
        <v>7031</v>
      </c>
      <c r="N2045" t="s">
        <v>415</v>
      </c>
      <c r="O2045">
        <v>347039</v>
      </c>
      <c r="P2045">
        <v>43698.521897777777</v>
      </c>
      <c r="Q2045">
        <v>43439.42695119213</v>
      </c>
      <c r="R2045">
        <v>2084</v>
      </c>
    </row>
    <row r="2046" spans="1:18" x14ac:dyDescent="0.25">
      <c r="A2046" t="s">
        <v>7040</v>
      </c>
      <c r="B2046" t="s">
        <v>7041</v>
      </c>
      <c r="C2046" t="s">
        <v>7042</v>
      </c>
      <c r="D2046" t="s">
        <v>7042</v>
      </c>
      <c r="E2046" t="s">
        <v>7043</v>
      </c>
      <c r="F2046" t="s">
        <v>91</v>
      </c>
      <c r="G2046" t="s">
        <v>22</v>
      </c>
      <c r="H2046" t="s">
        <v>53</v>
      </c>
      <c r="I2046" t="s">
        <v>3006</v>
      </c>
      <c r="J2046">
        <v>2019</v>
      </c>
      <c r="K2046">
        <v>43698.521897777777</v>
      </c>
      <c r="L2046" t="s">
        <v>422</v>
      </c>
      <c r="M2046" t="s">
        <v>7031</v>
      </c>
      <c r="N2046" t="s">
        <v>415</v>
      </c>
      <c r="O2046">
        <v>346667</v>
      </c>
      <c r="P2046">
        <v>43698.166666666664</v>
      </c>
      <c r="Q2046">
        <v>43439.431418865737</v>
      </c>
      <c r="R2046">
        <v>2085</v>
      </c>
    </row>
    <row r="2047" spans="1:18" x14ac:dyDescent="0.25">
      <c r="A2047" t="s">
        <v>7044</v>
      </c>
      <c r="B2047" t="s">
        <v>7045</v>
      </c>
      <c r="C2047" t="s">
        <v>7046</v>
      </c>
      <c r="D2047" t="s">
        <v>7046</v>
      </c>
      <c r="E2047" t="s">
        <v>7047</v>
      </c>
      <c r="F2047" t="s">
        <v>91</v>
      </c>
      <c r="G2047" t="s">
        <v>22</v>
      </c>
      <c r="H2047" t="s">
        <v>53</v>
      </c>
      <c r="I2047" t="s">
        <v>3006</v>
      </c>
      <c r="J2047">
        <v>2019</v>
      </c>
      <c r="K2047">
        <v>43698.521897777777</v>
      </c>
      <c r="L2047" t="s">
        <v>422</v>
      </c>
      <c r="M2047" t="s">
        <v>7031</v>
      </c>
      <c r="N2047" t="s">
        <v>415</v>
      </c>
      <c r="O2047">
        <v>344611</v>
      </c>
      <c r="P2047">
        <v>43692.84375</v>
      </c>
      <c r="Q2047">
        <v>43439.432350925927</v>
      </c>
      <c r="R2047">
        <v>2086</v>
      </c>
    </row>
    <row r="2048" spans="1:18" x14ac:dyDescent="0.25">
      <c r="A2048" t="s">
        <v>7048</v>
      </c>
      <c r="B2048" t="s">
        <v>7049</v>
      </c>
      <c r="C2048" t="s">
        <v>7050</v>
      </c>
      <c r="D2048" t="s">
        <v>7050</v>
      </c>
      <c r="E2048" t="s">
        <v>7051</v>
      </c>
      <c r="F2048" t="s">
        <v>91</v>
      </c>
      <c r="G2048" t="s">
        <v>22</v>
      </c>
      <c r="H2048" t="s">
        <v>53</v>
      </c>
      <c r="I2048" t="s">
        <v>3006</v>
      </c>
      <c r="J2048">
        <v>2019</v>
      </c>
      <c r="K2048">
        <v>43698.521897777777</v>
      </c>
      <c r="L2048" t="s">
        <v>2686</v>
      </c>
      <c r="M2048" t="s">
        <v>26</v>
      </c>
      <c r="N2048" t="s">
        <v>415</v>
      </c>
      <c r="O2048">
        <v>346952</v>
      </c>
      <c r="P2048">
        <v>43698.521897777777</v>
      </c>
      <c r="Q2048">
        <v>43439.435066087965</v>
      </c>
      <c r="R2048">
        <v>2087</v>
      </c>
    </row>
    <row r="2049" spans="1:18" x14ac:dyDescent="0.25">
      <c r="A2049" t="s">
        <v>7052</v>
      </c>
      <c r="B2049" t="s">
        <v>7053</v>
      </c>
      <c r="C2049" t="s">
        <v>7054</v>
      </c>
      <c r="D2049" t="s">
        <v>7054</v>
      </c>
      <c r="E2049" t="s">
        <v>7055</v>
      </c>
      <c r="F2049" t="s">
        <v>91</v>
      </c>
      <c r="G2049" t="s">
        <v>22</v>
      </c>
      <c r="H2049" t="s">
        <v>53</v>
      </c>
      <c r="I2049" t="s">
        <v>3006</v>
      </c>
      <c r="J2049">
        <v>2019</v>
      </c>
      <c r="K2049">
        <v>43698.521897777777</v>
      </c>
      <c r="L2049" t="s">
        <v>422</v>
      </c>
      <c r="M2049" t="s">
        <v>26</v>
      </c>
      <c r="N2049" t="s">
        <v>415</v>
      </c>
      <c r="O2049">
        <v>347162</v>
      </c>
      <c r="P2049">
        <v>43698.521897777777</v>
      </c>
      <c r="Q2049">
        <v>43439.437600497688</v>
      </c>
      <c r="R2049">
        <v>2088</v>
      </c>
    </row>
    <row r="2050" spans="1:18" x14ac:dyDescent="0.25">
      <c r="A2050" t="s">
        <v>7056</v>
      </c>
      <c r="B2050" t="s">
        <v>7057</v>
      </c>
      <c r="C2050" t="s">
        <v>7058</v>
      </c>
      <c r="D2050" t="s">
        <v>7058</v>
      </c>
      <c r="E2050" t="s">
        <v>7059</v>
      </c>
      <c r="F2050" t="s">
        <v>91</v>
      </c>
      <c r="G2050" t="s">
        <v>22</v>
      </c>
      <c r="H2050" t="s">
        <v>53</v>
      </c>
      <c r="I2050" t="s">
        <v>3006</v>
      </c>
      <c r="J2050">
        <v>2019</v>
      </c>
      <c r="K2050">
        <v>43698.521897777777</v>
      </c>
      <c r="L2050" t="s">
        <v>422</v>
      </c>
      <c r="M2050" t="s">
        <v>26</v>
      </c>
      <c r="N2050" t="s">
        <v>415</v>
      </c>
      <c r="O2050">
        <v>347079</v>
      </c>
      <c r="P2050">
        <v>43698.521897777777</v>
      </c>
      <c r="Q2050">
        <v>43439.438652662036</v>
      </c>
      <c r="R2050">
        <v>2089</v>
      </c>
    </row>
    <row r="2051" spans="1:18" x14ac:dyDescent="0.25">
      <c r="A2051" t="s">
        <v>7060</v>
      </c>
      <c r="B2051" t="s">
        <v>7061</v>
      </c>
      <c r="C2051" t="s">
        <v>7062</v>
      </c>
      <c r="D2051" t="s">
        <v>7062</v>
      </c>
      <c r="E2051" t="s">
        <v>7063</v>
      </c>
      <c r="F2051" t="s">
        <v>91</v>
      </c>
      <c r="G2051" t="s">
        <v>22</v>
      </c>
      <c r="H2051" t="s">
        <v>53</v>
      </c>
      <c r="I2051" t="s">
        <v>3006</v>
      </c>
      <c r="J2051">
        <v>2019</v>
      </c>
      <c r="K2051">
        <v>43698.521897777777</v>
      </c>
      <c r="L2051" t="s">
        <v>422</v>
      </c>
      <c r="M2051" t="s">
        <v>26</v>
      </c>
      <c r="N2051" t="s">
        <v>415</v>
      </c>
      <c r="O2051">
        <v>335267</v>
      </c>
      <c r="P2051">
        <v>43670.635416666664</v>
      </c>
      <c r="Q2051">
        <v>43439.561833483793</v>
      </c>
      <c r="R2051">
        <v>2090</v>
      </c>
    </row>
    <row r="2052" spans="1:18" x14ac:dyDescent="0.25">
      <c r="A2052" t="s">
        <v>7064</v>
      </c>
      <c r="B2052" t="s">
        <v>7065</v>
      </c>
      <c r="C2052" t="s">
        <v>7066</v>
      </c>
      <c r="D2052" t="s">
        <v>7066</v>
      </c>
      <c r="E2052" t="s">
        <v>7067</v>
      </c>
      <c r="F2052" t="s">
        <v>91</v>
      </c>
      <c r="G2052" t="s">
        <v>22</v>
      </c>
      <c r="H2052" t="s">
        <v>998</v>
      </c>
      <c r="I2052" t="s">
        <v>3006</v>
      </c>
      <c r="J2052">
        <v>2019</v>
      </c>
      <c r="K2052">
        <v>43698.521897777777</v>
      </c>
      <c r="L2052" t="s">
        <v>2686</v>
      </c>
      <c r="M2052" t="s">
        <v>26</v>
      </c>
      <c r="N2052" t="s">
        <v>415</v>
      </c>
      <c r="O2052">
        <v>346864</v>
      </c>
      <c r="P2052">
        <v>43698.521897777777</v>
      </c>
      <c r="Q2052">
        <v>43439.56263753472</v>
      </c>
      <c r="R2052">
        <v>2091</v>
      </c>
    </row>
    <row r="2053" spans="1:18" x14ac:dyDescent="0.25">
      <c r="A2053" t="s">
        <v>7068</v>
      </c>
      <c r="B2053" t="s">
        <v>7069</v>
      </c>
      <c r="C2053" t="s">
        <v>7070</v>
      </c>
      <c r="D2053" t="s">
        <v>7070</v>
      </c>
      <c r="E2053" t="s">
        <v>7070</v>
      </c>
      <c r="F2053" t="s">
        <v>91</v>
      </c>
      <c r="G2053" t="s">
        <v>63</v>
      </c>
      <c r="H2053" t="s">
        <v>53</v>
      </c>
      <c r="I2053" t="s">
        <v>7071</v>
      </c>
      <c r="J2053">
        <v>2019</v>
      </c>
      <c r="K2053">
        <v>43698.521897777777</v>
      </c>
      <c r="L2053" t="s">
        <v>193</v>
      </c>
      <c r="M2053" t="s">
        <v>1941</v>
      </c>
      <c r="N2053" t="s">
        <v>415</v>
      </c>
      <c r="O2053">
        <v>346601</v>
      </c>
      <c r="P2053">
        <v>43698.521897777777</v>
      </c>
      <c r="Q2053">
        <v>43439.748147604165</v>
      </c>
      <c r="R2053">
        <v>2092</v>
      </c>
    </row>
    <row r="2054" spans="1:18" x14ac:dyDescent="0.25">
      <c r="A2054" t="s">
        <v>7072</v>
      </c>
      <c r="B2054" t="s">
        <v>7073</v>
      </c>
      <c r="C2054" t="s">
        <v>7074</v>
      </c>
      <c r="D2054" t="s">
        <v>7074</v>
      </c>
      <c r="E2054" t="s">
        <v>7075</v>
      </c>
      <c r="F2054" t="s">
        <v>91</v>
      </c>
      <c r="G2054" t="s">
        <v>63</v>
      </c>
      <c r="H2054" t="s">
        <v>53</v>
      </c>
      <c r="I2054" t="s">
        <v>471</v>
      </c>
      <c r="J2054">
        <v>2018</v>
      </c>
      <c r="K2054">
        <v>43698.521897777777</v>
      </c>
      <c r="L2054" t="s">
        <v>466</v>
      </c>
      <c r="M2054" t="s">
        <v>1738</v>
      </c>
      <c r="N2054" t="s">
        <v>1305</v>
      </c>
      <c r="O2054">
        <v>346628</v>
      </c>
      <c r="P2054">
        <v>43698.521897777777</v>
      </c>
      <c r="Q2054">
        <v>43439.831745636577</v>
      </c>
      <c r="R2054">
        <v>2093</v>
      </c>
    </row>
    <row r="2055" spans="1:18" x14ac:dyDescent="0.25">
      <c r="A2055" t="s">
        <v>7076</v>
      </c>
      <c r="B2055" t="s">
        <v>7077</v>
      </c>
      <c r="C2055" t="s">
        <v>7078</v>
      </c>
      <c r="D2055" t="s">
        <v>7078</v>
      </c>
      <c r="E2055" t="s">
        <v>7079</v>
      </c>
      <c r="F2055" t="s">
        <v>91</v>
      </c>
      <c r="G2055" t="s">
        <v>63</v>
      </c>
      <c r="H2055" t="s">
        <v>53</v>
      </c>
      <c r="I2055" t="s">
        <v>471</v>
      </c>
      <c r="J2055">
        <v>2018</v>
      </c>
      <c r="K2055">
        <v>43698.521897777777</v>
      </c>
      <c r="L2055" t="s">
        <v>466</v>
      </c>
      <c r="M2055" t="s">
        <v>1738</v>
      </c>
      <c r="N2055" t="s">
        <v>1305</v>
      </c>
      <c r="O2055">
        <v>346850</v>
      </c>
      <c r="P2055">
        <v>43698.521897777777</v>
      </c>
      <c r="Q2055">
        <v>43439.832956678241</v>
      </c>
      <c r="R2055">
        <v>2094</v>
      </c>
    </row>
    <row r="2056" spans="1:18" x14ac:dyDescent="0.25">
      <c r="A2056" t="s">
        <v>7080</v>
      </c>
      <c r="B2056" t="s">
        <v>7081</v>
      </c>
      <c r="C2056" t="s">
        <v>7082</v>
      </c>
      <c r="D2056" t="s">
        <v>7082</v>
      </c>
      <c r="E2056" t="s">
        <v>7083</v>
      </c>
      <c r="F2056" t="s">
        <v>91</v>
      </c>
      <c r="G2056" t="s">
        <v>63</v>
      </c>
      <c r="H2056" t="s">
        <v>53</v>
      </c>
      <c r="I2056" t="s">
        <v>471</v>
      </c>
      <c r="J2056">
        <v>2018</v>
      </c>
      <c r="K2056">
        <v>43698.521897777777</v>
      </c>
      <c r="L2056" t="s">
        <v>466</v>
      </c>
      <c r="M2056" t="s">
        <v>1738</v>
      </c>
      <c r="N2056" t="s">
        <v>1305</v>
      </c>
      <c r="O2056">
        <v>345756</v>
      </c>
      <c r="P2056">
        <v>43698.521897777777</v>
      </c>
      <c r="Q2056">
        <v>43439.834159606478</v>
      </c>
      <c r="R2056">
        <v>2095</v>
      </c>
    </row>
    <row r="2057" spans="1:18" x14ac:dyDescent="0.25">
      <c r="A2057" t="s">
        <v>7084</v>
      </c>
      <c r="B2057" t="s">
        <v>7085</v>
      </c>
      <c r="C2057" t="s">
        <v>7086</v>
      </c>
      <c r="D2057" t="s">
        <v>7086</v>
      </c>
      <c r="E2057" t="s">
        <v>7087</v>
      </c>
      <c r="F2057" t="s">
        <v>91</v>
      </c>
      <c r="G2057" t="s">
        <v>63</v>
      </c>
      <c r="H2057" t="s">
        <v>53</v>
      </c>
      <c r="I2057" t="s">
        <v>471</v>
      </c>
      <c r="J2057">
        <v>2018</v>
      </c>
      <c r="K2057">
        <v>43698.521897777777</v>
      </c>
      <c r="L2057" t="s">
        <v>466</v>
      </c>
      <c r="M2057" t="s">
        <v>1738</v>
      </c>
      <c r="N2057" t="s">
        <v>1305</v>
      </c>
      <c r="O2057">
        <v>345475</v>
      </c>
      <c r="P2057">
        <v>43698.521897777777</v>
      </c>
      <c r="Q2057">
        <v>43439.835561805558</v>
      </c>
      <c r="R2057">
        <v>2096</v>
      </c>
    </row>
    <row r="2058" spans="1:18" x14ac:dyDescent="0.25">
      <c r="A2058" t="s">
        <v>7088</v>
      </c>
      <c r="B2058" t="s">
        <v>7089</v>
      </c>
      <c r="C2058" t="s">
        <v>7090</v>
      </c>
      <c r="D2058" t="s">
        <v>7090</v>
      </c>
      <c r="E2058" t="s">
        <v>7091</v>
      </c>
      <c r="F2058" t="s">
        <v>91</v>
      </c>
      <c r="G2058" t="s">
        <v>22</v>
      </c>
      <c r="H2058" t="s">
        <v>53</v>
      </c>
      <c r="I2058" t="s">
        <v>471</v>
      </c>
      <c r="J2058">
        <v>2018</v>
      </c>
      <c r="K2058">
        <v>43698.521897777777</v>
      </c>
      <c r="L2058" t="s">
        <v>466</v>
      </c>
      <c r="M2058" t="s">
        <v>1738</v>
      </c>
      <c r="N2058" t="s">
        <v>4011</v>
      </c>
      <c r="O2058">
        <v>345378</v>
      </c>
      <c r="P2058">
        <v>43698.521897777777</v>
      </c>
      <c r="Q2058">
        <v>43439.837947604166</v>
      </c>
      <c r="R2058">
        <v>2097</v>
      </c>
    </row>
    <row r="2059" spans="1:18" x14ac:dyDescent="0.25">
      <c r="A2059" t="s">
        <v>7092</v>
      </c>
      <c r="B2059" t="s">
        <v>7093</v>
      </c>
      <c r="C2059" t="s">
        <v>7094</v>
      </c>
      <c r="D2059" t="s">
        <v>7094</v>
      </c>
      <c r="E2059" t="s">
        <v>7095</v>
      </c>
      <c r="F2059" t="s">
        <v>253</v>
      </c>
      <c r="G2059" t="s">
        <v>63</v>
      </c>
      <c r="H2059" t="s">
        <v>53</v>
      </c>
      <c r="I2059" t="s">
        <v>471</v>
      </c>
      <c r="J2059">
        <v>2018</v>
      </c>
      <c r="K2059">
        <v>43698.521897777777</v>
      </c>
      <c r="L2059" t="s">
        <v>466</v>
      </c>
      <c r="M2059" t="s">
        <v>1738</v>
      </c>
      <c r="N2059" t="s">
        <v>1305</v>
      </c>
      <c r="O2059">
        <v>329874</v>
      </c>
      <c r="P2059">
        <v>43660.447465277779</v>
      </c>
      <c r="Q2059">
        <v>43439.840282986108</v>
      </c>
      <c r="R2059">
        <v>2098</v>
      </c>
    </row>
    <row r="2060" spans="1:18" x14ac:dyDescent="0.25">
      <c r="A2060" t="s">
        <v>7096</v>
      </c>
      <c r="B2060" t="s">
        <v>7097</v>
      </c>
      <c r="C2060" t="s">
        <v>7098</v>
      </c>
      <c r="D2060" t="s">
        <v>7098</v>
      </c>
      <c r="E2060" t="s">
        <v>7099</v>
      </c>
      <c r="F2060" t="s">
        <v>91</v>
      </c>
      <c r="G2060" t="s">
        <v>22</v>
      </c>
      <c r="H2060" t="s">
        <v>53</v>
      </c>
      <c r="I2060" t="s">
        <v>471</v>
      </c>
      <c r="J2060">
        <v>2018</v>
      </c>
      <c r="K2060">
        <v>43698.521897777777</v>
      </c>
      <c r="L2060" t="s">
        <v>466</v>
      </c>
      <c r="M2060" t="s">
        <v>1738</v>
      </c>
      <c r="N2060" t="s">
        <v>1305</v>
      </c>
      <c r="O2060">
        <v>344739</v>
      </c>
      <c r="P2060">
        <v>43694.05</v>
      </c>
      <c r="Q2060">
        <v>43439.84106373843</v>
      </c>
      <c r="R2060">
        <v>2099</v>
      </c>
    </row>
    <row r="2061" spans="1:18" x14ac:dyDescent="0.25">
      <c r="A2061" t="s">
        <v>7100</v>
      </c>
      <c r="B2061" t="s">
        <v>7101</v>
      </c>
      <c r="C2061" t="s">
        <v>7102</v>
      </c>
      <c r="D2061" t="s">
        <v>7102</v>
      </c>
      <c r="E2061" t="s">
        <v>7103</v>
      </c>
      <c r="F2061" t="s">
        <v>253</v>
      </c>
      <c r="G2061" t="s">
        <v>63</v>
      </c>
      <c r="H2061" t="s">
        <v>53</v>
      </c>
      <c r="I2061" t="s">
        <v>471</v>
      </c>
      <c r="J2061">
        <v>2018</v>
      </c>
      <c r="K2061">
        <v>43698.521897777777</v>
      </c>
      <c r="L2061" t="s">
        <v>466</v>
      </c>
      <c r="M2061" t="s">
        <v>1738</v>
      </c>
      <c r="N2061" t="s">
        <v>1305</v>
      </c>
      <c r="O2061">
        <v>346837</v>
      </c>
      <c r="P2061">
        <v>43698.521897777777</v>
      </c>
      <c r="Q2061">
        <v>43439.842197453705</v>
      </c>
      <c r="R2061">
        <v>2100</v>
      </c>
    </row>
    <row r="2062" spans="1:18" x14ac:dyDescent="0.25">
      <c r="A2062" t="s">
        <v>7104</v>
      </c>
      <c r="B2062" t="s">
        <v>7105</v>
      </c>
      <c r="C2062" t="s">
        <v>7106</v>
      </c>
      <c r="D2062" t="s">
        <v>7106</v>
      </c>
      <c r="E2062" t="s">
        <v>7106</v>
      </c>
      <c r="F2062" t="s">
        <v>91</v>
      </c>
      <c r="G2062" t="s">
        <v>63</v>
      </c>
      <c r="H2062" t="s">
        <v>23</v>
      </c>
      <c r="I2062" t="s">
        <v>7107</v>
      </c>
      <c r="J2062">
        <v>2011</v>
      </c>
      <c r="K2062">
        <v>43698.521897777777</v>
      </c>
      <c r="L2062" t="s">
        <v>466</v>
      </c>
      <c r="M2062" t="s">
        <v>154</v>
      </c>
      <c r="N2062" t="s">
        <v>1305</v>
      </c>
      <c r="O2062">
        <v>345847</v>
      </c>
      <c r="P2062">
        <v>43698.521897777777</v>
      </c>
      <c r="Q2062">
        <v>43440.453320057873</v>
      </c>
      <c r="R2062">
        <v>2101</v>
      </c>
    </row>
    <row r="2063" spans="1:18" x14ac:dyDescent="0.25">
      <c r="A2063" t="s">
        <v>7108</v>
      </c>
      <c r="B2063" t="s">
        <v>7109</v>
      </c>
      <c r="C2063" t="s">
        <v>7110</v>
      </c>
      <c r="D2063" t="s">
        <v>7110</v>
      </c>
      <c r="E2063" t="s">
        <v>7110</v>
      </c>
      <c r="F2063" t="s">
        <v>21</v>
      </c>
      <c r="G2063" t="s">
        <v>63</v>
      </c>
      <c r="H2063" t="s">
        <v>34</v>
      </c>
      <c r="I2063" t="s">
        <v>703</v>
      </c>
      <c r="J2063">
        <v>2015</v>
      </c>
      <c r="K2063">
        <v>43698.521897777777</v>
      </c>
      <c r="L2063" t="s">
        <v>422</v>
      </c>
      <c r="M2063" t="s">
        <v>2777</v>
      </c>
      <c r="N2063" t="s">
        <v>27</v>
      </c>
      <c r="O2063">
        <v>337730</v>
      </c>
      <c r="P2063">
        <v>43676.697916666664</v>
      </c>
      <c r="Q2063">
        <v>43441.452722141206</v>
      </c>
      <c r="R2063">
        <v>2102</v>
      </c>
    </row>
    <row r="2064" spans="1:18" x14ac:dyDescent="0.25">
      <c r="A2064" t="s">
        <v>7111</v>
      </c>
      <c r="B2064" t="s">
        <v>7112</v>
      </c>
      <c r="C2064" t="s">
        <v>7113</v>
      </c>
      <c r="D2064" t="s">
        <v>7113</v>
      </c>
      <c r="E2064" t="s">
        <v>7113</v>
      </c>
      <c r="F2064" t="s">
        <v>21</v>
      </c>
      <c r="G2064" t="s">
        <v>63</v>
      </c>
      <c r="H2064" t="s">
        <v>34</v>
      </c>
      <c r="I2064" t="s">
        <v>703</v>
      </c>
      <c r="J2064">
        <v>2007</v>
      </c>
      <c r="K2064">
        <v>43698.521897777777</v>
      </c>
      <c r="L2064" t="s">
        <v>1660</v>
      </c>
      <c r="M2064" t="s">
        <v>2777</v>
      </c>
      <c r="N2064" t="s">
        <v>27</v>
      </c>
      <c r="O2064">
        <v>311709</v>
      </c>
      <c r="P2064">
        <v>43612.663194444445</v>
      </c>
      <c r="Q2064">
        <v>43441.454293831019</v>
      </c>
      <c r="R2064">
        <v>2103</v>
      </c>
    </row>
    <row r="2065" spans="1:18" x14ac:dyDescent="0.25">
      <c r="A2065" t="s">
        <v>7114</v>
      </c>
      <c r="B2065" t="s">
        <v>7115</v>
      </c>
      <c r="C2065" t="s">
        <v>7116</v>
      </c>
      <c r="D2065" t="s">
        <v>7116</v>
      </c>
      <c r="E2065" t="s">
        <v>7116</v>
      </c>
      <c r="F2065" t="s">
        <v>91</v>
      </c>
      <c r="G2065" t="s">
        <v>63</v>
      </c>
      <c r="H2065" t="s">
        <v>53</v>
      </c>
      <c r="I2065" t="s">
        <v>3693</v>
      </c>
      <c r="J2065">
        <v>2019</v>
      </c>
      <c r="K2065">
        <v>43698.521897777777</v>
      </c>
      <c r="L2065" t="s">
        <v>1056</v>
      </c>
      <c r="M2065" t="s">
        <v>1941</v>
      </c>
      <c r="N2065" t="s">
        <v>415</v>
      </c>
      <c r="O2065">
        <v>346456</v>
      </c>
      <c r="P2065">
        <v>43698.521897777777</v>
      </c>
      <c r="Q2065">
        <v>43444.54807380787</v>
      </c>
      <c r="R2065">
        <v>2104</v>
      </c>
    </row>
    <row r="2066" spans="1:18" x14ac:dyDescent="0.25">
      <c r="A2066" t="s">
        <v>7117</v>
      </c>
      <c r="B2066" t="s">
        <v>7118</v>
      </c>
      <c r="C2066" t="s">
        <v>7119</v>
      </c>
      <c r="D2066" t="s">
        <v>7119</v>
      </c>
      <c r="E2066" t="s">
        <v>7119</v>
      </c>
      <c r="F2066" t="s">
        <v>21</v>
      </c>
      <c r="G2066" t="s">
        <v>63</v>
      </c>
      <c r="H2066" t="s">
        <v>34</v>
      </c>
      <c r="I2066" t="s">
        <v>35</v>
      </c>
      <c r="J2066">
        <v>2014</v>
      </c>
      <c r="K2066">
        <v>43698.521897777777</v>
      </c>
      <c r="L2066" t="s">
        <v>1660</v>
      </c>
      <c r="M2066" t="s">
        <v>1941</v>
      </c>
      <c r="N2066" t="s">
        <v>415</v>
      </c>
      <c r="O2066">
        <v>299852</v>
      </c>
      <c r="P2066">
        <v>43584.699502314812</v>
      </c>
      <c r="Q2066">
        <v>43444.548672372686</v>
      </c>
      <c r="R2066">
        <v>2105</v>
      </c>
    </row>
    <row r="2067" spans="1:18" x14ac:dyDescent="0.25">
      <c r="A2067" t="s">
        <v>7120</v>
      </c>
      <c r="B2067" t="s">
        <v>2894</v>
      </c>
      <c r="C2067" t="s">
        <v>7121</v>
      </c>
      <c r="D2067" t="s">
        <v>7121</v>
      </c>
      <c r="E2067" t="s">
        <v>7121</v>
      </c>
      <c r="F2067" t="s">
        <v>21</v>
      </c>
      <c r="G2067" t="s">
        <v>63</v>
      </c>
      <c r="H2067" t="s">
        <v>53</v>
      </c>
      <c r="I2067" t="s">
        <v>471</v>
      </c>
      <c r="J2067">
        <v>2014</v>
      </c>
      <c r="K2067">
        <v>43698.521897777777</v>
      </c>
      <c r="L2067" t="s">
        <v>1660</v>
      </c>
      <c r="M2067" t="s">
        <v>1941</v>
      </c>
      <c r="N2067" t="s">
        <v>415</v>
      </c>
      <c r="O2067">
        <v>294825</v>
      </c>
      <c r="P2067">
        <v>43572.048611111109</v>
      </c>
      <c r="Q2067">
        <v>43445.524873379632</v>
      </c>
      <c r="R2067">
        <v>2106</v>
      </c>
    </row>
    <row r="2068" spans="1:18" x14ac:dyDescent="0.25">
      <c r="A2068" t="s">
        <v>7122</v>
      </c>
      <c r="B2068" t="s">
        <v>1688</v>
      </c>
      <c r="C2068" t="s">
        <v>7123</v>
      </c>
      <c r="D2068" t="s">
        <v>7123</v>
      </c>
      <c r="E2068" t="s">
        <v>7123</v>
      </c>
      <c r="F2068" t="s">
        <v>253</v>
      </c>
      <c r="G2068" t="s">
        <v>63</v>
      </c>
      <c r="H2068" t="s">
        <v>23</v>
      </c>
      <c r="I2068" t="s">
        <v>24</v>
      </c>
      <c r="J2068">
        <v>2007</v>
      </c>
      <c r="K2068">
        <v>43698.521897777777</v>
      </c>
      <c r="L2068" t="s">
        <v>466</v>
      </c>
      <c r="M2068" t="s">
        <v>154</v>
      </c>
      <c r="N2068" t="s">
        <v>1305</v>
      </c>
      <c r="O2068">
        <v>309072</v>
      </c>
      <c r="P2068">
        <v>43607.485138888886</v>
      </c>
      <c r="Q2068">
        <v>43447.71043684028</v>
      </c>
      <c r="R2068">
        <v>2107</v>
      </c>
    </row>
    <row r="2069" spans="1:18" x14ac:dyDescent="0.25">
      <c r="A2069" t="s">
        <v>7124</v>
      </c>
      <c r="B2069" t="s">
        <v>3131</v>
      </c>
      <c r="C2069" t="s">
        <v>7125</v>
      </c>
      <c r="D2069" t="s">
        <v>7125</v>
      </c>
      <c r="E2069" t="s">
        <v>7126</v>
      </c>
      <c r="F2069" t="s">
        <v>21</v>
      </c>
      <c r="G2069" t="s">
        <v>63</v>
      </c>
      <c r="H2069" t="s">
        <v>53</v>
      </c>
      <c r="I2069" t="s">
        <v>3693</v>
      </c>
      <c r="J2069">
        <v>2018</v>
      </c>
      <c r="K2069">
        <v>43698.521897777777</v>
      </c>
      <c r="L2069" t="s">
        <v>193</v>
      </c>
      <c r="M2069" t="s">
        <v>1941</v>
      </c>
      <c r="N2069" t="s">
        <v>415</v>
      </c>
      <c r="O2069">
        <v>291719</v>
      </c>
      <c r="P2069">
        <v>43561.899305555555</v>
      </c>
      <c r="Q2069">
        <v>43448.56092650463</v>
      </c>
      <c r="R2069">
        <v>2108</v>
      </c>
    </row>
    <row r="2070" spans="1:18" x14ac:dyDescent="0.25">
      <c r="A2070" t="s">
        <v>7127</v>
      </c>
      <c r="B2070" t="s">
        <v>7128</v>
      </c>
      <c r="C2070" t="s">
        <v>7129</v>
      </c>
      <c r="D2070" t="s">
        <v>7129</v>
      </c>
      <c r="E2070" t="s">
        <v>7130</v>
      </c>
      <c r="F2070" t="s">
        <v>91</v>
      </c>
      <c r="G2070" t="s">
        <v>63</v>
      </c>
      <c r="H2070" t="s">
        <v>53</v>
      </c>
      <c r="I2070" t="s">
        <v>3006</v>
      </c>
      <c r="J2070">
        <v>2018</v>
      </c>
      <c r="K2070">
        <v>43698.521897777777</v>
      </c>
      <c r="L2070" t="s">
        <v>466</v>
      </c>
      <c r="M2070" t="s">
        <v>1738</v>
      </c>
      <c r="N2070" t="s">
        <v>1305</v>
      </c>
      <c r="O2070">
        <v>345746</v>
      </c>
      <c r="P2070">
        <v>43698.521897777777</v>
      </c>
      <c r="Q2070">
        <v>43448.625963738428</v>
      </c>
      <c r="R2070">
        <v>2109</v>
      </c>
    </row>
    <row r="2071" spans="1:18" x14ac:dyDescent="0.25">
      <c r="A2071" t="s">
        <v>7131</v>
      </c>
      <c r="B2071" t="s">
        <v>3012</v>
      </c>
      <c r="C2071" t="s">
        <v>7132</v>
      </c>
      <c r="D2071" t="s">
        <v>7132</v>
      </c>
      <c r="E2071" t="s">
        <v>7133</v>
      </c>
      <c r="F2071" t="s">
        <v>91</v>
      </c>
      <c r="G2071" t="s">
        <v>63</v>
      </c>
      <c r="H2071" t="s">
        <v>53</v>
      </c>
      <c r="I2071" t="s">
        <v>3006</v>
      </c>
      <c r="J2071">
        <v>2018</v>
      </c>
      <c r="K2071">
        <v>43698.521897777777</v>
      </c>
      <c r="L2071" t="s">
        <v>466</v>
      </c>
      <c r="M2071" t="s">
        <v>1738</v>
      </c>
      <c r="N2071" t="s">
        <v>1305</v>
      </c>
      <c r="O2071">
        <v>346151</v>
      </c>
      <c r="P2071">
        <v>43698.521897777777</v>
      </c>
      <c r="Q2071">
        <v>43448.627796909721</v>
      </c>
      <c r="R2071">
        <v>2110</v>
      </c>
    </row>
    <row r="2072" spans="1:18" x14ac:dyDescent="0.25">
      <c r="A2072" t="s">
        <v>7134</v>
      </c>
      <c r="B2072" t="s">
        <v>4564</v>
      </c>
      <c r="C2072" t="s">
        <v>7135</v>
      </c>
      <c r="D2072" t="s">
        <v>7135</v>
      </c>
      <c r="E2072" t="s">
        <v>7136</v>
      </c>
      <c r="F2072" t="s">
        <v>253</v>
      </c>
      <c r="G2072" t="s">
        <v>63</v>
      </c>
      <c r="H2072" t="s">
        <v>53</v>
      </c>
      <c r="I2072" t="s">
        <v>3006</v>
      </c>
      <c r="J2072">
        <v>2018</v>
      </c>
      <c r="K2072">
        <v>43698.521897777777</v>
      </c>
      <c r="L2072" t="s">
        <v>466</v>
      </c>
      <c r="M2072" t="s">
        <v>154</v>
      </c>
      <c r="N2072" t="s">
        <v>1305</v>
      </c>
      <c r="O2072">
        <v>339629</v>
      </c>
      <c r="P2072">
        <v>43688.655763888892</v>
      </c>
      <c r="Q2072">
        <v>43453.523424305553</v>
      </c>
      <c r="R2072">
        <v>2111</v>
      </c>
    </row>
    <row r="2073" spans="1:18" x14ac:dyDescent="0.25">
      <c r="A2073" t="s">
        <v>7137</v>
      </c>
      <c r="B2073" t="s">
        <v>4598</v>
      </c>
      <c r="C2073" t="s">
        <v>7138</v>
      </c>
      <c r="D2073" t="s">
        <v>7138</v>
      </c>
      <c r="E2073" t="s">
        <v>7139</v>
      </c>
      <c r="F2073" t="s">
        <v>91</v>
      </c>
      <c r="G2073" t="s">
        <v>63</v>
      </c>
      <c r="H2073" t="s">
        <v>53</v>
      </c>
      <c r="I2073" t="s">
        <v>3006</v>
      </c>
      <c r="J2073">
        <v>2018</v>
      </c>
      <c r="K2073">
        <v>43698.521897777777</v>
      </c>
      <c r="L2073" t="s">
        <v>466</v>
      </c>
      <c r="M2073" t="s">
        <v>154</v>
      </c>
      <c r="N2073" t="s">
        <v>1305</v>
      </c>
      <c r="O2073">
        <v>343146</v>
      </c>
      <c r="P2073">
        <v>43695.776990740742</v>
      </c>
      <c r="Q2073">
        <v>43453.554515972224</v>
      </c>
      <c r="R2073">
        <v>2112</v>
      </c>
    </row>
    <row r="2074" spans="1:18" x14ac:dyDescent="0.25">
      <c r="A2074" t="s">
        <v>7140</v>
      </c>
      <c r="B2074" t="s">
        <v>4151</v>
      </c>
      <c r="C2074" t="s">
        <v>7141</v>
      </c>
      <c r="D2074" t="s">
        <v>7141</v>
      </c>
      <c r="E2074" t="s">
        <v>7142</v>
      </c>
      <c r="F2074" t="s">
        <v>91</v>
      </c>
      <c r="G2074" t="s">
        <v>63</v>
      </c>
      <c r="H2074" t="s">
        <v>53</v>
      </c>
      <c r="I2074" t="s">
        <v>3006</v>
      </c>
      <c r="J2074">
        <v>2018</v>
      </c>
      <c r="K2074">
        <v>43698.521897777777</v>
      </c>
      <c r="L2074" t="s">
        <v>466</v>
      </c>
      <c r="M2074" t="s">
        <v>154</v>
      </c>
      <c r="N2074" t="s">
        <v>415</v>
      </c>
      <c r="O2074">
        <v>344668</v>
      </c>
      <c r="P2074">
        <v>43698.521897777777</v>
      </c>
      <c r="Q2074">
        <v>43453.594989814817</v>
      </c>
      <c r="R2074">
        <v>2113</v>
      </c>
    </row>
    <row r="2075" spans="1:18" x14ac:dyDescent="0.25">
      <c r="A2075" t="s">
        <v>7143</v>
      </c>
      <c r="B2075" t="s">
        <v>4500</v>
      </c>
      <c r="C2075" t="s">
        <v>7144</v>
      </c>
      <c r="D2075" t="s">
        <v>7144</v>
      </c>
      <c r="E2075" t="s">
        <v>7145</v>
      </c>
      <c r="F2075" t="s">
        <v>91</v>
      </c>
      <c r="G2075" t="s">
        <v>63</v>
      </c>
      <c r="H2075" t="s">
        <v>53</v>
      </c>
      <c r="I2075" t="s">
        <v>3006</v>
      </c>
      <c r="J2075">
        <v>2018</v>
      </c>
      <c r="K2075">
        <v>43698.521897777777</v>
      </c>
      <c r="L2075" t="s">
        <v>466</v>
      </c>
      <c r="M2075" t="s">
        <v>154</v>
      </c>
      <c r="N2075" t="s">
        <v>1305</v>
      </c>
      <c r="O2075">
        <v>347135</v>
      </c>
      <c r="P2075">
        <v>43698.521897777777</v>
      </c>
      <c r="Q2075">
        <v>43453.596936030095</v>
      </c>
      <c r="R2075">
        <v>2114</v>
      </c>
    </row>
    <row r="2076" spans="1:18" x14ac:dyDescent="0.25">
      <c r="A2076" t="s">
        <v>7146</v>
      </c>
      <c r="B2076" t="s">
        <v>3044</v>
      </c>
      <c r="C2076" t="s">
        <v>7147</v>
      </c>
      <c r="D2076" t="s">
        <v>7147</v>
      </c>
      <c r="E2076" t="s">
        <v>7148</v>
      </c>
      <c r="F2076" t="s">
        <v>21</v>
      </c>
      <c r="G2076" t="s">
        <v>22</v>
      </c>
      <c r="H2076" t="s">
        <v>53</v>
      </c>
      <c r="I2076" t="s">
        <v>3006</v>
      </c>
      <c r="J2076">
        <v>2018</v>
      </c>
      <c r="K2076">
        <v>43698.521897777777</v>
      </c>
      <c r="L2076" t="s">
        <v>25</v>
      </c>
      <c r="M2076" t="s">
        <v>154</v>
      </c>
      <c r="N2076" t="s">
        <v>1305</v>
      </c>
      <c r="O2076">
        <v>275985</v>
      </c>
      <c r="P2076">
        <v>43525.781944444447</v>
      </c>
      <c r="Q2076">
        <v>43453.598342557867</v>
      </c>
      <c r="R2076">
        <v>2115</v>
      </c>
    </row>
    <row r="2077" spans="1:18" x14ac:dyDescent="0.25">
      <c r="A2077" t="s">
        <v>7149</v>
      </c>
      <c r="B2077" t="s">
        <v>4463</v>
      </c>
      <c r="C2077" t="s">
        <v>7150</v>
      </c>
      <c r="D2077" t="s">
        <v>7150</v>
      </c>
      <c r="E2077" t="s">
        <v>7151</v>
      </c>
      <c r="F2077" t="s">
        <v>91</v>
      </c>
      <c r="G2077" t="s">
        <v>63</v>
      </c>
      <c r="H2077" t="s">
        <v>53</v>
      </c>
      <c r="I2077" t="s">
        <v>3006</v>
      </c>
      <c r="J2077">
        <v>2018</v>
      </c>
      <c r="K2077">
        <v>43698.521897777777</v>
      </c>
      <c r="L2077" t="s">
        <v>466</v>
      </c>
      <c r="M2077" t="s">
        <v>154</v>
      </c>
      <c r="N2077" t="s">
        <v>1305</v>
      </c>
      <c r="O2077">
        <v>345812</v>
      </c>
      <c r="P2077">
        <v>43698.521897777777</v>
      </c>
      <c r="Q2077">
        <v>43454.486704861112</v>
      </c>
      <c r="R2077">
        <v>2116</v>
      </c>
    </row>
    <row r="2078" spans="1:18" x14ac:dyDescent="0.25">
      <c r="A2078" t="s">
        <v>7152</v>
      </c>
      <c r="B2078" t="s">
        <v>4299</v>
      </c>
      <c r="C2078" t="s">
        <v>7153</v>
      </c>
      <c r="D2078" t="s">
        <v>7153</v>
      </c>
      <c r="E2078" t="s">
        <v>7154</v>
      </c>
      <c r="F2078" t="s">
        <v>91</v>
      </c>
      <c r="G2078" t="s">
        <v>63</v>
      </c>
      <c r="H2078" t="s">
        <v>53</v>
      </c>
      <c r="I2078" t="s">
        <v>3006</v>
      </c>
      <c r="J2078">
        <v>2018</v>
      </c>
      <c r="K2078">
        <v>43698.521897777777</v>
      </c>
      <c r="L2078" t="s">
        <v>466</v>
      </c>
      <c r="M2078" t="s">
        <v>154</v>
      </c>
      <c r="N2078" t="s">
        <v>1305</v>
      </c>
      <c r="O2078">
        <v>346083</v>
      </c>
      <c r="P2078">
        <v>43698.521897777777</v>
      </c>
      <c r="Q2078">
        <v>43454.488208645831</v>
      </c>
      <c r="R2078">
        <v>2117</v>
      </c>
    </row>
    <row r="2079" spans="1:18" x14ac:dyDescent="0.25">
      <c r="A2079" t="s">
        <v>7155</v>
      </c>
      <c r="B2079" t="s">
        <v>3484</v>
      </c>
      <c r="C2079" t="s">
        <v>7156</v>
      </c>
      <c r="D2079" t="s">
        <v>7156</v>
      </c>
      <c r="E2079" t="s">
        <v>7157</v>
      </c>
      <c r="F2079" t="s">
        <v>91</v>
      </c>
      <c r="G2079" t="s">
        <v>63</v>
      </c>
      <c r="H2079" t="s">
        <v>53</v>
      </c>
      <c r="I2079" t="s">
        <v>3006</v>
      </c>
      <c r="J2079">
        <v>2018</v>
      </c>
      <c r="K2079">
        <v>43698.521897777777</v>
      </c>
      <c r="L2079" t="s">
        <v>466</v>
      </c>
      <c r="M2079" t="s">
        <v>154</v>
      </c>
      <c r="N2079" t="s">
        <v>1305</v>
      </c>
      <c r="O2079">
        <v>345766</v>
      </c>
      <c r="P2079">
        <v>43698.521897777777</v>
      </c>
      <c r="Q2079">
        <v>43454.490230358795</v>
      </c>
      <c r="R2079">
        <v>2118</v>
      </c>
    </row>
    <row r="2080" spans="1:18" x14ac:dyDescent="0.25">
      <c r="A2080" t="s">
        <v>7158</v>
      </c>
      <c r="B2080" t="s">
        <v>4586</v>
      </c>
      <c r="C2080" t="s">
        <v>7159</v>
      </c>
      <c r="D2080" t="s">
        <v>7159</v>
      </c>
      <c r="E2080" t="s">
        <v>7160</v>
      </c>
      <c r="F2080" t="s">
        <v>91</v>
      </c>
      <c r="G2080" t="s">
        <v>63</v>
      </c>
      <c r="H2080" t="s">
        <v>53</v>
      </c>
      <c r="I2080" t="s">
        <v>3006</v>
      </c>
      <c r="J2080">
        <v>2018</v>
      </c>
      <c r="K2080">
        <v>43698.521897777777</v>
      </c>
      <c r="L2080" t="s">
        <v>466</v>
      </c>
      <c r="M2080" t="s">
        <v>154</v>
      </c>
      <c r="N2080" t="s">
        <v>1305</v>
      </c>
      <c r="O2080">
        <v>346127</v>
      </c>
      <c r="P2080">
        <v>43698.521897777777</v>
      </c>
      <c r="Q2080">
        <v>43454.491330787037</v>
      </c>
      <c r="R2080">
        <v>2119</v>
      </c>
    </row>
    <row r="2081" spans="1:18" x14ac:dyDescent="0.25">
      <c r="A2081" t="s">
        <v>7161</v>
      </c>
      <c r="B2081" t="s">
        <v>4155</v>
      </c>
      <c r="C2081" t="s">
        <v>7162</v>
      </c>
      <c r="D2081" t="s">
        <v>7162</v>
      </c>
      <c r="E2081" t="s">
        <v>7163</v>
      </c>
      <c r="F2081" t="s">
        <v>91</v>
      </c>
      <c r="G2081" t="s">
        <v>63</v>
      </c>
      <c r="H2081" t="s">
        <v>53</v>
      </c>
      <c r="I2081" t="s">
        <v>3006</v>
      </c>
      <c r="J2081">
        <v>2018</v>
      </c>
      <c r="K2081">
        <v>43698.521897777777</v>
      </c>
      <c r="L2081" t="s">
        <v>466</v>
      </c>
      <c r="M2081" t="s">
        <v>154</v>
      </c>
      <c r="N2081" t="s">
        <v>1305</v>
      </c>
      <c r="O2081">
        <v>343646</v>
      </c>
      <c r="P2081">
        <v>43694.618055555555</v>
      </c>
      <c r="Q2081">
        <v>43454.492439699075</v>
      </c>
      <c r="R2081">
        <v>2120</v>
      </c>
    </row>
    <row r="2082" spans="1:18" x14ac:dyDescent="0.25">
      <c r="A2082" t="s">
        <v>7164</v>
      </c>
      <c r="B2082" t="s">
        <v>4528</v>
      </c>
      <c r="C2082" t="s">
        <v>7165</v>
      </c>
      <c r="D2082" t="s">
        <v>7165</v>
      </c>
      <c r="E2082" t="s">
        <v>7166</v>
      </c>
      <c r="F2082" t="s">
        <v>91</v>
      </c>
      <c r="G2082" t="s">
        <v>63</v>
      </c>
      <c r="H2082" t="s">
        <v>53</v>
      </c>
      <c r="I2082" t="s">
        <v>3006</v>
      </c>
      <c r="J2082">
        <v>2018</v>
      </c>
      <c r="K2082">
        <v>43698.521897777777</v>
      </c>
      <c r="L2082" t="s">
        <v>466</v>
      </c>
      <c r="M2082" t="s">
        <v>154</v>
      </c>
      <c r="N2082" t="s">
        <v>1305</v>
      </c>
      <c r="O2082">
        <v>342722</v>
      </c>
      <c r="P2082">
        <v>43693.12939814815</v>
      </c>
      <c r="Q2082">
        <v>43454.493737002318</v>
      </c>
      <c r="R2082">
        <v>2121</v>
      </c>
    </row>
    <row r="2083" spans="1:18" x14ac:dyDescent="0.25">
      <c r="A2083" t="s">
        <v>7167</v>
      </c>
      <c r="B2083" t="s">
        <v>6785</v>
      </c>
      <c r="C2083" t="s">
        <v>7168</v>
      </c>
      <c r="D2083" t="s">
        <v>7168</v>
      </c>
      <c r="E2083" t="s">
        <v>7169</v>
      </c>
      <c r="F2083" t="s">
        <v>91</v>
      </c>
      <c r="G2083" t="s">
        <v>22</v>
      </c>
      <c r="H2083" t="s">
        <v>53</v>
      </c>
      <c r="I2083" t="s">
        <v>3006</v>
      </c>
      <c r="J2083">
        <v>2019</v>
      </c>
      <c r="K2083">
        <v>43698.521897777777</v>
      </c>
      <c r="L2083" t="s">
        <v>1809</v>
      </c>
      <c r="M2083" t="s">
        <v>154</v>
      </c>
      <c r="N2083" t="s">
        <v>1305</v>
      </c>
      <c r="O2083">
        <v>346825</v>
      </c>
      <c r="P2083">
        <v>43698.521897777777</v>
      </c>
      <c r="Q2083">
        <v>43454.505557835648</v>
      </c>
      <c r="R2083">
        <v>2122</v>
      </c>
    </row>
    <row r="2084" spans="1:18" x14ac:dyDescent="0.25">
      <c r="A2084" t="s">
        <v>7170</v>
      </c>
      <c r="B2084" t="s">
        <v>6793</v>
      </c>
      <c r="C2084" t="s">
        <v>7171</v>
      </c>
      <c r="D2084" t="s">
        <v>7171</v>
      </c>
      <c r="E2084" t="s">
        <v>7172</v>
      </c>
      <c r="F2084" t="s">
        <v>91</v>
      </c>
      <c r="G2084" t="s">
        <v>22</v>
      </c>
      <c r="H2084" t="s">
        <v>53</v>
      </c>
      <c r="I2084" t="s">
        <v>3006</v>
      </c>
      <c r="J2084">
        <v>2019</v>
      </c>
      <c r="K2084">
        <v>43698.521897777777</v>
      </c>
      <c r="L2084" t="s">
        <v>1809</v>
      </c>
      <c r="M2084" t="s">
        <v>154</v>
      </c>
      <c r="N2084" t="s">
        <v>1305</v>
      </c>
      <c r="O2084">
        <v>346765</v>
      </c>
      <c r="P2084">
        <v>43698.521897777777</v>
      </c>
      <c r="Q2084">
        <v>43454.507492094905</v>
      </c>
      <c r="R2084">
        <v>2123</v>
      </c>
    </row>
    <row r="2085" spans="1:18" x14ac:dyDescent="0.25">
      <c r="A2085" t="s">
        <v>7173</v>
      </c>
      <c r="B2085" t="s">
        <v>6797</v>
      </c>
      <c r="C2085" t="s">
        <v>7174</v>
      </c>
      <c r="D2085" t="s">
        <v>7174</v>
      </c>
      <c r="E2085" t="s">
        <v>7175</v>
      </c>
      <c r="F2085" t="s">
        <v>91</v>
      </c>
      <c r="G2085" t="s">
        <v>22</v>
      </c>
      <c r="H2085" t="s">
        <v>53</v>
      </c>
      <c r="I2085" t="s">
        <v>3006</v>
      </c>
      <c r="J2085">
        <v>2019</v>
      </c>
      <c r="K2085">
        <v>43698.521897777777</v>
      </c>
      <c r="L2085" t="s">
        <v>1809</v>
      </c>
      <c r="M2085" t="s">
        <v>154</v>
      </c>
      <c r="N2085" t="s">
        <v>1305</v>
      </c>
      <c r="O2085">
        <v>346880</v>
      </c>
      <c r="P2085">
        <v>43698.521897777777</v>
      </c>
      <c r="Q2085">
        <v>43454.511461655093</v>
      </c>
      <c r="R2085">
        <v>2124</v>
      </c>
    </row>
    <row r="2086" spans="1:18" x14ac:dyDescent="0.25">
      <c r="A2086" t="s">
        <v>7176</v>
      </c>
      <c r="B2086" t="s">
        <v>6821</v>
      </c>
      <c r="C2086" t="s">
        <v>7177</v>
      </c>
      <c r="D2086" t="s">
        <v>7177</v>
      </c>
      <c r="E2086" t="s">
        <v>7178</v>
      </c>
      <c r="F2086" t="s">
        <v>91</v>
      </c>
      <c r="G2086" t="s">
        <v>22</v>
      </c>
      <c r="H2086" t="s">
        <v>53</v>
      </c>
      <c r="I2086" t="s">
        <v>3006</v>
      </c>
      <c r="J2086">
        <v>2019</v>
      </c>
      <c r="K2086">
        <v>43698.521897777777</v>
      </c>
      <c r="L2086" t="s">
        <v>1809</v>
      </c>
      <c r="M2086" t="s">
        <v>154</v>
      </c>
      <c r="N2086" t="s">
        <v>1305</v>
      </c>
      <c r="O2086">
        <v>346801</v>
      </c>
      <c r="P2086">
        <v>43698.521897777777</v>
      </c>
      <c r="Q2086">
        <v>43454.51523503472</v>
      </c>
      <c r="R2086">
        <v>2125</v>
      </c>
    </row>
    <row r="2087" spans="1:18" x14ac:dyDescent="0.25">
      <c r="A2087" t="s">
        <v>7179</v>
      </c>
      <c r="B2087" t="s">
        <v>6805</v>
      </c>
      <c r="C2087" t="s">
        <v>7180</v>
      </c>
      <c r="D2087" t="s">
        <v>7180</v>
      </c>
      <c r="E2087" t="s">
        <v>7181</v>
      </c>
      <c r="F2087" t="s">
        <v>91</v>
      </c>
      <c r="G2087" t="s">
        <v>22</v>
      </c>
      <c r="H2087" t="s">
        <v>53</v>
      </c>
      <c r="I2087" t="s">
        <v>3006</v>
      </c>
      <c r="J2087">
        <v>2018</v>
      </c>
      <c r="K2087">
        <v>43698.521897777777</v>
      </c>
      <c r="L2087" t="s">
        <v>1809</v>
      </c>
      <c r="M2087" t="s">
        <v>154</v>
      </c>
      <c r="N2087" t="s">
        <v>1305</v>
      </c>
      <c r="O2087">
        <v>347097</v>
      </c>
      <c r="P2087">
        <v>43698.521897777777</v>
      </c>
      <c r="Q2087">
        <v>43454.517152581022</v>
      </c>
      <c r="R2087">
        <v>2126</v>
      </c>
    </row>
    <row r="2088" spans="1:18" x14ac:dyDescent="0.25">
      <c r="A2088" t="s">
        <v>7182</v>
      </c>
      <c r="B2088" t="s">
        <v>3592</v>
      </c>
      <c r="C2088" t="s">
        <v>7183</v>
      </c>
      <c r="D2088" t="s">
        <v>7183</v>
      </c>
      <c r="E2088" t="s">
        <v>7183</v>
      </c>
      <c r="F2088" t="s">
        <v>21</v>
      </c>
      <c r="G2088" t="s">
        <v>63</v>
      </c>
      <c r="H2088" t="s">
        <v>53</v>
      </c>
      <c r="I2088" t="s">
        <v>3693</v>
      </c>
      <c r="J2088">
        <v>2018</v>
      </c>
      <c r="K2088">
        <v>43698.521897777777</v>
      </c>
      <c r="L2088" t="s">
        <v>1056</v>
      </c>
      <c r="M2088" t="s">
        <v>1941</v>
      </c>
      <c r="N2088" t="s">
        <v>415</v>
      </c>
      <c r="O2088">
        <v>316985</v>
      </c>
      <c r="P2088">
        <v>43626.375</v>
      </c>
      <c r="Q2088">
        <v>43460.43015709491</v>
      </c>
      <c r="R2088">
        <v>2127</v>
      </c>
    </row>
    <row r="2089" spans="1:18" x14ac:dyDescent="0.25">
      <c r="A2089" t="s">
        <v>7184</v>
      </c>
      <c r="B2089" t="s">
        <v>7185</v>
      </c>
      <c r="C2089" t="s">
        <v>7186</v>
      </c>
      <c r="D2089" t="s">
        <v>7186</v>
      </c>
      <c r="E2089" t="s">
        <v>7187</v>
      </c>
      <c r="F2089" t="s">
        <v>21</v>
      </c>
      <c r="G2089" t="s">
        <v>63</v>
      </c>
      <c r="H2089" t="s">
        <v>53</v>
      </c>
      <c r="I2089" t="s">
        <v>7188</v>
      </c>
      <c r="J2089">
        <v>2017</v>
      </c>
      <c r="K2089">
        <v>43698.521897777777</v>
      </c>
      <c r="L2089" t="s">
        <v>25</v>
      </c>
      <c r="M2089" t="s">
        <v>1941</v>
      </c>
      <c r="Q2089">
        <v>43461.771844710645</v>
      </c>
      <c r="R2089">
        <v>2128</v>
      </c>
    </row>
    <row r="2090" spans="1:18" x14ac:dyDescent="0.25">
      <c r="A2090" t="s">
        <v>7189</v>
      </c>
      <c r="B2090" t="s">
        <v>4467</v>
      </c>
      <c r="C2090" t="s">
        <v>7190</v>
      </c>
      <c r="D2090" t="s">
        <v>7190</v>
      </c>
      <c r="E2090" t="s">
        <v>7191</v>
      </c>
      <c r="F2090" t="s">
        <v>91</v>
      </c>
      <c r="G2090" t="s">
        <v>63</v>
      </c>
      <c r="H2090" t="s">
        <v>53</v>
      </c>
      <c r="I2090" t="s">
        <v>471</v>
      </c>
      <c r="J2090">
        <v>2018</v>
      </c>
      <c r="K2090">
        <v>43698.521897777777</v>
      </c>
      <c r="L2090" t="s">
        <v>466</v>
      </c>
      <c r="M2090" t="s">
        <v>154</v>
      </c>
      <c r="N2090" t="s">
        <v>1305</v>
      </c>
      <c r="O2090">
        <v>343234</v>
      </c>
      <c r="P2090">
        <v>43695.768217592595</v>
      </c>
      <c r="Q2090">
        <v>43461.977525578703</v>
      </c>
      <c r="R2090">
        <v>2129</v>
      </c>
    </row>
    <row r="2091" spans="1:18" x14ac:dyDescent="0.25">
      <c r="A2091" t="s">
        <v>7192</v>
      </c>
      <c r="B2091" t="s">
        <v>4163</v>
      </c>
      <c r="C2091" t="s">
        <v>7193</v>
      </c>
      <c r="D2091" t="s">
        <v>7193</v>
      </c>
      <c r="E2091" t="s">
        <v>7194</v>
      </c>
      <c r="F2091" t="s">
        <v>91</v>
      </c>
      <c r="G2091" t="s">
        <v>63</v>
      </c>
      <c r="H2091" t="s">
        <v>53</v>
      </c>
      <c r="I2091" t="s">
        <v>471</v>
      </c>
      <c r="J2091">
        <v>2018</v>
      </c>
      <c r="K2091">
        <v>43698.521897777777</v>
      </c>
      <c r="L2091" t="s">
        <v>466</v>
      </c>
      <c r="M2091" t="s">
        <v>154</v>
      </c>
      <c r="N2091" t="s">
        <v>1305</v>
      </c>
      <c r="O2091">
        <v>345853</v>
      </c>
      <c r="P2091">
        <v>43698.521897777777</v>
      </c>
      <c r="Q2091">
        <v>43461.978938113425</v>
      </c>
      <c r="R2091">
        <v>2130</v>
      </c>
    </row>
    <row r="2092" spans="1:18" x14ac:dyDescent="0.25">
      <c r="A2092" t="s">
        <v>7195</v>
      </c>
      <c r="B2092" t="s">
        <v>4536</v>
      </c>
      <c r="C2092" t="s">
        <v>7196</v>
      </c>
      <c r="D2092" t="s">
        <v>7196</v>
      </c>
      <c r="E2092" t="s">
        <v>7197</v>
      </c>
      <c r="F2092" t="s">
        <v>91</v>
      </c>
      <c r="G2092" t="s">
        <v>63</v>
      </c>
      <c r="H2092" t="s">
        <v>53</v>
      </c>
      <c r="I2092" t="s">
        <v>471</v>
      </c>
      <c r="J2092">
        <v>2018</v>
      </c>
      <c r="K2092">
        <v>43698.521897777777</v>
      </c>
      <c r="L2092" t="s">
        <v>466</v>
      </c>
      <c r="M2092" t="s">
        <v>154</v>
      </c>
      <c r="N2092" t="s">
        <v>1305</v>
      </c>
      <c r="O2092">
        <v>345830</v>
      </c>
      <c r="P2092">
        <v>43698.521897777777</v>
      </c>
      <c r="Q2092">
        <v>43461.980217789351</v>
      </c>
      <c r="R2092">
        <v>2131</v>
      </c>
    </row>
    <row r="2093" spans="1:18" x14ac:dyDescent="0.25">
      <c r="A2093" t="s">
        <v>7198</v>
      </c>
      <c r="B2093" t="s">
        <v>3492</v>
      </c>
      <c r="C2093" t="s">
        <v>7199</v>
      </c>
      <c r="D2093" t="s">
        <v>7199</v>
      </c>
      <c r="E2093" t="s">
        <v>7200</v>
      </c>
      <c r="F2093" t="s">
        <v>91</v>
      </c>
      <c r="G2093" t="s">
        <v>63</v>
      </c>
      <c r="H2093" t="s">
        <v>53</v>
      </c>
      <c r="I2093" t="s">
        <v>471</v>
      </c>
      <c r="J2093">
        <v>2018</v>
      </c>
      <c r="K2093">
        <v>43698.521897777777</v>
      </c>
      <c r="L2093" t="s">
        <v>466</v>
      </c>
      <c r="M2093" t="s">
        <v>154</v>
      </c>
      <c r="N2093" t="s">
        <v>1305</v>
      </c>
      <c r="O2093">
        <v>346750</v>
      </c>
      <c r="P2093">
        <v>43698.521897777777</v>
      </c>
      <c r="Q2093">
        <v>43461.981726307873</v>
      </c>
      <c r="R2093">
        <v>2132</v>
      </c>
    </row>
    <row r="2094" spans="1:18" x14ac:dyDescent="0.25">
      <c r="A2094" t="s">
        <v>7201</v>
      </c>
      <c r="B2094" t="s">
        <v>4159</v>
      </c>
      <c r="C2094" t="s">
        <v>7202</v>
      </c>
      <c r="D2094" t="s">
        <v>7202</v>
      </c>
      <c r="E2094" t="s">
        <v>7203</v>
      </c>
      <c r="F2094" t="s">
        <v>91</v>
      </c>
      <c r="G2094" t="s">
        <v>63</v>
      </c>
      <c r="H2094" t="s">
        <v>53</v>
      </c>
      <c r="I2094" t="s">
        <v>471</v>
      </c>
      <c r="J2094">
        <v>2018</v>
      </c>
      <c r="K2094">
        <v>43698.521897777777</v>
      </c>
      <c r="L2094" t="s">
        <v>466</v>
      </c>
      <c r="M2094" t="s">
        <v>154</v>
      </c>
      <c r="N2094" t="s">
        <v>1305</v>
      </c>
      <c r="O2094">
        <v>346104</v>
      </c>
      <c r="P2094">
        <v>43698.521897777777</v>
      </c>
      <c r="Q2094">
        <v>43461.982692129626</v>
      </c>
      <c r="R2094">
        <v>2133</v>
      </c>
    </row>
    <row r="2095" spans="1:18" x14ac:dyDescent="0.25">
      <c r="A2095" t="s">
        <v>7204</v>
      </c>
      <c r="B2095" t="s">
        <v>6550</v>
      </c>
      <c r="C2095" t="s">
        <v>7205</v>
      </c>
      <c r="D2095" t="s">
        <v>7205</v>
      </c>
      <c r="E2095" t="s">
        <v>7206</v>
      </c>
      <c r="F2095" t="s">
        <v>253</v>
      </c>
      <c r="G2095" t="s">
        <v>63</v>
      </c>
      <c r="H2095" t="s">
        <v>34</v>
      </c>
      <c r="I2095" t="s">
        <v>35</v>
      </c>
      <c r="J2095">
        <v>2019</v>
      </c>
      <c r="K2095">
        <v>43698.521897777777</v>
      </c>
      <c r="L2095" t="s">
        <v>466</v>
      </c>
      <c r="M2095" t="s">
        <v>154</v>
      </c>
      <c r="N2095" t="s">
        <v>1305</v>
      </c>
      <c r="O2095">
        <v>345767</v>
      </c>
      <c r="P2095">
        <v>43698.521897777777</v>
      </c>
      <c r="Q2095">
        <v>43461.983894444442</v>
      </c>
      <c r="R2095">
        <v>2134</v>
      </c>
    </row>
    <row r="2096" spans="1:18" x14ac:dyDescent="0.25">
      <c r="A2096" t="s">
        <v>7207</v>
      </c>
      <c r="B2096" t="s">
        <v>7208</v>
      </c>
      <c r="C2096" t="s">
        <v>7209</v>
      </c>
      <c r="D2096" t="s">
        <v>7209</v>
      </c>
      <c r="E2096" t="s">
        <v>7210</v>
      </c>
      <c r="F2096" t="s">
        <v>253</v>
      </c>
      <c r="G2096" t="s">
        <v>22</v>
      </c>
      <c r="H2096" t="s">
        <v>520</v>
      </c>
      <c r="I2096" t="s">
        <v>521</v>
      </c>
      <c r="J2096">
        <v>2018</v>
      </c>
      <c r="K2096">
        <v>43698.521897777777</v>
      </c>
      <c r="L2096" t="s">
        <v>466</v>
      </c>
      <c r="M2096" t="s">
        <v>154</v>
      </c>
      <c r="N2096" t="s">
        <v>523</v>
      </c>
      <c r="Q2096">
        <v>43462.514401354165</v>
      </c>
      <c r="R2096">
        <v>2135</v>
      </c>
    </row>
    <row r="2097" spans="1:18" x14ac:dyDescent="0.25">
      <c r="A2097" t="s">
        <v>7211</v>
      </c>
      <c r="B2097" t="s">
        <v>7212</v>
      </c>
      <c r="C2097" t="s">
        <v>7213</v>
      </c>
      <c r="D2097" t="s">
        <v>7213</v>
      </c>
      <c r="E2097" t="s">
        <v>7214</v>
      </c>
      <c r="F2097" t="s">
        <v>253</v>
      </c>
      <c r="G2097" t="s">
        <v>22</v>
      </c>
      <c r="H2097" t="s">
        <v>520</v>
      </c>
      <c r="I2097" t="s">
        <v>521</v>
      </c>
      <c r="J2097">
        <v>2018</v>
      </c>
      <c r="K2097">
        <v>43698.521897777777</v>
      </c>
      <c r="L2097" t="s">
        <v>522</v>
      </c>
      <c r="M2097" t="s">
        <v>154</v>
      </c>
      <c r="N2097" t="s">
        <v>523</v>
      </c>
      <c r="Q2097">
        <v>43462.515647187502</v>
      </c>
      <c r="R2097">
        <v>2136</v>
      </c>
    </row>
    <row r="2098" spans="1:18" x14ac:dyDescent="0.25">
      <c r="A2098" t="s">
        <v>7215</v>
      </c>
      <c r="B2098" t="s">
        <v>2016</v>
      </c>
      <c r="C2098" t="s">
        <v>7216</v>
      </c>
      <c r="D2098" t="s">
        <v>7216</v>
      </c>
      <c r="E2098" t="s">
        <v>7216</v>
      </c>
      <c r="F2098" t="s">
        <v>91</v>
      </c>
      <c r="G2098" t="s">
        <v>63</v>
      </c>
      <c r="H2098" t="s">
        <v>53</v>
      </c>
      <c r="I2098" t="s">
        <v>471</v>
      </c>
      <c r="J2098">
        <v>2012</v>
      </c>
      <c r="K2098">
        <v>43698.521897777777</v>
      </c>
      <c r="L2098" t="s">
        <v>466</v>
      </c>
      <c r="M2098" t="s">
        <v>154</v>
      </c>
      <c r="N2098" t="s">
        <v>1305</v>
      </c>
      <c r="O2098">
        <v>347150</v>
      </c>
      <c r="P2098">
        <v>43698.521897777777</v>
      </c>
      <c r="Q2098">
        <v>43467.523255671294</v>
      </c>
      <c r="R2098">
        <v>2137</v>
      </c>
    </row>
    <row r="2099" spans="1:18" x14ac:dyDescent="0.25">
      <c r="A2099" t="s">
        <v>7217</v>
      </c>
      <c r="B2099" t="s">
        <v>7218</v>
      </c>
      <c r="C2099" t="s">
        <v>7219</v>
      </c>
      <c r="D2099" t="s">
        <v>7219</v>
      </c>
      <c r="E2099" t="s">
        <v>7219</v>
      </c>
      <c r="F2099" t="s">
        <v>91</v>
      </c>
      <c r="G2099" t="s">
        <v>63</v>
      </c>
      <c r="H2099" t="s">
        <v>53</v>
      </c>
      <c r="I2099" t="s">
        <v>471</v>
      </c>
      <c r="J2099">
        <v>2014</v>
      </c>
      <c r="K2099">
        <v>43698.521897777777</v>
      </c>
      <c r="L2099" t="s">
        <v>466</v>
      </c>
      <c r="M2099" t="s">
        <v>154</v>
      </c>
      <c r="N2099" t="s">
        <v>1305</v>
      </c>
      <c r="O2099">
        <v>344205</v>
      </c>
      <c r="P2099">
        <v>43695.703344907408</v>
      </c>
      <c r="Q2099">
        <v>43467.528016354168</v>
      </c>
      <c r="R2099">
        <v>2138</v>
      </c>
    </row>
    <row r="2100" spans="1:18" x14ac:dyDescent="0.25">
      <c r="A2100" t="s">
        <v>7220</v>
      </c>
      <c r="B2100" t="s">
        <v>6514</v>
      </c>
      <c r="C2100" t="s">
        <v>7147</v>
      </c>
      <c r="D2100" t="s">
        <v>7147</v>
      </c>
      <c r="E2100" t="s">
        <v>7221</v>
      </c>
      <c r="F2100" t="s">
        <v>91</v>
      </c>
      <c r="G2100" t="s">
        <v>63</v>
      </c>
      <c r="H2100" t="s">
        <v>34</v>
      </c>
      <c r="I2100" t="s">
        <v>35</v>
      </c>
      <c r="J2100">
        <v>2019</v>
      </c>
      <c r="K2100">
        <v>43698.521897777777</v>
      </c>
      <c r="L2100" t="s">
        <v>466</v>
      </c>
      <c r="M2100" t="s">
        <v>154</v>
      </c>
      <c r="N2100" t="s">
        <v>1305</v>
      </c>
      <c r="O2100">
        <v>343210</v>
      </c>
      <c r="P2100">
        <v>43695.755798611113</v>
      </c>
      <c r="Q2100">
        <v>43470.752139351855</v>
      </c>
      <c r="R2100">
        <v>2139</v>
      </c>
    </row>
    <row r="2101" spans="1:18" x14ac:dyDescent="0.25">
      <c r="A2101" t="s">
        <v>7222</v>
      </c>
      <c r="B2101" t="s">
        <v>6518</v>
      </c>
      <c r="C2101" t="s">
        <v>7223</v>
      </c>
      <c r="D2101" t="s">
        <v>7223</v>
      </c>
      <c r="E2101" t="s">
        <v>7224</v>
      </c>
      <c r="F2101" t="s">
        <v>91</v>
      </c>
      <c r="G2101" t="s">
        <v>63</v>
      </c>
      <c r="H2101" t="s">
        <v>34</v>
      </c>
      <c r="I2101" t="s">
        <v>35</v>
      </c>
      <c r="J2101">
        <v>2019</v>
      </c>
      <c r="K2101">
        <v>43698.521897777777</v>
      </c>
      <c r="L2101" t="s">
        <v>466</v>
      </c>
      <c r="M2101" t="s">
        <v>154</v>
      </c>
      <c r="N2101" t="s">
        <v>1305</v>
      </c>
      <c r="O2101">
        <v>346098</v>
      </c>
      <c r="P2101">
        <v>43698.521897777777</v>
      </c>
      <c r="Q2101">
        <v>43470.752977118056</v>
      </c>
      <c r="R2101">
        <v>2140</v>
      </c>
    </row>
    <row r="2102" spans="1:18" x14ac:dyDescent="0.25">
      <c r="A2102" t="s">
        <v>7225</v>
      </c>
      <c r="B2102" t="s">
        <v>6522</v>
      </c>
      <c r="C2102" t="s">
        <v>7226</v>
      </c>
      <c r="D2102" t="s">
        <v>7226</v>
      </c>
      <c r="E2102" t="s">
        <v>7227</v>
      </c>
      <c r="F2102" t="s">
        <v>91</v>
      </c>
      <c r="G2102" t="s">
        <v>63</v>
      </c>
      <c r="H2102" t="s">
        <v>34</v>
      </c>
      <c r="I2102" t="s">
        <v>35</v>
      </c>
      <c r="J2102">
        <v>2019</v>
      </c>
      <c r="K2102">
        <v>43698.521897777777</v>
      </c>
      <c r="L2102" t="s">
        <v>466</v>
      </c>
      <c r="M2102" t="s">
        <v>154</v>
      </c>
      <c r="N2102" t="s">
        <v>1305</v>
      </c>
      <c r="O2102">
        <v>346129</v>
      </c>
      <c r="P2102">
        <v>43698.521897777777</v>
      </c>
      <c r="Q2102">
        <v>43470.756960995372</v>
      </c>
      <c r="R2102">
        <v>2141</v>
      </c>
    </row>
    <row r="2103" spans="1:18" x14ac:dyDescent="0.25">
      <c r="A2103" t="s">
        <v>7228</v>
      </c>
      <c r="B2103" t="s">
        <v>6558</v>
      </c>
      <c r="C2103" t="s">
        <v>7229</v>
      </c>
      <c r="D2103" t="s">
        <v>7229</v>
      </c>
      <c r="E2103" t="s">
        <v>7230</v>
      </c>
      <c r="F2103" t="s">
        <v>91</v>
      </c>
      <c r="G2103" t="s">
        <v>63</v>
      </c>
      <c r="H2103" t="s">
        <v>34</v>
      </c>
      <c r="I2103" t="s">
        <v>35</v>
      </c>
      <c r="J2103">
        <v>2019</v>
      </c>
      <c r="K2103">
        <v>43698.521897777777</v>
      </c>
      <c r="L2103" t="s">
        <v>466</v>
      </c>
      <c r="M2103" t="s">
        <v>154</v>
      </c>
      <c r="N2103" t="s">
        <v>1305</v>
      </c>
      <c r="O2103">
        <v>345784</v>
      </c>
      <c r="P2103">
        <v>43698.521897777777</v>
      </c>
      <c r="Q2103">
        <v>43470.758595717591</v>
      </c>
      <c r="R2103">
        <v>2142</v>
      </c>
    </row>
    <row r="2104" spans="1:18" x14ac:dyDescent="0.25">
      <c r="A2104" t="s">
        <v>7231</v>
      </c>
      <c r="B2104" t="s">
        <v>4215</v>
      </c>
      <c r="C2104" t="s">
        <v>7232</v>
      </c>
      <c r="D2104" t="s">
        <v>7232</v>
      </c>
      <c r="E2104" t="s">
        <v>7233</v>
      </c>
      <c r="F2104" t="s">
        <v>91</v>
      </c>
      <c r="G2104" t="s">
        <v>22</v>
      </c>
      <c r="H2104" t="s">
        <v>53</v>
      </c>
      <c r="I2104" t="s">
        <v>471</v>
      </c>
      <c r="J2104">
        <v>2018</v>
      </c>
      <c r="K2104">
        <v>43698.521897777777</v>
      </c>
      <c r="L2104" t="s">
        <v>466</v>
      </c>
      <c r="M2104" t="s">
        <v>154</v>
      </c>
      <c r="N2104" t="s">
        <v>1305</v>
      </c>
      <c r="O2104">
        <v>345751</v>
      </c>
      <c r="P2104">
        <v>43698.521897777777</v>
      </c>
      <c r="Q2104">
        <v>43470.765437233793</v>
      </c>
      <c r="R2104">
        <v>2143</v>
      </c>
    </row>
    <row r="2105" spans="1:18" x14ac:dyDescent="0.25">
      <c r="A2105" t="s">
        <v>7234</v>
      </c>
      <c r="B2105" t="s">
        <v>4219</v>
      </c>
      <c r="C2105" t="s">
        <v>7235</v>
      </c>
      <c r="D2105" t="s">
        <v>7235</v>
      </c>
      <c r="E2105" t="s">
        <v>7236</v>
      </c>
      <c r="F2105" t="s">
        <v>91</v>
      </c>
      <c r="G2105" t="s">
        <v>63</v>
      </c>
      <c r="H2105" t="s">
        <v>53</v>
      </c>
      <c r="I2105" t="s">
        <v>471</v>
      </c>
      <c r="J2105">
        <v>2018</v>
      </c>
      <c r="K2105">
        <v>43698.521897777777</v>
      </c>
      <c r="L2105" t="s">
        <v>466</v>
      </c>
      <c r="M2105" t="s">
        <v>154</v>
      </c>
      <c r="N2105" t="s">
        <v>1305</v>
      </c>
      <c r="O2105">
        <v>346060</v>
      </c>
      <c r="P2105">
        <v>43698.521897777777</v>
      </c>
      <c r="Q2105">
        <v>43470.766567129627</v>
      </c>
      <c r="R2105">
        <v>2144</v>
      </c>
    </row>
    <row r="2106" spans="1:18" x14ac:dyDescent="0.25">
      <c r="A2106" t="s">
        <v>7237</v>
      </c>
      <c r="B2106" t="s">
        <v>4283</v>
      </c>
      <c r="C2106" t="s">
        <v>7238</v>
      </c>
      <c r="D2106" t="s">
        <v>7238</v>
      </c>
      <c r="E2106" t="s">
        <v>7239</v>
      </c>
      <c r="F2106" t="s">
        <v>91</v>
      </c>
      <c r="G2106" t="s">
        <v>63</v>
      </c>
      <c r="H2106" t="s">
        <v>53</v>
      </c>
      <c r="I2106" t="s">
        <v>471</v>
      </c>
      <c r="J2106">
        <v>2018</v>
      </c>
      <c r="K2106">
        <v>43698.521897777777</v>
      </c>
      <c r="L2106" t="s">
        <v>466</v>
      </c>
      <c r="M2106" t="s">
        <v>154</v>
      </c>
      <c r="N2106" t="s">
        <v>1305</v>
      </c>
      <c r="O2106">
        <v>345922</v>
      </c>
      <c r="P2106">
        <v>43698.521897777777</v>
      </c>
      <c r="Q2106">
        <v>43470.768051388892</v>
      </c>
      <c r="R2106">
        <v>2145</v>
      </c>
    </row>
    <row r="2107" spans="1:18" x14ac:dyDescent="0.25">
      <c r="A2107" t="s">
        <v>7240</v>
      </c>
      <c r="B2107" t="s">
        <v>4556</v>
      </c>
      <c r="C2107" t="s">
        <v>7241</v>
      </c>
      <c r="D2107" t="s">
        <v>7241</v>
      </c>
      <c r="E2107" t="s">
        <v>7242</v>
      </c>
      <c r="F2107" t="s">
        <v>91</v>
      </c>
      <c r="G2107" t="s">
        <v>63</v>
      </c>
      <c r="H2107" t="s">
        <v>53</v>
      </c>
      <c r="I2107" t="s">
        <v>471</v>
      </c>
      <c r="J2107">
        <v>2018</v>
      </c>
      <c r="K2107">
        <v>43698.521897777777</v>
      </c>
      <c r="L2107" t="s">
        <v>466</v>
      </c>
      <c r="M2107" t="s">
        <v>154</v>
      </c>
      <c r="N2107" t="s">
        <v>1305</v>
      </c>
      <c r="O2107">
        <v>346137</v>
      </c>
      <c r="P2107">
        <v>43698.521897777777</v>
      </c>
      <c r="Q2107">
        <v>43470.768899305556</v>
      </c>
      <c r="R2107">
        <v>2146</v>
      </c>
    </row>
    <row r="2108" spans="1:18" x14ac:dyDescent="0.25">
      <c r="A2108" t="s">
        <v>7243</v>
      </c>
      <c r="B2108" t="s">
        <v>4243</v>
      </c>
      <c r="C2108" t="s">
        <v>7244</v>
      </c>
      <c r="D2108" t="s">
        <v>7244</v>
      </c>
      <c r="E2108" t="s">
        <v>7245</v>
      </c>
      <c r="F2108" t="s">
        <v>91</v>
      </c>
      <c r="G2108" t="s">
        <v>63</v>
      </c>
      <c r="H2108" t="s">
        <v>53</v>
      </c>
      <c r="I2108" t="s">
        <v>471</v>
      </c>
      <c r="J2108">
        <v>2018</v>
      </c>
      <c r="K2108">
        <v>43698.521897777777</v>
      </c>
      <c r="L2108" t="s">
        <v>466</v>
      </c>
      <c r="M2108" t="s">
        <v>154</v>
      </c>
      <c r="N2108" t="s">
        <v>1305</v>
      </c>
      <c r="O2108">
        <v>344712</v>
      </c>
      <c r="P2108">
        <v>43695.7971875</v>
      </c>
      <c r="Q2108">
        <v>43470.773127777778</v>
      </c>
      <c r="R2108">
        <v>2147</v>
      </c>
    </row>
    <row r="2109" spans="1:18" x14ac:dyDescent="0.25">
      <c r="A2109" t="s">
        <v>7246</v>
      </c>
      <c r="B2109" t="s">
        <v>6562</v>
      </c>
      <c r="C2109" t="s">
        <v>7247</v>
      </c>
      <c r="D2109" t="s">
        <v>7247</v>
      </c>
      <c r="E2109" t="s">
        <v>7248</v>
      </c>
      <c r="F2109" t="s">
        <v>91</v>
      </c>
      <c r="G2109" t="s">
        <v>63</v>
      </c>
      <c r="H2109" t="s">
        <v>34</v>
      </c>
      <c r="I2109" t="s">
        <v>35</v>
      </c>
      <c r="J2109">
        <v>2019</v>
      </c>
      <c r="K2109">
        <v>43698.521897777777</v>
      </c>
      <c r="L2109" t="s">
        <v>466</v>
      </c>
      <c r="M2109" t="s">
        <v>154</v>
      </c>
      <c r="N2109" t="s">
        <v>1305</v>
      </c>
      <c r="O2109">
        <v>345690</v>
      </c>
      <c r="P2109">
        <v>43698.521897777777</v>
      </c>
      <c r="Q2109">
        <v>43470.78147681713</v>
      </c>
      <c r="R2109">
        <v>2148</v>
      </c>
    </row>
    <row r="2110" spans="1:18" x14ac:dyDescent="0.25">
      <c r="A2110" t="s">
        <v>7249</v>
      </c>
      <c r="B2110" t="s">
        <v>7250</v>
      </c>
      <c r="C2110" t="s">
        <v>7251</v>
      </c>
      <c r="D2110" t="s">
        <v>7251</v>
      </c>
      <c r="E2110" t="s">
        <v>7251</v>
      </c>
      <c r="F2110" t="s">
        <v>91</v>
      </c>
      <c r="G2110" t="s">
        <v>63</v>
      </c>
      <c r="H2110" t="s">
        <v>34</v>
      </c>
      <c r="I2110" t="s">
        <v>35</v>
      </c>
      <c r="J2110">
        <v>2016</v>
      </c>
      <c r="K2110">
        <v>43698.521897777777</v>
      </c>
      <c r="L2110" t="s">
        <v>193</v>
      </c>
      <c r="M2110" t="s">
        <v>1941</v>
      </c>
      <c r="N2110" t="s">
        <v>415</v>
      </c>
      <c r="O2110">
        <v>346998</v>
      </c>
      <c r="P2110">
        <v>43698.521897777777</v>
      </c>
      <c r="Q2110">
        <v>43473.655398807867</v>
      </c>
      <c r="R2110">
        <v>2149</v>
      </c>
    </row>
    <row r="2111" spans="1:18" x14ac:dyDescent="0.25">
      <c r="A2111" t="s">
        <v>7252</v>
      </c>
      <c r="B2111" t="s">
        <v>7253</v>
      </c>
      <c r="C2111" t="s">
        <v>7254</v>
      </c>
      <c r="D2111" t="s">
        <v>7254</v>
      </c>
      <c r="E2111" t="s">
        <v>7254</v>
      </c>
      <c r="F2111" t="s">
        <v>91</v>
      </c>
      <c r="G2111" t="s">
        <v>63</v>
      </c>
      <c r="H2111" t="s">
        <v>53</v>
      </c>
      <c r="I2111" t="s">
        <v>7255</v>
      </c>
      <c r="J2111">
        <v>2018</v>
      </c>
      <c r="K2111">
        <v>43698.521897777777</v>
      </c>
      <c r="L2111" t="s">
        <v>466</v>
      </c>
      <c r="M2111" t="s">
        <v>154</v>
      </c>
      <c r="N2111" t="s">
        <v>1305</v>
      </c>
      <c r="O2111">
        <v>347148</v>
      </c>
      <c r="P2111">
        <v>43698.521897777777</v>
      </c>
      <c r="Q2111">
        <v>43476.470743900463</v>
      </c>
      <c r="R2111">
        <v>2150</v>
      </c>
    </row>
    <row r="2112" spans="1:18" x14ac:dyDescent="0.25">
      <c r="A2112" t="s">
        <v>7256</v>
      </c>
      <c r="B2112" t="s">
        <v>7257</v>
      </c>
      <c r="C2112" t="s">
        <v>7258</v>
      </c>
      <c r="D2112" t="s">
        <v>7258</v>
      </c>
      <c r="E2112" t="s">
        <v>7258</v>
      </c>
      <c r="F2112" t="s">
        <v>91</v>
      </c>
      <c r="G2112" t="s">
        <v>63</v>
      </c>
      <c r="H2112" t="s">
        <v>34</v>
      </c>
      <c r="I2112" t="s">
        <v>35</v>
      </c>
      <c r="J2112">
        <v>2015</v>
      </c>
      <c r="K2112">
        <v>43698.521897777777</v>
      </c>
      <c r="L2112" t="s">
        <v>193</v>
      </c>
      <c r="M2112" t="s">
        <v>1941</v>
      </c>
      <c r="N2112" t="s">
        <v>415</v>
      </c>
      <c r="O2112">
        <v>345042</v>
      </c>
      <c r="P2112">
        <v>43698.521897777777</v>
      </c>
      <c r="Q2112">
        <v>43476.497669131946</v>
      </c>
      <c r="R2112">
        <v>2151</v>
      </c>
    </row>
    <row r="2113" spans="1:18" x14ac:dyDescent="0.25">
      <c r="A2113" t="s">
        <v>7259</v>
      </c>
      <c r="B2113" t="s">
        <v>7260</v>
      </c>
      <c r="C2113" t="s">
        <v>7261</v>
      </c>
      <c r="D2113" t="s">
        <v>7261</v>
      </c>
      <c r="E2113" t="s">
        <v>7261</v>
      </c>
      <c r="F2113" t="s">
        <v>91</v>
      </c>
      <c r="G2113" t="s">
        <v>63</v>
      </c>
      <c r="H2113" t="s">
        <v>53</v>
      </c>
      <c r="I2113" t="s">
        <v>471</v>
      </c>
      <c r="J2113">
        <v>2010</v>
      </c>
      <c r="K2113">
        <v>43698.521897777777</v>
      </c>
      <c r="L2113" t="s">
        <v>193</v>
      </c>
      <c r="M2113" t="s">
        <v>1941</v>
      </c>
      <c r="N2113" t="s">
        <v>415</v>
      </c>
      <c r="O2113">
        <v>347075</v>
      </c>
      <c r="P2113">
        <v>43698.521897777777</v>
      </c>
      <c r="Q2113">
        <v>43481.507650266205</v>
      </c>
      <c r="R2113">
        <v>2152</v>
      </c>
    </row>
    <row r="2114" spans="1:18" x14ac:dyDescent="0.25">
      <c r="A2114" t="s">
        <v>7262</v>
      </c>
      <c r="B2114" t="s">
        <v>4745</v>
      </c>
      <c r="C2114" t="s">
        <v>7263</v>
      </c>
      <c r="D2114" t="s">
        <v>7263</v>
      </c>
      <c r="E2114" t="s">
        <v>7263</v>
      </c>
      <c r="F2114" t="s">
        <v>91</v>
      </c>
      <c r="G2114" t="s">
        <v>63</v>
      </c>
      <c r="H2114" t="s">
        <v>34</v>
      </c>
      <c r="I2114" t="s">
        <v>35</v>
      </c>
      <c r="J2114">
        <v>2019</v>
      </c>
      <c r="K2114">
        <v>43698.521897777777</v>
      </c>
      <c r="L2114" t="s">
        <v>1005</v>
      </c>
      <c r="M2114" t="s">
        <v>1941</v>
      </c>
      <c r="N2114" t="s">
        <v>415</v>
      </c>
      <c r="O2114">
        <v>347161</v>
      </c>
      <c r="P2114">
        <v>43698.521897777777</v>
      </c>
      <c r="Q2114">
        <v>43481.508841053241</v>
      </c>
      <c r="R2114">
        <v>2153</v>
      </c>
    </row>
    <row r="2115" spans="1:18" x14ac:dyDescent="0.25">
      <c r="A2115" t="s">
        <v>7264</v>
      </c>
      <c r="B2115" t="s">
        <v>616</v>
      </c>
      <c r="C2115" t="s">
        <v>7265</v>
      </c>
      <c r="D2115" t="s">
        <v>7265</v>
      </c>
      <c r="E2115" t="s">
        <v>7265</v>
      </c>
      <c r="F2115" t="s">
        <v>91</v>
      </c>
      <c r="G2115" t="s">
        <v>63</v>
      </c>
      <c r="H2115" t="s">
        <v>34</v>
      </c>
      <c r="I2115" t="s">
        <v>35</v>
      </c>
      <c r="J2115">
        <v>2014</v>
      </c>
      <c r="K2115">
        <v>43698.521897777777</v>
      </c>
      <c r="L2115" t="s">
        <v>193</v>
      </c>
      <c r="M2115" t="s">
        <v>1941</v>
      </c>
      <c r="N2115" t="s">
        <v>415</v>
      </c>
      <c r="O2115">
        <v>346326</v>
      </c>
      <c r="P2115">
        <v>43697.833333333336</v>
      </c>
      <c r="Q2115">
        <v>43487.595801192132</v>
      </c>
      <c r="R2115">
        <v>2154</v>
      </c>
    </row>
    <row r="2116" spans="1:18" x14ac:dyDescent="0.25">
      <c r="A2116" t="s">
        <v>7266</v>
      </c>
      <c r="B2116" t="s">
        <v>7267</v>
      </c>
      <c r="C2116" t="s">
        <v>7268</v>
      </c>
      <c r="D2116" t="s">
        <v>7268</v>
      </c>
      <c r="E2116" t="s">
        <v>7268</v>
      </c>
      <c r="F2116" t="s">
        <v>21</v>
      </c>
      <c r="G2116" t="s">
        <v>63</v>
      </c>
      <c r="H2116" t="s">
        <v>53</v>
      </c>
      <c r="I2116" t="s">
        <v>3693</v>
      </c>
      <c r="J2116">
        <v>2019</v>
      </c>
      <c r="K2116">
        <v>43698.521897777777</v>
      </c>
      <c r="L2116" t="s">
        <v>25</v>
      </c>
      <c r="M2116" t="s">
        <v>1941</v>
      </c>
      <c r="N2116" t="s">
        <v>415</v>
      </c>
      <c r="O2116">
        <v>270671</v>
      </c>
      <c r="P2116">
        <v>43507.177083333336</v>
      </c>
      <c r="Q2116">
        <v>43487.609408680553</v>
      </c>
      <c r="R2116">
        <v>2155</v>
      </c>
    </row>
    <row r="2117" spans="1:18" x14ac:dyDescent="0.25">
      <c r="A2117" t="s">
        <v>7269</v>
      </c>
      <c r="B2117" t="s">
        <v>7270</v>
      </c>
      <c r="C2117" t="s">
        <v>7271</v>
      </c>
      <c r="D2117" t="s">
        <v>7271</v>
      </c>
      <c r="E2117" t="s">
        <v>7271</v>
      </c>
      <c r="F2117" t="s">
        <v>21</v>
      </c>
      <c r="G2117" t="s">
        <v>63</v>
      </c>
      <c r="H2117" t="s">
        <v>53</v>
      </c>
      <c r="I2117" t="s">
        <v>3693</v>
      </c>
      <c r="J2117">
        <v>2019</v>
      </c>
      <c r="K2117">
        <v>43698.521897777777</v>
      </c>
      <c r="L2117" t="s">
        <v>193</v>
      </c>
      <c r="M2117" t="s">
        <v>1941</v>
      </c>
      <c r="N2117" t="s">
        <v>415</v>
      </c>
      <c r="O2117">
        <v>301370</v>
      </c>
      <c r="P2117">
        <v>43587.06527777778</v>
      </c>
      <c r="Q2117">
        <v>43487.610408645836</v>
      </c>
      <c r="R2117">
        <v>2156</v>
      </c>
    </row>
    <row r="2118" spans="1:18" x14ac:dyDescent="0.25">
      <c r="A2118" t="s">
        <v>7272</v>
      </c>
      <c r="B2118" t="s">
        <v>7273</v>
      </c>
      <c r="C2118" t="s">
        <v>7274</v>
      </c>
      <c r="D2118" t="s">
        <v>7274</v>
      </c>
      <c r="E2118" t="s">
        <v>7274</v>
      </c>
      <c r="F2118" t="s">
        <v>21</v>
      </c>
      <c r="G2118" t="s">
        <v>106</v>
      </c>
      <c r="H2118" t="s">
        <v>53</v>
      </c>
      <c r="I2118" t="s">
        <v>25</v>
      </c>
      <c r="J2118">
        <v>2018</v>
      </c>
      <c r="K2118">
        <v>43698.521897777777</v>
      </c>
      <c r="L2118" t="s">
        <v>25</v>
      </c>
      <c r="M2118" t="s">
        <v>154</v>
      </c>
      <c r="N2118" t="s">
        <v>27</v>
      </c>
      <c r="O2118">
        <v>300464</v>
      </c>
      <c r="P2118">
        <v>43586.944444444445</v>
      </c>
      <c r="Q2118">
        <v>43494.00233422454</v>
      </c>
      <c r="R2118">
        <v>2157</v>
      </c>
    </row>
    <row r="2119" spans="1:18" x14ac:dyDescent="0.25">
      <c r="A2119" t="s">
        <v>7275</v>
      </c>
      <c r="B2119" t="s">
        <v>7276</v>
      </c>
      <c r="C2119" t="s">
        <v>7277</v>
      </c>
      <c r="D2119" t="s">
        <v>7277</v>
      </c>
      <c r="E2119" t="s">
        <v>7277</v>
      </c>
      <c r="F2119" t="s">
        <v>21</v>
      </c>
      <c r="G2119" t="s">
        <v>63</v>
      </c>
      <c r="H2119" t="s">
        <v>34</v>
      </c>
      <c r="I2119" t="s">
        <v>1044</v>
      </c>
      <c r="J2119">
        <v>2012</v>
      </c>
      <c r="K2119">
        <v>43698.521897777777</v>
      </c>
      <c r="L2119" t="s">
        <v>466</v>
      </c>
      <c r="M2119" t="s">
        <v>154</v>
      </c>
      <c r="N2119" t="s">
        <v>1305</v>
      </c>
      <c r="O2119">
        <v>307582</v>
      </c>
      <c r="P2119">
        <v>43604.406944444447</v>
      </c>
      <c r="Q2119">
        <v>43495.512133368058</v>
      </c>
      <c r="R2119">
        <v>2158</v>
      </c>
    </row>
    <row r="2120" spans="1:18" x14ac:dyDescent="0.25">
      <c r="A2120" t="s">
        <v>25</v>
      </c>
      <c r="B2120" t="s">
        <v>25</v>
      </c>
      <c r="C2120" t="s">
        <v>7278</v>
      </c>
      <c r="D2120" t="s">
        <v>7278</v>
      </c>
      <c r="E2120" t="s">
        <v>7279</v>
      </c>
      <c r="F2120" t="s">
        <v>21</v>
      </c>
      <c r="G2120" t="s">
        <v>106</v>
      </c>
      <c r="H2120" t="s">
        <v>25</v>
      </c>
      <c r="I2120" t="s">
        <v>25</v>
      </c>
      <c r="K2120">
        <v>43698.521897777777</v>
      </c>
      <c r="L2120" t="s">
        <v>25</v>
      </c>
      <c r="M2120" t="s">
        <v>42</v>
      </c>
      <c r="N2120" t="s">
        <v>27</v>
      </c>
      <c r="Q2120">
        <v>43496.886444178243</v>
      </c>
      <c r="R2120">
        <v>2159</v>
      </c>
    </row>
    <row r="2121" spans="1:18" x14ac:dyDescent="0.25">
      <c r="A2121" t="s">
        <v>7280</v>
      </c>
      <c r="B2121" t="s">
        <v>7281</v>
      </c>
      <c r="C2121" t="s">
        <v>7282</v>
      </c>
      <c r="D2121" t="s">
        <v>7282</v>
      </c>
      <c r="E2121" t="s">
        <v>7282</v>
      </c>
      <c r="F2121" t="s">
        <v>21</v>
      </c>
      <c r="G2121" t="s">
        <v>63</v>
      </c>
      <c r="H2121" t="s">
        <v>34</v>
      </c>
      <c r="I2121" t="s">
        <v>1044</v>
      </c>
      <c r="J2121">
        <v>2014</v>
      </c>
      <c r="K2121">
        <v>43698.521897777777</v>
      </c>
      <c r="L2121" t="s">
        <v>466</v>
      </c>
      <c r="M2121" t="s">
        <v>154</v>
      </c>
      <c r="N2121" t="s">
        <v>1305</v>
      </c>
      <c r="O2121">
        <v>301155</v>
      </c>
      <c r="P2121">
        <v>43587.731678240743</v>
      </c>
      <c r="Q2121">
        <v>43497.735264583331</v>
      </c>
      <c r="R2121">
        <v>2160</v>
      </c>
    </row>
    <row r="2122" spans="1:18" x14ac:dyDescent="0.25">
      <c r="A2122" t="s">
        <v>25</v>
      </c>
      <c r="B2122" t="s">
        <v>25</v>
      </c>
      <c r="C2122" t="s">
        <v>7283</v>
      </c>
      <c r="D2122" t="s">
        <v>7283</v>
      </c>
      <c r="E2122" t="s">
        <v>7284</v>
      </c>
      <c r="F2122" t="s">
        <v>21</v>
      </c>
      <c r="G2122" t="s">
        <v>106</v>
      </c>
      <c r="H2122" t="s">
        <v>25</v>
      </c>
      <c r="I2122" t="s">
        <v>25</v>
      </c>
      <c r="K2122">
        <v>43698.521897777777</v>
      </c>
      <c r="L2122" t="s">
        <v>25</v>
      </c>
      <c r="M2122" t="s">
        <v>42</v>
      </c>
      <c r="N2122" t="s">
        <v>27</v>
      </c>
      <c r="Q2122">
        <v>43497.891164386572</v>
      </c>
      <c r="R2122">
        <v>2161</v>
      </c>
    </row>
    <row r="2123" spans="1:18" x14ac:dyDescent="0.25">
      <c r="A2123" t="s">
        <v>7285</v>
      </c>
      <c r="B2123" t="s">
        <v>7286</v>
      </c>
      <c r="C2123" t="s">
        <v>7287</v>
      </c>
      <c r="D2123" t="s">
        <v>7287</v>
      </c>
      <c r="E2123" t="s">
        <v>7287</v>
      </c>
      <c r="F2123" t="s">
        <v>91</v>
      </c>
      <c r="G2123" t="s">
        <v>63</v>
      </c>
      <c r="H2123" t="s">
        <v>53</v>
      </c>
      <c r="I2123" t="s">
        <v>471</v>
      </c>
      <c r="J2123">
        <v>2016</v>
      </c>
      <c r="K2123">
        <v>43698.521897777777</v>
      </c>
      <c r="L2123" t="s">
        <v>1660</v>
      </c>
      <c r="M2123" t="s">
        <v>2777</v>
      </c>
      <c r="N2123" t="s">
        <v>415</v>
      </c>
      <c r="O2123">
        <v>346311</v>
      </c>
      <c r="P2123">
        <v>43697.855069444442</v>
      </c>
      <c r="Q2123">
        <v>43500.502139583332</v>
      </c>
      <c r="R2123">
        <v>2162</v>
      </c>
    </row>
    <row r="2124" spans="1:18" x14ac:dyDescent="0.25">
      <c r="A2124" t="s">
        <v>7288</v>
      </c>
      <c r="B2124" t="s">
        <v>3608</v>
      </c>
      <c r="C2124" t="s">
        <v>7289</v>
      </c>
      <c r="D2124" t="s">
        <v>7289</v>
      </c>
      <c r="E2124" t="s">
        <v>7289</v>
      </c>
      <c r="F2124" t="s">
        <v>91</v>
      </c>
      <c r="G2124" t="s">
        <v>63</v>
      </c>
      <c r="H2124" t="s">
        <v>53</v>
      </c>
      <c r="I2124" t="s">
        <v>471</v>
      </c>
      <c r="J2124">
        <v>2016</v>
      </c>
      <c r="K2124">
        <v>43698.521897777777</v>
      </c>
      <c r="L2124" t="s">
        <v>1660</v>
      </c>
      <c r="M2124" t="s">
        <v>2777</v>
      </c>
      <c r="N2124" t="s">
        <v>415</v>
      </c>
      <c r="O2124">
        <v>346708</v>
      </c>
      <c r="P2124">
        <v>43698.521897777777</v>
      </c>
      <c r="Q2124">
        <v>43500.51791195602</v>
      </c>
      <c r="R2124">
        <v>2163</v>
      </c>
    </row>
    <row r="2125" spans="1:18" x14ac:dyDescent="0.25">
      <c r="A2125" t="s">
        <v>7290</v>
      </c>
      <c r="B2125" t="s">
        <v>7291</v>
      </c>
      <c r="C2125" t="s">
        <v>7292</v>
      </c>
      <c r="D2125" t="s">
        <v>7292</v>
      </c>
      <c r="E2125" t="s">
        <v>7292</v>
      </c>
      <c r="F2125" t="s">
        <v>91</v>
      </c>
      <c r="G2125" t="s">
        <v>63</v>
      </c>
      <c r="H2125" t="s">
        <v>53</v>
      </c>
      <c r="I2125" t="s">
        <v>2916</v>
      </c>
      <c r="J2125">
        <v>2012</v>
      </c>
      <c r="K2125">
        <v>43698.521897777777</v>
      </c>
      <c r="L2125" t="s">
        <v>1005</v>
      </c>
      <c r="M2125" t="s">
        <v>1941</v>
      </c>
      <c r="N2125" t="s">
        <v>415</v>
      </c>
      <c r="O2125">
        <v>346929</v>
      </c>
      <c r="P2125">
        <v>43698.521897777777</v>
      </c>
      <c r="Q2125">
        <v>43501.364723344908</v>
      </c>
      <c r="R2125">
        <v>2164</v>
      </c>
    </row>
    <row r="2126" spans="1:18" x14ac:dyDescent="0.25">
      <c r="A2126" t="s">
        <v>25</v>
      </c>
      <c r="B2126" t="s">
        <v>25</v>
      </c>
      <c r="C2126" t="s">
        <v>7293</v>
      </c>
      <c r="D2126" t="s">
        <v>7293</v>
      </c>
      <c r="E2126" t="s">
        <v>7294</v>
      </c>
      <c r="F2126" t="s">
        <v>21</v>
      </c>
      <c r="G2126" t="s">
        <v>106</v>
      </c>
      <c r="H2126" t="s">
        <v>25</v>
      </c>
      <c r="I2126" t="s">
        <v>25</v>
      </c>
      <c r="K2126">
        <v>43698.521897777777</v>
      </c>
      <c r="L2126" t="s">
        <v>25</v>
      </c>
      <c r="M2126" t="s">
        <v>42</v>
      </c>
      <c r="N2126" t="s">
        <v>27</v>
      </c>
      <c r="Q2126">
        <v>43502.520329131941</v>
      </c>
      <c r="R2126">
        <v>2165</v>
      </c>
    </row>
    <row r="2127" spans="1:18" x14ac:dyDescent="0.25">
      <c r="A2127" t="s">
        <v>25</v>
      </c>
      <c r="B2127" t="s">
        <v>25</v>
      </c>
      <c r="C2127" t="s">
        <v>7295</v>
      </c>
      <c r="D2127" t="s">
        <v>7295</v>
      </c>
      <c r="E2127" t="s">
        <v>7296</v>
      </c>
      <c r="F2127" t="s">
        <v>21</v>
      </c>
      <c r="G2127" t="s">
        <v>106</v>
      </c>
      <c r="H2127" t="s">
        <v>25</v>
      </c>
      <c r="I2127" t="s">
        <v>25</v>
      </c>
      <c r="K2127">
        <v>43698.521897777777</v>
      </c>
      <c r="L2127" t="s">
        <v>25</v>
      </c>
      <c r="M2127" t="s">
        <v>42</v>
      </c>
      <c r="N2127" t="s">
        <v>27</v>
      </c>
      <c r="Q2127">
        <v>43502.520700000001</v>
      </c>
      <c r="R2127">
        <v>2166</v>
      </c>
    </row>
    <row r="2128" spans="1:18" x14ac:dyDescent="0.25">
      <c r="A2128" t="s">
        <v>25</v>
      </c>
      <c r="B2128" t="s">
        <v>25</v>
      </c>
      <c r="C2128" t="s">
        <v>7297</v>
      </c>
      <c r="D2128" t="s">
        <v>7297</v>
      </c>
      <c r="E2128" t="s">
        <v>7298</v>
      </c>
      <c r="F2128" t="s">
        <v>21</v>
      </c>
      <c r="G2128" t="s">
        <v>106</v>
      </c>
      <c r="H2128" t="s">
        <v>25</v>
      </c>
      <c r="I2128" t="s">
        <v>25</v>
      </c>
      <c r="K2128">
        <v>43698.521897777777</v>
      </c>
      <c r="L2128" t="s">
        <v>25</v>
      </c>
      <c r="M2128" t="s">
        <v>42</v>
      </c>
      <c r="N2128" t="s">
        <v>27</v>
      </c>
      <c r="Q2128">
        <v>43502.588751122683</v>
      </c>
      <c r="R2128">
        <v>2167</v>
      </c>
    </row>
    <row r="2129" spans="1:18" x14ac:dyDescent="0.25">
      <c r="A2129" t="s">
        <v>7299</v>
      </c>
      <c r="B2129" t="s">
        <v>883</v>
      </c>
      <c r="C2129" t="s">
        <v>7300</v>
      </c>
      <c r="D2129" t="s">
        <v>7300</v>
      </c>
      <c r="E2129" t="s">
        <v>7300</v>
      </c>
      <c r="F2129" t="s">
        <v>21</v>
      </c>
      <c r="G2129" t="s">
        <v>63</v>
      </c>
      <c r="H2129" t="s">
        <v>34</v>
      </c>
      <c r="I2129" t="s">
        <v>35</v>
      </c>
      <c r="J2129">
        <v>2015</v>
      </c>
      <c r="K2129">
        <v>43698.521897777777</v>
      </c>
      <c r="L2129" t="s">
        <v>25</v>
      </c>
      <c r="M2129" t="s">
        <v>42</v>
      </c>
      <c r="N2129" t="s">
        <v>415</v>
      </c>
      <c r="O2129">
        <v>303168</v>
      </c>
      <c r="P2129">
        <v>43591.794444444444</v>
      </c>
      <c r="Q2129">
        <v>43502.613109178237</v>
      </c>
      <c r="R2129">
        <v>2168</v>
      </c>
    </row>
    <row r="2130" spans="1:18" x14ac:dyDescent="0.25">
      <c r="A2130" t="s">
        <v>7301</v>
      </c>
      <c r="B2130" t="s">
        <v>7302</v>
      </c>
      <c r="C2130" t="s">
        <v>7303</v>
      </c>
      <c r="D2130" t="s">
        <v>7303</v>
      </c>
      <c r="E2130" t="s">
        <v>7304</v>
      </c>
      <c r="F2130" t="s">
        <v>91</v>
      </c>
      <c r="G2130" t="s">
        <v>22</v>
      </c>
      <c r="H2130" t="s">
        <v>53</v>
      </c>
      <c r="I2130" t="s">
        <v>3006</v>
      </c>
      <c r="J2130">
        <v>2019</v>
      </c>
      <c r="K2130">
        <v>43698.521897777777</v>
      </c>
      <c r="L2130" t="s">
        <v>1660</v>
      </c>
      <c r="M2130" t="s">
        <v>2777</v>
      </c>
      <c r="N2130" t="s">
        <v>994</v>
      </c>
      <c r="O2130">
        <v>346865</v>
      </c>
      <c r="P2130">
        <v>43698.521897777777</v>
      </c>
      <c r="Q2130">
        <v>43503.346764004629</v>
      </c>
      <c r="R2130">
        <v>2169</v>
      </c>
    </row>
    <row r="2131" spans="1:18" x14ac:dyDescent="0.25">
      <c r="A2131" t="s">
        <v>7305</v>
      </c>
      <c r="B2131" t="s">
        <v>7306</v>
      </c>
      <c r="C2131" t="s">
        <v>7307</v>
      </c>
      <c r="D2131" t="s">
        <v>7307</v>
      </c>
      <c r="E2131" t="s">
        <v>7308</v>
      </c>
      <c r="F2131" t="s">
        <v>91</v>
      </c>
      <c r="G2131" t="s">
        <v>22</v>
      </c>
      <c r="H2131" t="s">
        <v>53</v>
      </c>
      <c r="I2131" t="s">
        <v>3006</v>
      </c>
      <c r="J2131">
        <v>2019</v>
      </c>
      <c r="K2131">
        <v>43698.521897777777</v>
      </c>
      <c r="L2131" t="s">
        <v>1660</v>
      </c>
      <c r="M2131" t="s">
        <v>2777</v>
      </c>
      <c r="N2131" t="s">
        <v>93</v>
      </c>
      <c r="O2131">
        <v>345687</v>
      </c>
      <c r="P2131">
        <v>43698.521897777777</v>
      </c>
      <c r="Q2131">
        <v>43503.347663043984</v>
      </c>
      <c r="R2131">
        <v>2170</v>
      </c>
    </row>
    <row r="2132" spans="1:18" x14ac:dyDescent="0.25">
      <c r="A2132" t="s">
        <v>7309</v>
      </c>
      <c r="B2132" t="s">
        <v>7310</v>
      </c>
      <c r="C2132" t="s">
        <v>7311</v>
      </c>
      <c r="D2132" t="s">
        <v>7311</v>
      </c>
      <c r="E2132" t="s">
        <v>7312</v>
      </c>
      <c r="F2132" t="s">
        <v>91</v>
      </c>
      <c r="G2132" t="s">
        <v>22</v>
      </c>
      <c r="H2132" t="s">
        <v>53</v>
      </c>
      <c r="I2132" t="s">
        <v>3006</v>
      </c>
      <c r="J2132">
        <v>2019</v>
      </c>
      <c r="K2132">
        <v>43698.521897777777</v>
      </c>
      <c r="L2132" t="s">
        <v>1660</v>
      </c>
      <c r="M2132" t="s">
        <v>2777</v>
      </c>
      <c r="N2132" t="s">
        <v>415</v>
      </c>
      <c r="O2132">
        <v>346711</v>
      </c>
      <c r="P2132">
        <v>43698.521897777777</v>
      </c>
      <c r="Q2132">
        <v>43503.354160995368</v>
      </c>
      <c r="R2132">
        <v>2171</v>
      </c>
    </row>
    <row r="2133" spans="1:18" x14ac:dyDescent="0.25">
      <c r="A2133" t="s">
        <v>7313</v>
      </c>
      <c r="B2133" t="s">
        <v>7314</v>
      </c>
      <c r="C2133" t="s">
        <v>7315</v>
      </c>
      <c r="D2133" t="s">
        <v>7315</v>
      </c>
      <c r="E2133" t="s">
        <v>7316</v>
      </c>
      <c r="F2133" t="s">
        <v>91</v>
      </c>
      <c r="G2133" t="s">
        <v>22</v>
      </c>
      <c r="H2133" t="s">
        <v>53</v>
      </c>
      <c r="I2133" t="s">
        <v>3006</v>
      </c>
      <c r="J2133">
        <v>2019</v>
      </c>
      <c r="K2133">
        <v>43698.521897777777</v>
      </c>
      <c r="L2133" t="s">
        <v>1660</v>
      </c>
      <c r="M2133" t="s">
        <v>2777</v>
      </c>
      <c r="N2133" t="s">
        <v>994</v>
      </c>
      <c r="O2133">
        <v>345178</v>
      </c>
      <c r="P2133">
        <v>43694.1875</v>
      </c>
      <c r="Q2133">
        <v>43503.358337118058</v>
      </c>
      <c r="R2133">
        <v>2172</v>
      </c>
    </row>
    <row r="2134" spans="1:18" x14ac:dyDescent="0.25">
      <c r="A2134" t="s">
        <v>7317</v>
      </c>
      <c r="B2134" t="s">
        <v>7318</v>
      </c>
      <c r="C2134" t="s">
        <v>7319</v>
      </c>
      <c r="D2134" t="s">
        <v>7319</v>
      </c>
      <c r="E2134" t="s">
        <v>7320</v>
      </c>
      <c r="F2134" t="s">
        <v>91</v>
      </c>
      <c r="G2134" t="s">
        <v>22</v>
      </c>
      <c r="H2134" t="s">
        <v>53</v>
      </c>
      <c r="I2134" t="s">
        <v>3006</v>
      </c>
      <c r="J2134">
        <v>2019</v>
      </c>
      <c r="K2134">
        <v>43698.521897777777</v>
      </c>
      <c r="L2134" t="s">
        <v>1660</v>
      </c>
      <c r="M2134" t="s">
        <v>2777</v>
      </c>
      <c r="N2134" t="s">
        <v>415</v>
      </c>
      <c r="O2134">
        <v>346393</v>
      </c>
      <c r="P2134">
        <v>43698.521897777777</v>
      </c>
      <c r="Q2134">
        <v>43503.359604594909</v>
      </c>
      <c r="R2134">
        <v>2173</v>
      </c>
    </row>
    <row r="2135" spans="1:18" x14ac:dyDescent="0.25">
      <c r="A2135" t="s">
        <v>7321</v>
      </c>
      <c r="B2135" t="s">
        <v>7322</v>
      </c>
      <c r="C2135" t="s">
        <v>7323</v>
      </c>
      <c r="D2135" t="s">
        <v>7323</v>
      </c>
      <c r="E2135" t="s">
        <v>7324</v>
      </c>
      <c r="F2135" t="s">
        <v>91</v>
      </c>
      <c r="G2135" t="s">
        <v>22</v>
      </c>
      <c r="H2135" t="s">
        <v>53</v>
      </c>
      <c r="I2135" t="s">
        <v>3006</v>
      </c>
      <c r="J2135">
        <v>2019</v>
      </c>
      <c r="K2135">
        <v>43698.521897777777</v>
      </c>
      <c r="L2135" t="s">
        <v>1660</v>
      </c>
      <c r="M2135" t="s">
        <v>2777</v>
      </c>
      <c r="N2135" t="s">
        <v>994</v>
      </c>
      <c r="O2135">
        <v>346863</v>
      </c>
      <c r="P2135">
        <v>43698.521897777777</v>
      </c>
      <c r="Q2135">
        <v>43503.360588425923</v>
      </c>
      <c r="R2135">
        <v>2174</v>
      </c>
    </row>
    <row r="2136" spans="1:18" x14ac:dyDescent="0.25">
      <c r="A2136" t="s">
        <v>7325</v>
      </c>
      <c r="B2136" t="s">
        <v>7326</v>
      </c>
      <c r="C2136" t="s">
        <v>7327</v>
      </c>
      <c r="D2136" t="s">
        <v>7327</v>
      </c>
      <c r="E2136" t="s">
        <v>7328</v>
      </c>
      <c r="F2136" t="s">
        <v>91</v>
      </c>
      <c r="G2136" t="s">
        <v>22</v>
      </c>
      <c r="H2136" t="s">
        <v>53</v>
      </c>
      <c r="I2136" t="s">
        <v>3006</v>
      </c>
      <c r="J2136">
        <v>2019</v>
      </c>
      <c r="K2136">
        <v>43698.521897777777</v>
      </c>
      <c r="L2136" t="s">
        <v>1660</v>
      </c>
      <c r="M2136" t="s">
        <v>2777</v>
      </c>
      <c r="N2136" t="s">
        <v>93</v>
      </c>
      <c r="O2136">
        <v>346723</v>
      </c>
      <c r="P2136">
        <v>43698.521897777777</v>
      </c>
      <c r="Q2136">
        <v>43503.362475844908</v>
      </c>
      <c r="R2136">
        <v>2175</v>
      </c>
    </row>
    <row r="2137" spans="1:18" x14ac:dyDescent="0.25">
      <c r="A2137" t="s">
        <v>7329</v>
      </c>
      <c r="B2137" t="s">
        <v>7330</v>
      </c>
      <c r="C2137" t="s">
        <v>7331</v>
      </c>
      <c r="D2137" t="s">
        <v>7331</v>
      </c>
      <c r="E2137" t="s">
        <v>7332</v>
      </c>
      <c r="F2137" t="s">
        <v>91</v>
      </c>
      <c r="G2137" t="s">
        <v>22</v>
      </c>
      <c r="H2137" t="s">
        <v>53</v>
      </c>
      <c r="I2137" t="s">
        <v>3006</v>
      </c>
      <c r="J2137">
        <v>2019</v>
      </c>
      <c r="K2137">
        <v>43698.521897777777</v>
      </c>
      <c r="L2137" t="s">
        <v>1660</v>
      </c>
      <c r="M2137" t="s">
        <v>2777</v>
      </c>
      <c r="N2137" t="s">
        <v>415</v>
      </c>
      <c r="O2137">
        <v>346854</v>
      </c>
      <c r="P2137">
        <v>43698.521897777777</v>
      </c>
      <c r="Q2137">
        <v>43503.363282789353</v>
      </c>
      <c r="R2137">
        <v>2176</v>
      </c>
    </row>
    <row r="2138" spans="1:18" x14ac:dyDescent="0.25">
      <c r="A2138" t="s">
        <v>7333</v>
      </c>
      <c r="B2138" t="s">
        <v>7334</v>
      </c>
      <c r="C2138" t="s">
        <v>7335</v>
      </c>
      <c r="D2138" t="s">
        <v>7335</v>
      </c>
      <c r="E2138" t="s">
        <v>7336</v>
      </c>
      <c r="F2138" t="s">
        <v>91</v>
      </c>
      <c r="G2138" t="s">
        <v>22</v>
      </c>
      <c r="H2138" t="s">
        <v>53</v>
      </c>
      <c r="I2138" t="s">
        <v>3006</v>
      </c>
      <c r="J2138">
        <v>2019</v>
      </c>
      <c r="K2138">
        <v>43698.521897777777</v>
      </c>
      <c r="L2138" t="s">
        <v>1660</v>
      </c>
      <c r="M2138" t="s">
        <v>2777</v>
      </c>
      <c r="N2138" t="s">
        <v>415</v>
      </c>
      <c r="O2138">
        <v>346746</v>
      </c>
      <c r="P2138">
        <v>43698.521897777777</v>
      </c>
      <c r="Q2138">
        <v>43503.364081053238</v>
      </c>
      <c r="R2138">
        <v>2177</v>
      </c>
    </row>
    <row r="2139" spans="1:18" x14ac:dyDescent="0.25">
      <c r="A2139" t="s">
        <v>7337</v>
      </c>
      <c r="B2139" t="s">
        <v>7338</v>
      </c>
      <c r="C2139" t="s">
        <v>7339</v>
      </c>
      <c r="D2139" t="s">
        <v>7339</v>
      </c>
      <c r="E2139" t="s">
        <v>7340</v>
      </c>
      <c r="F2139" t="s">
        <v>91</v>
      </c>
      <c r="G2139" t="s">
        <v>22</v>
      </c>
      <c r="H2139" t="s">
        <v>53</v>
      </c>
      <c r="I2139" t="s">
        <v>3006</v>
      </c>
      <c r="J2139">
        <v>2019</v>
      </c>
      <c r="K2139">
        <v>43698.521897777777</v>
      </c>
      <c r="L2139" t="s">
        <v>1660</v>
      </c>
      <c r="M2139" t="s">
        <v>2777</v>
      </c>
      <c r="N2139" t="s">
        <v>415</v>
      </c>
      <c r="O2139">
        <v>347090</v>
      </c>
      <c r="P2139">
        <v>43698.521897777777</v>
      </c>
      <c r="Q2139">
        <v>43503.364935879632</v>
      </c>
      <c r="R2139">
        <v>2178</v>
      </c>
    </row>
    <row r="2140" spans="1:18" x14ac:dyDescent="0.25">
      <c r="A2140" t="s">
        <v>7341</v>
      </c>
      <c r="B2140" t="s">
        <v>7342</v>
      </c>
      <c r="C2140" t="s">
        <v>7343</v>
      </c>
      <c r="D2140" t="s">
        <v>7343</v>
      </c>
      <c r="E2140" t="s">
        <v>7344</v>
      </c>
      <c r="F2140" t="s">
        <v>91</v>
      </c>
      <c r="G2140" t="s">
        <v>22</v>
      </c>
      <c r="H2140" t="s">
        <v>998</v>
      </c>
      <c r="I2140" t="s">
        <v>3006</v>
      </c>
      <c r="J2140">
        <v>2019</v>
      </c>
      <c r="K2140">
        <v>43698.521897777777</v>
      </c>
      <c r="L2140" t="s">
        <v>1005</v>
      </c>
      <c r="M2140" t="s">
        <v>37</v>
      </c>
      <c r="N2140" t="s">
        <v>415</v>
      </c>
      <c r="O2140">
        <v>346680</v>
      </c>
      <c r="P2140">
        <v>43698.521897777777</v>
      </c>
      <c r="Q2140">
        <v>43503.366600775465</v>
      </c>
      <c r="R2140">
        <v>2179</v>
      </c>
    </row>
    <row r="2141" spans="1:18" x14ac:dyDescent="0.25">
      <c r="A2141" t="s">
        <v>7345</v>
      </c>
      <c r="B2141" t="s">
        <v>7346</v>
      </c>
      <c r="C2141" t="s">
        <v>7347</v>
      </c>
      <c r="D2141" t="s">
        <v>7347</v>
      </c>
      <c r="E2141" t="s">
        <v>7348</v>
      </c>
      <c r="F2141" t="s">
        <v>91</v>
      </c>
      <c r="G2141" t="s">
        <v>22</v>
      </c>
      <c r="H2141" t="s">
        <v>53</v>
      </c>
      <c r="I2141" t="s">
        <v>3006</v>
      </c>
      <c r="J2141">
        <v>2019</v>
      </c>
      <c r="K2141">
        <v>43698.521897777777</v>
      </c>
      <c r="L2141" t="s">
        <v>578</v>
      </c>
      <c r="M2141" t="s">
        <v>37</v>
      </c>
      <c r="N2141" t="s">
        <v>415</v>
      </c>
      <c r="O2141">
        <v>347041</v>
      </c>
      <c r="P2141">
        <v>43698.521897777777</v>
      </c>
      <c r="Q2141">
        <v>43503.367528587965</v>
      </c>
      <c r="R2141">
        <v>2180</v>
      </c>
    </row>
    <row r="2142" spans="1:18" x14ac:dyDescent="0.25">
      <c r="A2142" t="s">
        <v>7349</v>
      </c>
      <c r="B2142" t="s">
        <v>7350</v>
      </c>
      <c r="C2142" t="s">
        <v>7351</v>
      </c>
      <c r="D2142" t="s">
        <v>7351</v>
      </c>
      <c r="E2142" t="s">
        <v>7352</v>
      </c>
      <c r="F2142" t="s">
        <v>91</v>
      </c>
      <c r="G2142" t="s">
        <v>22</v>
      </c>
      <c r="H2142" t="s">
        <v>53</v>
      </c>
      <c r="I2142" t="s">
        <v>3006</v>
      </c>
      <c r="J2142">
        <v>2019</v>
      </c>
      <c r="K2142">
        <v>43698.521897777777</v>
      </c>
      <c r="L2142" t="s">
        <v>1005</v>
      </c>
      <c r="M2142" t="s">
        <v>37</v>
      </c>
      <c r="N2142" t="s">
        <v>415</v>
      </c>
      <c r="O2142">
        <v>346514</v>
      </c>
      <c r="P2142">
        <v>43698.521897777777</v>
      </c>
      <c r="Q2142">
        <v>43503.368221990742</v>
      </c>
      <c r="R2142">
        <v>2181</v>
      </c>
    </row>
    <row r="2143" spans="1:18" x14ac:dyDescent="0.25">
      <c r="A2143" t="s">
        <v>7353</v>
      </c>
      <c r="B2143" t="s">
        <v>7354</v>
      </c>
      <c r="C2143" t="s">
        <v>7355</v>
      </c>
      <c r="D2143" t="s">
        <v>7355</v>
      </c>
      <c r="E2143" t="s">
        <v>7356</v>
      </c>
      <c r="F2143" t="s">
        <v>91</v>
      </c>
      <c r="G2143" t="s">
        <v>22</v>
      </c>
      <c r="H2143" t="s">
        <v>53</v>
      </c>
      <c r="I2143" t="s">
        <v>3006</v>
      </c>
      <c r="J2143">
        <v>2019</v>
      </c>
      <c r="K2143">
        <v>43698.521897777777</v>
      </c>
      <c r="L2143" t="s">
        <v>1005</v>
      </c>
      <c r="M2143" t="s">
        <v>37</v>
      </c>
      <c r="N2143" t="s">
        <v>415</v>
      </c>
      <c r="O2143">
        <v>346866</v>
      </c>
      <c r="P2143">
        <v>43698.521897777777</v>
      </c>
      <c r="Q2143">
        <v>43503.369159224538</v>
      </c>
      <c r="R2143">
        <v>2182</v>
      </c>
    </row>
    <row r="2144" spans="1:18" x14ac:dyDescent="0.25">
      <c r="A2144" t="s">
        <v>7357</v>
      </c>
      <c r="B2144" t="s">
        <v>7358</v>
      </c>
      <c r="C2144" t="s">
        <v>7359</v>
      </c>
      <c r="D2144" t="s">
        <v>7359</v>
      </c>
      <c r="E2144" t="s">
        <v>7360</v>
      </c>
      <c r="F2144" t="s">
        <v>91</v>
      </c>
      <c r="G2144" t="s">
        <v>22</v>
      </c>
      <c r="H2144" t="s">
        <v>53</v>
      </c>
      <c r="I2144" t="s">
        <v>3006</v>
      </c>
      <c r="J2144">
        <v>2019</v>
      </c>
      <c r="K2144">
        <v>43698.521897777777</v>
      </c>
      <c r="L2144" t="s">
        <v>1005</v>
      </c>
      <c r="M2144" t="s">
        <v>37</v>
      </c>
      <c r="N2144" t="s">
        <v>415</v>
      </c>
      <c r="O2144">
        <v>347111</v>
      </c>
      <c r="P2144">
        <v>43698.521897777777</v>
      </c>
      <c r="Q2144">
        <v>43503.369855520832</v>
      </c>
      <c r="R2144">
        <v>2183</v>
      </c>
    </row>
    <row r="2145" spans="1:18" x14ac:dyDescent="0.25">
      <c r="A2145" t="s">
        <v>7361</v>
      </c>
      <c r="B2145" t="s">
        <v>7362</v>
      </c>
      <c r="C2145" t="s">
        <v>7363</v>
      </c>
      <c r="D2145" t="s">
        <v>7363</v>
      </c>
      <c r="E2145" t="s">
        <v>7364</v>
      </c>
      <c r="F2145" t="s">
        <v>91</v>
      </c>
      <c r="G2145" t="s">
        <v>22</v>
      </c>
      <c r="H2145" t="s">
        <v>53</v>
      </c>
      <c r="I2145" t="s">
        <v>3006</v>
      </c>
      <c r="J2145">
        <v>2019</v>
      </c>
      <c r="K2145">
        <v>43698.521897777777</v>
      </c>
      <c r="L2145" t="s">
        <v>1005</v>
      </c>
      <c r="M2145" t="s">
        <v>37</v>
      </c>
      <c r="N2145" t="s">
        <v>415</v>
      </c>
      <c r="O2145">
        <v>345530</v>
      </c>
      <c r="P2145">
        <v>43697.589108796295</v>
      </c>
      <c r="Q2145">
        <v>43503.370753043979</v>
      </c>
      <c r="R2145">
        <v>2184</v>
      </c>
    </row>
    <row r="2146" spans="1:18" x14ac:dyDescent="0.25">
      <c r="A2146" t="s">
        <v>7365</v>
      </c>
      <c r="B2146" t="s">
        <v>7366</v>
      </c>
      <c r="C2146" t="s">
        <v>7367</v>
      </c>
      <c r="D2146" t="s">
        <v>7367</v>
      </c>
      <c r="E2146" t="s">
        <v>7368</v>
      </c>
      <c r="F2146" t="s">
        <v>91</v>
      </c>
      <c r="G2146" t="s">
        <v>22</v>
      </c>
      <c r="H2146" t="s">
        <v>998</v>
      </c>
      <c r="I2146" t="s">
        <v>3006</v>
      </c>
      <c r="J2146">
        <v>2019</v>
      </c>
      <c r="K2146">
        <v>43698.521897777777</v>
      </c>
      <c r="L2146" t="s">
        <v>1005</v>
      </c>
      <c r="M2146" t="s">
        <v>37</v>
      </c>
      <c r="N2146" t="s">
        <v>415</v>
      </c>
      <c r="O2146">
        <v>346578</v>
      </c>
      <c r="P2146">
        <v>43698.521897777777</v>
      </c>
      <c r="Q2146">
        <v>43503.37147121528</v>
      </c>
      <c r="R2146">
        <v>2185</v>
      </c>
    </row>
    <row r="2147" spans="1:18" x14ac:dyDescent="0.25">
      <c r="A2147" t="s">
        <v>7369</v>
      </c>
      <c r="B2147" t="s">
        <v>7370</v>
      </c>
      <c r="C2147" t="s">
        <v>7371</v>
      </c>
      <c r="D2147" t="s">
        <v>7371</v>
      </c>
      <c r="E2147" t="s">
        <v>7372</v>
      </c>
      <c r="F2147" t="s">
        <v>253</v>
      </c>
      <c r="G2147" t="s">
        <v>22</v>
      </c>
      <c r="H2147" t="s">
        <v>53</v>
      </c>
      <c r="I2147" t="s">
        <v>3006</v>
      </c>
      <c r="J2147">
        <v>2019</v>
      </c>
      <c r="K2147">
        <v>43698.521897777777</v>
      </c>
      <c r="L2147" t="s">
        <v>711</v>
      </c>
      <c r="M2147" t="s">
        <v>37</v>
      </c>
      <c r="N2147" t="s">
        <v>415</v>
      </c>
      <c r="O2147">
        <v>344657</v>
      </c>
      <c r="P2147">
        <v>43694.138194444444</v>
      </c>
      <c r="Q2147">
        <v>43503.372228553242</v>
      </c>
      <c r="R2147">
        <v>2186</v>
      </c>
    </row>
    <row r="2148" spans="1:18" x14ac:dyDescent="0.25">
      <c r="A2148" t="s">
        <v>7373</v>
      </c>
      <c r="B2148" t="s">
        <v>7374</v>
      </c>
      <c r="C2148" t="s">
        <v>7375</v>
      </c>
      <c r="D2148" t="s">
        <v>7375</v>
      </c>
      <c r="E2148" t="s">
        <v>7375</v>
      </c>
      <c r="F2148" t="s">
        <v>91</v>
      </c>
      <c r="G2148" t="s">
        <v>63</v>
      </c>
      <c r="H2148" t="s">
        <v>53</v>
      </c>
      <c r="I2148" t="s">
        <v>471</v>
      </c>
      <c r="J2148">
        <v>2016</v>
      </c>
      <c r="K2148">
        <v>43698.521897777777</v>
      </c>
      <c r="L2148" t="s">
        <v>466</v>
      </c>
      <c r="M2148" t="s">
        <v>154</v>
      </c>
      <c r="N2148" t="s">
        <v>1305</v>
      </c>
      <c r="O2148">
        <v>340250</v>
      </c>
      <c r="P2148">
        <v>43685.725844907407</v>
      </c>
      <c r="Q2148">
        <v>43504.351780671299</v>
      </c>
      <c r="R2148">
        <v>2187</v>
      </c>
    </row>
    <row r="2149" spans="1:18" x14ac:dyDescent="0.25">
      <c r="A2149" t="s">
        <v>7376</v>
      </c>
      <c r="B2149" t="s">
        <v>7377</v>
      </c>
      <c r="C2149" t="s">
        <v>7378</v>
      </c>
      <c r="D2149" t="s">
        <v>7378</v>
      </c>
      <c r="E2149" t="s">
        <v>7378</v>
      </c>
      <c r="F2149" t="s">
        <v>91</v>
      </c>
      <c r="G2149" t="s">
        <v>63</v>
      </c>
      <c r="H2149" t="s">
        <v>53</v>
      </c>
      <c r="I2149" t="s">
        <v>2916</v>
      </c>
      <c r="J2149">
        <v>2016</v>
      </c>
      <c r="K2149">
        <v>43698.521897777777</v>
      </c>
      <c r="L2149" t="s">
        <v>466</v>
      </c>
      <c r="M2149" t="s">
        <v>154</v>
      </c>
      <c r="N2149" t="s">
        <v>1305</v>
      </c>
      <c r="O2149">
        <v>345828</v>
      </c>
      <c r="P2149">
        <v>43698.521897777777</v>
      </c>
      <c r="Q2149">
        <v>43504.357687118056</v>
      </c>
      <c r="R2149">
        <v>2188</v>
      </c>
    </row>
    <row r="2150" spans="1:18" x14ac:dyDescent="0.25">
      <c r="A2150" t="s">
        <v>7379</v>
      </c>
      <c r="B2150" t="s">
        <v>7380</v>
      </c>
      <c r="C2150" t="s">
        <v>7381</v>
      </c>
      <c r="D2150" t="s">
        <v>7381</v>
      </c>
      <c r="E2150" t="s">
        <v>7381</v>
      </c>
      <c r="F2150" t="s">
        <v>91</v>
      </c>
      <c r="G2150" t="s">
        <v>63</v>
      </c>
      <c r="H2150" t="s">
        <v>23</v>
      </c>
      <c r="I2150" t="s">
        <v>41</v>
      </c>
      <c r="J2150">
        <v>2007</v>
      </c>
      <c r="K2150">
        <v>43698.521897777777</v>
      </c>
      <c r="L2150" t="s">
        <v>193</v>
      </c>
      <c r="M2150" t="s">
        <v>1941</v>
      </c>
      <c r="N2150" t="s">
        <v>415</v>
      </c>
      <c r="O2150">
        <v>343212</v>
      </c>
      <c r="P2150">
        <v>43692.001388888886</v>
      </c>
      <c r="Q2150">
        <v>43510.565282870368</v>
      </c>
      <c r="R2150">
        <v>2189</v>
      </c>
    </row>
    <row r="2151" spans="1:18" x14ac:dyDescent="0.25">
      <c r="A2151" t="s">
        <v>25</v>
      </c>
      <c r="B2151" t="s">
        <v>25</v>
      </c>
      <c r="C2151" t="s">
        <v>7382</v>
      </c>
      <c r="D2151" t="s">
        <v>7382</v>
      </c>
      <c r="E2151" t="s">
        <v>7383</v>
      </c>
      <c r="F2151" t="s">
        <v>21</v>
      </c>
      <c r="G2151" t="s">
        <v>22</v>
      </c>
      <c r="H2151" t="s">
        <v>25</v>
      </c>
      <c r="I2151" t="s">
        <v>25</v>
      </c>
      <c r="K2151">
        <v>43698.521897777777</v>
      </c>
      <c r="L2151" t="s">
        <v>25</v>
      </c>
      <c r="M2151" t="s">
        <v>42</v>
      </c>
      <c r="N2151" t="s">
        <v>415</v>
      </c>
      <c r="Q2151">
        <v>43511.363726192132</v>
      </c>
      <c r="R2151">
        <v>2190</v>
      </c>
    </row>
    <row r="2152" spans="1:18" x14ac:dyDescent="0.25">
      <c r="A2152" t="s">
        <v>7384</v>
      </c>
      <c r="B2152" t="s">
        <v>7385</v>
      </c>
      <c r="C2152" t="s">
        <v>7386</v>
      </c>
      <c r="D2152" t="s">
        <v>7386</v>
      </c>
      <c r="E2152" t="s">
        <v>7386</v>
      </c>
      <c r="F2152" t="s">
        <v>91</v>
      </c>
      <c r="G2152" t="s">
        <v>63</v>
      </c>
      <c r="H2152" t="s">
        <v>53</v>
      </c>
      <c r="I2152" t="s">
        <v>471</v>
      </c>
      <c r="J2152">
        <v>2017</v>
      </c>
      <c r="K2152">
        <v>43698.521897777777</v>
      </c>
      <c r="L2152" t="s">
        <v>466</v>
      </c>
      <c r="M2152" t="s">
        <v>154</v>
      </c>
      <c r="N2152" t="s">
        <v>1305</v>
      </c>
      <c r="O2152">
        <v>340767</v>
      </c>
      <c r="P2152">
        <v>43687.009120370371</v>
      </c>
      <c r="Q2152">
        <v>43511.607392210652</v>
      </c>
      <c r="R2152">
        <v>2191</v>
      </c>
    </row>
    <row r="2153" spans="1:18" x14ac:dyDescent="0.25">
      <c r="A2153" t="s">
        <v>7387</v>
      </c>
      <c r="B2153" t="s">
        <v>7388</v>
      </c>
      <c r="C2153" t="s">
        <v>7389</v>
      </c>
      <c r="D2153" t="s">
        <v>7389</v>
      </c>
      <c r="E2153" t="s">
        <v>7389</v>
      </c>
      <c r="F2153" t="s">
        <v>91</v>
      </c>
      <c r="G2153" t="s">
        <v>63</v>
      </c>
      <c r="H2153" t="s">
        <v>53</v>
      </c>
      <c r="I2153" t="s">
        <v>471</v>
      </c>
      <c r="J2153">
        <v>2016</v>
      </c>
      <c r="K2153">
        <v>43698.521897777777</v>
      </c>
      <c r="L2153" t="s">
        <v>466</v>
      </c>
      <c r="M2153" t="s">
        <v>154</v>
      </c>
      <c r="N2153" t="s">
        <v>1305</v>
      </c>
      <c r="O2153">
        <v>345649</v>
      </c>
      <c r="P2153">
        <v>43698.521897777777</v>
      </c>
      <c r="Q2153">
        <v>43511.684626886577</v>
      </c>
      <c r="R2153">
        <v>2192</v>
      </c>
    </row>
    <row r="2154" spans="1:18" x14ac:dyDescent="0.25">
      <c r="A2154" t="s">
        <v>7390</v>
      </c>
      <c r="B2154" t="s">
        <v>5107</v>
      </c>
      <c r="C2154" t="s">
        <v>7391</v>
      </c>
      <c r="D2154" t="s">
        <v>7391</v>
      </c>
      <c r="E2154" t="s">
        <v>7392</v>
      </c>
      <c r="F2154" t="s">
        <v>91</v>
      </c>
      <c r="G2154" t="s">
        <v>63</v>
      </c>
      <c r="H2154" t="s">
        <v>53</v>
      </c>
      <c r="I2154" t="s">
        <v>471</v>
      </c>
      <c r="J2154">
        <v>2019</v>
      </c>
      <c r="K2154">
        <v>43698.521897777777</v>
      </c>
      <c r="L2154" t="s">
        <v>466</v>
      </c>
      <c r="M2154" t="s">
        <v>154</v>
      </c>
      <c r="N2154" t="s">
        <v>415</v>
      </c>
      <c r="O2154">
        <v>345461</v>
      </c>
      <c r="P2154">
        <v>43698.521897777777</v>
      </c>
      <c r="Q2154">
        <v>43514.481538888889</v>
      </c>
      <c r="R2154">
        <v>2193</v>
      </c>
    </row>
    <row r="2155" spans="1:18" x14ac:dyDescent="0.25">
      <c r="A2155" t="s">
        <v>7393</v>
      </c>
      <c r="B2155" t="s">
        <v>7394</v>
      </c>
      <c r="C2155" t="s">
        <v>7395</v>
      </c>
      <c r="D2155" t="s">
        <v>7395</v>
      </c>
      <c r="E2155" t="s">
        <v>7395</v>
      </c>
      <c r="F2155" t="s">
        <v>21</v>
      </c>
      <c r="G2155" t="s">
        <v>63</v>
      </c>
      <c r="H2155" t="s">
        <v>34</v>
      </c>
      <c r="I2155" t="s">
        <v>703</v>
      </c>
      <c r="J2155">
        <v>2013</v>
      </c>
      <c r="K2155">
        <v>43698.521897777777</v>
      </c>
      <c r="L2155" t="s">
        <v>422</v>
      </c>
      <c r="M2155" t="s">
        <v>2777</v>
      </c>
      <c r="N2155" t="s">
        <v>27</v>
      </c>
      <c r="O2155">
        <v>337732</v>
      </c>
      <c r="P2155">
        <v>43676.729166666664</v>
      </c>
      <c r="Q2155">
        <v>43515.513275659723</v>
      </c>
      <c r="R2155">
        <v>2195</v>
      </c>
    </row>
    <row r="2156" spans="1:18" x14ac:dyDescent="0.25">
      <c r="A2156" t="s">
        <v>7396</v>
      </c>
      <c r="B2156" t="s">
        <v>3488</v>
      </c>
      <c r="C2156" t="s">
        <v>7397</v>
      </c>
      <c r="D2156" t="s">
        <v>7397</v>
      </c>
      <c r="E2156" t="s">
        <v>7398</v>
      </c>
      <c r="F2156" t="s">
        <v>91</v>
      </c>
      <c r="G2156" t="s">
        <v>63</v>
      </c>
      <c r="H2156" t="s">
        <v>53</v>
      </c>
      <c r="I2156" t="s">
        <v>471</v>
      </c>
      <c r="J2156">
        <v>2018</v>
      </c>
      <c r="K2156">
        <v>43698.521897777777</v>
      </c>
      <c r="L2156" t="s">
        <v>466</v>
      </c>
      <c r="M2156" t="s">
        <v>154</v>
      </c>
      <c r="N2156" t="s">
        <v>1305</v>
      </c>
      <c r="O2156">
        <v>346126</v>
      </c>
      <c r="P2156">
        <v>43698.521897777777</v>
      </c>
      <c r="Q2156">
        <v>43515.581876701392</v>
      </c>
      <c r="R2156">
        <v>2196</v>
      </c>
    </row>
    <row r="2157" spans="1:18" x14ac:dyDescent="0.25">
      <c r="A2157" t="s">
        <v>7399</v>
      </c>
      <c r="B2157" t="s">
        <v>7400</v>
      </c>
      <c r="C2157" t="s">
        <v>7401</v>
      </c>
      <c r="D2157" t="s">
        <v>7401</v>
      </c>
      <c r="E2157" t="s">
        <v>7402</v>
      </c>
      <c r="F2157" t="s">
        <v>91</v>
      </c>
      <c r="G2157" t="s">
        <v>22</v>
      </c>
      <c r="H2157" t="s">
        <v>53</v>
      </c>
      <c r="I2157" t="s">
        <v>3006</v>
      </c>
      <c r="J2157">
        <v>2019</v>
      </c>
      <c r="K2157">
        <v>43698.521897777777</v>
      </c>
      <c r="L2157" t="s">
        <v>193</v>
      </c>
      <c r="M2157" t="s">
        <v>42</v>
      </c>
      <c r="N2157" t="s">
        <v>415</v>
      </c>
      <c r="O2157">
        <v>346011</v>
      </c>
      <c r="P2157">
        <v>43698.481944444444</v>
      </c>
      <c r="Q2157">
        <v>43515.597327465279</v>
      </c>
      <c r="R2157">
        <v>2197</v>
      </c>
    </row>
    <row r="2158" spans="1:18" x14ac:dyDescent="0.25">
      <c r="A2158" t="s">
        <v>7403</v>
      </c>
      <c r="B2158" t="s">
        <v>7404</v>
      </c>
      <c r="C2158" t="s">
        <v>7405</v>
      </c>
      <c r="D2158" t="s">
        <v>7405</v>
      </c>
      <c r="E2158" t="s">
        <v>7406</v>
      </c>
      <c r="F2158" t="s">
        <v>91</v>
      </c>
      <c r="G2158" t="s">
        <v>22</v>
      </c>
      <c r="H2158" t="s">
        <v>53</v>
      </c>
      <c r="I2158" t="s">
        <v>3006</v>
      </c>
      <c r="J2158">
        <v>2019</v>
      </c>
      <c r="K2158">
        <v>43698.521897777777</v>
      </c>
      <c r="L2158" t="s">
        <v>193</v>
      </c>
      <c r="M2158" t="s">
        <v>42</v>
      </c>
      <c r="N2158" t="s">
        <v>415</v>
      </c>
      <c r="O2158">
        <v>346997</v>
      </c>
      <c r="P2158">
        <v>43698.521897777777</v>
      </c>
      <c r="Q2158">
        <v>43515.59809521991</v>
      </c>
      <c r="R2158">
        <v>2198</v>
      </c>
    </row>
    <row r="2159" spans="1:18" x14ac:dyDescent="0.25">
      <c r="A2159" t="s">
        <v>7407</v>
      </c>
      <c r="B2159" t="s">
        <v>7408</v>
      </c>
      <c r="C2159" t="s">
        <v>7409</v>
      </c>
      <c r="D2159" t="s">
        <v>7409</v>
      </c>
      <c r="E2159" t="s">
        <v>7410</v>
      </c>
      <c r="F2159" t="s">
        <v>91</v>
      </c>
      <c r="G2159" t="s">
        <v>22</v>
      </c>
      <c r="H2159" t="s">
        <v>53</v>
      </c>
      <c r="I2159" t="s">
        <v>3006</v>
      </c>
      <c r="J2159">
        <v>2019</v>
      </c>
      <c r="K2159">
        <v>43698.521897777777</v>
      </c>
      <c r="L2159" t="s">
        <v>193</v>
      </c>
      <c r="M2159" t="s">
        <v>42</v>
      </c>
      <c r="N2159" t="s">
        <v>415</v>
      </c>
      <c r="O2159">
        <v>332464</v>
      </c>
      <c r="P2159">
        <v>43664.800000000003</v>
      </c>
      <c r="Q2159">
        <v>43515.598736342596</v>
      </c>
      <c r="R2159">
        <v>2199</v>
      </c>
    </row>
    <row r="2160" spans="1:18" x14ac:dyDescent="0.25">
      <c r="A2160" t="s">
        <v>7411</v>
      </c>
      <c r="B2160" t="s">
        <v>7412</v>
      </c>
      <c r="C2160" t="s">
        <v>7413</v>
      </c>
      <c r="D2160" t="s">
        <v>7413</v>
      </c>
      <c r="E2160" t="s">
        <v>7414</v>
      </c>
      <c r="F2160" t="s">
        <v>91</v>
      </c>
      <c r="G2160" t="s">
        <v>22</v>
      </c>
      <c r="H2160" t="s">
        <v>53</v>
      </c>
      <c r="I2160" t="s">
        <v>3006</v>
      </c>
      <c r="J2160">
        <v>2019</v>
      </c>
      <c r="K2160">
        <v>43698.521897777777</v>
      </c>
      <c r="L2160" t="s">
        <v>193</v>
      </c>
      <c r="M2160" t="s">
        <v>42</v>
      </c>
      <c r="N2160" t="s">
        <v>415</v>
      </c>
      <c r="O2160">
        <v>346198</v>
      </c>
      <c r="P2160">
        <v>43698.521897777777</v>
      </c>
      <c r="Q2160">
        <v>43515.599565706019</v>
      </c>
      <c r="R2160">
        <v>2200</v>
      </c>
    </row>
    <row r="2161" spans="1:18" x14ac:dyDescent="0.25">
      <c r="A2161" t="s">
        <v>7415</v>
      </c>
      <c r="B2161" t="s">
        <v>7416</v>
      </c>
      <c r="C2161" t="s">
        <v>7417</v>
      </c>
      <c r="D2161" t="s">
        <v>7417</v>
      </c>
      <c r="E2161" t="s">
        <v>7418</v>
      </c>
      <c r="F2161" t="s">
        <v>91</v>
      </c>
      <c r="G2161" t="s">
        <v>22</v>
      </c>
      <c r="H2161" t="s">
        <v>53</v>
      </c>
      <c r="I2161" t="s">
        <v>3006</v>
      </c>
      <c r="J2161">
        <v>2019</v>
      </c>
      <c r="K2161">
        <v>43698.521897777777</v>
      </c>
      <c r="L2161" t="s">
        <v>193</v>
      </c>
      <c r="M2161" t="s">
        <v>42</v>
      </c>
      <c r="N2161" t="s">
        <v>415</v>
      </c>
      <c r="O2161">
        <v>346701</v>
      </c>
      <c r="P2161">
        <v>43698.521897777777</v>
      </c>
      <c r="Q2161">
        <v>43515.600885416665</v>
      </c>
      <c r="R2161">
        <v>2201</v>
      </c>
    </row>
    <row r="2162" spans="1:18" x14ac:dyDescent="0.25">
      <c r="A2162" t="s">
        <v>7419</v>
      </c>
      <c r="B2162" t="s">
        <v>7420</v>
      </c>
      <c r="C2162" t="s">
        <v>7421</v>
      </c>
      <c r="D2162" t="s">
        <v>7421</v>
      </c>
      <c r="E2162" t="s">
        <v>7422</v>
      </c>
      <c r="F2162" t="s">
        <v>91</v>
      </c>
      <c r="G2162" t="s">
        <v>22</v>
      </c>
      <c r="H2162" t="s">
        <v>53</v>
      </c>
      <c r="I2162" t="s">
        <v>3006</v>
      </c>
      <c r="J2162">
        <v>2019</v>
      </c>
      <c r="K2162">
        <v>43698.521897777777</v>
      </c>
      <c r="L2162" t="s">
        <v>193</v>
      </c>
      <c r="M2162" t="s">
        <v>42</v>
      </c>
      <c r="N2162" t="s">
        <v>415</v>
      </c>
      <c r="O2162">
        <v>340302</v>
      </c>
      <c r="P2162">
        <v>43685.003900462965</v>
      </c>
      <c r="Q2162">
        <v>43515.601518321761</v>
      </c>
      <c r="R2162">
        <v>2202</v>
      </c>
    </row>
    <row r="2163" spans="1:18" x14ac:dyDescent="0.25">
      <c r="A2163" t="s">
        <v>7423</v>
      </c>
      <c r="B2163" t="s">
        <v>7424</v>
      </c>
      <c r="C2163" t="s">
        <v>7425</v>
      </c>
      <c r="D2163" t="s">
        <v>7425</v>
      </c>
      <c r="E2163" t="s">
        <v>7426</v>
      </c>
      <c r="F2163" t="s">
        <v>91</v>
      </c>
      <c r="G2163" t="s">
        <v>22</v>
      </c>
      <c r="H2163" t="s">
        <v>53</v>
      </c>
      <c r="I2163" t="s">
        <v>3006</v>
      </c>
      <c r="J2163">
        <v>2019</v>
      </c>
      <c r="K2163">
        <v>43698.521897777777</v>
      </c>
      <c r="L2163" t="s">
        <v>193</v>
      </c>
      <c r="M2163" t="s">
        <v>42</v>
      </c>
      <c r="N2163" t="s">
        <v>415</v>
      </c>
      <c r="O2163">
        <v>346247</v>
      </c>
      <c r="P2163">
        <v>43698.521897777777</v>
      </c>
      <c r="Q2163">
        <v>43515.602490972225</v>
      </c>
      <c r="R2163">
        <v>2203</v>
      </c>
    </row>
    <row r="2164" spans="1:18" x14ac:dyDescent="0.25">
      <c r="A2164" t="s">
        <v>7427</v>
      </c>
      <c r="B2164" t="s">
        <v>7428</v>
      </c>
      <c r="C2164" t="s">
        <v>7429</v>
      </c>
      <c r="D2164" t="s">
        <v>7429</v>
      </c>
      <c r="E2164" t="s">
        <v>7430</v>
      </c>
      <c r="F2164" t="s">
        <v>91</v>
      </c>
      <c r="G2164" t="s">
        <v>22</v>
      </c>
      <c r="H2164" t="s">
        <v>53</v>
      </c>
      <c r="I2164" t="s">
        <v>3006</v>
      </c>
      <c r="J2164">
        <v>2019</v>
      </c>
      <c r="K2164">
        <v>43698.521897777777</v>
      </c>
      <c r="L2164" t="s">
        <v>193</v>
      </c>
      <c r="M2164" t="s">
        <v>42</v>
      </c>
      <c r="N2164" t="s">
        <v>415</v>
      </c>
      <c r="O2164">
        <v>346918</v>
      </c>
      <c r="P2164">
        <v>43698.521897777777</v>
      </c>
      <c r="Q2164">
        <v>43515.603852118053</v>
      </c>
      <c r="R2164">
        <v>2204</v>
      </c>
    </row>
    <row r="2165" spans="1:18" x14ac:dyDescent="0.25">
      <c r="A2165" t="s">
        <v>7431</v>
      </c>
      <c r="B2165" t="s">
        <v>7432</v>
      </c>
      <c r="C2165" t="s">
        <v>7433</v>
      </c>
      <c r="D2165" t="s">
        <v>7433</v>
      </c>
      <c r="E2165" t="s">
        <v>7434</v>
      </c>
      <c r="F2165" t="s">
        <v>91</v>
      </c>
      <c r="G2165" t="s">
        <v>22</v>
      </c>
      <c r="H2165" t="s">
        <v>53</v>
      </c>
      <c r="I2165" t="s">
        <v>3006</v>
      </c>
      <c r="J2165">
        <v>2019</v>
      </c>
      <c r="K2165">
        <v>43698.521897777777</v>
      </c>
      <c r="L2165" t="s">
        <v>193</v>
      </c>
      <c r="M2165" t="s">
        <v>42</v>
      </c>
      <c r="N2165" t="s">
        <v>415</v>
      </c>
      <c r="O2165">
        <v>345527</v>
      </c>
      <c r="P2165">
        <v>43697.989178240743</v>
      </c>
      <c r="Q2165">
        <v>43515.605332291663</v>
      </c>
      <c r="R2165">
        <v>2205</v>
      </c>
    </row>
    <row r="2166" spans="1:18" x14ac:dyDescent="0.25">
      <c r="A2166" t="s">
        <v>7435</v>
      </c>
      <c r="B2166" t="s">
        <v>7436</v>
      </c>
      <c r="C2166" t="s">
        <v>7437</v>
      </c>
      <c r="D2166" t="s">
        <v>7437</v>
      </c>
      <c r="E2166" t="s">
        <v>7438</v>
      </c>
      <c r="F2166" t="s">
        <v>91</v>
      </c>
      <c r="G2166" t="s">
        <v>22</v>
      </c>
      <c r="H2166" t="s">
        <v>53</v>
      </c>
      <c r="I2166" t="s">
        <v>3006</v>
      </c>
      <c r="J2166">
        <v>2019</v>
      </c>
      <c r="K2166">
        <v>43698.521897777777</v>
      </c>
      <c r="L2166" t="s">
        <v>193</v>
      </c>
      <c r="M2166" t="s">
        <v>42</v>
      </c>
      <c r="N2166" t="s">
        <v>415</v>
      </c>
      <c r="O2166">
        <v>346679</v>
      </c>
      <c r="P2166">
        <v>43697.810416666667</v>
      </c>
      <c r="Q2166">
        <v>43515.609665358796</v>
      </c>
      <c r="R2166">
        <v>2206</v>
      </c>
    </row>
    <row r="2167" spans="1:18" x14ac:dyDescent="0.25">
      <c r="A2167" t="s">
        <v>7439</v>
      </c>
      <c r="B2167" t="s">
        <v>7440</v>
      </c>
      <c r="C2167" t="s">
        <v>7441</v>
      </c>
      <c r="D2167" t="s">
        <v>7441</v>
      </c>
      <c r="E2167" t="s">
        <v>7442</v>
      </c>
      <c r="F2167" t="s">
        <v>91</v>
      </c>
      <c r="G2167" t="s">
        <v>22</v>
      </c>
      <c r="H2167" t="s">
        <v>53</v>
      </c>
      <c r="I2167" t="s">
        <v>3006</v>
      </c>
      <c r="J2167">
        <v>2019</v>
      </c>
      <c r="K2167">
        <v>43698.521897777777</v>
      </c>
      <c r="L2167" t="s">
        <v>193</v>
      </c>
      <c r="M2167" t="s">
        <v>42</v>
      </c>
      <c r="N2167" t="s">
        <v>415</v>
      </c>
      <c r="O2167">
        <v>346510</v>
      </c>
      <c r="P2167">
        <v>43698.521897777777</v>
      </c>
      <c r="Q2167">
        <v>43515.610368483794</v>
      </c>
      <c r="R2167">
        <v>2207</v>
      </c>
    </row>
    <row r="2168" spans="1:18" x14ac:dyDescent="0.25">
      <c r="A2168" t="s">
        <v>7443</v>
      </c>
      <c r="B2168" t="s">
        <v>7444</v>
      </c>
      <c r="C2168" t="s">
        <v>7445</v>
      </c>
      <c r="D2168" t="s">
        <v>7445</v>
      </c>
      <c r="E2168" t="s">
        <v>7446</v>
      </c>
      <c r="F2168" t="s">
        <v>91</v>
      </c>
      <c r="G2168" t="s">
        <v>22</v>
      </c>
      <c r="H2168" t="s">
        <v>53</v>
      </c>
      <c r="I2168" t="s">
        <v>3006</v>
      </c>
      <c r="J2168">
        <v>2019</v>
      </c>
      <c r="K2168">
        <v>43698.521897777777</v>
      </c>
      <c r="L2168" t="s">
        <v>193</v>
      </c>
      <c r="M2168" t="s">
        <v>42</v>
      </c>
      <c r="N2168" t="s">
        <v>415</v>
      </c>
      <c r="O2168">
        <v>343978</v>
      </c>
      <c r="P2168">
        <v>43692.91542824074</v>
      </c>
      <c r="Q2168">
        <v>43515.611550266207</v>
      </c>
      <c r="R2168">
        <v>2208</v>
      </c>
    </row>
    <row r="2169" spans="1:18" x14ac:dyDescent="0.25">
      <c r="A2169" t="s">
        <v>7447</v>
      </c>
      <c r="B2169" t="s">
        <v>7448</v>
      </c>
      <c r="C2169" t="s">
        <v>7449</v>
      </c>
      <c r="D2169" t="s">
        <v>7449</v>
      </c>
      <c r="E2169" t="s">
        <v>7450</v>
      </c>
      <c r="F2169" t="s">
        <v>91</v>
      </c>
      <c r="G2169" t="s">
        <v>22</v>
      </c>
      <c r="H2169" t="s">
        <v>53</v>
      </c>
      <c r="I2169" t="s">
        <v>3006</v>
      </c>
      <c r="J2169">
        <v>2019</v>
      </c>
      <c r="K2169">
        <v>43698.521897777777</v>
      </c>
      <c r="L2169" t="s">
        <v>193</v>
      </c>
      <c r="M2169" t="s">
        <v>42</v>
      </c>
      <c r="N2169" t="s">
        <v>415</v>
      </c>
      <c r="O2169">
        <v>346382</v>
      </c>
      <c r="P2169">
        <v>43698.521897777777</v>
      </c>
      <c r="Q2169">
        <v>43515.612114317133</v>
      </c>
      <c r="R2169">
        <v>2209</v>
      </c>
    </row>
    <row r="2170" spans="1:18" x14ac:dyDescent="0.25">
      <c r="A2170" t="s">
        <v>7451</v>
      </c>
      <c r="B2170" t="s">
        <v>7452</v>
      </c>
      <c r="C2170" t="s">
        <v>7453</v>
      </c>
      <c r="D2170" t="s">
        <v>7453</v>
      </c>
      <c r="E2170" t="s">
        <v>7454</v>
      </c>
      <c r="F2170" t="s">
        <v>91</v>
      </c>
      <c r="G2170" t="s">
        <v>22</v>
      </c>
      <c r="H2170" t="s">
        <v>53</v>
      </c>
      <c r="I2170" t="s">
        <v>3006</v>
      </c>
      <c r="J2170">
        <v>2019</v>
      </c>
      <c r="K2170">
        <v>43698.521897777777</v>
      </c>
      <c r="L2170" t="s">
        <v>193</v>
      </c>
      <c r="M2170" t="s">
        <v>42</v>
      </c>
      <c r="N2170" t="s">
        <v>415</v>
      </c>
      <c r="O2170">
        <v>344711</v>
      </c>
      <c r="P2170">
        <v>43693.131249999999</v>
      </c>
      <c r="Q2170">
        <v>43515.612743020836</v>
      </c>
      <c r="R2170">
        <v>2210</v>
      </c>
    </row>
    <row r="2171" spans="1:18" x14ac:dyDescent="0.25">
      <c r="A2171" t="s">
        <v>7455</v>
      </c>
      <c r="B2171" t="s">
        <v>7456</v>
      </c>
      <c r="C2171" t="s">
        <v>7457</v>
      </c>
      <c r="D2171" t="s">
        <v>7457</v>
      </c>
      <c r="E2171" t="s">
        <v>7458</v>
      </c>
      <c r="F2171" t="s">
        <v>91</v>
      </c>
      <c r="G2171" t="s">
        <v>22</v>
      </c>
      <c r="H2171" t="s">
        <v>53</v>
      </c>
      <c r="I2171" t="s">
        <v>3006</v>
      </c>
      <c r="J2171">
        <v>2019</v>
      </c>
      <c r="K2171">
        <v>43698.521897777777</v>
      </c>
      <c r="L2171" t="s">
        <v>466</v>
      </c>
      <c r="M2171" t="s">
        <v>154</v>
      </c>
      <c r="N2171" t="s">
        <v>1305</v>
      </c>
      <c r="O2171">
        <v>346759</v>
      </c>
      <c r="P2171">
        <v>43698.521897777777</v>
      </c>
      <c r="Q2171">
        <v>43515.614708831017</v>
      </c>
      <c r="R2171">
        <v>2211</v>
      </c>
    </row>
    <row r="2172" spans="1:18" x14ac:dyDescent="0.25">
      <c r="A2172" t="s">
        <v>7459</v>
      </c>
      <c r="B2172" t="s">
        <v>7460</v>
      </c>
      <c r="C2172" t="s">
        <v>7461</v>
      </c>
      <c r="D2172" t="s">
        <v>7461</v>
      </c>
      <c r="E2172" t="s">
        <v>7462</v>
      </c>
      <c r="F2172" t="s">
        <v>91</v>
      </c>
      <c r="G2172" t="s">
        <v>22</v>
      </c>
      <c r="H2172" t="s">
        <v>53</v>
      </c>
      <c r="I2172" t="s">
        <v>3006</v>
      </c>
      <c r="J2172">
        <v>2019</v>
      </c>
      <c r="K2172">
        <v>43698.521897777777</v>
      </c>
      <c r="L2172" t="s">
        <v>466</v>
      </c>
      <c r="M2172" t="s">
        <v>154</v>
      </c>
      <c r="N2172" t="s">
        <v>1305</v>
      </c>
      <c r="O2172">
        <v>346108</v>
      </c>
      <c r="P2172">
        <v>43698.521897777777</v>
      </c>
      <c r="Q2172">
        <v>43515.616174884257</v>
      </c>
      <c r="R2172">
        <v>2212</v>
      </c>
    </row>
    <row r="2173" spans="1:18" x14ac:dyDescent="0.25">
      <c r="A2173" t="s">
        <v>7463</v>
      </c>
      <c r="B2173" t="s">
        <v>7464</v>
      </c>
      <c r="C2173" t="s">
        <v>7465</v>
      </c>
      <c r="D2173" t="s">
        <v>7465</v>
      </c>
      <c r="E2173" t="s">
        <v>7466</v>
      </c>
      <c r="F2173" t="s">
        <v>91</v>
      </c>
      <c r="G2173" t="s">
        <v>22</v>
      </c>
      <c r="H2173" t="s">
        <v>53</v>
      </c>
      <c r="I2173" t="s">
        <v>3006</v>
      </c>
      <c r="J2173">
        <v>2019</v>
      </c>
      <c r="K2173">
        <v>43698.521897777777</v>
      </c>
      <c r="L2173" t="s">
        <v>466</v>
      </c>
      <c r="M2173" t="s">
        <v>154</v>
      </c>
      <c r="N2173" t="s">
        <v>1305</v>
      </c>
      <c r="O2173">
        <v>344728</v>
      </c>
      <c r="P2173">
        <v>43694.393472222226</v>
      </c>
      <c r="Q2173">
        <v>43515.616848692131</v>
      </c>
      <c r="R2173">
        <v>2213</v>
      </c>
    </row>
    <row r="2174" spans="1:18" x14ac:dyDescent="0.25">
      <c r="A2174" t="s">
        <v>7467</v>
      </c>
      <c r="B2174" t="s">
        <v>7468</v>
      </c>
      <c r="C2174" t="s">
        <v>7469</v>
      </c>
      <c r="D2174" t="s">
        <v>7469</v>
      </c>
      <c r="E2174" t="s">
        <v>7470</v>
      </c>
      <c r="F2174" t="s">
        <v>91</v>
      </c>
      <c r="G2174" t="s">
        <v>22</v>
      </c>
      <c r="H2174" t="s">
        <v>53</v>
      </c>
      <c r="I2174" t="s">
        <v>3006</v>
      </c>
      <c r="J2174">
        <v>2019</v>
      </c>
      <c r="K2174">
        <v>43698.521897777777</v>
      </c>
      <c r="L2174" t="s">
        <v>466</v>
      </c>
      <c r="M2174" t="s">
        <v>154</v>
      </c>
      <c r="N2174" t="s">
        <v>1305</v>
      </c>
      <c r="O2174">
        <v>345774</v>
      </c>
      <c r="P2174">
        <v>43698.521897777777</v>
      </c>
      <c r="Q2174">
        <v>43515.617444062504</v>
      </c>
      <c r="R2174">
        <v>2214</v>
      </c>
    </row>
    <row r="2175" spans="1:18" x14ac:dyDescent="0.25">
      <c r="A2175" t="s">
        <v>7471</v>
      </c>
      <c r="B2175" t="s">
        <v>7472</v>
      </c>
      <c r="C2175" t="s">
        <v>7473</v>
      </c>
      <c r="D2175" t="s">
        <v>7473</v>
      </c>
      <c r="E2175" t="s">
        <v>7474</v>
      </c>
      <c r="F2175" t="s">
        <v>91</v>
      </c>
      <c r="G2175" t="s">
        <v>22</v>
      </c>
      <c r="H2175" t="s">
        <v>53</v>
      </c>
      <c r="I2175" t="s">
        <v>3006</v>
      </c>
      <c r="J2175">
        <v>2019</v>
      </c>
      <c r="K2175">
        <v>43698.521897777777</v>
      </c>
      <c r="L2175" t="s">
        <v>466</v>
      </c>
      <c r="M2175" t="s">
        <v>154</v>
      </c>
      <c r="N2175" t="s">
        <v>994</v>
      </c>
      <c r="O2175">
        <v>339575</v>
      </c>
      <c r="P2175">
        <v>43686.015601851854</v>
      </c>
      <c r="Q2175">
        <v>43515.6181778588</v>
      </c>
      <c r="R2175">
        <v>2215</v>
      </c>
    </row>
    <row r="2176" spans="1:18" x14ac:dyDescent="0.25">
      <c r="A2176" t="s">
        <v>7475</v>
      </c>
      <c r="B2176" t="s">
        <v>7476</v>
      </c>
      <c r="C2176" t="s">
        <v>7477</v>
      </c>
      <c r="D2176" t="s">
        <v>7477</v>
      </c>
      <c r="E2176" t="s">
        <v>7478</v>
      </c>
      <c r="F2176" t="s">
        <v>91</v>
      </c>
      <c r="G2176" t="s">
        <v>22</v>
      </c>
      <c r="H2176" t="s">
        <v>53</v>
      </c>
      <c r="I2176" t="s">
        <v>3006</v>
      </c>
      <c r="J2176">
        <v>2019</v>
      </c>
      <c r="K2176">
        <v>43698.521897777777</v>
      </c>
      <c r="L2176" t="s">
        <v>466</v>
      </c>
      <c r="M2176" t="s">
        <v>154</v>
      </c>
      <c r="N2176" t="s">
        <v>1305</v>
      </c>
      <c r="O2176">
        <v>339687</v>
      </c>
      <c r="P2176">
        <v>43688.772916666669</v>
      </c>
      <c r="Q2176">
        <v>43515.619356712959</v>
      </c>
      <c r="R2176">
        <v>2216</v>
      </c>
    </row>
    <row r="2177" spans="1:18" x14ac:dyDescent="0.25">
      <c r="A2177" t="s">
        <v>7479</v>
      </c>
      <c r="B2177" t="s">
        <v>7480</v>
      </c>
      <c r="C2177" t="s">
        <v>7481</v>
      </c>
      <c r="D2177" t="s">
        <v>7481</v>
      </c>
      <c r="E2177" t="s">
        <v>7482</v>
      </c>
      <c r="F2177" t="s">
        <v>91</v>
      </c>
      <c r="G2177" t="s">
        <v>22</v>
      </c>
      <c r="H2177" t="s">
        <v>53</v>
      </c>
      <c r="I2177" t="s">
        <v>3006</v>
      </c>
      <c r="J2177">
        <v>2019</v>
      </c>
      <c r="K2177">
        <v>43698.521897777777</v>
      </c>
      <c r="L2177" t="s">
        <v>466</v>
      </c>
      <c r="M2177" t="s">
        <v>154</v>
      </c>
      <c r="N2177" t="s">
        <v>1305</v>
      </c>
      <c r="O2177">
        <v>346567</v>
      </c>
      <c r="P2177">
        <v>43698.521897777777</v>
      </c>
      <c r="Q2177">
        <v>43515.61997068287</v>
      </c>
      <c r="R2177">
        <v>2217</v>
      </c>
    </row>
    <row r="2178" spans="1:18" x14ac:dyDescent="0.25">
      <c r="A2178" t="s">
        <v>7483</v>
      </c>
      <c r="B2178" t="s">
        <v>7484</v>
      </c>
      <c r="C2178" t="s">
        <v>7485</v>
      </c>
      <c r="D2178" t="s">
        <v>7485</v>
      </c>
      <c r="E2178" t="s">
        <v>7486</v>
      </c>
      <c r="F2178" t="s">
        <v>91</v>
      </c>
      <c r="G2178" t="s">
        <v>22</v>
      </c>
      <c r="H2178" t="s">
        <v>53</v>
      </c>
      <c r="I2178" t="s">
        <v>3006</v>
      </c>
      <c r="J2178">
        <v>2019</v>
      </c>
      <c r="K2178">
        <v>43698.521897777777</v>
      </c>
      <c r="L2178" t="s">
        <v>466</v>
      </c>
      <c r="M2178" t="s">
        <v>154</v>
      </c>
      <c r="N2178" t="s">
        <v>1305</v>
      </c>
      <c r="O2178">
        <v>346853</v>
      </c>
      <c r="P2178">
        <v>43698.521897777777</v>
      </c>
      <c r="Q2178">
        <v>43515.620671793979</v>
      </c>
      <c r="R2178">
        <v>2218</v>
      </c>
    </row>
    <row r="2179" spans="1:18" x14ac:dyDescent="0.25">
      <c r="A2179" t="s">
        <v>7487</v>
      </c>
      <c r="B2179" t="s">
        <v>7488</v>
      </c>
      <c r="C2179" t="s">
        <v>7489</v>
      </c>
      <c r="D2179" t="s">
        <v>7489</v>
      </c>
      <c r="E2179" t="s">
        <v>7490</v>
      </c>
      <c r="F2179" t="s">
        <v>91</v>
      </c>
      <c r="G2179" t="s">
        <v>22</v>
      </c>
      <c r="H2179" t="s">
        <v>53</v>
      </c>
      <c r="I2179" t="s">
        <v>3006</v>
      </c>
      <c r="J2179">
        <v>2019</v>
      </c>
      <c r="K2179">
        <v>43698.521897777777</v>
      </c>
      <c r="L2179" t="s">
        <v>466</v>
      </c>
      <c r="M2179" t="s">
        <v>154</v>
      </c>
      <c r="N2179" t="s">
        <v>1305</v>
      </c>
      <c r="O2179">
        <v>343205</v>
      </c>
      <c r="P2179">
        <v>43693.187800925924</v>
      </c>
      <c r="Q2179">
        <v>43515.62126767361</v>
      </c>
      <c r="R2179">
        <v>2219</v>
      </c>
    </row>
    <row r="2180" spans="1:18" x14ac:dyDescent="0.25">
      <c r="A2180" t="s">
        <v>7491</v>
      </c>
      <c r="B2180" t="s">
        <v>7492</v>
      </c>
      <c r="C2180" t="s">
        <v>7493</v>
      </c>
      <c r="D2180" t="s">
        <v>7493</v>
      </c>
      <c r="E2180" t="s">
        <v>7494</v>
      </c>
      <c r="F2180" t="s">
        <v>91</v>
      </c>
      <c r="G2180" t="s">
        <v>22</v>
      </c>
      <c r="H2180" t="s">
        <v>53</v>
      </c>
      <c r="I2180" t="s">
        <v>3006</v>
      </c>
      <c r="J2180">
        <v>2019</v>
      </c>
      <c r="K2180">
        <v>43698.521897777777</v>
      </c>
      <c r="L2180" t="s">
        <v>466</v>
      </c>
      <c r="M2180" t="s">
        <v>154</v>
      </c>
      <c r="N2180" t="s">
        <v>1305</v>
      </c>
      <c r="O2180">
        <v>342556</v>
      </c>
      <c r="P2180">
        <v>43695.738680555558</v>
      </c>
      <c r="Q2180">
        <v>43515.621892395837</v>
      </c>
      <c r="R2180">
        <v>2220</v>
      </c>
    </row>
    <row r="2181" spans="1:18" x14ac:dyDescent="0.25">
      <c r="A2181" t="s">
        <v>7495</v>
      </c>
      <c r="B2181" t="s">
        <v>5683</v>
      </c>
      <c r="C2181" t="s">
        <v>7496</v>
      </c>
      <c r="D2181" t="s">
        <v>7496</v>
      </c>
      <c r="E2181" t="s">
        <v>7497</v>
      </c>
      <c r="F2181" t="s">
        <v>91</v>
      </c>
      <c r="G2181" t="s">
        <v>63</v>
      </c>
      <c r="H2181" t="s">
        <v>53</v>
      </c>
      <c r="I2181" t="s">
        <v>471</v>
      </c>
      <c r="J2181">
        <v>2019</v>
      </c>
      <c r="K2181">
        <v>43698.521897777777</v>
      </c>
      <c r="L2181" t="s">
        <v>466</v>
      </c>
      <c r="M2181" t="s">
        <v>154</v>
      </c>
      <c r="N2181" t="s">
        <v>1305</v>
      </c>
      <c r="O2181">
        <v>346008</v>
      </c>
      <c r="P2181">
        <v>43698.521897777777</v>
      </c>
      <c r="Q2181">
        <v>43515.655305474538</v>
      </c>
      <c r="R2181">
        <v>2221</v>
      </c>
    </row>
    <row r="2182" spans="1:18" x14ac:dyDescent="0.25">
      <c r="A2182" t="s">
        <v>7498</v>
      </c>
      <c r="B2182" t="s">
        <v>7499</v>
      </c>
      <c r="C2182" t="s">
        <v>7500</v>
      </c>
      <c r="D2182" t="s">
        <v>7500</v>
      </c>
      <c r="E2182" t="s">
        <v>7500</v>
      </c>
      <c r="F2182" t="s">
        <v>91</v>
      </c>
      <c r="G2182" t="s">
        <v>63</v>
      </c>
      <c r="H2182" t="s">
        <v>53</v>
      </c>
      <c r="I2182" t="s">
        <v>3006</v>
      </c>
      <c r="J2182">
        <v>2019</v>
      </c>
      <c r="K2182">
        <v>43698.521897777777</v>
      </c>
      <c r="L2182" t="s">
        <v>1056</v>
      </c>
      <c r="M2182" t="s">
        <v>1941</v>
      </c>
      <c r="N2182" t="s">
        <v>415</v>
      </c>
      <c r="O2182">
        <v>347056</v>
      </c>
      <c r="P2182">
        <v>43698.521897777777</v>
      </c>
      <c r="Q2182">
        <v>43516.518557175928</v>
      </c>
      <c r="R2182">
        <v>2222</v>
      </c>
    </row>
    <row r="2183" spans="1:18" x14ac:dyDescent="0.25">
      <c r="A2183" t="s">
        <v>7501</v>
      </c>
      <c r="B2183" t="s">
        <v>6645</v>
      </c>
      <c r="C2183" t="s">
        <v>7502</v>
      </c>
      <c r="D2183" t="s">
        <v>7502</v>
      </c>
      <c r="E2183" t="s">
        <v>7502</v>
      </c>
      <c r="F2183" t="s">
        <v>21</v>
      </c>
      <c r="G2183" t="s">
        <v>63</v>
      </c>
      <c r="H2183" t="s">
        <v>53</v>
      </c>
      <c r="I2183" t="s">
        <v>471</v>
      </c>
      <c r="J2183">
        <v>2019</v>
      </c>
      <c r="K2183">
        <v>43698.521897777777</v>
      </c>
      <c r="L2183" t="s">
        <v>1005</v>
      </c>
      <c r="M2183" t="s">
        <v>1941</v>
      </c>
      <c r="N2183" t="s">
        <v>415</v>
      </c>
      <c r="O2183">
        <v>308818</v>
      </c>
      <c r="P2183">
        <v>43607.995138888888</v>
      </c>
      <c r="Q2183">
        <v>43516.519933831019</v>
      </c>
      <c r="R2183">
        <v>2223</v>
      </c>
    </row>
    <row r="2184" spans="1:18" x14ac:dyDescent="0.25">
      <c r="A2184" t="s">
        <v>7503</v>
      </c>
      <c r="B2184" t="s">
        <v>5490</v>
      </c>
      <c r="C2184" t="s">
        <v>7504</v>
      </c>
      <c r="D2184" t="s">
        <v>7504</v>
      </c>
      <c r="E2184" t="s">
        <v>7504</v>
      </c>
      <c r="F2184" t="s">
        <v>21</v>
      </c>
      <c r="G2184" t="s">
        <v>63</v>
      </c>
      <c r="H2184" t="s">
        <v>53</v>
      </c>
      <c r="I2184" t="s">
        <v>471</v>
      </c>
      <c r="J2184">
        <v>2019</v>
      </c>
      <c r="K2184">
        <v>43698.521897777777</v>
      </c>
      <c r="L2184" t="s">
        <v>25</v>
      </c>
      <c r="M2184" t="s">
        <v>1941</v>
      </c>
      <c r="N2184" t="s">
        <v>415</v>
      </c>
      <c r="O2184">
        <v>320866</v>
      </c>
      <c r="P2184">
        <v>43636.820138888892</v>
      </c>
      <c r="Q2184">
        <v>43516.52073275463</v>
      </c>
      <c r="R2184">
        <v>2224</v>
      </c>
    </row>
    <row r="2185" spans="1:18" x14ac:dyDescent="0.25">
      <c r="A2185" t="s">
        <v>7505</v>
      </c>
      <c r="B2185" t="s">
        <v>3581</v>
      </c>
      <c r="C2185" t="s">
        <v>7506</v>
      </c>
      <c r="D2185" t="s">
        <v>7506</v>
      </c>
      <c r="E2185" t="s">
        <v>7507</v>
      </c>
      <c r="F2185" t="s">
        <v>91</v>
      </c>
      <c r="G2185" t="s">
        <v>63</v>
      </c>
      <c r="H2185" t="s">
        <v>53</v>
      </c>
      <c r="I2185" t="s">
        <v>471</v>
      </c>
      <c r="J2185">
        <v>2018</v>
      </c>
      <c r="K2185">
        <v>43698.521897777777</v>
      </c>
      <c r="L2185" t="s">
        <v>466</v>
      </c>
      <c r="M2185" t="s">
        <v>154</v>
      </c>
      <c r="N2185" t="s">
        <v>1305</v>
      </c>
      <c r="O2185">
        <v>346088</v>
      </c>
      <c r="P2185">
        <v>43698.521897777777</v>
      </c>
      <c r="Q2185">
        <v>43516.687961770833</v>
      </c>
      <c r="R2185">
        <v>2225</v>
      </c>
    </row>
    <row r="2186" spans="1:18" x14ac:dyDescent="0.25">
      <c r="A2186" t="s">
        <v>7508</v>
      </c>
      <c r="B2186" t="s">
        <v>7509</v>
      </c>
      <c r="C2186" t="s">
        <v>7510</v>
      </c>
      <c r="D2186" t="s">
        <v>7510</v>
      </c>
      <c r="E2186" t="s">
        <v>7511</v>
      </c>
      <c r="F2186" t="s">
        <v>91</v>
      </c>
      <c r="G2186" t="s">
        <v>22</v>
      </c>
      <c r="H2186" t="s">
        <v>53</v>
      </c>
      <c r="I2186" t="s">
        <v>3006</v>
      </c>
      <c r="J2186">
        <v>2019</v>
      </c>
      <c r="K2186">
        <v>43698.521897777777</v>
      </c>
      <c r="L2186" t="s">
        <v>1005</v>
      </c>
      <c r="M2186" t="s">
        <v>37</v>
      </c>
      <c r="N2186" t="s">
        <v>415</v>
      </c>
      <c r="O2186">
        <v>346093</v>
      </c>
      <c r="P2186">
        <v>43698.521897777777</v>
      </c>
      <c r="Q2186">
        <v>43518.674438043985</v>
      </c>
      <c r="R2186">
        <v>2226</v>
      </c>
    </row>
    <row r="2187" spans="1:18" x14ac:dyDescent="0.25">
      <c r="A2187" t="s">
        <v>7512</v>
      </c>
      <c r="B2187" t="s">
        <v>7513</v>
      </c>
      <c r="C2187" t="s">
        <v>7514</v>
      </c>
      <c r="D2187" t="s">
        <v>7514</v>
      </c>
      <c r="E2187" t="s">
        <v>7515</v>
      </c>
      <c r="F2187" t="s">
        <v>91</v>
      </c>
      <c r="G2187" t="s">
        <v>22</v>
      </c>
      <c r="H2187" t="s">
        <v>53</v>
      </c>
      <c r="I2187" t="s">
        <v>3006</v>
      </c>
      <c r="J2187">
        <v>2019</v>
      </c>
      <c r="K2187">
        <v>43698.521897777777</v>
      </c>
      <c r="L2187" t="s">
        <v>1005</v>
      </c>
      <c r="M2187" t="s">
        <v>37</v>
      </c>
      <c r="N2187" t="s">
        <v>415</v>
      </c>
      <c r="O2187">
        <v>347124</v>
      </c>
      <c r="P2187">
        <v>43698.521897777777</v>
      </c>
      <c r="Q2187">
        <v>43518.675395370374</v>
      </c>
      <c r="R2187">
        <v>2227</v>
      </c>
    </row>
    <row r="2188" spans="1:18" x14ac:dyDescent="0.25">
      <c r="A2188" t="s">
        <v>7516</v>
      </c>
      <c r="B2188" t="s">
        <v>7517</v>
      </c>
      <c r="C2188" t="s">
        <v>7518</v>
      </c>
      <c r="D2188" t="s">
        <v>7518</v>
      </c>
      <c r="E2188" t="s">
        <v>7519</v>
      </c>
      <c r="F2188" t="s">
        <v>91</v>
      </c>
      <c r="G2188" t="s">
        <v>22</v>
      </c>
      <c r="H2188" t="s">
        <v>53</v>
      </c>
      <c r="I2188" t="s">
        <v>3006</v>
      </c>
      <c r="J2188">
        <v>2019</v>
      </c>
      <c r="K2188">
        <v>43698.521897777777</v>
      </c>
      <c r="L2188" t="s">
        <v>193</v>
      </c>
      <c r="M2188" t="s">
        <v>37</v>
      </c>
      <c r="N2188" t="s">
        <v>415</v>
      </c>
      <c r="O2188">
        <v>346501</v>
      </c>
      <c r="P2188">
        <v>43698.521897777777</v>
      </c>
      <c r="Q2188">
        <v>43518.676571296295</v>
      </c>
      <c r="R2188">
        <v>2228</v>
      </c>
    </row>
    <row r="2189" spans="1:18" x14ac:dyDescent="0.25">
      <c r="A2189" t="s">
        <v>7520</v>
      </c>
      <c r="B2189" t="s">
        <v>7521</v>
      </c>
      <c r="C2189" t="s">
        <v>7522</v>
      </c>
      <c r="D2189" t="s">
        <v>7522</v>
      </c>
      <c r="E2189" t="s">
        <v>7523</v>
      </c>
      <c r="F2189" t="s">
        <v>21</v>
      </c>
      <c r="G2189" t="s">
        <v>22</v>
      </c>
      <c r="H2189" t="s">
        <v>53</v>
      </c>
      <c r="I2189" t="s">
        <v>3006</v>
      </c>
      <c r="J2189">
        <v>2019</v>
      </c>
      <c r="K2189">
        <v>43698.521897777777</v>
      </c>
      <c r="L2189" t="s">
        <v>193</v>
      </c>
      <c r="M2189" t="s">
        <v>37</v>
      </c>
      <c r="N2189" t="s">
        <v>415</v>
      </c>
      <c r="O2189">
        <v>341140</v>
      </c>
      <c r="P2189">
        <v>43685.98333333333</v>
      </c>
      <c r="Q2189">
        <v>43518.677815509262</v>
      </c>
      <c r="R2189">
        <v>2229</v>
      </c>
    </row>
    <row r="2190" spans="1:18" x14ac:dyDescent="0.25">
      <c r="A2190" t="s">
        <v>7524</v>
      </c>
      <c r="B2190" t="s">
        <v>7525</v>
      </c>
      <c r="C2190" t="s">
        <v>7526</v>
      </c>
      <c r="D2190" t="s">
        <v>7526</v>
      </c>
      <c r="E2190" t="s">
        <v>7527</v>
      </c>
      <c r="F2190" t="s">
        <v>91</v>
      </c>
      <c r="G2190" t="s">
        <v>22</v>
      </c>
      <c r="H2190" t="s">
        <v>53</v>
      </c>
      <c r="I2190" t="s">
        <v>3006</v>
      </c>
      <c r="J2190">
        <v>2019</v>
      </c>
      <c r="K2190">
        <v>43698.521897777777</v>
      </c>
      <c r="L2190" t="s">
        <v>1005</v>
      </c>
      <c r="M2190" t="s">
        <v>37</v>
      </c>
      <c r="N2190" t="s">
        <v>415</v>
      </c>
      <c r="O2190">
        <v>345431</v>
      </c>
      <c r="P2190">
        <v>43698.521897777777</v>
      </c>
      <c r="Q2190">
        <v>43518.678804826392</v>
      </c>
      <c r="R2190">
        <v>2230</v>
      </c>
    </row>
    <row r="2191" spans="1:18" x14ac:dyDescent="0.25">
      <c r="A2191" t="s">
        <v>7528</v>
      </c>
      <c r="B2191" t="s">
        <v>7529</v>
      </c>
      <c r="C2191" t="s">
        <v>7530</v>
      </c>
      <c r="D2191" t="s">
        <v>7530</v>
      </c>
      <c r="E2191" t="s">
        <v>7531</v>
      </c>
      <c r="F2191" t="s">
        <v>91</v>
      </c>
      <c r="G2191" t="s">
        <v>22</v>
      </c>
      <c r="H2191" t="s">
        <v>53</v>
      </c>
      <c r="I2191" t="s">
        <v>3006</v>
      </c>
      <c r="J2191">
        <v>2019</v>
      </c>
      <c r="K2191">
        <v>43698.521897777777</v>
      </c>
      <c r="L2191" t="s">
        <v>578</v>
      </c>
      <c r="M2191" t="s">
        <v>37</v>
      </c>
      <c r="N2191" t="s">
        <v>415</v>
      </c>
      <c r="O2191">
        <v>346403</v>
      </c>
      <c r="P2191">
        <v>43697.830543981479</v>
      </c>
      <c r="Q2191">
        <v>43518.679668090277</v>
      </c>
      <c r="R2191">
        <v>2231</v>
      </c>
    </row>
    <row r="2192" spans="1:18" x14ac:dyDescent="0.25">
      <c r="A2192" t="s">
        <v>7532</v>
      </c>
      <c r="B2192" t="s">
        <v>7533</v>
      </c>
      <c r="C2192" t="s">
        <v>7534</v>
      </c>
      <c r="D2192" t="s">
        <v>7534</v>
      </c>
      <c r="E2192" t="s">
        <v>7535</v>
      </c>
      <c r="F2192" t="s">
        <v>91</v>
      </c>
      <c r="G2192" t="s">
        <v>22</v>
      </c>
      <c r="H2192" t="s">
        <v>53</v>
      </c>
      <c r="I2192" t="s">
        <v>3006</v>
      </c>
      <c r="J2192">
        <v>2019</v>
      </c>
      <c r="K2192">
        <v>43698.521897777777</v>
      </c>
      <c r="L2192" t="s">
        <v>1005</v>
      </c>
      <c r="M2192" t="s">
        <v>37</v>
      </c>
      <c r="N2192" t="s">
        <v>415</v>
      </c>
      <c r="O2192">
        <v>345321</v>
      </c>
      <c r="P2192">
        <v>43698.521897777777</v>
      </c>
      <c r="Q2192">
        <v>43518.681053321758</v>
      </c>
      <c r="R2192">
        <v>2232</v>
      </c>
    </row>
    <row r="2193" spans="1:18" x14ac:dyDescent="0.25">
      <c r="A2193" t="s">
        <v>7536</v>
      </c>
      <c r="B2193" t="s">
        <v>7537</v>
      </c>
      <c r="C2193" t="s">
        <v>7538</v>
      </c>
      <c r="D2193" t="s">
        <v>7538</v>
      </c>
      <c r="E2193" t="s">
        <v>7539</v>
      </c>
      <c r="F2193" t="s">
        <v>91</v>
      </c>
      <c r="G2193" t="s">
        <v>22</v>
      </c>
      <c r="H2193" t="s">
        <v>53</v>
      </c>
      <c r="I2193" t="s">
        <v>3006</v>
      </c>
      <c r="J2193">
        <v>2019</v>
      </c>
      <c r="K2193">
        <v>43698.521897777777</v>
      </c>
      <c r="L2193" t="s">
        <v>1916</v>
      </c>
      <c r="M2193" t="s">
        <v>37</v>
      </c>
      <c r="N2193" t="s">
        <v>415</v>
      </c>
      <c r="O2193">
        <v>346862</v>
      </c>
      <c r="P2193">
        <v>43698.521897777777</v>
      </c>
      <c r="Q2193">
        <v>43518.682021377317</v>
      </c>
      <c r="R2193">
        <v>2233</v>
      </c>
    </row>
    <row r="2194" spans="1:18" x14ac:dyDescent="0.25">
      <c r="A2194" t="s">
        <v>7540</v>
      </c>
      <c r="B2194" t="s">
        <v>7541</v>
      </c>
      <c r="C2194" t="s">
        <v>7542</v>
      </c>
      <c r="D2194" t="s">
        <v>7542</v>
      </c>
      <c r="E2194" t="s">
        <v>7543</v>
      </c>
      <c r="F2194" t="s">
        <v>91</v>
      </c>
      <c r="G2194" t="s">
        <v>22</v>
      </c>
      <c r="H2194" t="s">
        <v>53</v>
      </c>
      <c r="I2194" t="s">
        <v>3006</v>
      </c>
      <c r="J2194">
        <v>2019</v>
      </c>
      <c r="K2194">
        <v>43698.521897777777</v>
      </c>
      <c r="L2194" t="s">
        <v>1005</v>
      </c>
      <c r="M2194" t="s">
        <v>37</v>
      </c>
      <c r="N2194" t="s">
        <v>994</v>
      </c>
      <c r="O2194">
        <v>345342</v>
      </c>
      <c r="P2194">
        <v>43698.521897777777</v>
      </c>
      <c r="Q2194">
        <v>43518.683120254631</v>
      </c>
      <c r="R2194">
        <v>2234</v>
      </c>
    </row>
    <row r="2195" spans="1:18" x14ac:dyDescent="0.25">
      <c r="A2195" t="s">
        <v>7544</v>
      </c>
      <c r="B2195" t="s">
        <v>7545</v>
      </c>
      <c r="C2195" t="s">
        <v>7546</v>
      </c>
      <c r="D2195" t="s">
        <v>7546</v>
      </c>
      <c r="E2195" t="s">
        <v>7547</v>
      </c>
      <c r="F2195" t="s">
        <v>91</v>
      </c>
      <c r="G2195" t="s">
        <v>22</v>
      </c>
      <c r="H2195" t="s">
        <v>53</v>
      </c>
      <c r="I2195" t="s">
        <v>3006</v>
      </c>
      <c r="J2195">
        <v>2019</v>
      </c>
      <c r="K2195">
        <v>43698.521897777777</v>
      </c>
      <c r="L2195" t="s">
        <v>1005</v>
      </c>
      <c r="M2195" t="s">
        <v>37</v>
      </c>
      <c r="N2195" t="s">
        <v>415</v>
      </c>
      <c r="O2195">
        <v>346574</v>
      </c>
      <c r="P2195">
        <v>43698.521897777777</v>
      </c>
      <c r="Q2195">
        <v>43518.685179282409</v>
      </c>
      <c r="R2195">
        <v>2235</v>
      </c>
    </row>
    <row r="2196" spans="1:18" x14ac:dyDescent="0.25">
      <c r="A2196" t="s">
        <v>7548</v>
      </c>
      <c r="B2196" t="s">
        <v>5494</v>
      </c>
      <c r="C2196" t="s">
        <v>7549</v>
      </c>
      <c r="D2196" t="s">
        <v>7549</v>
      </c>
      <c r="E2196" t="s">
        <v>7549</v>
      </c>
      <c r="F2196" t="s">
        <v>253</v>
      </c>
      <c r="G2196" t="s">
        <v>63</v>
      </c>
      <c r="H2196" t="s">
        <v>53</v>
      </c>
      <c r="I2196" t="s">
        <v>3693</v>
      </c>
      <c r="J2196">
        <v>2019</v>
      </c>
      <c r="K2196">
        <v>43698.521897777777</v>
      </c>
      <c r="L2196" t="s">
        <v>1056</v>
      </c>
      <c r="M2196" t="s">
        <v>1941</v>
      </c>
      <c r="N2196" t="s">
        <v>415</v>
      </c>
      <c r="O2196">
        <v>346803</v>
      </c>
      <c r="P2196">
        <v>43698.521897777777</v>
      </c>
      <c r="Q2196">
        <v>43521.682815740744</v>
      </c>
      <c r="R2196">
        <v>2236</v>
      </c>
    </row>
    <row r="2197" spans="1:18" x14ac:dyDescent="0.25">
      <c r="A2197" t="s">
        <v>7550</v>
      </c>
      <c r="B2197" t="s">
        <v>1562</v>
      </c>
      <c r="C2197" t="s">
        <v>7551</v>
      </c>
      <c r="D2197" t="s">
        <v>7551</v>
      </c>
      <c r="E2197" t="s">
        <v>7551</v>
      </c>
      <c r="F2197" t="s">
        <v>91</v>
      </c>
      <c r="G2197" t="s">
        <v>63</v>
      </c>
      <c r="H2197" t="s">
        <v>53</v>
      </c>
      <c r="I2197" t="s">
        <v>471</v>
      </c>
      <c r="J2197">
        <v>2013</v>
      </c>
      <c r="K2197">
        <v>43698.521897777777</v>
      </c>
      <c r="L2197" t="s">
        <v>466</v>
      </c>
      <c r="M2197" t="s">
        <v>154</v>
      </c>
      <c r="N2197" t="s">
        <v>1305</v>
      </c>
      <c r="O2197">
        <v>339831</v>
      </c>
      <c r="P2197">
        <v>43684.647222222222</v>
      </c>
      <c r="Q2197">
        <v>43524.372043981479</v>
      </c>
      <c r="R2197">
        <v>2237</v>
      </c>
    </row>
    <row r="2198" spans="1:18" x14ac:dyDescent="0.25">
      <c r="A2198" t="s">
        <v>7552</v>
      </c>
      <c r="B2198" t="s">
        <v>7553</v>
      </c>
      <c r="C2198" t="s">
        <v>7554</v>
      </c>
      <c r="D2198" t="s">
        <v>7554</v>
      </c>
      <c r="E2198" t="s">
        <v>7555</v>
      </c>
      <c r="F2198" t="s">
        <v>91</v>
      </c>
      <c r="G2198" t="s">
        <v>22</v>
      </c>
      <c r="H2198" t="s">
        <v>53</v>
      </c>
      <c r="I2198" t="s">
        <v>3006</v>
      </c>
      <c r="J2198">
        <v>2019</v>
      </c>
      <c r="K2198">
        <v>43698.521897777777</v>
      </c>
      <c r="L2198" t="s">
        <v>578</v>
      </c>
      <c r="M2198" t="s">
        <v>37</v>
      </c>
      <c r="N2198" t="s">
        <v>415</v>
      </c>
      <c r="O2198">
        <v>346909</v>
      </c>
      <c r="P2198">
        <v>43698.521897777777</v>
      </c>
      <c r="Q2198">
        <v>43524.423745601853</v>
      </c>
      <c r="R2198">
        <v>2238</v>
      </c>
    </row>
    <row r="2199" spans="1:18" x14ac:dyDescent="0.25">
      <c r="A2199" t="s">
        <v>7556</v>
      </c>
      <c r="B2199" t="s">
        <v>7557</v>
      </c>
      <c r="C2199" t="s">
        <v>7558</v>
      </c>
      <c r="D2199" t="s">
        <v>7558</v>
      </c>
      <c r="E2199" t="s">
        <v>7559</v>
      </c>
      <c r="F2199" t="s">
        <v>91</v>
      </c>
      <c r="G2199" t="s">
        <v>22</v>
      </c>
      <c r="H2199" t="s">
        <v>53</v>
      </c>
      <c r="I2199" t="s">
        <v>3006</v>
      </c>
      <c r="J2199">
        <v>2019</v>
      </c>
      <c r="K2199">
        <v>43698.521897777777</v>
      </c>
      <c r="L2199" t="s">
        <v>578</v>
      </c>
      <c r="M2199" t="s">
        <v>37</v>
      </c>
      <c r="N2199" t="s">
        <v>415</v>
      </c>
      <c r="O2199">
        <v>346823</v>
      </c>
      <c r="P2199">
        <v>43698.521897777777</v>
      </c>
      <c r="Q2199">
        <v>43524.428674884257</v>
      </c>
      <c r="R2199">
        <v>2239</v>
      </c>
    </row>
    <row r="2200" spans="1:18" x14ac:dyDescent="0.25">
      <c r="A2200" t="s">
        <v>7560</v>
      </c>
      <c r="B2200" t="s">
        <v>7561</v>
      </c>
      <c r="C2200" t="s">
        <v>7562</v>
      </c>
      <c r="D2200" t="s">
        <v>7562</v>
      </c>
      <c r="E2200" t="s">
        <v>7563</v>
      </c>
      <c r="F2200" t="s">
        <v>91</v>
      </c>
      <c r="G2200" t="s">
        <v>22</v>
      </c>
      <c r="H2200" t="s">
        <v>53</v>
      </c>
      <c r="I2200" t="s">
        <v>3006</v>
      </c>
      <c r="J2200">
        <v>2019</v>
      </c>
      <c r="K2200">
        <v>43698.521897777777</v>
      </c>
      <c r="L2200" t="s">
        <v>578</v>
      </c>
      <c r="M2200" t="s">
        <v>37</v>
      </c>
      <c r="N2200" t="s">
        <v>415</v>
      </c>
      <c r="O2200">
        <v>346953</v>
      </c>
      <c r="P2200">
        <v>43698.521897777777</v>
      </c>
      <c r="Q2200">
        <v>43524.431622719909</v>
      </c>
      <c r="R2200">
        <v>2240</v>
      </c>
    </row>
    <row r="2201" spans="1:18" x14ac:dyDescent="0.25">
      <c r="A2201" t="s">
        <v>7564</v>
      </c>
      <c r="B2201" t="s">
        <v>7565</v>
      </c>
      <c r="C2201" t="s">
        <v>7566</v>
      </c>
      <c r="D2201" t="s">
        <v>7566</v>
      </c>
      <c r="E2201" t="s">
        <v>7567</v>
      </c>
      <c r="F2201" t="s">
        <v>91</v>
      </c>
      <c r="G2201" t="s">
        <v>22</v>
      </c>
      <c r="H2201" t="s">
        <v>53</v>
      </c>
      <c r="I2201" t="s">
        <v>3006</v>
      </c>
      <c r="J2201">
        <v>2019</v>
      </c>
      <c r="K2201">
        <v>43698.521897777777</v>
      </c>
      <c r="L2201" t="s">
        <v>4254</v>
      </c>
      <c r="M2201" t="s">
        <v>37</v>
      </c>
      <c r="N2201" t="s">
        <v>415</v>
      </c>
      <c r="O2201">
        <v>346945</v>
      </c>
      <c r="P2201">
        <v>43698.521897777777</v>
      </c>
      <c r="Q2201">
        <v>43524.434439236109</v>
      </c>
      <c r="R2201">
        <v>2241</v>
      </c>
    </row>
    <row r="2202" spans="1:18" x14ac:dyDescent="0.25">
      <c r="A2202" t="s">
        <v>7568</v>
      </c>
      <c r="B2202" t="s">
        <v>7569</v>
      </c>
      <c r="C2202" t="s">
        <v>7570</v>
      </c>
      <c r="D2202" t="s">
        <v>7570</v>
      </c>
      <c r="E2202" t="s">
        <v>7571</v>
      </c>
      <c r="F2202" t="s">
        <v>91</v>
      </c>
      <c r="G2202" t="s">
        <v>22</v>
      </c>
      <c r="H2202" t="s">
        <v>53</v>
      </c>
      <c r="I2202" t="s">
        <v>3006</v>
      </c>
      <c r="J2202">
        <v>2019</v>
      </c>
      <c r="K2202">
        <v>43698.521897777777</v>
      </c>
      <c r="L2202" t="s">
        <v>578</v>
      </c>
      <c r="M2202" t="s">
        <v>37</v>
      </c>
      <c r="N2202" t="s">
        <v>415</v>
      </c>
      <c r="O2202">
        <v>346905</v>
      </c>
      <c r="P2202">
        <v>43698.521897777777</v>
      </c>
      <c r="Q2202">
        <v>43524.435724537034</v>
      </c>
      <c r="R2202">
        <v>2242</v>
      </c>
    </row>
    <row r="2203" spans="1:18" x14ac:dyDescent="0.25">
      <c r="A2203" t="s">
        <v>7572</v>
      </c>
      <c r="B2203" t="s">
        <v>7573</v>
      </c>
      <c r="C2203" t="s">
        <v>7574</v>
      </c>
      <c r="D2203" t="s">
        <v>7574</v>
      </c>
      <c r="E2203" t="s">
        <v>7575</v>
      </c>
      <c r="F2203" t="s">
        <v>91</v>
      </c>
      <c r="G2203" t="s">
        <v>22</v>
      </c>
      <c r="H2203" t="s">
        <v>53</v>
      </c>
      <c r="I2203" t="s">
        <v>3006</v>
      </c>
      <c r="J2203">
        <v>2019</v>
      </c>
      <c r="K2203">
        <v>43698.521897777777</v>
      </c>
      <c r="L2203" t="s">
        <v>578</v>
      </c>
      <c r="M2203" t="s">
        <v>37</v>
      </c>
      <c r="N2203" t="s">
        <v>415</v>
      </c>
      <c r="O2203">
        <v>346693</v>
      </c>
      <c r="P2203">
        <v>43698.521897777777</v>
      </c>
      <c r="Q2203">
        <v>43524.43750709491</v>
      </c>
      <c r="R2203">
        <v>2243</v>
      </c>
    </row>
    <row r="2204" spans="1:18" x14ac:dyDescent="0.25">
      <c r="A2204" t="s">
        <v>7576</v>
      </c>
      <c r="B2204" t="s">
        <v>7577</v>
      </c>
      <c r="C2204" t="s">
        <v>7578</v>
      </c>
      <c r="D2204" t="s">
        <v>7578</v>
      </c>
      <c r="E2204" t="s">
        <v>7579</v>
      </c>
      <c r="F2204" t="s">
        <v>91</v>
      </c>
      <c r="G2204" t="s">
        <v>22</v>
      </c>
      <c r="H2204" t="s">
        <v>53</v>
      </c>
      <c r="I2204" t="s">
        <v>3006</v>
      </c>
      <c r="J2204">
        <v>2019</v>
      </c>
      <c r="K2204">
        <v>43698.521897777777</v>
      </c>
      <c r="L2204" t="s">
        <v>578</v>
      </c>
      <c r="M2204" t="s">
        <v>37</v>
      </c>
      <c r="N2204" t="s">
        <v>415</v>
      </c>
      <c r="O2204">
        <v>346933</v>
      </c>
      <c r="P2204">
        <v>43698.521897777777</v>
      </c>
      <c r="Q2204">
        <v>43524.439401967589</v>
      </c>
      <c r="R2204">
        <v>2244</v>
      </c>
    </row>
    <row r="2205" spans="1:18" x14ac:dyDescent="0.25">
      <c r="A2205" t="s">
        <v>7580</v>
      </c>
      <c r="B2205" t="s">
        <v>7581</v>
      </c>
      <c r="C2205" t="s">
        <v>7582</v>
      </c>
      <c r="D2205" t="s">
        <v>7582</v>
      </c>
      <c r="E2205" t="s">
        <v>7583</v>
      </c>
      <c r="F2205" t="s">
        <v>91</v>
      </c>
      <c r="G2205" t="s">
        <v>22</v>
      </c>
      <c r="H2205" t="s">
        <v>53</v>
      </c>
      <c r="I2205" t="s">
        <v>3006</v>
      </c>
      <c r="J2205">
        <v>2019</v>
      </c>
      <c r="K2205">
        <v>43698.521897777777</v>
      </c>
      <c r="L2205" t="s">
        <v>578</v>
      </c>
      <c r="M2205" t="s">
        <v>37</v>
      </c>
      <c r="N2205" t="s">
        <v>415</v>
      </c>
      <c r="O2205">
        <v>346912</v>
      </c>
      <c r="P2205">
        <v>43698.521897777777</v>
      </c>
      <c r="Q2205">
        <v>43524.441299224534</v>
      </c>
      <c r="R2205">
        <v>2245</v>
      </c>
    </row>
    <row r="2206" spans="1:18" x14ac:dyDescent="0.25">
      <c r="A2206" t="s">
        <v>7584</v>
      </c>
      <c r="B2206" t="s">
        <v>7585</v>
      </c>
      <c r="C2206" t="s">
        <v>7586</v>
      </c>
      <c r="D2206" t="s">
        <v>7586</v>
      </c>
      <c r="E2206" t="s">
        <v>7587</v>
      </c>
      <c r="F2206" t="s">
        <v>91</v>
      </c>
      <c r="G2206" t="s">
        <v>22</v>
      </c>
      <c r="H2206" t="s">
        <v>53</v>
      </c>
      <c r="I2206" t="s">
        <v>3006</v>
      </c>
      <c r="J2206">
        <v>2019</v>
      </c>
      <c r="K2206">
        <v>43698.521897777777</v>
      </c>
      <c r="L2206" t="s">
        <v>578</v>
      </c>
      <c r="M2206" t="s">
        <v>37</v>
      </c>
      <c r="N2206" t="s">
        <v>415</v>
      </c>
      <c r="O2206">
        <v>346908</v>
      </c>
      <c r="P2206">
        <v>43698.521897777777</v>
      </c>
      <c r="Q2206">
        <v>43524.443203622686</v>
      </c>
      <c r="R2206">
        <v>2246</v>
      </c>
    </row>
    <row r="2207" spans="1:18" x14ac:dyDescent="0.25">
      <c r="A2207" t="s">
        <v>7588</v>
      </c>
      <c r="B2207" t="s">
        <v>7589</v>
      </c>
      <c r="C2207" t="s">
        <v>7590</v>
      </c>
      <c r="D2207" t="s">
        <v>7590</v>
      </c>
      <c r="E2207" t="s">
        <v>7591</v>
      </c>
      <c r="F2207" t="s">
        <v>91</v>
      </c>
      <c r="G2207" t="s">
        <v>22</v>
      </c>
      <c r="H2207" t="s">
        <v>53</v>
      </c>
      <c r="I2207" t="s">
        <v>3006</v>
      </c>
      <c r="J2207">
        <v>2019</v>
      </c>
      <c r="K2207">
        <v>43698.521897777777</v>
      </c>
      <c r="L2207" t="s">
        <v>578</v>
      </c>
      <c r="M2207" t="s">
        <v>37</v>
      </c>
      <c r="N2207" t="s">
        <v>415</v>
      </c>
      <c r="O2207">
        <v>343104</v>
      </c>
      <c r="P2207">
        <v>43690.095231481479</v>
      </c>
      <c r="Q2207">
        <v>43524.444870335647</v>
      </c>
      <c r="R2207">
        <v>2247</v>
      </c>
    </row>
    <row r="2208" spans="1:18" x14ac:dyDescent="0.25">
      <c r="A2208" t="s">
        <v>7592</v>
      </c>
      <c r="B2208" t="s">
        <v>7593</v>
      </c>
      <c r="C2208" t="s">
        <v>7594</v>
      </c>
      <c r="D2208" t="s">
        <v>7594</v>
      </c>
      <c r="E2208" t="s">
        <v>7595</v>
      </c>
      <c r="F2208" t="s">
        <v>91</v>
      </c>
      <c r="G2208" t="s">
        <v>22</v>
      </c>
      <c r="H2208" t="s">
        <v>53</v>
      </c>
      <c r="I2208" t="s">
        <v>3006</v>
      </c>
      <c r="J2208">
        <v>2020</v>
      </c>
      <c r="K2208">
        <v>43698.521897777777</v>
      </c>
      <c r="L2208" t="s">
        <v>193</v>
      </c>
      <c r="M2208" t="s">
        <v>1941</v>
      </c>
      <c r="N2208" t="s">
        <v>415</v>
      </c>
      <c r="O2208">
        <v>346239</v>
      </c>
      <c r="P2208">
        <v>43698.521897777777</v>
      </c>
      <c r="Q2208">
        <v>43528.637330011574</v>
      </c>
      <c r="R2208">
        <v>2248</v>
      </c>
    </row>
    <row r="2209" spans="1:18" x14ac:dyDescent="0.25">
      <c r="A2209" t="s">
        <v>7596</v>
      </c>
      <c r="B2209" t="s">
        <v>7597</v>
      </c>
      <c r="C2209" t="s">
        <v>7598</v>
      </c>
      <c r="D2209" t="s">
        <v>7598</v>
      </c>
      <c r="E2209" t="s">
        <v>7599</v>
      </c>
      <c r="F2209" t="s">
        <v>91</v>
      </c>
      <c r="G2209" t="s">
        <v>22</v>
      </c>
      <c r="H2209" t="s">
        <v>53</v>
      </c>
      <c r="I2209" t="s">
        <v>3006</v>
      </c>
      <c r="J2209">
        <v>2020</v>
      </c>
      <c r="K2209">
        <v>43698.521897777777</v>
      </c>
      <c r="L2209" t="s">
        <v>1005</v>
      </c>
      <c r="M2209" t="s">
        <v>1941</v>
      </c>
      <c r="N2209" t="s">
        <v>415</v>
      </c>
      <c r="O2209">
        <v>346200</v>
      </c>
      <c r="P2209">
        <v>43698.521897777777</v>
      </c>
      <c r="Q2209">
        <v>43528.638332210649</v>
      </c>
      <c r="R2209">
        <v>2249</v>
      </c>
    </row>
    <row r="2210" spans="1:18" x14ac:dyDescent="0.25">
      <c r="A2210" t="s">
        <v>7600</v>
      </c>
      <c r="B2210" t="s">
        <v>7601</v>
      </c>
      <c r="C2210" t="s">
        <v>7602</v>
      </c>
      <c r="D2210" t="s">
        <v>7602</v>
      </c>
      <c r="E2210" t="s">
        <v>7603</v>
      </c>
      <c r="F2210" t="s">
        <v>91</v>
      </c>
      <c r="G2210" t="s">
        <v>22</v>
      </c>
      <c r="H2210" t="s">
        <v>53</v>
      </c>
      <c r="I2210" t="s">
        <v>3006</v>
      </c>
      <c r="J2210">
        <v>2020</v>
      </c>
      <c r="K2210">
        <v>43698.521897777777</v>
      </c>
      <c r="L2210" t="s">
        <v>1916</v>
      </c>
      <c r="M2210" t="s">
        <v>1941</v>
      </c>
      <c r="N2210" t="s">
        <v>415</v>
      </c>
      <c r="O2210">
        <v>347154</v>
      </c>
      <c r="P2210">
        <v>43698.521897777777</v>
      </c>
      <c r="Q2210">
        <v>43528.638928321758</v>
      </c>
      <c r="R2210">
        <v>2250</v>
      </c>
    </row>
    <row r="2211" spans="1:18" x14ac:dyDescent="0.25">
      <c r="A2211" t="s">
        <v>7604</v>
      </c>
      <c r="B2211" t="s">
        <v>7605</v>
      </c>
      <c r="C2211" t="s">
        <v>7606</v>
      </c>
      <c r="D2211" t="s">
        <v>7606</v>
      </c>
      <c r="E2211" t="s">
        <v>7607</v>
      </c>
      <c r="F2211" t="s">
        <v>91</v>
      </c>
      <c r="G2211" t="s">
        <v>22</v>
      </c>
      <c r="H2211" t="s">
        <v>53</v>
      </c>
      <c r="I2211" t="s">
        <v>3006</v>
      </c>
      <c r="J2211">
        <v>2020</v>
      </c>
      <c r="K2211">
        <v>43698.521897777777</v>
      </c>
      <c r="L2211" t="s">
        <v>193</v>
      </c>
      <c r="M2211" t="s">
        <v>1941</v>
      </c>
      <c r="N2211" t="s">
        <v>415</v>
      </c>
      <c r="O2211">
        <v>346951</v>
      </c>
      <c r="P2211">
        <v>43698.521897777777</v>
      </c>
      <c r="Q2211">
        <v>43528.641894525463</v>
      </c>
      <c r="R2211">
        <v>2251</v>
      </c>
    </row>
    <row r="2212" spans="1:18" x14ac:dyDescent="0.25">
      <c r="A2212" t="s">
        <v>7608</v>
      </c>
      <c r="B2212" t="s">
        <v>7609</v>
      </c>
      <c r="C2212" t="s">
        <v>7610</v>
      </c>
      <c r="D2212" t="s">
        <v>7610</v>
      </c>
      <c r="E2212" t="s">
        <v>7611</v>
      </c>
      <c r="F2212" t="s">
        <v>91</v>
      </c>
      <c r="G2212" t="s">
        <v>22</v>
      </c>
      <c r="H2212" t="s">
        <v>53</v>
      </c>
      <c r="I2212" t="s">
        <v>3006</v>
      </c>
      <c r="J2212">
        <v>2020</v>
      </c>
      <c r="K2212">
        <v>43698.521897777777</v>
      </c>
      <c r="L2212" t="s">
        <v>193</v>
      </c>
      <c r="M2212" t="s">
        <v>1941</v>
      </c>
      <c r="N2212" t="s">
        <v>415</v>
      </c>
      <c r="O2212">
        <v>346396</v>
      </c>
      <c r="P2212">
        <v>43698.521897777777</v>
      </c>
      <c r="Q2212">
        <v>43528.650032523146</v>
      </c>
      <c r="R2212">
        <v>2252</v>
      </c>
    </row>
    <row r="2213" spans="1:18" x14ac:dyDescent="0.25">
      <c r="A2213" t="s">
        <v>7612</v>
      </c>
      <c r="B2213" t="s">
        <v>7613</v>
      </c>
      <c r="C2213" t="s">
        <v>7614</v>
      </c>
      <c r="D2213" t="s">
        <v>7614</v>
      </c>
      <c r="E2213" t="s">
        <v>7615</v>
      </c>
      <c r="F2213" t="s">
        <v>91</v>
      </c>
      <c r="G2213" t="s">
        <v>22</v>
      </c>
      <c r="H2213" t="s">
        <v>53</v>
      </c>
      <c r="I2213" t="s">
        <v>3006</v>
      </c>
      <c r="J2213">
        <v>2020</v>
      </c>
      <c r="K2213">
        <v>43698.521897777777</v>
      </c>
      <c r="L2213" t="s">
        <v>1916</v>
      </c>
      <c r="M2213" t="s">
        <v>1941</v>
      </c>
      <c r="N2213" t="s">
        <v>415</v>
      </c>
      <c r="O2213">
        <v>346562</v>
      </c>
      <c r="P2213">
        <v>43698.521897777777</v>
      </c>
      <c r="Q2213">
        <v>43528.651307256943</v>
      </c>
      <c r="R2213">
        <v>2253</v>
      </c>
    </row>
    <row r="2214" spans="1:18" x14ac:dyDescent="0.25">
      <c r="A2214" t="s">
        <v>7616</v>
      </c>
      <c r="B2214" t="s">
        <v>7617</v>
      </c>
      <c r="C2214" t="s">
        <v>7618</v>
      </c>
      <c r="D2214" t="s">
        <v>7618</v>
      </c>
      <c r="E2214" t="s">
        <v>7619</v>
      </c>
      <c r="F2214" t="s">
        <v>91</v>
      </c>
      <c r="G2214" t="s">
        <v>22</v>
      </c>
      <c r="H2214" t="s">
        <v>53</v>
      </c>
      <c r="I2214" t="s">
        <v>3006</v>
      </c>
      <c r="J2214">
        <v>2020</v>
      </c>
      <c r="K2214">
        <v>43698.521897777777</v>
      </c>
      <c r="L2214" t="s">
        <v>1916</v>
      </c>
      <c r="M2214" t="s">
        <v>1941</v>
      </c>
      <c r="N2214" t="s">
        <v>415</v>
      </c>
      <c r="O2214">
        <v>347062</v>
      </c>
      <c r="P2214">
        <v>43698.521897777777</v>
      </c>
      <c r="Q2214">
        <v>43528.652080752312</v>
      </c>
      <c r="R2214">
        <v>2254</v>
      </c>
    </row>
    <row r="2215" spans="1:18" x14ac:dyDescent="0.25">
      <c r="A2215" t="s">
        <v>7620</v>
      </c>
      <c r="B2215" t="s">
        <v>7621</v>
      </c>
      <c r="C2215" t="s">
        <v>7622</v>
      </c>
      <c r="D2215" t="s">
        <v>7622</v>
      </c>
      <c r="E2215" t="s">
        <v>7623</v>
      </c>
      <c r="F2215" t="s">
        <v>91</v>
      </c>
      <c r="G2215" t="s">
        <v>22</v>
      </c>
      <c r="H2215" t="s">
        <v>53</v>
      </c>
      <c r="I2215" t="s">
        <v>3006</v>
      </c>
      <c r="J2215">
        <v>2020</v>
      </c>
      <c r="K2215">
        <v>43698.521897777777</v>
      </c>
      <c r="L2215" t="s">
        <v>193</v>
      </c>
      <c r="M2215" t="s">
        <v>1941</v>
      </c>
      <c r="N2215" t="s">
        <v>415</v>
      </c>
      <c r="O2215">
        <v>346429</v>
      </c>
      <c r="P2215">
        <v>43698.521897777777</v>
      </c>
      <c r="Q2215">
        <v>43528.652853587962</v>
      </c>
      <c r="R2215">
        <v>2255</v>
      </c>
    </row>
    <row r="2216" spans="1:18" x14ac:dyDescent="0.25">
      <c r="A2216" t="s">
        <v>7624</v>
      </c>
      <c r="B2216" t="s">
        <v>7625</v>
      </c>
      <c r="C2216" t="s">
        <v>7626</v>
      </c>
      <c r="D2216" t="s">
        <v>7626</v>
      </c>
      <c r="E2216" t="s">
        <v>7627</v>
      </c>
      <c r="F2216" t="s">
        <v>91</v>
      </c>
      <c r="G2216" t="s">
        <v>22</v>
      </c>
      <c r="H2216" t="s">
        <v>53</v>
      </c>
      <c r="I2216" t="s">
        <v>3006</v>
      </c>
      <c r="J2216">
        <v>2020</v>
      </c>
      <c r="K2216">
        <v>43698.521897777777</v>
      </c>
      <c r="L2216" t="s">
        <v>193</v>
      </c>
      <c r="M2216" t="s">
        <v>1941</v>
      </c>
      <c r="N2216" t="s">
        <v>415</v>
      </c>
      <c r="O2216">
        <v>347096</v>
      </c>
      <c r="P2216">
        <v>43698.521897777777</v>
      </c>
      <c r="Q2216">
        <v>43528.653468321761</v>
      </c>
      <c r="R2216">
        <v>2256</v>
      </c>
    </row>
    <row r="2217" spans="1:18" x14ac:dyDescent="0.25">
      <c r="A2217" t="s">
        <v>7628</v>
      </c>
      <c r="B2217" t="s">
        <v>7629</v>
      </c>
      <c r="C2217" t="s">
        <v>7630</v>
      </c>
      <c r="D2217" t="s">
        <v>7630</v>
      </c>
      <c r="E2217" t="s">
        <v>7631</v>
      </c>
      <c r="F2217" t="s">
        <v>91</v>
      </c>
      <c r="G2217" t="s">
        <v>22</v>
      </c>
      <c r="H2217" t="s">
        <v>53</v>
      </c>
      <c r="I2217" t="s">
        <v>3006</v>
      </c>
      <c r="J2217">
        <v>2020</v>
      </c>
      <c r="K2217">
        <v>43698.521897777777</v>
      </c>
      <c r="L2217" t="s">
        <v>1005</v>
      </c>
      <c r="M2217" t="s">
        <v>1941</v>
      </c>
      <c r="N2217" t="s">
        <v>415</v>
      </c>
      <c r="O2217">
        <v>346786</v>
      </c>
      <c r="P2217">
        <v>43698.521897777777</v>
      </c>
      <c r="Q2217">
        <v>43528.654135150464</v>
      </c>
      <c r="R2217">
        <v>2257</v>
      </c>
    </row>
    <row r="2218" spans="1:18" x14ac:dyDescent="0.25">
      <c r="A2218" t="s">
        <v>7632</v>
      </c>
      <c r="B2218" t="s">
        <v>7633</v>
      </c>
      <c r="C2218" t="s">
        <v>7634</v>
      </c>
      <c r="D2218" t="s">
        <v>7634</v>
      </c>
      <c r="E2218" t="s">
        <v>7635</v>
      </c>
      <c r="F2218" t="s">
        <v>91</v>
      </c>
      <c r="G2218" t="s">
        <v>22</v>
      </c>
      <c r="H2218" t="s">
        <v>53</v>
      </c>
      <c r="I2218" t="s">
        <v>3006</v>
      </c>
      <c r="J2218">
        <v>2020</v>
      </c>
      <c r="K2218">
        <v>43698.521897777777</v>
      </c>
      <c r="L2218" t="s">
        <v>1005</v>
      </c>
      <c r="M2218" t="s">
        <v>37</v>
      </c>
      <c r="N2218" t="s">
        <v>415</v>
      </c>
      <c r="O2218">
        <v>345353</v>
      </c>
      <c r="P2218">
        <v>43698.521897777777</v>
      </c>
      <c r="Q2218">
        <v>43528.68173059028</v>
      </c>
      <c r="R2218">
        <v>2258</v>
      </c>
    </row>
    <row r="2219" spans="1:18" x14ac:dyDescent="0.25">
      <c r="A2219" t="s">
        <v>7636</v>
      </c>
      <c r="B2219" t="s">
        <v>7637</v>
      </c>
      <c r="C2219" t="s">
        <v>7638</v>
      </c>
      <c r="D2219" t="s">
        <v>7638</v>
      </c>
      <c r="E2219" t="s">
        <v>7639</v>
      </c>
      <c r="F2219" t="s">
        <v>91</v>
      </c>
      <c r="G2219" t="s">
        <v>22</v>
      </c>
      <c r="H2219" t="s">
        <v>53</v>
      </c>
      <c r="I2219" t="s">
        <v>3006</v>
      </c>
      <c r="J2219">
        <v>2020</v>
      </c>
      <c r="K2219">
        <v>43698.521897777777</v>
      </c>
      <c r="L2219" t="s">
        <v>1005</v>
      </c>
      <c r="M2219" t="s">
        <v>37</v>
      </c>
      <c r="N2219" t="s">
        <v>415</v>
      </c>
      <c r="O2219">
        <v>345088</v>
      </c>
      <c r="P2219">
        <v>43698.521897777777</v>
      </c>
      <c r="Q2219">
        <v>43528.682851157406</v>
      </c>
      <c r="R2219">
        <v>2259</v>
      </c>
    </row>
    <row r="2220" spans="1:18" x14ac:dyDescent="0.25">
      <c r="A2220" t="s">
        <v>7640</v>
      </c>
      <c r="B2220" t="s">
        <v>7641</v>
      </c>
      <c r="C2220" t="s">
        <v>7642</v>
      </c>
      <c r="D2220" t="s">
        <v>7642</v>
      </c>
      <c r="E2220" t="s">
        <v>7643</v>
      </c>
      <c r="F2220" t="s">
        <v>91</v>
      </c>
      <c r="G2220" t="s">
        <v>22</v>
      </c>
      <c r="H2220" t="s">
        <v>53</v>
      </c>
      <c r="I2220" t="s">
        <v>3006</v>
      </c>
      <c r="J2220">
        <v>2020</v>
      </c>
      <c r="K2220">
        <v>43698.521897777777</v>
      </c>
      <c r="L2220" t="s">
        <v>1005</v>
      </c>
      <c r="M2220" t="s">
        <v>37</v>
      </c>
      <c r="N2220" t="s">
        <v>415</v>
      </c>
      <c r="O2220">
        <v>346637</v>
      </c>
      <c r="P2220">
        <v>43698.521897777777</v>
      </c>
      <c r="Q2220">
        <v>43528.684219016206</v>
      </c>
      <c r="R2220">
        <v>2260</v>
      </c>
    </row>
    <row r="2221" spans="1:18" x14ac:dyDescent="0.25">
      <c r="A2221" t="s">
        <v>7644</v>
      </c>
      <c r="B2221" t="s">
        <v>7645</v>
      </c>
      <c r="C2221" t="s">
        <v>7646</v>
      </c>
      <c r="D2221" t="s">
        <v>7646</v>
      </c>
      <c r="E2221" t="s">
        <v>7647</v>
      </c>
      <c r="F2221" t="s">
        <v>91</v>
      </c>
      <c r="G2221" t="s">
        <v>22</v>
      </c>
      <c r="H2221" t="s">
        <v>53</v>
      </c>
      <c r="I2221" t="s">
        <v>3006</v>
      </c>
      <c r="J2221">
        <v>2020</v>
      </c>
      <c r="K2221">
        <v>43698.521897777777</v>
      </c>
      <c r="L2221" t="s">
        <v>1005</v>
      </c>
      <c r="M2221" t="s">
        <v>37</v>
      </c>
      <c r="N2221" t="s">
        <v>415</v>
      </c>
      <c r="O2221">
        <v>344154</v>
      </c>
      <c r="P2221">
        <v>43692.019444444442</v>
      </c>
      <c r="Q2221">
        <v>43528.685404050928</v>
      </c>
      <c r="R2221">
        <v>2261</v>
      </c>
    </row>
    <row r="2222" spans="1:18" x14ac:dyDescent="0.25">
      <c r="A2222" t="s">
        <v>7648</v>
      </c>
      <c r="B2222" t="s">
        <v>7649</v>
      </c>
      <c r="C2222" t="s">
        <v>7650</v>
      </c>
      <c r="D2222" t="s">
        <v>7650</v>
      </c>
      <c r="E2222" t="s">
        <v>7651</v>
      </c>
      <c r="F2222" t="s">
        <v>91</v>
      </c>
      <c r="G2222" t="s">
        <v>22</v>
      </c>
      <c r="H2222" t="s">
        <v>53</v>
      </c>
      <c r="I2222" t="s">
        <v>3006</v>
      </c>
      <c r="J2222">
        <v>2020</v>
      </c>
      <c r="K2222">
        <v>43698.521897777777</v>
      </c>
      <c r="L2222" t="s">
        <v>193</v>
      </c>
      <c r="M2222" t="s">
        <v>37</v>
      </c>
      <c r="N2222" t="s">
        <v>415</v>
      </c>
      <c r="O2222">
        <v>345373</v>
      </c>
      <c r="P2222">
        <v>43698.521897777777</v>
      </c>
      <c r="Q2222">
        <v>43528.686436192133</v>
      </c>
      <c r="R2222">
        <v>2262</v>
      </c>
    </row>
    <row r="2223" spans="1:18" x14ac:dyDescent="0.25">
      <c r="A2223" t="s">
        <v>7652</v>
      </c>
      <c r="B2223" t="s">
        <v>7653</v>
      </c>
      <c r="C2223" t="s">
        <v>7654</v>
      </c>
      <c r="D2223" t="s">
        <v>7654</v>
      </c>
      <c r="E2223" t="s">
        <v>7655</v>
      </c>
      <c r="F2223" t="s">
        <v>91</v>
      </c>
      <c r="G2223" t="s">
        <v>22</v>
      </c>
      <c r="H2223" t="s">
        <v>53</v>
      </c>
      <c r="I2223" t="s">
        <v>3006</v>
      </c>
      <c r="J2223">
        <v>2020</v>
      </c>
      <c r="K2223">
        <v>43698.521897777777</v>
      </c>
      <c r="L2223" t="s">
        <v>193</v>
      </c>
      <c r="M2223" t="s">
        <v>37</v>
      </c>
      <c r="N2223" t="s">
        <v>415</v>
      </c>
      <c r="O2223">
        <v>347153</v>
      </c>
      <c r="P2223">
        <v>43698.521897777777</v>
      </c>
      <c r="Q2223">
        <v>43528.689118483795</v>
      </c>
      <c r="R2223">
        <v>2263</v>
      </c>
    </row>
    <row r="2224" spans="1:18" x14ac:dyDescent="0.25">
      <c r="A2224" t="s">
        <v>7656</v>
      </c>
      <c r="B2224" t="s">
        <v>7657</v>
      </c>
      <c r="C2224" t="s">
        <v>7658</v>
      </c>
      <c r="D2224" t="s">
        <v>7658</v>
      </c>
      <c r="E2224" t="s">
        <v>7659</v>
      </c>
      <c r="F2224" t="s">
        <v>91</v>
      </c>
      <c r="G2224" t="s">
        <v>22</v>
      </c>
      <c r="H2224" t="s">
        <v>53</v>
      </c>
      <c r="I2224" t="s">
        <v>3006</v>
      </c>
      <c r="J2224">
        <v>2020</v>
      </c>
      <c r="K2224">
        <v>43698.521897777777</v>
      </c>
      <c r="L2224" t="s">
        <v>1005</v>
      </c>
      <c r="M2224" t="s">
        <v>37</v>
      </c>
      <c r="N2224" t="s">
        <v>415</v>
      </c>
      <c r="O2224">
        <v>346149</v>
      </c>
      <c r="P2224">
        <v>43698.521897777777</v>
      </c>
      <c r="Q2224">
        <v>43528.689775497682</v>
      </c>
      <c r="R2224">
        <v>2264</v>
      </c>
    </row>
    <row r="2225" spans="1:18" x14ac:dyDescent="0.25">
      <c r="A2225" t="s">
        <v>7660</v>
      </c>
      <c r="B2225" t="s">
        <v>7661</v>
      </c>
      <c r="C2225" t="s">
        <v>7662</v>
      </c>
      <c r="D2225" t="s">
        <v>7662</v>
      </c>
      <c r="E2225" t="s">
        <v>7663</v>
      </c>
      <c r="F2225" t="s">
        <v>91</v>
      </c>
      <c r="G2225" t="s">
        <v>22</v>
      </c>
      <c r="H2225" t="s">
        <v>53</v>
      </c>
      <c r="I2225" t="s">
        <v>3006</v>
      </c>
      <c r="J2225">
        <v>2020</v>
      </c>
      <c r="K2225">
        <v>43698.521897777777</v>
      </c>
      <c r="L2225" t="s">
        <v>1056</v>
      </c>
      <c r="M2225" t="s">
        <v>37</v>
      </c>
      <c r="N2225" t="s">
        <v>415</v>
      </c>
      <c r="O2225">
        <v>346013</v>
      </c>
      <c r="P2225">
        <v>43698.521897777777</v>
      </c>
      <c r="Q2225">
        <v>43528.690667164352</v>
      </c>
      <c r="R2225">
        <v>2265</v>
      </c>
    </row>
    <row r="2226" spans="1:18" x14ac:dyDescent="0.25">
      <c r="A2226" t="s">
        <v>7664</v>
      </c>
      <c r="B2226" t="s">
        <v>7665</v>
      </c>
      <c r="C2226" t="s">
        <v>7666</v>
      </c>
      <c r="D2226" t="s">
        <v>7666</v>
      </c>
      <c r="E2226" t="s">
        <v>7667</v>
      </c>
      <c r="F2226" t="s">
        <v>91</v>
      </c>
      <c r="G2226" t="s">
        <v>22</v>
      </c>
      <c r="H2226" t="s">
        <v>53</v>
      </c>
      <c r="I2226" t="s">
        <v>3006</v>
      </c>
      <c r="J2226">
        <v>2020</v>
      </c>
      <c r="K2226">
        <v>43698.521897777777</v>
      </c>
      <c r="L2226" t="s">
        <v>1005</v>
      </c>
      <c r="M2226" t="s">
        <v>37</v>
      </c>
      <c r="N2226" t="s">
        <v>415</v>
      </c>
      <c r="O2226">
        <v>346989</v>
      </c>
      <c r="P2226">
        <v>43698.521897777777</v>
      </c>
      <c r="Q2226">
        <v>43528.70069140046</v>
      </c>
      <c r="R2226">
        <v>2266</v>
      </c>
    </row>
    <row r="2227" spans="1:18" x14ac:dyDescent="0.25">
      <c r="A2227" t="s">
        <v>7668</v>
      </c>
      <c r="B2227" t="s">
        <v>7669</v>
      </c>
      <c r="C2227" t="s">
        <v>7670</v>
      </c>
      <c r="D2227" t="s">
        <v>7670</v>
      </c>
      <c r="E2227" t="s">
        <v>7671</v>
      </c>
      <c r="F2227" t="s">
        <v>91</v>
      </c>
      <c r="G2227" t="s">
        <v>22</v>
      </c>
      <c r="H2227" t="s">
        <v>53</v>
      </c>
      <c r="I2227" t="s">
        <v>3006</v>
      </c>
      <c r="J2227">
        <v>2020</v>
      </c>
      <c r="K2227">
        <v>43698.521897777777</v>
      </c>
      <c r="L2227" t="s">
        <v>1005</v>
      </c>
      <c r="M2227" t="s">
        <v>37</v>
      </c>
      <c r="N2227" t="s">
        <v>415</v>
      </c>
      <c r="O2227">
        <v>345418</v>
      </c>
      <c r="P2227">
        <v>43698.521897777777</v>
      </c>
      <c r="Q2227">
        <v>43528.703993055555</v>
      </c>
      <c r="R2227">
        <v>2267</v>
      </c>
    </row>
    <row r="2228" spans="1:18" x14ac:dyDescent="0.25">
      <c r="A2228" t="s">
        <v>7672</v>
      </c>
      <c r="B2228" t="s">
        <v>7673</v>
      </c>
      <c r="C2228" t="s">
        <v>7674</v>
      </c>
      <c r="D2228" t="s">
        <v>7674</v>
      </c>
      <c r="E2228" t="s">
        <v>7675</v>
      </c>
      <c r="F2228" t="s">
        <v>91</v>
      </c>
      <c r="G2228" t="s">
        <v>22</v>
      </c>
      <c r="H2228" t="s">
        <v>53</v>
      </c>
      <c r="I2228" t="s">
        <v>3006</v>
      </c>
      <c r="J2228">
        <v>2020</v>
      </c>
      <c r="K2228">
        <v>43698.521897777777</v>
      </c>
      <c r="L2228" t="s">
        <v>1005</v>
      </c>
      <c r="M2228" t="s">
        <v>37</v>
      </c>
      <c r="N2228" t="s">
        <v>415</v>
      </c>
      <c r="O2228">
        <v>345555</v>
      </c>
      <c r="P2228">
        <v>43698.521897777777</v>
      </c>
      <c r="Q2228">
        <v>43528.704738969907</v>
      </c>
      <c r="R2228">
        <v>2268</v>
      </c>
    </row>
    <row r="2229" spans="1:18" x14ac:dyDescent="0.25">
      <c r="A2229" t="s">
        <v>7676</v>
      </c>
      <c r="B2229" t="s">
        <v>7677</v>
      </c>
      <c r="C2229" t="s">
        <v>7678</v>
      </c>
      <c r="D2229" t="s">
        <v>7678</v>
      </c>
      <c r="E2229" t="s">
        <v>7679</v>
      </c>
      <c r="F2229" t="s">
        <v>91</v>
      </c>
      <c r="G2229" t="s">
        <v>22</v>
      </c>
      <c r="H2229" t="s">
        <v>53</v>
      </c>
      <c r="I2229" t="s">
        <v>3006</v>
      </c>
      <c r="J2229">
        <v>2020</v>
      </c>
      <c r="K2229">
        <v>43698.521897777777</v>
      </c>
      <c r="L2229" t="s">
        <v>193</v>
      </c>
      <c r="M2229" t="s">
        <v>37</v>
      </c>
      <c r="N2229" t="s">
        <v>415</v>
      </c>
      <c r="O2229">
        <v>345681</v>
      </c>
      <c r="P2229">
        <v>43698.521897777777</v>
      </c>
      <c r="Q2229">
        <v>43528.705826192127</v>
      </c>
      <c r="R2229">
        <v>2269</v>
      </c>
    </row>
    <row r="2230" spans="1:18" x14ac:dyDescent="0.25">
      <c r="A2230" t="s">
        <v>7680</v>
      </c>
      <c r="B2230" t="s">
        <v>7681</v>
      </c>
      <c r="C2230" t="s">
        <v>7682</v>
      </c>
      <c r="D2230" t="s">
        <v>7682</v>
      </c>
      <c r="E2230" t="s">
        <v>7683</v>
      </c>
      <c r="F2230" t="s">
        <v>91</v>
      </c>
      <c r="G2230" t="s">
        <v>22</v>
      </c>
      <c r="H2230" t="s">
        <v>53</v>
      </c>
      <c r="I2230" t="s">
        <v>3006</v>
      </c>
      <c r="J2230">
        <v>2020</v>
      </c>
      <c r="K2230">
        <v>43698.521897777777</v>
      </c>
      <c r="L2230" t="s">
        <v>193</v>
      </c>
      <c r="M2230" t="s">
        <v>37</v>
      </c>
      <c r="N2230" t="s">
        <v>415</v>
      </c>
      <c r="O2230">
        <v>346996</v>
      </c>
      <c r="P2230">
        <v>43698.521897777777</v>
      </c>
      <c r="Q2230">
        <v>43528.707776076386</v>
      </c>
      <c r="R2230">
        <v>2270</v>
      </c>
    </row>
    <row r="2231" spans="1:18" x14ac:dyDescent="0.25">
      <c r="A2231" t="s">
        <v>7684</v>
      </c>
      <c r="B2231" t="s">
        <v>7685</v>
      </c>
      <c r="C2231" t="s">
        <v>7686</v>
      </c>
      <c r="D2231" t="s">
        <v>7686</v>
      </c>
      <c r="E2231" t="s">
        <v>7687</v>
      </c>
      <c r="F2231" t="s">
        <v>91</v>
      </c>
      <c r="G2231" t="s">
        <v>22</v>
      </c>
      <c r="H2231" t="s">
        <v>53</v>
      </c>
      <c r="I2231" t="s">
        <v>3006</v>
      </c>
      <c r="J2231">
        <v>2020</v>
      </c>
      <c r="K2231">
        <v>43698.521897777777</v>
      </c>
      <c r="L2231" t="s">
        <v>1005</v>
      </c>
      <c r="M2231" t="s">
        <v>37</v>
      </c>
      <c r="N2231" t="s">
        <v>415</v>
      </c>
      <c r="O2231">
        <v>346608</v>
      </c>
      <c r="P2231">
        <v>43698.521897777777</v>
      </c>
      <c r="Q2231">
        <v>43528.709565127312</v>
      </c>
      <c r="R2231">
        <v>2271</v>
      </c>
    </row>
    <row r="2232" spans="1:18" x14ac:dyDescent="0.25">
      <c r="A2232" t="s">
        <v>7688</v>
      </c>
      <c r="B2232" t="s">
        <v>7689</v>
      </c>
      <c r="C2232" t="s">
        <v>7690</v>
      </c>
      <c r="D2232" t="s">
        <v>7690</v>
      </c>
      <c r="E2232" t="s">
        <v>7691</v>
      </c>
      <c r="F2232" t="s">
        <v>91</v>
      </c>
      <c r="G2232" t="s">
        <v>22</v>
      </c>
      <c r="H2232" t="s">
        <v>53</v>
      </c>
      <c r="I2232" t="s">
        <v>3006</v>
      </c>
      <c r="J2232">
        <v>2020</v>
      </c>
      <c r="K2232">
        <v>43698.521897777777</v>
      </c>
      <c r="L2232" t="s">
        <v>1005</v>
      </c>
      <c r="M2232" t="s">
        <v>37</v>
      </c>
      <c r="N2232" t="s">
        <v>415</v>
      </c>
      <c r="O2232">
        <v>345322</v>
      </c>
      <c r="P2232">
        <v>43697.931944444441</v>
      </c>
      <c r="Q2232">
        <v>43528.710488310186</v>
      </c>
      <c r="R2232">
        <v>2272</v>
      </c>
    </row>
    <row r="2233" spans="1:18" x14ac:dyDescent="0.25">
      <c r="A2233" t="s">
        <v>7692</v>
      </c>
      <c r="B2233" t="s">
        <v>7693</v>
      </c>
      <c r="C2233" t="s">
        <v>7694</v>
      </c>
      <c r="D2233" t="s">
        <v>7694</v>
      </c>
      <c r="E2233" t="s">
        <v>7695</v>
      </c>
      <c r="F2233" t="s">
        <v>91</v>
      </c>
      <c r="G2233" t="s">
        <v>22</v>
      </c>
      <c r="H2233" t="s">
        <v>53</v>
      </c>
      <c r="I2233" t="s">
        <v>3006</v>
      </c>
      <c r="J2233">
        <v>2020</v>
      </c>
      <c r="K2233">
        <v>43698.521897777777</v>
      </c>
      <c r="L2233" t="s">
        <v>1005</v>
      </c>
      <c r="M2233" t="s">
        <v>37</v>
      </c>
      <c r="N2233" t="s">
        <v>415</v>
      </c>
      <c r="O2233">
        <v>346602</v>
      </c>
      <c r="P2233">
        <v>43698.521897777777</v>
      </c>
      <c r="Q2233">
        <v>43528.711293055552</v>
      </c>
      <c r="R2233">
        <v>2273</v>
      </c>
    </row>
    <row r="2234" spans="1:18" x14ac:dyDescent="0.25">
      <c r="A2234" t="s">
        <v>7696</v>
      </c>
      <c r="B2234" t="s">
        <v>7697</v>
      </c>
      <c r="C2234" t="s">
        <v>7698</v>
      </c>
      <c r="D2234" t="s">
        <v>7698</v>
      </c>
      <c r="E2234" t="s">
        <v>7699</v>
      </c>
      <c r="F2234" t="s">
        <v>91</v>
      </c>
      <c r="G2234" t="s">
        <v>22</v>
      </c>
      <c r="H2234" t="s">
        <v>53</v>
      </c>
      <c r="I2234" t="s">
        <v>3006</v>
      </c>
      <c r="J2234">
        <v>2020</v>
      </c>
      <c r="K2234">
        <v>43698.521897777777</v>
      </c>
      <c r="L2234" t="s">
        <v>2686</v>
      </c>
      <c r="M2234" t="s">
        <v>37</v>
      </c>
      <c r="N2234" t="s">
        <v>415</v>
      </c>
      <c r="O2234">
        <v>346384</v>
      </c>
      <c r="P2234">
        <v>43696.939583333333</v>
      </c>
      <c r="Q2234">
        <v>43528.712391782406</v>
      </c>
      <c r="R2234">
        <v>2274</v>
      </c>
    </row>
    <row r="2235" spans="1:18" x14ac:dyDescent="0.25">
      <c r="A2235" t="s">
        <v>7700</v>
      </c>
      <c r="B2235" t="s">
        <v>7701</v>
      </c>
      <c r="C2235" t="s">
        <v>7702</v>
      </c>
      <c r="D2235" t="s">
        <v>7702</v>
      </c>
      <c r="E2235" t="s">
        <v>7703</v>
      </c>
      <c r="F2235" t="s">
        <v>91</v>
      </c>
      <c r="G2235" t="s">
        <v>22</v>
      </c>
      <c r="H2235" t="s">
        <v>53</v>
      </c>
      <c r="I2235" t="s">
        <v>3006</v>
      </c>
      <c r="J2235">
        <v>2020</v>
      </c>
      <c r="K2235">
        <v>43698.521897777777</v>
      </c>
      <c r="L2235" t="s">
        <v>1005</v>
      </c>
      <c r="M2235" t="s">
        <v>37</v>
      </c>
      <c r="N2235" t="s">
        <v>415</v>
      </c>
      <c r="O2235">
        <v>346070</v>
      </c>
      <c r="P2235">
        <v>43698.521897777777</v>
      </c>
      <c r="Q2235">
        <v>43528.713116932871</v>
      </c>
      <c r="R2235">
        <v>2275</v>
      </c>
    </row>
    <row r="2236" spans="1:18" x14ac:dyDescent="0.25">
      <c r="A2236" t="s">
        <v>7704</v>
      </c>
      <c r="B2236" t="s">
        <v>7705</v>
      </c>
      <c r="C2236" t="s">
        <v>7706</v>
      </c>
      <c r="D2236" t="s">
        <v>7706</v>
      </c>
      <c r="E2236" t="s">
        <v>7707</v>
      </c>
      <c r="F2236" t="s">
        <v>91</v>
      </c>
      <c r="G2236" t="s">
        <v>22</v>
      </c>
      <c r="H2236" t="s">
        <v>53</v>
      </c>
      <c r="I2236" t="s">
        <v>3006</v>
      </c>
      <c r="J2236">
        <v>2020</v>
      </c>
      <c r="K2236">
        <v>43698.521897777777</v>
      </c>
      <c r="L2236" t="s">
        <v>1005</v>
      </c>
      <c r="M2236" t="s">
        <v>37</v>
      </c>
      <c r="N2236" t="s">
        <v>415</v>
      </c>
      <c r="O2236">
        <v>347012</v>
      </c>
      <c r="P2236">
        <v>43698.521897777777</v>
      </c>
      <c r="Q2236">
        <v>43528.713697881947</v>
      </c>
      <c r="R2236">
        <v>2276</v>
      </c>
    </row>
    <row r="2237" spans="1:18" x14ac:dyDescent="0.25">
      <c r="A2237" t="s">
        <v>7708</v>
      </c>
      <c r="B2237" t="s">
        <v>7709</v>
      </c>
      <c r="C2237" t="s">
        <v>7710</v>
      </c>
      <c r="D2237" t="s">
        <v>7710</v>
      </c>
      <c r="E2237" t="s">
        <v>7711</v>
      </c>
      <c r="F2237" t="s">
        <v>91</v>
      </c>
      <c r="G2237" t="s">
        <v>22</v>
      </c>
      <c r="H2237" t="s">
        <v>998</v>
      </c>
      <c r="I2237" t="s">
        <v>3006</v>
      </c>
      <c r="J2237">
        <v>2020</v>
      </c>
      <c r="K2237">
        <v>43698.521897777777</v>
      </c>
      <c r="L2237" t="s">
        <v>193</v>
      </c>
      <c r="M2237" t="s">
        <v>37</v>
      </c>
      <c r="N2237" t="s">
        <v>415</v>
      </c>
      <c r="O2237">
        <v>345554</v>
      </c>
      <c r="P2237">
        <v>43698.068136574075</v>
      </c>
      <c r="Q2237">
        <v>43528.717519062498</v>
      </c>
      <c r="R2237">
        <v>2277</v>
      </c>
    </row>
    <row r="2238" spans="1:18" x14ac:dyDescent="0.25">
      <c r="A2238" t="s">
        <v>7712</v>
      </c>
      <c r="B2238" t="s">
        <v>7713</v>
      </c>
      <c r="C2238" t="s">
        <v>7714</v>
      </c>
      <c r="D2238" t="s">
        <v>7714</v>
      </c>
      <c r="E2238" t="s">
        <v>7715</v>
      </c>
      <c r="F2238" t="s">
        <v>91</v>
      </c>
      <c r="G2238" t="s">
        <v>22</v>
      </c>
      <c r="H2238" t="s">
        <v>53</v>
      </c>
      <c r="I2238" t="s">
        <v>3006</v>
      </c>
      <c r="J2238">
        <v>2020</v>
      </c>
      <c r="K2238">
        <v>43698.521897777777</v>
      </c>
      <c r="L2238" t="s">
        <v>578</v>
      </c>
      <c r="M2238" t="s">
        <v>7031</v>
      </c>
      <c r="N2238" t="s">
        <v>415</v>
      </c>
      <c r="O2238">
        <v>345387</v>
      </c>
      <c r="P2238">
        <v>43698.032395833332</v>
      </c>
      <c r="Q2238">
        <v>43530.39955292824</v>
      </c>
      <c r="R2238">
        <v>2278</v>
      </c>
    </row>
    <row r="2239" spans="1:18" x14ac:dyDescent="0.25">
      <c r="A2239" t="s">
        <v>7716</v>
      </c>
      <c r="B2239" t="s">
        <v>7717</v>
      </c>
      <c r="C2239" t="s">
        <v>7718</v>
      </c>
      <c r="D2239" t="s">
        <v>7718</v>
      </c>
      <c r="E2239" t="s">
        <v>7719</v>
      </c>
      <c r="F2239" t="s">
        <v>91</v>
      </c>
      <c r="G2239" t="s">
        <v>22</v>
      </c>
      <c r="H2239" t="s">
        <v>53</v>
      </c>
      <c r="I2239" t="s">
        <v>3006</v>
      </c>
      <c r="J2239">
        <v>2020</v>
      </c>
      <c r="K2239">
        <v>43698.521897777777</v>
      </c>
      <c r="L2239" t="s">
        <v>2713</v>
      </c>
      <c r="M2239" t="s">
        <v>7031</v>
      </c>
      <c r="N2239" t="s">
        <v>415</v>
      </c>
      <c r="O2239">
        <v>347107</v>
      </c>
      <c r="P2239">
        <v>43698.521897777777</v>
      </c>
      <c r="Q2239">
        <v>43530.400360266205</v>
      </c>
      <c r="R2239">
        <v>2279</v>
      </c>
    </row>
    <row r="2240" spans="1:18" x14ac:dyDescent="0.25">
      <c r="A2240" t="s">
        <v>7720</v>
      </c>
      <c r="B2240" t="s">
        <v>7721</v>
      </c>
      <c r="C2240" t="s">
        <v>7722</v>
      </c>
      <c r="D2240" t="s">
        <v>7722</v>
      </c>
      <c r="E2240" t="s">
        <v>7723</v>
      </c>
      <c r="F2240" t="s">
        <v>91</v>
      </c>
      <c r="G2240" t="s">
        <v>22</v>
      </c>
      <c r="H2240" t="s">
        <v>53</v>
      </c>
      <c r="I2240" t="s">
        <v>3006</v>
      </c>
      <c r="J2240">
        <v>2020</v>
      </c>
      <c r="K2240">
        <v>43698.521897777777</v>
      </c>
      <c r="L2240" t="s">
        <v>2713</v>
      </c>
      <c r="M2240" t="s">
        <v>7031</v>
      </c>
      <c r="N2240" t="s">
        <v>415</v>
      </c>
      <c r="O2240">
        <v>346036</v>
      </c>
      <c r="P2240">
        <v>43698</v>
      </c>
      <c r="Q2240">
        <v>43530.401164467592</v>
      </c>
      <c r="R2240">
        <v>2280</v>
      </c>
    </row>
    <row r="2241" spans="1:18" x14ac:dyDescent="0.25">
      <c r="A2241" t="s">
        <v>7724</v>
      </c>
      <c r="B2241" t="s">
        <v>7725</v>
      </c>
      <c r="C2241" t="s">
        <v>7726</v>
      </c>
      <c r="D2241" t="s">
        <v>7726</v>
      </c>
      <c r="E2241" t="s">
        <v>7727</v>
      </c>
      <c r="F2241" t="s">
        <v>91</v>
      </c>
      <c r="G2241" t="s">
        <v>22</v>
      </c>
      <c r="H2241" t="s">
        <v>53</v>
      </c>
      <c r="I2241" t="s">
        <v>3006</v>
      </c>
      <c r="J2241">
        <v>2020</v>
      </c>
      <c r="K2241">
        <v>43698.521897777777</v>
      </c>
      <c r="L2241" t="s">
        <v>1660</v>
      </c>
      <c r="M2241" t="s">
        <v>7031</v>
      </c>
      <c r="N2241" t="s">
        <v>415</v>
      </c>
      <c r="O2241">
        <v>346781</v>
      </c>
      <c r="P2241">
        <v>43698.521897777777</v>
      </c>
      <c r="Q2241">
        <v>43530.401883680555</v>
      </c>
      <c r="R2241">
        <v>2281</v>
      </c>
    </row>
    <row r="2242" spans="1:18" x14ac:dyDescent="0.25">
      <c r="A2242" t="s">
        <v>7728</v>
      </c>
      <c r="B2242" t="s">
        <v>7729</v>
      </c>
      <c r="C2242" t="s">
        <v>7730</v>
      </c>
      <c r="D2242" t="s">
        <v>7730</v>
      </c>
      <c r="E2242" t="s">
        <v>7731</v>
      </c>
      <c r="F2242" t="s">
        <v>91</v>
      </c>
      <c r="G2242" t="s">
        <v>22</v>
      </c>
      <c r="H2242" t="s">
        <v>53</v>
      </c>
      <c r="I2242" t="s">
        <v>3006</v>
      </c>
      <c r="J2242">
        <v>2020</v>
      </c>
      <c r="K2242">
        <v>43698.521897777777</v>
      </c>
      <c r="L2242" t="s">
        <v>1660</v>
      </c>
      <c r="M2242" t="s">
        <v>7031</v>
      </c>
      <c r="N2242" t="s">
        <v>415</v>
      </c>
      <c r="O2242">
        <v>338506</v>
      </c>
      <c r="P2242">
        <v>43678.447025462963</v>
      </c>
      <c r="Q2242">
        <v>43530.402745370367</v>
      </c>
      <c r="R2242">
        <v>2282</v>
      </c>
    </row>
    <row r="2243" spans="1:18" x14ac:dyDescent="0.25">
      <c r="A2243" t="s">
        <v>7732</v>
      </c>
      <c r="B2243" t="s">
        <v>7733</v>
      </c>
      <c r="C2243" t="s">
        <v>7734</v>
      </c>
      <c r="D2243" t="s">
        <v>7734</v>
      </c>
      <c r="E2243" t="s">
        <v>7735</v>
      </c>
      <c r="F2243" t="s">
        <v>91</v>
      </c>
      <c r="G2243" t="s">
        <v>22</v>
      </c>
      <c r="H2243" t="s">
        <v>53</v>
      </c>
      <c r="I2243" t="s">
        <v>3006</v>
      </c>
      <c r="J2243">
        <v>2020</v>
      </c>
      <c r="K2243">
        <v>43698.521897777777</v>
      </c>
      <c r="L2243" t="s">
        <v>193</v>
      </c>
      <c r="M2243" t="s">
        <v>42</v>
      </c>
      <c r="N2243" t="s">
        <v>415</v>
      </c>
      <c r="O2243">
        <v>347083</v>
      </c>
      <c r="P2243">
        <v>43698.521897777777</v>
      </c>
      <c r="Q2243">
        <v>43530.403679710646</v>
      </c>
      <c r="R2243">
        <v>2283</v>
      </c>
    </row>
    <row r="2244" spans="1:18" x14ac:dyDescent="0.25">
      <c r="A2244" t="s">
        <v>7736</v>
      </c>
      <c r="B2244" t="s">
        <v>7737</v>
      </c>
      <c r="C2244" t="s">
        <v>7738</v>
      </c>
      <c r="D2244" t="s">
        <v>7738</v>
      </c>
      <c r="E2244" t="s">
        <v>7739</v>
      </c>
      <c r="F2244" t="s">
        <v>91</v>
      </c>
      <c r="G2244" t="s">
        <v>22</v>
      </c>
      <c r="H2244" t="s">
        <v>53</v>
      </c>
      <c r="I2244" t="s">
        <v>3006</v>
      </c>
      <c r="J2244">
        <v>2020</v>
      </c>
      <c r="K2244">
        <v>43698.521897777777</v>
      </c>
      <c r="L2244" t="s">
        <v>193</v>
      </c>
      <c r="M2244" t="s">
        <v>42</v>
      </c>
      <c r="N2244" t="s">
        <v>415</v>
      </c>
      <c r="O2244">
        <v>346694</v>
      </c>
      <c r="P2244">
        <v>43698.521897777777</v>
      </c>
      <c r="Q2244">
        <v>43530.406319560185</v>
      </c>
      <c r="R2244">
        <v>2284</v>
      </c>
    </row>
    <row r="2245" spans="1:18" x14ac:dyDescent="0.25">
      <c r="A2245" t="s">
        <v>7740</v>
      </c>
      <c r="B2245" t="s">
        <v>7741</v>
      </c>
      <c r="C2245" t="s">
        <v>7742</v>
      </c>
      <c r="D2245" t="s">
        <v>7742</v>
      </c>
      <c r="E2245" t="s">
        <v>7743</v>
      </c>
      <c r="F2245" t="s">
        <v>91</v>
      </c>
      <c r="G2245" t="s">
        <v>22</v>
      </c>
      <c r="H2245" t="s">
        <v>53</v>
      </c>
      <c r="I2245" t="s">
        <v>3006</v>
      </c>
      <c r="J2245">
        <v>2020</v>
      </c>
      <c r="K2245">
        <v>43698.521897777777</v>
      </c>
      <c r="L2245" t="s">
        <v>193</v>
      </c>
      <c r="M2245" t="s">
        <v>42</v>
      </c>
      <c r="N2245" t="s">
        <v>415</v>
      </c>
      <c r="O2245">
        <v>345548</v>
      </c>
      <c r="P2245">
        <v>43698.521897777777</v>
      </c>
      <c r="Q2245">
        <v>43530.409002546294</v>
      </c>
      <c r="R2245">
        <v>2285</v>
      </c>
    </row>
    <row r="2246" spans="1:18" x14ac:dyDescent="0.25">
      <c r="A2246" t="s">
        <v>7744</v>
      </c>
      <c r="B2246" t="s">
        <v>7745</v>
      </c>
      <c r="C2246" t="s">
        <v>7746</v>
      </c>
      <c r="D2246" t="s">
        <v>7746</v>
      </c>
      <c r="E2246" t="s">
        <v>7747</v>
      </c>
      <c r="F2246" t="s">
        <v>91</v>
      </c>
      <c r="G2246" t="s">
        <v>22</v>
      </c>
      <c r="H2246" t="s">
        <v>53</v>
      </c>
      <c r="I2246" t="s">
        <v>3006</v>
      </c>
      <c r="J2246">
        <v>2020</v>
      </c>
      <c r="K2246">
        <v>43698.521897777777</v>
      </c>
      <c r="L2246" t="s">
        <v>193</v>
      </c>
      <c r="M2246" t="s">
        <v>42</v>
      </c>
      <c r="N2246" t="s">
        <v>415</v>
      </c>
      <c r="O2246">
        <v>346692</v>
      </c>
      <c r="P2246">
        <v>43698.521897777777</v>
      </c>
      <c r="Q2246">
        <v>43530.409468599537</v>
      </c>
      <c r="R2246">
        <v>2286</v>
      </c>
    </row>
    <row r="2247" spans="1:18" x14ac:dyDescent="0.25">
      <c r="A2247" t="s">
        <v>7748</v>
      </c>
      <c r="B2247" t="s">
        <v>7749</v>
      </c>
      <c r="C2247" t="s">
        <v>7750</v>
      </c>
      <c r="D2247" t="s">
        <v>7750</v>
      </c>
      <c r="E2247" t="s">
        <v>7751</v>
      </c>
      <c r="F2247" t="s">
        <v>91</v>
      </c>
      <c r="G2247" t="s">
        <v>22</v>
      </c>
      <c r="H2247" t="s">
        <v>53</v>
      </c>
      <c r="I2247" t="s">
        <v>3006</v>
      </c>
      <c r="J2247">
        <v>2020</v>
      </c>
      <c r="K2247">
        <v>43698.521897777777</v>
      </c>
      <c r="L2247" t="s">
        <v>193</v>
      </c>
      <c r="M2247" t="s">
        <v>42</v>
      </c>
      <c r="N2247" t="s">
        <v>415</v>
      </c>
      <c r="O2247">
        <v>346478</v>
      </c>
      <c r="P2247">
        <v>43698.521897777777</v>
      </c>
      <c r="Q2247">
        <v>43530.410021377313</v>
      </c>
      <c r="R2247">
        <v>2287</v>
      </c>
    </row>
    <row r="2248" spans="1:18" x14ac:dyDescent="0.25">
      <c r="A2248" t="s">
        <v>7752</v>
      </c>
      <c r="B2248" t="s">
        <v>7753</v>
      </c>
      <c r="C2248" t="s">
        <v>7754</v>
      </c>
      <c r="D2248" t="s">
        <v>7754</v>
      </c>
      <c r="E2248" t="s">
        <v>7754</v>
      </c>
      <c r="F2248" t="s">
        <v>91</v>
      </c>
      <c r="G2248" t="s">
        <v>63</v>
      </c>
      <c r="H2248" t="s">
        <v>53</v>
      </c>
      <c r="I2248" t="s">
        <v>471</v>
      </c>
      <c r="J2248">
        <v>2015</v>
      </c>
      <c r="K2248">
        <v>43698.521897777777</v>
      </c>
      <c r="L2248" t="s">
        <v>422</v>
      </c>
      <c r="M2248" t="s">
        <v>2777</v>
      </c>
      <c r="N2248" t="s">
        <v>7755</v>
      </c>
      <c r="O2248">
        <v>346673</v>
      </c>
      <c r="P2248">
        <v>43698.521897777777</v>
      </c>
      <c r="Q2248">
        <v>43531.38110471065</v>
      </c>
      <c r="R2248">
        <v>2288</v>
      </c>
    </row>
    <row r="2249" spans="1:18" x14ac:dyDescent="0.25">
      <c r="A2249" t="s">
        <v>7756</v>
      </c>
      <c r="B2249" t="s">
        <v>7757</v>
      </c>
      <c r="C2249" t="s">
        <v>7758</v>
      </c>
      <c r="D2249" t="s">
        <v>7758</v>
      </c>
      <c r="E2249" t="s">
        <v>7758</v>
      </c>
      <c r="F2249" t="s">
        <v>91</v>
      </c>
      <c r="G2249" t="s">
        <v>63</v>
      </c>
      <c r="H2249" t="s">
        <v>34</v>
      </c>
      <c r="I2249" t="s">
        <v>703</v>
      </c>
      <c r="J2249">
        <v>2014</v>
      </c>
      <c r="K2249">
        <v>43698.521897777777</v>
      </c>
      <c r="L2249" t="s">
        <v>1660</v>
      </c>
      <c r="M2249" t="s">
        <v>2777</v>
      </c>
      <c r="N2249" t="s">
        <v>415</v>
      </c>
      <c r="O2249">
        <v>346215</v>
      </c>
      <c r="P2249">
        <v>43698.108842592592</v>
      </c>
      <c r="Q2249">
        <v>43531.382002858794</v>
      </c>
      <c r="R2249">
        <v>2289</v>
      </c>
    </row>
    <row r="2250" spans="1:18" x14ac:dyDescent="0.25">
      <c r="A2250" t="s">
        <v>7759</v>
      </c>
      <c r="B2250" t="s">
        <v>7760</v>
      </c>
      <c r="C2250" t="s">
        <v>7761</v>
      </c>
      <c r="D2250" t="s">
        <v>7761</v>
      </c>
      <c r="E2250" t="s">
        <v>7761</v>
      </c>
      <c r="F2250" t="s">
        <v>21</v>
      </c>
      <c r="G2250" t="s">
        <v>63</v>
      </c>
      <c r="H2250" t="s">
        <v>34</v>
      </c>
      <c r="I2250" t="s">
        <v>703</v>
      </c>
      <c r="J2250">
        <v>2015</v>
      </c>
      <c r="K2250">
        <v>43698.521897777777</v>
      </c>
      <c r="L2250" t="s">
        <v>3142</v>
      </c>
      <c r="M2250" t="s">
        <v>37</v>
      </c>
      <c r="N2250" t="s">
        <v>415</v>
      </c>
      <c r="O2250">
        <v>324926</v>
      </c>
      <c r="P2250">
        <v>43643.149305555555</v>
      </c>
      <c r="Q2250">
        <v>43531.437329895831</v>
      </c>
      <c r="R2250">
        <v>2290</v>
      </c>
    </row>
    <row r="2251" spans="1:18" x14ac:dyDescent="0.25">
      <c r="A2251" t="s">
        <v>7762</v>
      </c>
      <c r="B2251" t="s">
        <v>7763</v>
      </c>
      <c r="C2251" t="s">
        <v>7764</v>
      </c>
      <c r="D2251" t="s">
        <v>7764</v>
      </c>
      <c r="E2251" t="s">
        <v>7764</v>
      </c>
      <c r="F2251" t="s">
        <v>21</v>
      </c>
      <c r="G2251" t="s">
        <v>63</v>
      </c>
      <c r="H2251" t="s">
        <v>53</v>
      </c>
      <c r="I2251" t="s">
        <v>471</v>
      </c>
      <c r="J2251">
        <v>2015</v>
      </c>
      <c r="K2251">
        <v>43698.521897777777</v>
      </c>
      <c r="L2251" t="s">
        <v>25</v>
      </c>
      <c r="M2251" t="s">
        <v>1941</v>
      </c>
      <c r="N2251" t="s">
        <v>415</v>
      </c>
      <c r="O2251">
        <v>298833</v>
      </c>
      <c r="P2251">
        <v>43583.026678240742</v>
      </c>
      <c r="Q2251">
        <v>43532.490257754631</v>
      </c>
      <c r="R2251">
        <v>2291</v>
      </c>
    </row>
    <row r="2252" spans="1:18" x14ac:dyDescent="0.25">
      <c r="A2252" t="s">
        <v>7765</v>
      </c>
      <c r="B2252" t="s">
        <v>7766</v>
      </c>
      <c r="C2252" t="s">
        <v>7767</v>
      </c>
      <c r="D2252" t="s">
        <v>7767</v>
      </c>
      <c r="E2252" t="s">
        <v>7767</v>
      </c>
      <c r="F2252" t="s">
        <v>91</v>
      </c>
      <c r="G2252" t="s">
        <v>63</v>
      </c>
      <c r="H2252" t="s">
        <v>34</v>
      </c>
      <c r="I2252" t="s">
        <v>35</v>
      </c>
      <c r="J2252">
        <v>2017</v>
      </c>
      <c r="K2252">
        <v>43698.521897777777</v>
      </c>
      <c r="L2252" t="s">
        <v>193</v>
      </c>
      <c r="M2252" t="s">
        <v>1941</v>
      </c>
      <c r="N2252" t="s">
        <v>415</v>
      </c>
      <c r="O2252">
        <v>347068</v>
      </c>
      <c r="P2252">
        <v>43698.521897777777</v>
      </c>
      <c r="Q2252">
        <v>43532.575612881941</v>
      </c>
      <c r="R2252">
        <v>2292</v>
      </c>
    </row>
    <row r="2253" spans="1:18" x14ac:dyDescent="0.25">
      <c r="A2253" t="s">
        <v>7768</v>
      </c>
      <c r="B2253" t="s">
        <v>3496</v>
      </c>
      <c r="C2253" t="s">
        <v>7769</v>
      </c>
      <c r="D2253" t="s">
        <v>7769</v>
      </c>
      <c r="E2253" t="s">
        <v>7770</v>
      </c>
      <c r="F2253" t="s">
        <v>91</v>
      </c>
      <c r="G2253" t="s">
        <v>63</v>
      </c>
      <c r="H2253" t="s">
        <v>53</v>
      </c>
      <c r="I2253" t="s">
        <v>471</v>
      </c>
      <c r="J2253">
        <v>2018</v>
      </c>
      <c r="K2253">
        <v>43698.521897777777</v>
      </c>
      <c r="L2253" t="s">
        <v>466</v>
      </c>
      <c r="M2253" t="s">
        <v>154</v>
      </c>
      <c r="N2253" t="s">
        <v>1305</v>
      </c>
      <c r="O2253">
        <v>345782</v>
      </c>
      <c r="P2253">
        <v>43698.521897777777</v>
      </c>
      <c r="Q2253">
        <v>43532.885571956016</v>
      </c>
      <c r="R2253">
        <v>2293</v>
      </c>
    </row>
    <row r="2254" spans="1:18" x14ac:dyDescent="0.25">
      <c r="A2254" t="s">
        <v>7771</v>
      </c>
      <c r="B2254" t="s">
        <v>7772</v>
      </c>
      <c r="C2254" t="s">
        <v>7773</v>
      </c>
      <c r="D2254" t="s">
        <v>7773</v>
      </c>
      <c r="E2254" t="s">
        <v>7774</v>
      </c>
      <c r="F2254" t="s">
        <v>91</v>
      </c>
      <c r="G2254" t="s">
        <v>22</v>
      </c>
      <c r="H2254" t="s">
        <v>520</v>
      </c>
      <c r="I2254" t="s">
        <v>7775</v>
      </c>
      <c r="J2254">
        <v>2018</v>
      </c>
      <c r="K2254">
        <v>43698.521897777777</v>
      </c>
      <c r="L2254" t="s">
        <v>422</v>
      </c>
      <c r="M2254" t="s">
        <v>42</v>
      </c>
      <c r="N2254" t="s">
        <v>415</v>
      </c>
      <c r="O2254">
        <v>345111</v>
      </c>
      <c r="P2254">
        <v>43698.521897777777</v>
      </c>
      <c r="Q2254">
        <v>43533.46396119213</v>
      </c>
      <c r="R2254">
        <v>2294</v>
      </c>
    </row>
    <row r="2255" spans="1:18" x14ac:dyDescent="0.25">
      <c r="A2255" t="s">
        <v>7776</v>
      </c>
      <c r="B2255" t="s">
        <v>7777</v>
      </c>
      <c r="C2255" t="s">
        <v>7778</v>
      </c>
      <c r="D2255" t="s">
        <v>7778</v>
      </c>
      <c r="E2255" t="s">
        <v>7779</v>
      </c>
      <c r="F2255" t="s">
        <v>253</v>
      </c>
      <c r="G2255" t="s">
        <v>22</v>
      </c>
      <c r="H2255" t="s">
        <v>520</v>
      </c>
      <c r="I2255" t="s">
        <v>7775</v>
      </c>
      <c r="J2255">
        <v>2018</v>
      </c>
      <c r="K2255">
        <v>43698.521897777777</v>
      </c>
      <c r="L2255" t="s">
        <v>422</v>
      </c>
      <c r="M2255" t="s">
        <v>42</v>
      </c>
      <c r="N2255" t="s">
        <v>415</v>
      </c>
      <c r="Q2255">
        <v>43533.466185729165</v>
      </c>
      <c r="R2255">
        <v>2295</v>
      </c>
    </row>
    <row r="2256" spans="1:18" x14ac:dyDescent="0.25">
      <c r="A2256" t="s">
        <v>7780</v>
      </c>
      <c r="B2256" t="s">
        <v>7781</v>
      </c>
      <c r="C2256" t="s">
        <v>7782</v>
      </c>
      <c r="D2256" t="s">
        <v>7782</v>
      </c>
      <c r="E2256" t="s">
        <v>7783</v>
      </c>
      <c r="F2256" t="s">
        <v>253</v>
      </c>
      <c r="G2256" t="s">
        <v>22</v>
      </c>
      <c r="H2256" t="s">
        <v>53</v>
      </c>
      <c r="I2256" t="s">
        <v>3006</v>
      </c>
      <c r="J2256">
        <v>2020</v>
      </c>
      <c r="K2256">
        <v>43698.521897777777</v>
      </c>
      <c r="L2256" t="s">
        <v>466</v>
      </c>
      <c r="M2256" t="s">
        <v>1738</v>
      </c>
      <c r="N2256" t="s">
        <v>1305</v>
      </c>
      <c r="O2256">
        <v>342436</v>
      </c>
      <c r="P2256">
        <v>43689.647210648145</v>
      </c>
      <c r="Q2256">
        <v>43535.75811574074</v>
      </c>
      <c r="R2256">
        <v>2296</v>
      </c>
    </row>
    <row r="2257" spans="1:18" x14ac:dyDescent="0.25">
      <c r="A2257" t="s">
        <v>7784</v>
      </c>
      <c r="B2257" t="s">
        <v>7785</v>
      </c>
      <c r="C2257" t="s">
        <v>7786</v>
      </c>
      <c r="D2257" t="s">
        <v>7786</v>
      </c>
      <c r="E2257" t="s">
        <v>7787</v>
      </c>
      <c r="F2257" t="s">
        <v>91</v>
      </c>
      <c r="G2257" t="s">
        <v>22</v>
      </c>
      <c r="H2257" t="s">
        <v>53</v>
      </c>
      <c r="I2257" t="s">
        <v>3006</v>
      </c>
      <c r="J2257">
        <v>2020</v>
      </c>
      <c r="K2257">
        <v>43698.521897777777</v>
      </c>
      <c r="L2257" t="s">
        <v>466</v>
      </c>
      <c r="M2257" t="s">
        <v>1738</v>
      </c>
      <c r="N2257" t="s">
        <v>1305</v>
      </c>
      <c r="O2257">
        <v>345733</v>
      </c>
      <c r="P2257">
        <v>43698.521897777777</v>
      </c>
      <c r="Q2257">
        <v>43535.759702233794</v>
      </c>
      <c r="R2257">
        <v>2297</v>
      </c>
    </row>
    <row r="2258" spans="1:18" x14ac:dyDescent="0.25">
      <c r="A2258" t="s">
        <v>7788</v>
      </c>
      <c r="B2258" t="s">
        <v>7789</v>
      </c>
      <c r="C2258" t="s">
        <v>7790</v>
      </c>
      <c r="D2258" t="s">
        <v>7790</v>
      </c>
      <c r="E2258" t="s">
        <v>7791</v>
      </c>
      <c r="F2258" t="s">
        <v>91</v>
      </c>
      <c r="G2258" t="s">
        <v>22</v>
      </c>
      <c r="H2258" t="s">
        <v>53</v>
      </c>
      <c r="I2258" t="s">
        <v>3006</v>
      </c>
      <c r="J2258">
        <v>2020</v>
      </c>
      <c r="K2258">
        <v>43698.521897777777</v>
      </c>
      <c r="L2258" t="s">
        <v>466</v>
      </c>
      <c r="M2258" t="s">
        <v>1738</v>
      </c>
      <c r="N2258" t="s">
        <v>1305</v>
      </c>
      <c r="O2258">
        <v>346771</v>
      </c>
      <c r="P2258">
        <v>43698.521897777777</v>
      </c>
      <c r="Q2258">
        <v>43535.790966469911</v>
      </c>
      <c r="R2258">
        <v>2298</v>
      </c>
    </row>
    <row r="2259" spans="1:18" x14ac:dyDescent="0.25">
      <c r="A2259" t="s">
        <v>7792</v>
      </c>
      <c r="B2259" t="s">
        <v>7793</v>
      </c>
      <c r="C2259" t="s">
        <v>7794</v>
      </c>
      <c r="D2259" t="s">
        <v>7794</v>
      </c>
      <c r="E2259" t="s">
        <v>7795</v>
      </c>
      <c r="F2259" t="s">
        <v>91</v>
      </c>
      <c r="G2259" t="s">
        <v>22</v>
      </c>
      <c r="H2259" t="s">
        <v>53</v>
      </c>
      <c r="I2259" t="s">
        <v>3006</v>
      </c>
      <c r="J2259">
        <v>2020</v>
      </c>
      <c r="K2259">
        <v>43698.521897777777</v>
      </c>
      <c r="L2259" t="s">
        <v>466</v>
      </c>
      <c r="M2259" t="s">
        <v>1738</v>
      </c>
      <c r="N2259" t="s">
        <v>1305</v>
      </c>
      <c r="O2259">
        <v>342720</v>
      </c>
      <c r="P2259">
        <v>43691.493935185186</v>
      </c>
      <c r="Q2259">
        <v>43535.793599687502</v>
      </c>
      <c r="R2259">
        <v>2299</v>
      </c>
    </row>
    <row r="2260" spans="1:18" x14ac:dyDescent="0.25">
      <c r="A2260" t="s">
        <v>7796</v>
      </c>
      <c r="B2260" t="s">
        <v>7797</v>
      </c>
      <c r="C2260" t="s">
        <v>7798</v>
      </c>
      <c r="D2260" t="s">
        <v>7798</v>
      </c>
      <c r="E2260" t="s">
        <v>7799</v>
      </c>
      <c r="F2260" t="s">
        <v>91</v>
      </c>
      <c r="G2260" t="s">
        <v>22</v>
      </c>
      <c r="H2260" t="s">
        <v>53</v>
      </c>
      <c r="I2260" t="s">
        <v>3006</v>
      </c>
      <c r="J2260">
        <v>2020</v>
      </c>
      <c r="K2260">
        <v>43698.521897777777</v>
      </c>
      <c r="L2260" t="s">
        <v>466</v>
      </c>
      <c r="M2260" t="s">
        <v>1738</v>
      </c>
      <c r="N2260" t="s">
        <v>1305</v>
      </c>
      <c r="O2260">
        <v>346144</v>
      </c>
      <c r="P2260">
        <v>43698.521897777777</v>
      </c>
      <c r="Q2260">
        <v>43535.795069016203</v>
      </c>
      <c r="R2260">
        <v>2300</v>
      </c>
    </row>
    <row r="2261" spans="1:18" x14ac:dyDescent="0.25">
      <c r="A2261" t="s">
        <v>7800</v>
      </c>
      <c r="B2261" t="s">
        <v>7801</v>
      </c>
      <c r="C2261" t="s">
        <v>7802</v>
      </c>
      <c r="D2261" t="s">
        <v>7802</v>
      </c>
      <c r="E2261" t="s">
        <v>7803</v>
      </c>
      <c r="F2261" t="s">
        <v>91</v>
      </c>
      <c r="G2261" t="s">
        <v>22</v>
      </c>
      <c r="H2261" t="s">
        <v>53</v>
      </c>
      <c r="I2261" t="s">
        <v>3006</v>
      </c>
      <c r="J2261">
        <v>2020</v>
      </c>
      <c r="K2261">
        <v>43698.521897777777</v>
      </c>
      <c r="L2261" t="s">
        <v>466</v>
      </c>
      <c r="M2261" t="s">
        <v>1738</v>
      </c>
      <c r="N2261" t="s">
        <v>1305</v>
      </c>
      <c r="O2261">
        <v>346112</v>
      </c>
      <c r="P2261">
        <v>43698.521897777777</v>
      </c>
      <c r="Q2261">
        <v>43535.801745798613</v>
      </c>
      <c r="R2261">
        <v>2301</v>
      </c>
    </row>
    <row r="2262" spans="1:18" x14ac:dyDescent="0.25">
      <c r="A2262" t="s">
        <v>7804</v>
      </c>
      <c r="B2262" t="s">
        <v>7805</v>
      </c>
      <c r="C2262" t="s">
        <v>7806</v>
      </c>
      <c r="D2262" t="s">
        <v>7806</v>
      </c>
      <c r="E2262" t="s">
        <v>7807</v>
      </c>
      <c r="F2262" t="s">
        <v>91</v>
      </c>
      <c r="G2262" t="s">
        <v>22</v>
      </c>
      <c r="H2262" t="s">
        <v>53</v>
      </c>
      <c r="I2262" t="s">
        <v>3006</v>
      </c>
      <c r="J2262">
        <v>2020</v>
      </c>
      <c r="K2262">
        <v>43698.521897777777</v>
      </c>
      <c r="L2262" t="s">
        <v>466</v>
      </c>
      <c r="M2262" t="s">
        <v>1738</v>
      </c>
      <c r="N2262" t="s">
        <v>1305</v>
      </c>
      <c r="O2262">
        <v>343316</v>
      </c>
      <c r="P2262">
        <v>43695.487187500003</v>
      </c>
      <c r="Q2262">
        <v>43535.802356018517</v>
      </c>
      <c r="R2262">
        <v>2302</v>
      </c>
    </row>
    <row r="2263" spans="1:18" x14ac:dyDescent="0.25">
      <c r="A2263" t="s">
        <v>7808</v>
      </c>
      <c r="B2263" t="s">
        <v>7809</v>
      </c>
      <c r="C2263" t="s">
        <v>7810</v>
      </c>
      <c r="D2263" t="s">
        <v>7810</v>
      </c>
      <c r="E2263" t="s">
        <v>7811</v>
      </c>
      <c r="F2263" t="s">
        <v>91</v>
      </c>
      <c r="G2263" t="s">
        <v>22</v>
      </c>
      <c r="H2263" t="s">
        <v>53</v>
      </c>
      <c r="I2263" t="s">
        <v>3006</v>
      </c>
      <c r="J2263">
        <v>2020</v>
      </c>
      <c r="K2263">
        <v>43698.521897777777</v>
      </c>
      <c r="L2263" t="s">
        <v>466</v>
      </c>
      <c r="M2263" t="s">
        <v>1738</v>
      </c>
      <c r="N2263" t="s">
        <v>1305</v>
      </c>
      <c r="O2263">
        <v>345815</v>
      </c>
      <c r="P2263">
        <v>43698.521897777777</v>
      </c>
      <c r="Q2263">
        <v>43535.8031309375</v>
      </c>
      <c r="R2263">
        <v>2303</v>
      </c>
    </row>
    <row r="2264" spans="1:18" x14ac:dyDescent="0.25">
      <c r="A2264" t="s">
        <v>7812</v>
      </c>
      <c r="B2264" t="s">
        <v>7813</v>
      </c>
      <c r="C2264" t="s">
        <v>7814</v>
      </c>
      <c r="D2264" t="s">
        <v>7814</v>
      </c>
      <c r="E2264" t="s">
        <v>7815</v>
      </c>
      <c r="F2264" t="s">
        <v>91</v>
      </c>
      <c r="G2264" t="s">
        <v>22</v>
      </c>
      <c r="H2264" t="s">
        <v>53</v>
      </c>
      <c r="I2264" t="s">
        <v>3006</v>
      </c>
      <c r="J2264">
        <v>2020</v>
      </c>
      <c r="K2264">
        <v>43698.521897777777</v>
      </c>
      <c r="L2264" t="s">
        <v>466</v>
      </c>
      <c r="M2264" t="s">
        <v>1738</v>
      </c>
      <c r="N2264" t="s">
        <v>1305</v>
      </c>
      <c r="O2264">
        <v>344175</v>
      </c>
      <c r="P2264">
        <v>43695.570034722223</v>
      </c>
      <c r="Q2264">
        <v>43535.80505127315</v>
      </c>
      <c r="R2264">
        <v>2304</v>
      </c>
    </row>
    <row r="2265" spans="1:18" x14ac:dyDescent="0.25">
      <c r="A2265" t="s">
        <v>7816</v>
      </c>
      <c r="B2265" t="s">
        <v>7817</v>
      </c>
      <c r="C2265" t="s">
        <v>7818</v>
      </c>
      <c r="D2265" t="s">
        <v>7818</v>
      </c>
      <c r="E2265" t="s">
        <v>7819</v>
      </c>
      <c r="F2265" t="s">
        <v>91</v>
      </c>
      <c r="G2265" t="s">
        <v>22</v>
      </c>
      <c r="H2265" t="s">
        <v>53</v>
      </c>
      <c r="I2265" t="s">
        <v>3006</v>
      </c>
      <c r="J2265">
        <v>2020</v>
      </c>
      <c r="K2265">
        <v>43698.521897777777</v>
      </c>
      <c r="L2265" t="s">
        <v>466</v>
      </c>
      <c r="M2265" t="s">
        <v>1738</v>
      </c>
      <c r="N2265" t="s">
        <v>1305</v>
      </c>
      <c r="O2265">
        <v>342680</v>
      </c>
      <c r="P2265">
        <v>43690.644444444442</v>
      </c>
      <c r="Q2265">
        <v>43535.806739120373</v>
      </c>
      <c r="R2265">
        <v>2305</v>
      </c>
    </row>
    <row r="2266" spans="1:18" x14ac:dyDescent="0.25">
      <c r="A2266" t="s">
        <v>7820</v>
      </c>
      <c r="B2266" t="s">
        <v>7821</v>
      </c>
      <c r="C2266" t="s">
        <v>7822</v>
      </c>
      <c r="D2266" t="s">
        <v>7822</v>
      </c>
      <c r="E2266" t="s">
        <v>7823</v>
      </c>
      <c r="F2266" t="s">
        <v>91</v>
      </c>
      <c r="G2266" t="s">
        <v>22</v>
      </c>
      <c r="H2266" t="s">
        <v>53</v>
      </c>
      <c r="I2266" t="s">
        <v>3006</v>
      </c>
      <c r="J2266">
        <v>2020</v>
      </c>
      <c r="K2266">
        <v>43698.521897777777</v>
      </c>
      <c r="L2266" t="s">
        <v>466</v>
      </c>
      <c r="M2266" t="s">
        <v>1738</v>
      </c>
      <c r="N2266" t="s">
        <v>1305</v>
      </c>
      <c r="O2266">
        <v>344166</v>
      </c>
      <c r="P2266">
        <v>43694.984884259262</v>
      </c>
      <c r="Q2266">
        <v>43535.855399687498</v>
      </c>
      <c r="R2266">
        <v>2306</v>
      </c>
    </row>
    <row r="2267" spans="1:18" x14ac:dyDescent="0.25">
      <c r="A2267" t="s">
        <v>7824</v>
      </c>
      <c r="B2267" t="s">
        <v>7825</v>
      </c>
      <c r="C2267" t="s">
        <v>7826</v>
      </c>
      <c r="D2267" t="s">
        <v>7826</v>
      </c>
      <c r="E2267" t="s">
        <v>7827</v>
      </c>
      <c r="F2267" t="s">
        <v>91</v>
      </c>
      <c r="G2267" t="s">
        <v>22</v>
      </c>
      <c r="H2267" t="s">
        <v>53</v>
      </c>
      <c r="I2267" t="s">
        <v>3006</v>
      </c>
      <c r="J2267">
        <v>2020</v>
      </c>
      <c r="K2267">
        <v>43698.521897777777</v>
      </c>
      <c r="L2267" t="s">
        <v>466</v>
      </c>
      <c r="M2267" t="s">
        <v>1738</v>
      </c>
      <c r="N2267" t="s">
        <v>1305</v>
      </c>
      <c r="O2267">
        <v>341792</v>
      </c>
      <c r="P2267">
        <v>43694.125115740739</v>
      </c>
      <c r="Q2267">
        <v>43535.858777662041</v>
      </c>
      <c r="R2267">
        <v>2307</v>
      </c>
    </row>
    <row r="2268" spans="1:18" x14ac:dyDescent="0.25">
      <c r="A2268" t="s">
        <v>7828</v>
      </c>
      <c r="B2268" t="s">
        <v>7829</v>
      </c>
      <c r="C2268" t="s">
        <v>7830</v>
      </c>
      <c r="D2268" t="s">
        <v>7830</v>
      </c>
      <c r="E2268" t="s">
        <v>7831</v>
      </c>
      <c r="F2268" t="s">
        <v>91</v>
      </c>
      <c r="G2268" t="s">
        <v>22</v>
      </c>
      <c r="H2268" t="s">
        <v>53</v>
      </c>
      <c r="I2268" t="s">
        <v>3006</v>
      </c>
      <c r="J2268">
        <v>2020</v>
      </c>
      <c r="K2268">
        <v>43698.521897777777</v>
      </c>
      <c r="L2268" t="s">
        <v>466</v>
      </c>
      <c r="M2268" t="s">
        <v>1738</v>
      </c>
      <c r="N2268" t="s">
        <v>1305</v>
      </c>
      <c r="O2268">
        <v>346682</v>
      </c>
      <c r="P2268">
        <v>43698.521897777777</v>
      </c>
      <c r="Q2268">
        <v>43535.859315312497</v>
      </c>
      <c r="R2268">
        <v>2308</v>
      </c>
    </row>
    <row r="2269" spans="1:18" x14ac:dyDescent="0.25">
      <c r="A2269" t="s">
        <v>7832</v>
      </c>
      <c r="B2269" t="s">
        <v>7833</v>
      </c>
      <c r="C2269" t="s">
        <v>7834</v>
      </c>
      <c r="D2269" t="s">
        <v>7834</v>
      </c>
      <c r="E2269" t="s">
        <v>7835</v>
      </c>
      <c r="F2269" t="s">
        <v>91</v>
      </c>
      <c r="G2269" t="s">
        <v>22</v>
      </c>
      <c r="H2269" t="s">
        <v>53</v>
      </c>
      <c r="I2269" t="s">
        <v>3006</v>
      </c>
      <c r="J2269">
        <v>2020</v>
      </c>
      <c r="K2269">
        <v>43698.521897777777</v>
      </c>
      <c r="L2269" t="s">
        <v>1809</v>
      </c>
      <c r="M2269" t="s">
        <v>1738</v>
      </c>
      <c r="N2269" t="s">
        <v>1305</v>
      </c>
      <c r="O2269">
        <v>345395</v>
      </c>
      <c r="P2269">
        <v>43698.521897777777</v>
      </c>
      <c r="Q2269">
        <v>43535.859843668979</v>
      </c>
      <c r="R2269">
        <v>2309</v>
      </c>
    </row>
    <row r="2270" spans="1:18" x14ac:dyDescent="0.25">
      <c r="A2270" t="s">
        <v>7836</v>
      </c>
      <c r="B2270" t="s">
        <v>7837</v>
      </c>
      <c r="C2270" t="s">
        <v>7838</v>
      </c>
      <c r="D2270" t="s">
        <v>7838</v>
      </c>
      <c r="E2270" t="s">
        <v>7839</v>
      </c>
      <c r="F2270" t="s">
        <v>91</v>
      </c>
      <c r="G2270" t="s">
        <v>22</v>
      </c>
      <c r="H2270" t="s">
        <v>53</v>
      </c>
      <c r="I2270" t="s">
        <v>3006</v>
      </c>
      <c r="J2270">
        <v>2020</v>
      </c>
      <c r="K2270">
        <v>43698.521897777777</v>
      </c>
      <c r="L2270" t="s">
        <v>466</v>
      </c>
      <c r="M2270" t="s">
        <v>1738</v>
      </c>
      <c r="N2270" t="s">
        <v>1305</v>
      </c>
      <c r="O2270">
        <v>346158</v>
      </c>
      <c r="P2270">
        <v>43698.521897777777</v>
      </c>
      <c r="Q2270">
        <v>43535.860433136571</v>
      </c>
      <c r="R2270">
        <v>2310</v>
      </c>
    </row>
    <row r="2271" spans="1:18" x14ac:dyDescent="0.25">
      <c r="A2271" t="s">
        <v>7840</v>
      </c>
      <c r="B2271" t="s">
        <v>7841</v>
      </c>
      <c r="C2271" t="s">
        <v>7842</v>
      </c>
      <c r="D2271" t="s">
        <v>7842</v>
      </c>
      <c r="E2271" t="s">
        <v>7843</v>
      </c>
      <c r="F2271" t="s">
        <v>91</v>
      </c>
      <c r="G2271" t="s">
        <v>22</v>
      </c>
      <c r="H2271" t="s">
        <v>53</v>
      </c>
      <c r="I2271" t="s">
        <v>3006</v>
      </c>
      <c r="J2271">
        <v>2020</v>
      </c>
      <c r="K2271">
        <v>43698.521897777777</v>
      </c>
      <c r="L2271" t="s">
        <v>466</v>
      </c>
      <c r="M2271" t="s">
        <v>1738</v>
      </c>
      <c r="N2271" t="s">
        <v>1305</v>
      </c>
      <c r="O2271">
        <v>345883</v>
      </c>
      <c r="P2271">
        <v>43698.521897777777</v>
      </c>
      <c r="Q2271">
        <v>43535.861403240742</v>
      </c>
      <c r="R2271">
        <v>2311</v>
      </c>
    </row>
    <row r="2272" spans="1:18" x14ac:dyDescent="0.25">
      <c r="A2272" t="s">
        <v>7844</v>
      </c>
      <c r="B2272" t="s">
        <v>7845</v>
      </c>
      <c r="C2272" t="s">
        <v>7846</v>
      </c>
      <c r="D2272" t="s">
        <v>7846</v>
      </c>
      <c r="E2272" t="s">
        <v>7847</v>
      </c>
      <c r="F2272" t="s">
        <v>91</v>
      </c>
      <c r="G2272" t="s">
        <v>22</v>
      </c>
      <c r="H2272" t="s">
        <v>53</v>
      </c>
      <c r="I2272" t="s">
        <v>3006</v>
      </c>
      <c r="J2272">
        <v>2020</v>
      </c>
      <c r="K2272">
        <v>43698.521897777777</v>
      </c>
      <c r="L2272" t="s">
        <v>466</v>
      </c>
      <c r="M2272" t="s">
        <v>1738</v>
      </c>
      <c r="N2272" t="s">
        <v>1305</v>
      </c>
      <c r="O2272">
        <v>345644</v>
      </c>
      <c r="P2272">
        <v>43698.521897777777</v>
      </c>
      <c r="Q2272">
        <v>43536.461216863427</v>
      </c>
      <c r="R2272">
        <v>2312</v>
      </c>
    </row>
    <row r="2273" spans="1:18" x14ac:dyDescent="0.25">
      <c r="A2273" t="s">
        <v>7848</v>
      </c>
      <c r="B2273" t="s">
        <v>7849</v>
      </c>
      <c r="C2273" t="s">
        <v>7850</v>
      </c>
      <c r="D2273" t="s">
        <v>7850</v>
      </c>
      <c r="E2273" t="s">
        <v>7851</v>
      </c>
      <c r="F2273" t="s">
        <v>91</v>
      </c>
      <c r="G2273" t="s">
        <v>22</v>
      </c>
      <c r="H2273" t="s">
        <v>53</v>
      </c>
      <c r="I2273" t="s">
        <v>3006</v>
      </c>
      <c r="J2273">
        <v>2020</v>
      </c>
      <c r="K2273">
        <v>43698.521897777777</v>
      </c>
      <c r="L2273" t="s">
        <v>466</v>
      </c>
      <c r="M2273" t="s">
        <v>1738</v>
      </c>
      <c r="N2273" t="s">
        <v>1305</v>
      </c>
      <c r="O2273">
        <v>345854</v>
      </c>
      <c r="P2273">
        <v>43698.521897777777</v>
      </c>
      <c r="Q2273">
        <v>43536.463295023146</v>
      </c>
      <c r="R2273">
        <v>2313</v>
      </c>
    </row>
    <row r="2274" spans="1:18" x14ac:dyDescent="0.25">
      <c r="A2274" t="s">
        <v>7852</v>
      </c>
      <c r="B2274" t="s">
        <v>7853</v>
      </c>
      <c r="C2274" t="s">
        <v>7854</v>
      </c>
      <c r="D2274" t="s">
        <v>7854</v>
      </c>
      <c r="E2274" t="s">
        <v>7855</v>
      </c>
      <c r="F2274" t="s">
        <v>91</v>
      </c>
      <c r="G2274" t="s">
        <v>22</v>
      </c>
      <c r="H2274" t="s">
        <v>53</v>
      </c>
      <c r="I2274" t="s">
        <v>3006</v>
      </c>
      <c r="J2274">
        <v>2020</v>
      </c>
      <c r="K2274">
        <v>43698.521897777777</v>
      </c>
      <c r="L2274" t="s">
        <v>466</v>
      </c>
      <c r="M2274" t="s">
        <v>1738</v>
      </c>
      <c r="N2274" t="s">
        <v>1305</v>
      </c>
      <c r="O2274">
        <v>343663</v>
      </c>
      <c r="P2274">
        <v>43693.875462962962</v>
      </c>
      <c r="Q2274">
        <v>43536.51237866898</v>
      </c>
      <c r="R2274">
        <v>2314</v>
      </c>
    </row>
    <row r="2275" spans="1:18" x14ac:dyDescent="0.25">
      <c r="A2275" t="s">
        <v>7856</v>
      </c>
      <c r="B2275" t="s">
        <v>7857</v>
      </c>
      <c r="C2275" t="s">
        <v>7858</v>
      </c>
      <c r="D2275" t="s">
        <v>7858</v>
      </c>
      <c r="E2275" t="s">
        <v>7859</v>
      </c>
      <c r="F2275" t="s">
        <v>91</v>
      </c>
      <c r="G2275" t="s">
        <v>22</v>
      </c>
      <c r="H2275" t="s">
        <v>53</v>
      </c>
      <c r="I2275" t="s">
        <v>3006</v>
      </c>
      <c r="J2275">
        <v>2020</v>
      </c>
      <c r="K2275">
        <v>43698.521897777777</v>
      </c>
      <c r="L2275" t="s">
        <v>466</v>
      </c>
      <c r="M2275" t="s">
        <v>1738</v>
      </c>
      <c r="N2275" t="s">
        <v>1305</v>
      </c>
      <c r="O2275">
        <v>346177</v>
      </c>
      <c r="P2275">
        <v>43698.521897777777</v>
      </c>
      <c r="Q2275">
        <v>43536.51294479167</v>
      </c>
      <c r="R2275">
        <v>2315</v>
      </c>
    </row>
    <row r="2276" spans="1:18" x14ac:dyDescent="0.25">
      <c r="A2276" t="s">
        <v>7860</v>
      </c>
      <c r="B2276" t="s">
        <v>4614</v>
      </c>
      <c r="C2276" t="s">
        <v>7861</v>
      </c>
      <c r="D2276" t="s">
        <v>7861</v>
      </c>
      <c r="E2276" t="s">
        <v>7861</v>
      </c>
      <c r="F2276" t="s">
        <v>91</v>
      </c>
      <c r="G2276" t="s">
        <v>63</v>
      </c>
      <c r="H2276" t="s">
        <v>34</v>
      </c>
      <c r="I2276" t="s">
        <v>703</v>
      </c>
      <c r="J2276">
        <v>2013</v>
      </c>
      <c r="K2276">
        <v>43698.521897777777</v>
      </c>
      <c r="L2276" t="s">
        <v>422</v>
      </c>
      <c r="M2276" t="s">
        <v>2777</v>
      </c>
      <c r="N2276" t="s">
        <v>415</v>
      </c>
      <c r="O2276">
        <v>346944</v>
      </c>
      <c r="P2276">
        <v>43698.521897777777</v>
      </c>
      <c r="Q2276">
        <v>43536.554335185188</v>
      </c>
      <c r="R2276">
        <v>2316</v>
      </c>
    </row>
    <row r="2277" spans="1:18" x14ac:dyDescent="0.25">
      <c r="A2277" t="s">
        <v>7862</v>
      </c>
      <c r="B2277" t="s">
        <v>7863</v>
      </c>
      <c r="C2277" t="s">
        <v>7864</v>
      </c>
      <c r="D2277" t="s">
        <v>7864</v>
      </c>
      <c r="E2277" t="s">
        <v>7864</v>
      </c>
      <c r="F2277" t="s">
        <v>91</v>
      </c>
      <c r="G2277" t="s">
        <v>63</v>
      </c>
      <c r="H2277" t="s">
        <v>80</v>
      </c>
      <c r="I2277" t="s">
        <v>1027</v>
      </c>
      <c r="J2277">
        <v>2006</v>
      </c>
      <c r="K2277">
        <v>43698.521897777777</v>
      </c>
      <c r="L2277" t="s">
        <v>422</v>
      </c>
      <c r="M2277" t="s">
        <v>2777</v>
      </c>
      <c r="N2277" t="s">
        <v>415</v>
      </c>
      <c r="O2277">
        <v>346795</v>
      </c>
      <c r="P2277">
        <v>43698.239583333336</v>
      </c>
      <c r="Q2277">
        <v>43536.555674768519</v>
      </c>
      <c r="R2277">
        <v>2317</v>
      </c>
    </row>
    <row r="2278" spans="1:18" x14ac:dyDescent="0.25">
      <c r="A2278" t="s">
        <v>7865</v>
      </c>
      <c r="B2278" t="s">
        <v>7866</v>
      </c>
      <c r="C2278" t="s">
        <v>7867</v>
      </c>
      <c r="D2278" t="s">
        <v>7867</v>
      </c>
      <c r="E2278" t="s">
        <v>7867</v>
      </c>
      <c r="F2278" t="s">
        <v>91</v>
      </c>
      <c r="G2278" t="s">
        <v>63</v>
      </c>
      <c r="H2278" t="s">
        <v>34</v>
      </c>
      <c r="I2278" t="s">
        <v>703</v>
      </c>
      <c r="J2278">
        <v>2006</v>
      </c>
      <c r="K2278">
        <v>43698.521897777777</v>
      </c>
      <c r="L2278" t="s">
        <v>1660</v>
      </c>
      <c r="M2278" t="s">
        <v>2777</v>
      </c>
      <c r="N2278" t="s">
        <v>7868</v>
      </c>
      <c r="O2278">
        <v>346749</v>
      </c>
      <c r="P2278">
        <v>43698.521897777777</v>
      </c>
      <c r="Q2278">
        <v>43537.569452233794</v>
      </c>
      <c r="R2278">
        <v>2318</v>
      </c>
    </row>
    <row r="2279" spans="1:18" x14ac:dyDescent="0.25">
      <c r="A2279" t="s">
        <v>25</v>
      </c>
      <c r="B2279" t="s">
        <v>25</v>
      </c>
      <c r="C2279" t="s">
        <v>7869</v>
      </c>
      <c r="D2279" t="s">
        <v>7869</v>
      </c>
      <c r="E2279" t="s">
        <v>7870</v>
      </c>
      <c r="F2279" t="s">
        <v>91</v>
      </c>
      <c r="G2279" t="s">
        <v>22</v>
      </c>
      <c r="H2279" t="s">
        <v>25</v>
      </c>
      <c r="I2279" t="s">
        <v>25</v>
      </c>
      <c r="K2279">
        <v>43698.521897777777</v>
      </c>
      <c r="L2279" t="s">
        <v>25</v>
      </c>
      <c r="M2279" t="s">
        <v>42</v>
      </c>
      <c r="N2279" t="s">
        <v>415</v>
      </c>
      <c r="Q2279">
        <v>43537.699770254629</v>
      </c>
      <c r="R2279">
        <v>2319</v>
      </c>
    </row>
    <row r="2280" spans="1:18" x14ac:dyDescent="0.25">
      <c r="A2280" t="s">
        <v>25</v>
      </c>
      <c r="B2280" t="s">
        <v>25</v>
      </c>
      <c r="C2280" t="s">
        <v>7869</v>
      </c>
      <c r="D2280" t="s">
        <v>7869</v>
      </c>
      <c r="E2280" t="s">
        <v>7871</v>
      </c>
      <c r="F2280" t="s">
        <v>91</v>
      </c>
      <c r="G2280" t="s">
        <v>22</v>
      </c>
      <c r="H2280" t="s">
        <v>25</v>
      </c>
      <c r="I2280" t="s">
        <v>25</v>
      </c>
      <c r="K2280">
        <v>43698.521897777777</v>
      </c>
      <c r="L2280" t="s">
        <v>25</v>
      </c>
      <c r="M2280" t="s">
        <v>42</v>
      </c>
      <c r="N2280" t="s">
        <v>415</v>
      </c>
      <c r="Q2280">
        <v>43537.700161342589</v>
      </c>
      <c r="R2280">
        <v>2320</v>
      </c>
    </row>
    <row r="2281" spans="1:18" x14ac:dyDescent="0.25">
      <c r="A2281" t="s">
        <v>25</v>
      </c>
      <c r="B2281" t="s">
        <v>25</v>
      </c>
      <c r="C2281" t="s">
        <v>7869</v>
      </c>
      <c r="D2281" t="s">
        <v>7869</v>
      </c>
      <c r="E2281" t="s">
        <v>7872</v>
      </c>
      <c r="F2281" t="s">
        <v>253</v>
      </c>
      <c r="G2281" t="s">
        <v>22</v>
      </c>
      <c r="H2281" t="s">
        <v>25</v>
      </c>
      <c r="I2281" t="s">
        <v>25</v>
      </c>
      <c r="K2281">
        <v>43698.521897777777</v>
      </c>
      <c r="L2281" t="s">
        <v>25</v>
      </c>
      <c r="M2281" t="s">
        <v>42</v>
      </c>
      <c r="N2281" t="s">
        <v>415</v>
      </c>
      <c r="Q2281">
        <v>43537.700791898147</v>
      </c>
      <c r="R2281">
        <v>2321</v>
      </c>
    </row>
    <row r="2282" spans="1:18" x14ac:dyDescent="0.25">
      <c r="A2282" t="s">
        <v>7873</v>
      </c>
      <c r="B2282" t="s">
        <v>7874</v>
      </c>
      <c r="C2282" t="s">
        <v>7875</v>
      </c>
      <c r="D2282" t="s">
        <v>7875</v>
      </c>
      <c r="E2282" t="s">
        <v>7876</v>
      </c>
      <c r="F2282" t="s">
        <v>91</v>
      </c>
      <c r="G2282" t="s">
        <v>22</v>
      </c>
      <c r="H2282" t="s">
        <v>53</v>
      </c>
      <c r="I2282" t="s">
        <v>3006</v>
      </c>
      <c r="J2282">
        <v>2020</v>
      </c>
      <c r="K2282">
        <v>43698.521897777777</v>
      </c>
      <c r="L2282" t="s">
        <v>578</v>
      </c>
      <c r="M2282" t="s">
        <v>37</v>
      </c>
      <c r="N2282" t="s">
        <v>415</v>
      </c>
      <c r="O2282">
        <v>346820</v>
      </c>
      <c r="P2282">
        <v>43698.521897777777</v>
      </c>
      <c r="Q2282">
        <v>43538.680999108794</v>
      </c>
      <c r="R2282">
        <v>2322</v>
      </c>
    </row>
    <row r="2283" spans="1:18" x14ac:dyDescent="0.25">
      <c r="A2283" t="s">
        <v>7877</v>
      </c>
      <c r="B2283" t="s">
        <v>7878</v>
      </c>
      <c r="C2283" t="s">
        <v>7879</v>
      </c>
      <c r="D2283" t="s">
        <v>7879</v>
      </c>
      <c r="E2283" t="s">
        <v>7880</v>
      </c>
      <c r="F2283" t="s">
        <v>91</v>
      </c>
      <c r="G2283" t="s">
        <v>22</v>
      </c>
      <c r="H2283" t="s">
        <v>53</v>
      </c>
      <c r="I2283" t="s">
        <v>3006</v>
      </c>
      <c r="J2283">
        <v>2020</v>
      </c>
      <c r="K2283">
        <v>43698.521897777777</v>
      </c>
      <c r="L2283" t="s">
        <v>193</v>
      </c>
      <c r="M2283" t="s">
        <v>37</v>
      </c>
      <c r="N2283" t="s">
        <v>415</v>
      </c>
      <c r="O2283">
        <v>346383</v>
      </c>
      <c r="P2283">
        <v>43698.521897777777</v>
      </c>
      <c r="Q2283">
        <v>43538.694715277779</v>
      </c>
      <c r="R2283">
        <v>2323</v>
      </c>
    </row>
    <row r="2284" spans="1:18" x14ac:dyDescent="0.25">
      <c r="A2284" t="s">
        <v>7881</v>
      </c>
      <c r="B2284" t="s">
        <v>7882</v>
      </c>
      <c r="C2284" t="s">
        <v>7883</v>
      </c>
      <c r="D2284" t="s">
        <v>7883</v>
      </c>
      <c r="E2284" t="s">
        <v>7884</v>
      </c>
      <c r="F2284" t="s">
        <v>91</v>
      </c>
      <c r="G2284" t="s">
        <v>22</v>
      </c>
      <c r="H2284" t="s">
        <v>53</v>
      </c>
      <c r="I2284" t="s">
        <v>3006</v>
      </c>
      <c r="J2284">
        <v>2020</v>
      </c>
      <c r="K2284">
        <v>43698.521897777777</v>
      </c>
      <c r="L2284" t="s">
        <v>193</v>
      </c>
      <c r="M2284" t="s">
        <v>37</v>
      </c>
      <c r="N2284" t="s">
        <v>415</v>
      </c>
      <c r="O2284">
        <v>347006</v>
      </c>
      <c r="P2284">
        <v>43698.521897777777</v>
      </c>
      <c r="Q2284">
        <v>43538.697429050924</v>
      </c>
      <c r="R2284">
        <v>2324</v>
      </c>
    </row>
    <row r="2285" spans="1:18" x14ac:dyDescent="0.25">
      <c r="A2285" t="s">
        <v>7885</v>
      </c>
      <c r="B2285" t="s">
        <v>7886</v>
      </c>
      <c r="C2285" t="s">
        <v>7887</v>
      </c>
      <c r="D2285" t="s">
        <v>7887</v>
      </c>
      <c r="E2285" t="s">
        <v>7888</v>
      </c>
      <c r="F2285" t="s">
        <v>91</v>
      </c>
      <c r="G2285" t="s">
        <v>22</v>
      </c>
      <c r="H2285" t="s">
        <v>53</v>
      </c>
      <c r="I2285" t="s">
        <v>3006</v>
      </c>
      <c r="J2285">
        <v>2020</v>
      </c>
      <c r="K2285">
        <v>43698.521897777777</v>
      </c>
      <c r="L2285" t="s">
        <v>1005</v>
      </c>
      <c r="M2285" t="s">
        <v>37</v>
      </c>
      <c r="N2285" t="s">
        <v>415</v>
      </c>
      <c r="O2285">
        <v>347126</v>
      </c>
      <c r="P2285">
        <v>43698.521897777777</v>
      </c>
      <c r="Q2285">
        <v>43538.698316550923</v>
      </c>
      <c r="R2285">
        <v>2325</v>
      </c>
    </row>
    <row r="2286" spans="1:18" x14ac:dyDescent="0.25">
      <c r="A2286" t="s">
        <v>7889</v>
      </c>
      <c r="B2286" t="s">
        <v>7890</v>
      </c>
      <c r="C2286" t="s">
        <v>7891</v>
      </c>
      <c r="D2286" t="s">
        <v>7891</v>
      </c>
      <c r="E2286" t="s">
        <v>7892</v>
      </c>
      <c r="F2286" t="s">
        <v>91</v>
      </c>
      <c r="G2286" t="s">
        <v>22</v>
      </c>
      <c r="H2286" t="s">
        <v>53</v>
      </c>
      <c r="I2286" t="s">
        <v>3006</v>
      </c>
      <c r="J2286">
        <v>2020</v>
      </c>
      <c r="K2286">
        <v>43698.521897777777</v>
      </c>
      <c r="L2286" t="s">
        <v>1005</v>
      </c>
      <c r="M2286" t="s">
        <v>37</v>
      </c>
      <c r="N2286" t="s">
        <v>415</v>
      </c>
      <c r="O2286">
        <v>347110</v>
      </c>
      <c r="P2286">
        <v>43698.521897777777</v>
      </c>
      <c r="Q2286">
        <v>43538.699160763892</v>
      </c>
      <c r="R2286">
        <v>2326</v>
      </c>
    </row>
    <row r="2287" spans="1:18" x14ac:dyDescent="0.25">
      <c r="A2287" t="s">
        <v>7893</v>
      </c>
      <c r="B2287" t="s">
        <v>7894</v>
      </c>
      <c r="C2287" t="s">
        <v>7895</v>
      </c>
      <c r="D2287" t="s">
        <v>7895</v>
      </c>
      <c r="E2287" t="s">
        <v>7896</v>
      </c>
      <c r="F2287" t="s">
        <v>91</v>
      </c>
      <c r="G2287" t="s">
        <v>22</v>
      </c>
      <c r="H2287" t="s">
        <v>53</v>
      </c>
      <c r="I2287" t="s">
        <v>3006</v>
      </c>
      <c r="J2287">
        <v>2020</v>
      </c>
      <c r="K2287">
        <v>43698.521897777777</v>
      </c>
      <c r="L2287" t="s">
        <v>193</v>
      </c>
      <c r="M2287" t="s">
        <v>37</v>
      </c>
      <c r="N2287" t="s">
        <v>415</v>
      </c>
      <c r="O2287">
        <v>346631</v>
      </c>
      <c r="P2287">
        <v>43698.521897777777</v>
      </c>
      <c r="Q2287">
        <v>43538.700870520835</v>
      </c>
      <c r="R2287">
        <v>2327</v>
      </c>
    </row>
    <row r="2288" spans="1:18" x14ac:dyDescent="0.25">
      <c r="A2288" t="s">
        <v>7897</v>
      </c>
      <c r="B2288" t="s">
        <v>7898</v>
      </c>
      <c r="C2288" t="s">
        <v>7899</v>
      </c>
      <c r="D2288" t="s">
        <v>7899</v>
      </c>
      <c r="E2288" t="s">
        <v>7900</v>
      </c>
      <c r="F2288" t="s">
        <v>91</v>
      </c>
      <c r="G2288" t="s">
        <v>22</v>
      </c>
      <c r="H2288" t="s">
        <v>53</v>
      </c>
      <c r="I2288" t="s">
        <v>3006</v>
      </c>
      <c r="J2288">
        <v>2020</v>
      </c>
      <c r="K2288">
        <v>43698.521897777777</v>
      </c>
      <c r="L2288" t="s">
        <v>193</v>
      </c>
      <c r="M2288" t="s">
        <v>37</v>
      </c>
      <c r="N2288" t="s">
        <v>415</v>
      </c>
      <c r="O2288">
        <v>347008</v>
      </c>
      <c r="P2288">
        <v>43698.521897777777</v>
      </c>
      <c r="Q2288">
        <v>43538.703483831021</v>
      </c>
      <c r="R2288">
        <v>2328</v>
      </c>
    </row>
    <row r="2289" spans="1:18" x14ac:dyDescent="0.25">
      <c r="A2289" t="s">
        <v>7901</v>
      </c>
      <c r="B2289" t="s">
        <v>7902</v>
      </c>
      <c r="C2289" t="s">
        <v>7903</v>
      </c>
      <c r="D2289" t="s">
        <v>7903</v>
      </c>
      <c r="E2289" t="s">
        <v>7904</v>
      </c>
      <c r="F2289" t="s">
        <v>91</v>
      </c>
      <c r="G2289" t="s">
        <v>22</v>
      </c>
      <c r="H2289" t="s">
        <v>53</v>
      </c>
      <c r="I2289" t="s">
        <v>3006</v>
      </c>
      <c r="J2289">
        <v>2020</v>
      </c>
      <c r="K2289">
        <v>43698.521897777777</v>
      </c>
      <c r="L2289" t="s">
        <v>578</v>
      </c>
      <c r="M2289" t="s">
        <v>37</v>
      </c>
      <c r="N2289" t="s">
        <v>415</v>
      </c>
      <c r="O2289">
        <v>346754</v>
      </c>
      <c r="P2289">
        <v>43698.325821759259</v>
      </c>
      <c r="Q2289">
        <v>43538.707873344909</v>
      </c>
      <c r="R2289">
        <v>2329</v>
      </c>
    </row>
    <row r="2290" spans="1:18" x14ac:dyDescent="0.25">
      <c r="A2290" t="s">
        <v>7905</v>
      </c>
      <c r="B2290" t="s">
        <v>7906</v>
      </c>
      <c r="C2290" t="s">
        <v>7907</v>
      </c>
      <c r="D2290" t="s">
        <v>7907</v>
      </c>
      <c r="E2290" t="s">
        <v>7908</v>
      </c>
      <c r="F2290" t="s">
        <v>91</v>
      </c>
      <c r="G2290" t="s">
        <v>22</v>
      </c>
      <c r="H2290" t="s">
        <v>53</v>
      </c>
      <c r="I2290" t="s">
        <v>3006</v>
      </c>
      <c r="J2290">
        <v>2020</v>
      </c>
      <c r="K2290">
        <v>43698.521897777777</v>
      </c>
      <c r="L2290" t="s">
        <v>1056</v>
      </c>
      <c r="M2290" t="s">
        <v>37</v>
      </c>
      <c r="N2290" t="s">
        <v>415</v>
      </c>
      <c r="O2290">
        <v>346745</v>
      </c>
      <c r="P2290">
        <v>43698.521897777777</v>
      </c>
      <c r="Q2290">
        <v>43538.708778553242</v>
      </c>
      <c r="R2290">
        <v>2330</v>
      </c>
    </row>
    <row r="2291" spans="1:18" x14ac:dyDescent="0.25">
      <c r="A2291" t="s">
        <v>7909</v>
      </c>
      <c r="B2291" t="s">
        <v>7910</v>
      </c>
      <c r="C2291" t="s">
        <v>7911</v>
      </c>
      <c r="D2291" t="s">
        <v>7911</v>
      </c>
      <c r="E2291" t="s">
        <v>7912</v>
      </c>
      <c r="F2291" t="s">
        <v>91</v>
      </c>
      <c r="G2291" t="s">
        <v>22</v>
      </c>
      <c r="H2291" t="s">
        <v>53</v>
      </c>
      <c r="I2291" t="s">
        <v>3006</v>
      </c>
      <c r="J2291">
        <v>2020</v>
      </c>
      <c r="K2291">
        <v>43698.521897777777</v>
      </c>
      <c r="L2291" t="s">
        <v>1005</v>
      </c>
      <c r="M2291" t="s">
        <v>37</v>
      </c>
      <c r="N2291" t="s">
        <v>415</v>
      </c>
      <c r="O2291">
        <v>346643</v>
      </c>
      <c r="P2291">
        <v>43698.521897777777</v>
      </c>
      <c r="Q2291">
        <v>43538.710362152779</v>
      </c>
      <c r="R2291">
        <v>2331</v>
      </c>
    </row>
    <row r="2292" spans="1:18" x14ac:dyDescent="0.25">
      <c r="A2292" t="s">
        <v>7913</v>
      </c>
      <c r="B2292" t="s">
        <v>7914</v>
      </c>
      <c r="C2292" t="s">
        <v>7915</v>
      </c>
      <c r="D2292" t="s">
        <v>7915</v>
      </c>
      <c r="E2292" t="s">
        <v>7916</v>
      </c>
      <c r="F2292" t="s">
        <v>91</v>
      </c>
      <c r="G2292" t="s">
        <v>22</v>
      </c>
      <c r="H2292" t="s">
        <v>53</v>
      </c>
      <c r="I2292" t="s">
        <v>3006</v>
      </c>
      <c r="J2292">
        <v>2020</v>
      </c>
      <c r="K2292">
        <v>43698.521897777777</v>
      </c>
      <c r="L2292" t="s">
        <v>2713</v>
      </c>
      <c r="M2292" t="s">
        <v>2777</v>
      </c>
      <c r="N2292" t="s">
        <v>415</v>
      </c>
      <c r="O2292">
        <v>347116</v>
      </c>
      <c r="P2292">
        <v>43698.521897777777</v>
      </c>
      <c r="Q2292">
        <v>43538.711651886573</v>
      </c>
      <c r="R2292">
        <v>2332</v>
      </c>
    </row>
    <row r="2293" spans="1:18" x14ac:dyDescent="0.25">
      <c r="A2293" t="s">
        <v>7917</v>
      </c>
      <c r="B2293" t="s">
        <v>7918</v>
      </c>
      <c r="C2293" t="s">
        <v>7919</v>
      </c>
      <c r="D2293" t="s">
        <v>7919</v>
      </c>
      <c r="E2293" t="s">
        <v>7920</v>
      </c>
      <c r="F2293" t="s">
        <v>91</v>
      </c>
      <c r="G2293" t="s">
        <v>22</v>
      </c>
      <c r="H2293" t="s">
        <v>53</v>
      </c>
      <c r="I2293" t="s">
        <v>3006</v>
      </c>
      <c r="J2293">
        <v>2020</v>
      </c>
      <c r="K2293">
        <v>43698.521897777777</v>
      </c>
      <c r="L2293" t="s">
        <v>2713</v>
      </c>
      <c r="M2293" t="s">
        <v>2777</v>
      </c>
      <c r="N2293" t="s">
        <v>994</v>
      </c>
      <c r="O2293">
        <v>347134</v>
      </c>
      <c r="P2293">
        <v>43698.521897777777</v>
      </c>
      <c r="Q2293">
        <v>43538.712650347225</v>
      </c>
      <c r="R2293">
        <v>2333</v>
      </c>
    </row>
    <row r="2294" spans="1:18" x14ac:dyDescent="0.25">
      <c r="A2294" t="s">
        <v>7921</v>
      </c>
      <c r="B2294" t="s">
        <v>7922</v>
      </c>
      <c r="C2294" t="s">
        <v>7923</v>
      </c>
      <c r="D2294" t="s">
        <v>7923</v>
      </c>
      <c r="E2294" t="s">
        <v>7924</v>
      </c>
      <c r="F2294" t="s">
        <v>91</v>
      </c>
      <c r="G2294" t="s">
        <v>22</v>
      </c>
      <c r="H2294" t="s">
        <v>53</v>
      </c>
      <c r="I2294" t="s">
        <v>3006</v>
      </c>
      <c r="J2294">
        <v>2020</v>
      </c>
      <c r="K2294">
        <v>43698.521897777777</v>
      </c>
      <c r="L2294" t="s">
        <v>2713</v>
      </c>
      <c r="M2294" t="s">
        <v>2777</v>
      </c>
      <c r="N2294" t="s">
        <v>994</v>
      </c>
      <c r="O2294">
        <v>346342</v>
      </c>
      <c r="P2294">
        <v>43697.868055555555</v>
      </c>
      <c r="Q2294">
        <v>43538.772089583334</v>
      </c>
      <c r="R2294">
        <v>2334</v>
      </c>
    </row>
    <row r="2295" spans="1:18" x14ac:dyDescent="0.25">
      <c r="A2295" t="s">
        <v>7925</v>
      </c>
      <c r="B2295" t="s">
        <v>7926</v>
      </c>
      <c r="C2295" t="s">
        <v>7927</v>
      </c>
      <c r="D2295" t="s">
        <v>7927</v>
      </c>
      <c r="E2295" t="s">
        <v>7928</v>
      </c>
      <c r="F2295" t="s">
        <v>91</v>
      </c>
      <c r="G2295" t="s">
        <v>22</v>
      </c>
      <c r="H2295" t="s">
        <v>53</v>
      </c>
      <c r="I2295" t="s">
        <v>3006</v>
      </c>
      <c r="J2295">
        <v>2020</v>
      </c>
      <c r="K2295">
        <v>43698.521897777777</v>
      </c>
      <c r="L2295" t="s">
        <v>2713</v>
      </c>
      <c r="M2295" t="s">
        <v>2777</v>
      </c>
      <c r="N2295" t="s">
        <v>994</v>
      </c>
      <c r="O2295">
        <v>346833</v>
      </c>
      <c r="P2295">
        <v>43698.521897777777</v>
      </c>
      <c r="Q2295">
        <v>43538.788849652781</v>
      </c>
      <c r="R2295">
        <v>2335</v>
      </c>
    </row>
    <row r="2296" spans="1:18" x14ac:dyDescent="0.25">
      <c r="A2296" t="s">
        <v>7929</v>
      </c>
      <c r="B2296" t="s">
        <v>7930</v>
      </c>
      <c r="C2296" t="s">
        <v>7931</v>
      </c>
      <c r="D2296" t="s">
        <v>7931</v>
      </c>
      <c r="E2296" t="s">
        <v>7932</v>
      </c>
      <c r="F2296" t="s">
        <v>91</v>
      </c>
      <c r="G2296" t="s">
        <v>22</v>
      </c>
      <c r="H2296" t="s">
        <v>53</v>
      </c>
      <c r="I2296" t="s">
        <v>3006</v>
      </c>
      <c r="J2296">
        <v>2020</v>
      </c>
      <c r="K2296">
        <v>43698.521897777777</v>
      </c>
      <c r="L2296" t="s">
        <v>2713</v>
      </c>
      <c r="M2296" t="s">
        <v>2777</v>
      </c>
      <c r="N2296" t="s">
        <v>415</v>
      </c>
      <c r="O2296">
        <v>346553</v>
      </c>
      <c r="P2296">
        <v>43698.521897777777</v>
      </c>
      <c r="Q2296">
        <v>43538.789876192131</v>
      </c>
      <c r="R2296">
        <v>2336</v>
      </c>
    </row>
    <row r="2297" spans="1:18" x14ac:dyDescent="0.25">
      <c r="A2297" t="s">
        <v>7933</v>
      </c>
      <c r="B2297" t="s">
        <v>7934</v>
      </c>
      <c r="C2297" t="s">
        <v>7935</v>
      </c>
      <c r="D2297" t="s">
        <v>7935</v>
      </c>
      <c r="E2297" t="s">
        <v>7936</v>
      </c>
      <c r="F2297" t="s">
        <v>91</v>
      </c>
      <c r="G2297" t="s">
        <v>22</v>
      </c>
      <c r="H2297" t="s">
        <v>53</v>
      </c>
      <c r="I2297" t="s">
        <v>3006</v>
      </c>
      <c r="J2297">
        <v>2020</v>
      </c>
      <c r="K2297">
        <v>43698.521897777777</v>
      </c>
      <c r="L2297" t="s">
        <v>1660</v>
      </c>
      <c r="M2297" t="s">
        <v>2777</v>
      </c>
      <c r="N2297" t="s">
        <v>415</v>
      </c>
      <c r="O2297">
        <v>346721</v>
      </c>
      <c r="P2297">
        <v>43698.521897777777</v>
      </c>
      <c r="Q2297">
        <v>43538.792197453702</v>
      </c>
      <c r="R2297">
        <v>2337</v>
      </c>
    </row>
    <row r="2298" spans="1:18" x14ac:dyDescent="0.25">
      <c r="A2298" t="s">
        <v>7937</v>
      </c>
      <c r="B2298" t="s">
        <v>7938</v>
      </c>
      <c r="C2298" t="s">
        <v>7939</v>
      </c>
      <c r="D2298" t="s">
        <v>7939</v>
      </c>
      <c r="E2298" t="s">
        <v>7940</v>
      </c>
      <c r="F2298" t="s">
        <v>91</v>
      </c>
      <c r="G2298" t="s">
        <v>22</v>
      </c>
      <c r="H2298" t="s">
        <v>53</v>
      </c>
      <c r="I2298" t="s">
        <v>3006</v>
      </c>
      <c r="J2298">
        <v>2020</v>
      </c>
      <c r="K2298">
        <v>43698.521897777777</v>
      </c>
      <c r="L2298" t="s">
        <v>2713</v>
      </c>
      <c r="M2298" t="s">
        <v>2777</v>
      </c>
      <c r="N2298" t="s">
        <v>415</v>
      </c>
      <c r="O2298">
        <v>345872</v>
      </c>
      <c r="P2298">
        <v>43696.537499999999</v>
      </c>
      <c r="Q2298">
        <v>43538.793996527776</v>
      </c>
      <c r="R2298">
        <v>2338</v>
      </c>
    </row>
    <row r="2299" spans="1:18" x14ac:dyDescent="0.25">
      <c r="A2299" t="s">
        <v>7941</v>
      </c>
      <c r="B2299" t="s">
        <v>7942</v>
      </c>
      <c r="C2299" t="s">
        <v>7943</v>
      </c>
      <c r="D2299" t="s">
        <v>7943</v>
      </c>
      <c r="E2299" t="s">
        <v>7944</v>
      </c>
      <c r="F2299" t="s">
        <v>91</v>
      </c>
      <c r="G2299" t="s">
        <v>22</v>
      </c>
      <c r="H2299" t="s">
        <v>53</v>
      </c>
      <c r="I2299" t="s">
        <v>3006</v>
      </c>
      <c r="J2299">
        <v>2020</v>
      </c>
      <c r="K2299">
        <v>43698.521897777777</v>
      </c>
      <c r="L2299" t="s">
        <v>2713</v>
      </c>
      <c r="M2299" t="s">
        <v>2777</v>
      </c>
      <c r="N2299" t="s">
        <v>254</v>
      </c>
      <c r="O2299">
        <v>345147</v>
      </c>
      <c r="P2299">
        <v>43698.521897777777</v>
      </c>
      <c r="Q2299">
        <v>43538.794576469911</v>
      </c>
      <c r="R2299">
        <v>2339</v>
      </c>
    </row>
    <row r="2300" spans="1:18" x14ac:dyDescent="0.25">
      <c r="A2300" t="s">
        <v>7945</v>
      </c>
      <c r="B2300" t="s">
        <v>7946</v>
      </c>
      <c r="C2300" t="s">
        <v>7947</v>
      </c>
      <c r="D2300" t="s">
        <v>7947</v>
      </c>
      <c r="E2300" t="s">
        <v>7948</v>
      </c>
      <c r="F2300" t="s">
        <v>91</v>
      </c>
      <c r="G2300" t="s">
        <v>22</v>
      </c>
      <c r="H2300" t="s">
        <v>53</v>
      </c>
      <c r="I2300" t="s">
        <v>3006</v>
      </c>
      <c r="J2300">
        <v>2020</v>
      </c>
      <c r="K2300">
        <v>43698.521897777777</v>
      </c>
      <c r="L2300" t="s">
        <v>2713</v>
      </c>
      <c r="M2300" t="s">
        <v>2777</v>
      </c>
      <c r="N2300" t="s">
        <v>415</v>
      </c>
      <c r="O2300">
        <v>331916</v>
      </c>
      <c r="P2300">
        <v>43667</v>
      </c>
      <c r="Q2300">
        <v>43538.795434525462</v>
      </c>
      <c r="R2300">
        <v>2340</v>
      </c>
    </row>
    <row r="2301" spans="1:18" x14ac:dyDescent="0.25">
      <c r="A2301" t="s">
        <v>7949</v>
      </c>
      <c r="B2301" t="s">
        <v>7950</v>
      </c>
      <c r="C2301" t="s">
        <v>7951</v>
      </c>
      <c r="D2301" t="s">
        <v>7951</v>
      </c>
      <c r="E2301" t="s">
        <v>7952</v>
      </c>
      <c r="F2301" t="s">
        <v>91</v>
      </c>
      <c r="G2301" t="s">
        <v>22</v>
      </c>
      <c r="H2301" t="s">
        <v>53</v>
      </c>
      <c r="I2301" t="s">
        <v>3006</v>
      </c>
      <c r="J2301">
        <v>2020</v>
      </c>
      <c r="K2301">
        <v>43698.521897777777</v>
      </c>
      <c r="L2301" t="s">
        <v>2713</v>
      </c>
      <c r="M2301" t="s">
        <v>2777</v>
      </c>
      <c r="N2301" t="s">
        <v>415</v>
      </c>
      <c r="O2301">
        <v>345144</v>
      </c>
      <c r="P2301">
        <v>43695</v>
      </c>
      <c r="Q2301">
        <v>43538.796780868055</v>
      </c>
      <c r="R2301">
        <v>2341</v>
      </c>
    </row>
    <row r="2302" spans="1:18" x14ac:dyDescent="0.25">
      <c r="A2302" t="s">
        <v>7953</v>
      </c>
      <c r="B2302" t="s">
        <v>4941</v>
      </c>
      <c r="C2302" t="s">
        <v>7954</v>
      </c>
      <c r="D2302" t="s">
        <v>7954</v>
      </c>
      <c r="E2302" t="s">
        <v>7954</v>
      </c>
      <c r="F2302" t="s">
        <v>91</v>
      </c>
      <c r="G2302" t="s">
        <v>63</v>
      </c>
      <c r="H2302" t="s">
        <v>53</v>
      </c>
      <c r="I2302" t="s">
        <v>3693</v>
      </c>
      <c r="J2302">
        <v>2019</v>
      </c>
      <c r="K2302">
        <v>43698.521897777777</v>
      </c>
      <c r="L2302" t="s">
        <v>1005</v>
      </c>
      <c r="M2302" t="s">
        <v>1941</v>
      </c>
      <c r="N2302" t="s">
        <v>415</v>
      </c>
      <c r="O2302">
        <v>346710</v>
      </c>
      <c r="P2302">
        <v>43698.521897777777</v>
      </c>
      <c r="Q2302">
        <v>43539.359099189816</v>
      </c>
      <c r="R2302">
        <v>2342</v>
      </c>
    </row>
    <row r="2303" spans="1:18" x14ac:dyDescent="0.25">
      <c r="A2303" t="s">
        <v>7955</v>
      </c>
      <c r="B2303" t="s">
        <v>3060</v>
      </c>
      <c r="C2303" t="s">
        <v>7956</v>
      </c>
      <c r="D2303" t="s">
        <v>7956</v>
      </c>
      <c r="E2303" t="s">
        <v>7956</v>
      </c>
      <c r="F2303" t="s">
        <v>91</v>
      </c>
      <c r="G2303" t="s">
        <v>63</v>
      </c>
      <c r="H2303" t="s">
        <v>53</v>
      </c>
      <c r="I2303" t="s">
        <v>3693</v>
      </c>
      <c r="J2303">
        <v>2018</v>
      </c>
      <c r="K2303">
        <v>43698.521897777777</v>
      </c>
      <c r="L2303" t="s">
        <v>193</v>
      </c>
      <c r="M2303" t="s">
        <v>1941</v>
      </c>
      <c r="N2303" t="s">
        <v>415</v>
      </c>
      <c r="O2303">
        <v>347157</v>
      </c>
      <c r="P2303">
        <v>43698.521897777777</v>
      </c>
      <c r="Q2303">
        <v>43539.360054282406</v>
      </c>
      <c r="R2303">
        <v>2343</v>
      </c>
    </row>
    <row r="2304" spans="1:18" x14ac:dyDescent="0.25">
      <c r="A2304" t="s">
        <v>7957</v>
      </c>
      <c r="B2304" t="s">
        <v>3020</v>
      </c>
      <c r="C2304" t="s">
        <v>7958</v>
      </c>
      <c r="D2304" t="s">
        <v>7958</v>
      </c>
      <c r="E2304" t="s">
        <v>7958</v>
      </c>
      <c r="F2304" t="s">
        <v>91</v>
      </c>
      <c r="G2304" t="s">
        <v>63</v>
      </c>
      <c r="H2304" t="s">
        <v>53</v>
      </c>
      <c r="I2304" t="s">
        <v>3693</v>
      </c>
      <c r="J2304">
        <v>2018</v>
      </c>
      <c r="K2304">
        <v>43698.521897777777</v>
      </c>
      <c r="L2304" t="s">
        <v>193</v>
      </c>
      <c r="M2304" t="s">
        <v>1941</v>
      </c>
      <c r="N2304" t="s">
        <v>415</v>
      </c>
      <c r="O2304">
        <v>346146</v>
      </c>
      <c r="P2304">
        <v>43698.521897777777</v>
      </c>
      <c r="Q2304">
        <v>43539.361075925925</v>
      </c>
      <c r="R2304">
        <v>2344</v>
      </c>
    </row>
    <row r="2305" spans="1:18" x14ac:dyDescent="0.25">
      <c r="A2305" t="s">
        <v>7959</v>
      </c>
      <c r="B2305" t="s">
        <v>7960</v>
      </c>
      <c r="C2305" t="s">
        <v>7961</v>
      </c>
      <c r="D2305" t="s">
        <v>7961</v>
      </c>
      <c r="E2305" t="s">
        <v>7961</v>
      </c>
      <c r="F2305" t="s">
        <v>253</v>
      </c>
      <c r="G2305" t="s">
        <v>63</v>
      </c>
      <c r="H2305" t="s">
        <v>34</v>
      </c>
      <c r="I2305" t="s">
        <v>35</v>
      </c>
      <c r="J2305">
        <v>2005</v>
      </c>
      <c r="K2305">
        <v>43698.521897777777</v>
      </c>
      <c r="L2305" t="s">
        <v>578</v>
      </c>
      <c r="M2305" t="s">
        <v>1941</v>
      </c>
      <c r="N2305" t="s">
        <v>415</v>
      </c>
      <c r="O2305">
        <v>346817</v>
      </c>
      <c r="P2305">
        <v>43698.521897777777</v>
      </c>
      <c r="Q2305">
        <v>43539.361881481484</v>
      </c>
      <c r="R2305">
        <v>2345</v>
      </c>
    </row>
    <row r="2306" spans="1:18" x14ac:dyDescent="0.25">
      <c r="A2306" t="s">
        <v>7962</v>
      </c>
      <c r="B2306" t="s">
        <v>7963</v>
      </c>
      <c r="C2306" t="s">
        <v>7964</v>
      </c>
      <c r="D2306" t="s">
        <v>7964</v>
      </c>
      <c r="E2306" t="s">
        <v>7964</v>
      </c>
      <c r="F2306" t="s">
        <v>21</v>
      </c>
      <c r="G2306" t="s">
        <v>63</v>
      </c>
      <c r="H2306" t="s">
        <v>34</v>
      </c>
      <c r="I2306" t="s">
        <v>35</v>
      </c>
      <c r="J2306">
        <v>2011</v>
      </c>
      <c r="K2306">
        <v>43698.521897777777</v>
      </c>
      <c r="L2306" t="s">
        <v>25</v>
      </c>
      <c r="M2306" t="s">
        <v>1941</v>
      </c>
      <c r="N2306" t="s">
        <v>415</v>
      </c>
      <c r="O2306">
        <v>291372</v>
      </c>
      <c r="P2306">
        <v>43560.556250000001</v>
      </c>
      <c r="Q2306">
        <v>43539.363118252317</v>
      </c>
      <c r="R2306">
        <v>2346</v>
      </c>
    </row>
    <row r="2307" spans="1:18" x14ac:dyDescent="0.25">
      <c r="A2307" t="s">
        <v>7965</v>
      </c>
      <c r="B2307" t="s">
        <v>7966</v>
      </c>
      <c r="C2307" t="s">
        <v>7967</v>
      </c>
      <c r="D2307" t="s">
        <v>7967</v>
      </c>
      <c r="E2307" t="s">
        <v>7967</v>
      </c>
      <c r="F2307" t="s">
        <v>91</v>
      </c>
      <c r="G2307" t="s">
        <v>63</v>
      </c>
      <c r="H2307" t="s">
        <v>34</v>
      </c>
      <c r="I2307" t="s">
        <v>35</v>
      </c>
      <c r="J2307">
        <v>2013</v>
      </c>
      <c r="K2307">
        <v>43698.521897777777</v>
      </c>
      <c r="L2307" t="s">
        <v>1005</v>
      </c>
      <c r="M2307" t="s">
        <v>1941</v>
      </c>
      <c r="N2307" t="s">
        <v>415</v>
      </c>
      <c r="O2307">
        <v>345073</v>
      </c>
      <c r="P2307">
        <v>43697.587673611109</v>
      </c>
      <c r="Q2307">
        <v>43539.364037349536</v>
      </c>
      <c r="R2307">
        <v>2347</v>
      </c>
    </row>
    <row r="2308" spans="1:18" x14ac:dyDescent="0.25">
      <c r="A2308" t="s">
        <v>7968</v>
      </c>
      <c r="B2308" t="s">
        <v>2083</v>
      </c>
      <c r="C2308" t="s">
        <v>7969</v>
      </c>
      <c r="D2308" t="s">
        <v>7969</v>
      </c>
      <c r="E2308" t="s">
        <v>7969</v>
      </c>
      <c r="F2308" t="s">
        <v>91</v>
      </c>
      <c r="G2308" t="s">
        <v>63</v>
      </c>
      <c r="H2308" t="s">
        <v>53</v>
      </c>
      <c r="I2308" t="s">
        <v>471</v>
      </c>
      <c r="J2308">
        <v>2017</v>
      </c>
      <c r="K2308">
        <v>43698.521897777777</v>
      </c>
      <c r="L2308" t="s">
        <v>193</v>
      </c>
      <c r="M2308" t="s">
        <v>1941</v>
      </c>
      <c r="N2308" t="s">
        <v>415</v>
      </c>
      <c r="O2308">
        <v>346581</v>
      </c>
      <c r="P2308">
        <v>43698.521897777777</v>
      </c>
      <c r="Q2308">
        <v>43542.537635335648</v>
      </c>
      <c r="R2308">
        <v>2348</v>
      </c>
    </row>
    <row r="2309" spans="1:18" x14ac:dyDescent="0.25">
      <c r="A2309" t="s">
        <v>7970</v>
      </c>
      <c r="B2309" t="s">
        <v>7971</v>
      </c>
      <c r="C2309" t="s">
        <v>7972</v>
      </c>
      <c r="D2309" t="s">
        <v>7972</v>
      </c>
      <c r="E2309" t="s">
        <v>7972</v>
      </c>
      <c r="F2309" t="s">
        <v>21</v>
      </c>
      <c r="G2309" t="s">
        <v>63</v>
      </c>
      <c r="H2309" t="s">
        <v>23</v>
      </c>
      <c r="I2309" t="s">
        <v>41</v>
      </c>
      <c r="J2309">
        <v>2008</v>
      </c>
      <c r="K2309">
        <v>43698.521897777777</v>
      </c>
      <c r="L2309" t="s">
        <v>25</v>
      </c>
      <c r="M2309" t="s">
        <v>1941</v>
      </c>
      <c r="N2309" t="s">
        <v>415</v>
      </c>
      <c r="O2309">
        <v>309215</v>
      </c>
      <c r="P2309">
        <v>43608.716666666667</v>
      </c>
      <c r="Q2309">
        <v>43542.537889467596</v>
      </c>
      <c r="R2309">
        <v>2349</v>
      </c>
    </row>
    <row r="2310" spans="1:18" x14ac:dyDescent="0.25">
      <c r="A2310" t="s">
        <v>7973</v>
      </c>
      <c r="B2310" t="s">
        <v>7974</v>
      </c>
      <c r="C2310" t="s">
        <v>7975</v>
      </c>
      <c r="D2310" t="s">
        <v>7975</v>
      </c>
      <c r="E2310" t="s">
        <v>7976</v>
      </c>
      <c r="F2310" t="s">
        <v>91</v>
      </c>
      <c r="G2310" t="s">
        <v>22</v>
      </c>
      <c r="H2310" t="s">
        <v>53</v>
      </c>
      <c r="I2310" t="s">
        <v>3006</v>
      </c>
      <c r="J2310">
        <v>2019</v>
      </c>
      <c r="K2310">
        <v>43698.521897777777</v>
      </c>
      <c r="L2310" t="s">
        <v>1660</v>
      </c>
      <c r="M2310" t="s">
        <v>2777</v>
      </c>
      <c r="N2310" t="s">
        <v>415</v>
      </c>
      <c r="O2310">
        <v>346934</v>
      </c>
      <c r="P2310">
        <v>43698.521897777777</v>
      </c>
      <c r="Q2310">
        <v>43544.582455706019</v>
      </c>
      <c r="R2310">
        <v>2350</v>
      </c>
    </row>
    <row r="2311" spans="1:18" x14ac:dyDescent="0.25">
      <c r="A2311" t="s">
        <v>7977</v>
      </c>
      <c r="B2311" t="s">
        <v>7978</v>
      </c>
      <c r="C2311" t="s">
        <v>7979</v>
      </c>
      <c r="D2311" t="s">
        <v>7979</v>
      </c>
      <c r="E2311" t="s">
        <v>7980</v>
      </c>
      <c r="F2311" t="s">
        <v>91</v>
      </c>
      <c r="G2311" t="s">
        <v>22</v>
      </c>
      <c r="H2311" t="s">
        <v>53</v>
      </c>
      <c r="I2311" t="s">
        <v>3006</v>
      </c>
      <c r="J2311">
        <v>2019</v>
      </c>
      <c r="K2311">
        <v>43698.521897777777</v>
      </c>
      <c r="L2311" t="s">
        <v>1660</v>
      </c>
      <c r="M2311" t="s">
        <v>2777</v>
      </c>
      <c r="N2311" t="s">
        <v>415</v>
      </c>
      <c r="O2311">
        <v>346814</v>
      </c>
      <c r="P2311">
        <v>43698.521897777777</v>
      </c>
      <c r="Q2311">
        <v>43544.583427118057</v>
      </c>
      <c r="R2311">
        <v>2351</v>
      </c>
    </row>
    <row r="2312" spans="1:18" x14ac:dyDescent="0.25">
      <c r="A2312" t="s">
        <v>7981</v>
      </c>
      <c r="B2312" t="s">
        <v>7982</v>
      </c>
      <c r="C2312" t="s">
        <v>7983</v>
      </c>
      <c r="D2312" t="s">
        <v>7983</v>
      </c>
      <c r="E2312" t="s">
        <v>7984</v>
      </c>
      <c r="F2312" t="s">
        <v>91</v>
      </c>
      <c r="G2312" t="s">
        <v>22</v>
      </c>
      <c r="H2312" t="s">
        <v>53</v>
      </c>
      <c r="I2312" t="s">
        <v>3006</v>
      </c>
      <c r="J2312">
        <v>2019</v>
      </c>
      <c r="K2312">
        <v>43698.521897777777</v>
      </c>
      <c r="L2312" t="s">
        <v>1660</v>
      </c>
      <c r="M2312" t="s">
        <v>2777</v>
      </c>
      <c r="N2312" t="s">
        <v>415</v>
      </c>
      <c r="O2312">
        <v>346716</v>
      </c>
      <c r="P2312">
        <v>43698.521897777777</v>
      </c>
      <c r="Q2312">
        <v>43544.583949340275</v>
      </c>
      <c r="R2312">
        <v>2352</v>
      </c>
    </row>
    <row r="2313" spans="1:18" x14ac:dyDescent="0.25">
      <c r="A2313" t="s">
        <v>7985</v>
      </c>
      <c r="B2313" t="s">
        <v>7986</v>
      </c>
      <c r="C2313" t="s">
        <v>7987</v>
      </c>
      <c r="D2313" t="s">
        <v>7987</v>
      </c>
      <c r="E2313" t="s">
        <v>7988</v>
      </c>
      <c r="F2313" t="s">
        <v>91</v>
      </c>
      <c r="G2313" t="s">
        <v>22</v>
      </c>
      <c r="H2313" t="s">
        <v>53</v>
      </c>
      <c r="I2313" t="s">
        <v>3006</v>
      </c>
      <c r="J2313">
        <v>2019</v>
      </c>
      <c r="K2313">
        <v>43698.521897777777</v>
      </c>
      <c r="L2313" t="s">
        <v>1660</v>
      </c>
      <c r="M2313" t="s">
        <v>2777</v>
      </c>
      <c r="N2313" t="s">
        <v>415</v>
      </c>
      <c r="O2313">
        <v>346740</v>
      </c>
      <c r="P2313">
        <v>43698.521897777777</v>
      </c>
      <c r="Q2313">
        <v>43544.584532789355</v>
      </c>
      <c r="R2313">
        <v>2353</v>
      </c>
    </row>
    <row r="2314" spans="1:18" x14ac:dyDescent="0.25">
      <c r="A2314" t="s">
        <v>7989</v>
      </c>
      <c r="B2314" t="s">
        <v>7990</v>
      </c>
      <c r="C2314" t="s">
        <v>7991</v>
      </c>
      <c r="D2314" t="s">
        <v>7991</v>
      </c>
      <c r="E2314" t="s">
        <v>7992</v>
      </c>
      <c r="F2314" t="s">
        <v>91</v>
      </c>
      <c r="G2314" t="s">
        <v>22</v>
      </c>
      <c r="H2314" t="s">
        <v>53</v>
      </c>
      <c r="I2314" t="s">
        <v>3006</v>
      </c>
      <c r="J2314">
        <v>2019</v>
      </c>
      <c r="K2314">
        <v>43698.521897777777</v>
      </c>
      <c r="L2314" t="s">
        <v>1660</v>
      </c>
      <c r="M2314" t="s">
        <v>2777</v>
      </c>
      <c r="N2314" t="s">
        <v>415</v>
      </c>
      <c r="O2314">
        <v>346242</v>
      </c>
      <c r="P2314">
        <v>43698.025694444441</v>
      </c>
      <c r="Q2314">
        <v>43544.584971145836</v>
      </c>
      <c r="R2314">
        <v>2354</v>
      </c>
    </row>
    <row r="2315" spans="1:18" x14ac:dyDescent="0.25">
      <c r="A2315" t="s">
        <v>7993</v>
      </c>
      <c r="B2315" t="s">
        <v>7994</v>
      </c>
      <c r="C2315" t="s">
        <v>7995</v>
      </c>
      <c r="D2315" t="s">
        <v>7995</v>
      </c>
      <c r="E2315" t="s">
        <v>7996</v>
      </c>
      <c r="F2315" t="s">
        <v>21</v>
      </c>
      <c r="G2315" t="s">
        <v>22</v>
      </c>
      <c r="H2315" t="s">
        <v>53</v>
      </c>
      <c r="I2315" t="s">
        <v>7997</v>
      </c>
      <c r="J2315">
        <v>2019</v>
      </c>
      <c r="K2315">
        <v>43698.521897777777</v>
      </c>
      <c r="L2315" t="s">
        <v>1660</v>
      </c>
      <c r="M2315" t="s">
        <v>2777</v>
      </c>
      <c r="N2315" t="s">
        <v>415</v>
      </c>
      <c r="O2315">
        <v>309357</v>
      </c>
      <c r="P2315">
        <v>43606.853472222225</v>
      </c>
      <c r="Q2315">
        <v>43544.586040277776</v>
      </c>
      <c r="R2315">
        <v>2355</v>
      </c>
    </row>
    <row r="2316" spans="1:18" x14ac:dyDescent="0.25">
      <c r="A2316" t="s">
        <v>7998</v>
      </c>
      <c r="B2316" t="s">
        <v>7999</v>
      </c>
      <c r="C2316" t="s">
        <v>8000</v>
      </c>
      <c r="D2316" t="s">
        <v>8000</v>
      </c>
      <c r="E2316" t="s">
        <v>8001</v>
      </c>
      <c r="F2316" t="s">
        <v>21</v>
      </c>
      <c r="G2316" t="s">
        <v>22</v>
      </c>
      <c r="H2316" t="s">
        <v>53</v>
      </c>
      <c r="I2316" t="s">
        <v>7997</v>
      </c>
      <c r="J2316">
        <v>2019</v>
      </c>
      <c r="K2316">
        <v>43698.521897777777</v>
      </c>
      <c r="L2316" t="s">
        <v>1660</v>
      </c>
      <c r="M2316" t="s">
        <v>2777</v>
      </c>
      <c r="N2316" t="s">
        <v>415</v>
      </c>
      <c r="O2316">
        <v>310970</v>
      </c>
      <c r="P2316">
        <v>43609.48333333333</v>
      </c>
      <c r="Q2316">
        <v>43544.586868668979</v>
      </c>
      <c r="R2316">
        <v>2356</v>
      </c>
    </row>
    <row r="2317" spans="1:18" x14ac:dyDescent="0.25">
      <c r="A2317" t="s">
        <v>8002</v>
      </c>
      <c r="B2317" t="s">
        <v>8003</v>
      </c>
      <c r="C2317" t="s">
        <v>8004</v>
      </c>
      <c r="D2317" t="s">
        <v>8004</v>
      </c>
      <c r="E2317" t="s">
        <v>8005</v>
      </c>
      <c r="F2317" t="s">
        <v>21</v>
      </c>
      <c r="G2317" t="s">
        <v>22</v>
      </c>
      <c r="H2317" t="s">
        <v>53</v>
      </c>
      <c r="I2317" t="s">
        <v>7997</v>
      </c>
      <c r="J2317">
        <v>2019</v>
      </c>
      <c r="K2317">
        <v>43698.521897777777</v>
      </c>
      <c r="L2317" t="s">
        <v>1660</v>
      </c>
      <c r="M2317" t="s">
        <v>2777</v>
      </c>
      <c r="N2317" t="s">
        <v>415</v>
      </c>
      <c r="O2317">
        <v>309880</v>
      </c>
      <c r="P2317">
        <v>43608.059027777781</v>
      </c>
      <c r="Q2317">
        <v>43544.588006516205</v>
      </c>
      <c r="R2317">
        <v>2357</v>
      </c>
    </row>
    <row r="2318" spans="1:18" x14ac:dyDescent="0.25">
      <c r="A2318" t="s">
        <v>8006</v>
      </c>
      <c r="B2318" t="s">
        <v>8007</v>
      </c>
      <c r="C2318" t="s">
        <v>8008</v>
      </c>
      <c r="D2318" t="s">
        <v>8008</v>
      </c>
      <c r="E2318" t="s">
        <v>8009</v>
      </c>
      <c r="F2318" t="s">
        <v>21</v>
      </c>
      <c r="G2318" t="s">
        <v>22</v>
      </c>
      <c r="H2318" t="s">
        <v>53</v>
      </c>
      <c r="I2318" t="s">
        <v>7997</v>
      </c>
      <c r="J2318">
        <v>2019</v>
      </c>
      <c r="K2318">
        <v>43698.521897777777</v>
      </c>
      <c r="L2318" t="s">
        <v>1660</v>
      </c>
      <c r="M2318" t="s">
        <v>2777</v>
      </c>
      <c r="N2318" t="s">
        <v>415</v>
      </c>
      <c r="O2318">
        <v>310394</v>
      </c>
      <c r="P2318">
        <v>43608.869444444441</v>
      </c>
      <c r="Q2318">
        <v>43544.588644594907</v>
      </c>
      <c r="R2318">
        <v>2358</v>
      </c>
    </row>
    <row r="2319" spans="1:18" x14ac:dyDescent="0.25">
      <c r="A2319" t="s">
        <v>8010</v>
      </c>
      <c r="B2319" t="s">
        <v>8011</v>
      </c>
      <c r="C2319" t="s">
        <v>8012</v>
      </c>
      <c r="D2319" t="s">
        <v>8012</v>
      </c>
      <c r="E2319" t="s">
        <v>8013</v>
      </c>
      <c r="F2319" t="s">
        <v>21</v>
      </c>
      <c r="G2319" t="s">
        <v>22</v>
      </c>
      <c r="H2319" t="s">
        <v>53</v>
      </c>
      <c r="I2319" t="s">
        <v>7997</v>
      </c>
      <c r="J2319">
        <v>2019</v>
      </c>
      <c r="K2319">
        <v>43698.521897777777</v>
      </c>
      <c r="L2319" t="s">
        <v>1660</v>
      </c>
      <c r="M2319" t="s">
        <v>2777</v>
      </c>
      <c r="N2319" t="s">
        <v>415</v>
      </c>
      <c r="O2319">
        <v>310983</v>
      </c>
      <c r="P2319">
        <v>43610.906944444447</v>
      </c>
      <c r="Q2319">
        <v>43544.589537928237</v>
      </c>
      <c r="R2319">
        <v>2359</v>
      </c>
    </row>
    <row r="2320" spans="1:18" x14ac:dyDescent="0.25">
      <c r="A2320" t="s">
        <v>8014</v>
      </c>
      <c r="B2320" t="s">
        <v>8015</v>
      </c>
      <c r="C2320" t="s">
        <v>8016</v>
      </c>
      <c r="D2320" t="s">
        <v>8016</v>
      </c>
      <c r="E2320" t="s">
        <v>8016</v>
      </c>
      <c r="F2320" t="s">
        <v>91</v>
      </c>
      <c r="G2320" t="s">
        <v>63</v>
      </c>
      <c r="H2320" t="s">
        <v>121</v>
      </c>
      <c r="I2320" t="s">
        <v>8017</v>
      </c>
      <c r="J2320">
        <v>2007</v>
      </c>
      <c r="K2320">
        <v>43698.521897777777</v>
      </c>
      <c r="L2320" t="s">
        <v>466</v>
      </c>
      <c r="M2320" t="s">
        <v>154</v>
      </c>
      <c r="N2320" t="s">
        <v>1305</v>
      </c>
      <c r="O2320">
        <v>340694</v>
      </c>
      <c r="P2320">
        <v>43687.489583333336</v>
      </c>
      <c r="Q2320">
        <v>43544.691519444445</v>
      </c>
      <c r="R2320">
        <v>2360</v>
      </c>
    </row>
    <row r="2321" spans="1:18" x14ac:dyDescent="0.25">
      <c r="A2321" t="s">
        <v>8018</v>
      </c>
      <c r="B2321" t="s">
        <v>8019</v>
      </c>
      <c r="C2321" t="s">
        <v>8020</v>
      </c>
      <c r="D2321" t="s">
        <v>8020</v>
      </c>
      <c r="E2321" t="s">
        <v>8020</v>
      </c>
      <c r="F2321" t="s">
        <v>91</v>
      </c>
      <c r="G2321" t="s">
        <v>63</v>
      </c>
      <c r="H2321" t="s">
        <v>53</v>
      </c>
      <c r="I2321" t="s">
        <v>471</v>
      </c>
      <c r="J2321">
        <v>2015</v>
      </c>
      <c r="K2321">
        <v>43698.521897777777</v>
      </c>
      <c r="L2321" t="s">
        <v>1660</v>
      </c>
      <c r="M2321" t="s">
        <v>2777</v>
      </c>
      <c r="N2321" t="s">
        <v>415</v>
      </c>
      <c r="O2321">
        <v>346937</v>
      </c>
      <c r="P2321">
        <v>43698.521897777777</v>
      </c>
      <c r="Q2321">
        <v>43549.543822256943</v>
      </c>
      <c r="R2321">
        <v>2361</v>
      </c>
    </row>
    <row r="2322" spans="1:18" x14ac:dyDescent="0.25">
      <c r="A2322" t="s">
        <v>8021</v>
      </c>
      <c r="B2322" t="s">
        <v>8022</v>
      </c>
      <c r="C2322" t="s">
        <v>8023</v>
      </c>
      <c r="D2322" t="s">
        <v>8023</v>
      </c>
      <c r="E2322" t="s">
        <v>8023</v>
      </c>
      <c r="F2322" t="s">
        <v>91</v>
      </c>
      <c r="G2322" t="s">
        <v>63</v>
      </c>
      <c r="H2322" t="s">
        <v>8024</v>
      </c>
      <c r="I2322" t="s">
        <v>237</v>
      </c>
      <c r="J2322">
        <v>2004</v>
      </c>
      <c r="K2322">
        <v>43698.521897777777</v>
      </c>
      <c r="L2322" t="s">
        <v>422</v>
      </c>
      <c r="M2322" t="s">
        <v>2777</v>
      </c>
      <c r="N2322" t="s">
        <v>93</v>
      </c>
      <c r="O2322">
        <v>346980</v>
      </c>
      <c r="P2322">
        <v>43698.521897777777</v>
      </c>
      <c r="Q2322">
        <v>43549.544434027775</v>
      </c>
      <c r="R2322">
        <v>2362</v>
      </c>
    </row>
    <row r="2323" spans="1:18" x14ac:dyDescent="0.25">
      <c r="A2323" t="s">
        <v>25</v>
      </c>
      <c r="B2323" t="s">
        <v>25</v>
      </c>
      <c r="C2323" t="s">
        <v>8025</v>
      </c>
      <c r="D2323" t="s">
        <v>8025</v>
      </c>
      <c r="E2323" t="s">
        <v>8025</v>
      </c>
      <c r="F2323" t="s">
        <v>21</v>
      </c>
      <c r="G2323" t="s">
        <v>63</v>
      </c>
      <c r="H2323" t="s">
        <v>25</v>
      </c>
      <c r="I2323" t="s">
        <v>25</v>
      </c>
      <c r="K2323">
        <v>43698.521897777777</v>
      </c>
      <c r="L2323" t="s">
        <v>25</v>
      </c>
      <c r="M2323" t="s">
        <v>42</v>
      </c>
      <c r="N2323" t="s">
        <v>415</v>
      </c>
      <c r="Q2323">
        <v>43549.705755127317</v>
      </c>
      <c r="R2323">
        <v>2363</v>
      </c>
    </row>
    <row r="2324" spans="1:18" x14ac:dyDescent="0.25">
      <c r="A2324" t="s">
        <v>8026</v>
      </c>
      <c r="B2324" t="s">
        <v>8027</v>
      </c>
      <c r="C2324" t="s">
        <v>8028</v>
      </c>
      <c r="D2324" t="s">
        <v>8028</v>
      </c>
      <c r="E2324" t="s">
        <v>8028</v>
      </c>
      <c r="F2324" t="s">
        <v>91</v>
      </c>
      <c r="G2324" t="s">
        <v>63</v>
      </c>
      <c r="H2324" t="s">
        <v>34</v>
      </c>
      <c r="I2324" t="s">
        <v>35</v>
      </c>
      <c r="J2324">
        <v>2019</v>
      </c>
      <c r="K2324">
        <v>43698.521897777777</v>
      </c>
      <c r="L2324" t="s">
        <v>1005</v>
      </c>
      <c r="M2324" t="s">
        <v>1941</v>
      </c>
      <c r="N2324" t="s">
        <v>415</v>
      </c>
      <c r="O2324">
        <v>346606</v>
      </c>
      <c r="P2324">
        <v>43698.521897777777</v>
      </c>
      <c r="Q2324">
        <v>43550.371785682873</v>
      </c>
      <c r="R2324">
        <v>2364</v>
      </c>
    </row>
    <row r="2325" spans="1:18" x14ac:dyDescent="0.25">
      <c r="A2325" t="s">
        <v>8029</v>
      </c>
      <c r="B2325" t="s">
        <v>1627</v>
      </c>
      <c r="C2325" t="s">
        <v>8030</v>
      </c>
      <c r="D2325" t="s">
        <v>8030</v>
      </c>
      <c r="E2325" t="s">
        <v>8030</v>
      </c>
      <c r="F2325" t="s">
        <v>91</v>
      </c>
      <c r="G2325" t="s">
        <v>63</v>
      </c>
      <c r="H2325" t="s">
        <v>23</v>
      </c>
      <c r="I2325" t="s">
        <v>41</v>
      </c>
      <c r="J2325">
        <v>2015</v>
      </c>
      <c r="K2325">
        <v>43698.521897777777</v>
      </c>
      <c r="L2325" t="s">
        <v>1005</v>
      </c>
      <c r="M2325" t="s">
        <v>1941</v>
      </c>
      <c r="N2325" t="s">
        <v>415</v>
      </c>
      <c r="O2325">
        <v>345075</v>
      </c>
      <c r="P2325">
        <v>43696.973611111112</v>
      </c>
      <c r="Q2325">
        <v>43550.372079745372</v>
      </c>
      <c r="R2325">
        <v>2365</v>
      </c>
    </row>
    <row r="2326" spans="1:18" x14ac:dyDescent="0.25">
      <c r="A2326" t="s">
        <v>8031</v>
      </c>
      <c r="B2326" t="s">
        <v>8032</v>
      </c>
      <c r="C2326" t="s">
        <v>8033</v>
      </c>
      <c r="D2326" t="s">
        <v>8033</v>
      </c>
      <c r="E2326" t="s">
        <v>8034</v>
      </c>
      <c r="F2326" t="s">
        <v>91</v>
      </c>
      <c r="G2326" t="s">
        <v>22</v>
      </c>
      <c r="H2326" t="s">
        <v>53</v>
      </c>
      <c r="I2326" t="s">
        <v>3006</v>
      </c>
      <c r="J2326">
        <v>2020</v>
      </c>
      <c r="K2326">
        <v>43698.521897777777</v>
      </c>
      <c r="L2326" t="s">
        <v>1005</v>
      </c>
      <c r="M2326" t="s">
        <v>37</v>
      </c>
      <c r="N2326" t="s">
        <v>415</v>
      </c>
      <c r="O2326">
        <v>344613</v>
      </c>
      <c r="P2326">
        <v>43694.496238425927</v>
      </c>
      <c r="Q2326">
        <v>43552.679021296295</v>
      </c>
      <c r="R2326">
        <v>2366</v>
      </c>
    </row>
    <row r="2327" spans="1:18" x14ac:dyDescent="0.25">
      <c r="A2327" t="s">
        <v>8035</v>
      </c>
      <c r="B2327" t="s">
        <v>8036</v>
      </c>
      <c r="C2327" t="s">
        <v>8037</v>
      </c>
      <c r="D2327" t="s">
        <v>8037</v>
      </c>
      <c r="E2327" t="s">
        <v>8038</v>
      </c>
      <c r="F2327" t="s">
        <v>91</v>
      </c>
      <c r="G2327" t="s">
        <v>22</v>
      </c>
      <c r="H2327" t="s">
        <v>53</v>
      </c>
      <c r="I2327" t="s">
        <v>3006</v>
      </c>
      <c r="J2327">
        <v>2020</v>
      </c>
      <c r="K2327">
        <v>43698.521897777777</v>
      </c>
      <c r="L2327" t="s">
        <v>193</v>
      </c>
      <c r="M2327" t="s">
        <v>37</v>
      </c>
      <c r="N2327" t="s">
        <v>415</v>
      </c>
      <c r="O2327">
        <v>345884</v>
      </c>
      <c r="P2327">
        <v>43698.521897777777</v>
      </c>
      <c r="Q2327">
        <v>43552.681377349538</v>
      </c>
      <c r="R2327">
        <v>2367</v>
      </c>
    </row>
    <row r="2328" spans="1:18" x14ac:dyDescent="0.25">
      <c r="A2328" t="s">
        <v>8039</v>
      </c>
      <c r="B2328" t="s">
        <v>8040</v>
      </c>
      <c r="C2328" t="s">
        <v>8041</v>
      </c>
      <c r="D2328" t="s">
        <v>8041</v>
      </c>
      <c r="E2328" t="s">
        <v>8042</v>
      </c>
      <c r="F2328" t="s">
        <v>91</v>
      </c>
      <c r="G2328" t="s">
        <v>22</v>
      </c>
      <c r="H2328" t="s">
        <v>53</v>
      </c>
      <c r="I2328" t="s">
        <v>3006</v>
      </c>
      <c r="J2328">
        <v>2020</v>
      </c>
      <c r="K2328">
        <v>43698.521897777777</v>
      </c>
      <c r="L2328" t="s">
        <v>1005</v>
      </c>
      <c r="M2328" t="s">
        <v>37</v>
      </c>
      <c r="N2328" t="s">
        <v>415</v>
      </c>
      <c r="O2328">
        <v>347123</v>
      </c>
      <c r="P2328">
        <v>43698.521897777777</v>
      </c>
      <c r="Q2328">
        <v>43552.68236697917</v>
      </c>
      <c r="R2328">
        <v>2368</v>
      </c>
    </row>
    <row r="2329" spans="1:18" x14ac:dyDescent="0.25">
      <c r="A2329" t="s">
        <v>8043</v>
      </c>
      <c r="B2329" t="s">
        <v>8044</v>
      </c>
      <c r="C2329" t="s">
        <v>8045</v>
      </c>
      <c r="D2329" t="s">
        <v>8045</v>
      </c>
      <c r="E2329" t="s">
        <v>8046</v>
      </c>
      <c r="F2329" t="s">
        <v>91</v>
      </c>
      <c r="G2329" t="s">
        <v>22</v>
      </c>
      <c r="H2329" t="s">
        <v>53</v>
      </c>
      <c r="I2329" t="s">
        <v>3006</v>
      </c>
      <c r="J2329">
        <v>2020</v>
      </c>
      <c r="K2329">
        <v>43698.521897777777</v>
      </c>
      <c r="L2329" t="s">
        <v>1005</v>
      </c>
      <c r="M2329" t="s">
        <v>37</v>
      </c>
      <c r="N2329" t="s">
        <v>415</v>
      </c>
      <c r="O2329">
        <v>346007</v>
      </c>
      <c r="P2329">
        <v>43698.521897777777</v>
      </c>
      <c r="Q2329">
        <v>43552.683188194445</v>
      </c>
      <c r="R2329">
        <v>2369</v>
      </c>
    </row>
    <row r="2330" spans="1:18" x14ac:dyDescent="0.25">
      <c r="A2330" t="s">
        <v>8047</v>
      </c>
      <c r="B2330" t="s">
        <v>8048</v>
      </c>
      <c r="C2330" t="s">
        <v>8049</v>
      </c>
      <c r="D2330" t="s">
        <v>8049</v>
      </c>
      <c r="E2330" t="s">
        <v>8050</v>
      </c>
      <c r="F2330" t="s">
        <v>91</v>
      </c>
      <c r="G2330" t="s">
        <v>22</v>
      </c>
      <c r="H2330" t="s">
        <v>53</v>
      </c>
      <c r="I2330" t="s">
        <v>3006</v>
      </c>
      <c r="J2330">
        <v>2020</v>
      </c>
      <c r="K2330">
        <v>43698.521897777777</v>
      </c>
      <c r="L2330" t="s">
        <v>1005</v>
      </c>
      <c r="M2330" t="s">
        <v>37</v>
      </c>
      <c r="N2330" t="s">
        <v>415</v>
      </c>
      <c r="O2330">
        <v>346075</v>
      </c>
      <c r="P2330">
        <v>43698.521897777777</v>
      </c>
      <c r="Q2330">
        <v>43552.683893402776</v>
      </c>
      <c r="R2330">
        <v>2370</v>
      </c>
    </row>
    <row r="2331" spans="1:18" x14ac:dyDescent="0.25">
      <c r="A2331" t="s">
        <v>8051</v>
      </c>
      <c r="B2331" t="s">
        <v>8052</v>
      </c>
      <c r="C2331" t="s">
        <v>8053</v>
      </c>
      <c r="D2331" t="s">
        <v>8053</v>
      </c>
      <c r="E2331" t="s">
        <v>8054</v>
      </c>
      <c r="F2331" t="s">
        <v>91</v>
      </c>
      <c r="G2331" t="s">
        <v>22</v>
      </c>
      <c r="H2331" t="s">
        <v>53</v>
      </c>
      <c r="I2331" t="s">
        <v>3006</v>
      </c>
      <c r="J2331">
        <v>2020</v>
      </c>
      <c r="K2331">
        <v>43698.521897777777</v>
      </c>
      <c r="L2331" t="s">
        <v>1005</v>
      </c>
      <c r="M2331" t="s">
        <v>37</v>
      </c>
      <c r="N2331" t="s">
        <v>415</v>
      </c>
      <c r="O2331">
        <v>346188</v>
      </c>
      <c r="P2331">
        <v>43698.521897777777</v>
      </c>
      <c r="Q2331">
        <v>43552.686710416667</v>
      </c>
      <c r="R2331">
        <v>2371</v>
      </c>
    </row>
    <row r="2332" spans="1:18" x14ac:dyDescent="0.25">
      <c r="A2332" t="s">
        <v>8055</v>
      </c>
      <c r="B2332" t="s">
        <v>8056</v>
      </c>
      <c r="C2332" t="s">
        <v>8057</v>
      </c>
      <c r="D2332" t="s">
        <v>8057</v>
      </c>
      <c r="E2332" t="s">
        <v>8058</v>
      </c>
      <c r="F2332" t="s">
        <v>91</v>
      </c>
      <c r="G2332" t="s">
        <v>22</v>
      </c>
      <c r="H2332" t="s">
        <v>53</v>
      </c>
      <c r="I2332" t="s">
        <v>3006</v>
      </c>
      <c r="J2332">
        <v>2020</v>
      </c>
      <c r="K2332">
        <v>43698.521897777777</v>
      </c>
      <c r="L2332" t="s">
        <v>1005</v>
      </c>
      <c r="M2332" t="s">
        <v>37</v>
      </c>
      <c r="N2332" t="s">
        <v>415</v>
      </c>
      <c r="O2332">
        <v>343053</v>
      </c>
      <c r="P2332">
        <v>43693.325370370374</v>
      </c>
      <c r="Q2332">
        <v>43552.687483877315</v>
      </c>
      <c r="R2332">
        <v>2372</v>
      </c>
    </row>
    <row r="2333" spans="1:18" x14ac:dyDescent="0.25">
      <c r="A2333" t="s">
        <v>8059</v>
      </c>
      <c r="B2333" t="s">
        <v>8060</v>
      </c>
      <c r="C2333" t="s">
        <v>8061</v>
      </c>
      <c r="D2333" t="s">
        <v>8061</v>
      </c>
      <c r="E2333" t="s">
        <v>8062</v>
      </c>
      <c r="F2333" t="s">
        <v>91</v>
      </c>
      <c r="G2333" t="s">
        <v>22</v>
      </c>
      <c r="H2333" t="s">
        <v>53</v>
      </c>
      <c r="I2333" t="s">
        <v>3006</v>
      </c>
      <c r="J2333">
        <v>2020</v>
      </c>
      <c r="K2333">
        <v>43698.521897777777</v>
      </c>
      <c r="L2333" t="s">
        <v>1005</v>
      </c>
      <c r="M2333" t="s">
        <v>37</v>
      </c>
      <c r="N2333" t="s">
        <v>415</v>
      </c>
      <c r="O2333">
        <v>341987</v>
      </c>
      <c r="P2333">
        <v>43686.386111111111</v>
      </c>
      <c r="Q2333">
        <v>43552.688829166669</v>
      </c>
      <c r="R2333">
        <v>2373</v>
      </c>
    </row>
    <row r="2334" spans="1:18" x14ac:dyDescent="0.25">
      <c r="A2334" t="s">
        <v>8063</v>
      </c>
      <c r="B2334" t="s">
        <v>8064</v>
      </c>
      <c r="C2334" t="s">
        <v>8065</v>
      </c>
      <c r="D2334" t="s">
        <v>8065</v>
      </c>
      <c r="E2334" t="s">
        <v>8066</v>
      </c>
      <c r="F2334" t="s">
        <v>91</v>
      </c>
      <c r="G2334" t="s">
        <v>22</v>
      </c>
      <c r="H2334" t="s">
        <v>53</v>
      </c>
      <c r="I2334" t="s">
        <v>3006</v>
      </c>
      <c r="J2334">
        <v>2020</v>
      </c>
      <c r="K2334">
        <v>43698.521897777777</v>
      </c>
      <c r="L2334" t="s">
        <v>193</v>
      </c>
      <c r="M2334" t="s">
        <v>37</v>
      </c>
      <c r="N2334" t="s">
        <v>415</v>
      </c>
      <c r="O2334">
        <v>346930</v>
      </c>
      <c r="P2334">
        <v>43698.521897777777</v>
      </c>
      <c r="Q2334">
        <v>43552.689605555555</v>
      </c>
      <c r="R2334">
        <v>2374</v>
      </c>
    </row>
    <row r="2335" spans="1:18" x14ac:dyDescent="0.25">
      <c r="A2335" t="s">
        <v>8067</v>
      </c>
      <c r="B2335" t="s">
        <v>8068</v>
      </c>
      <c r="C2335" t="s">
        <v>8069</v>
      </c>
      <c r="D2335" t="s">
        <v>8069</v>
      </c>
      <c r="E2335" t="s">
        <v>8070</v>
      </c>
      <c r="F2335" t="s">
        <v>91</v>
      </c>
      <c r="G2335" t="s">
        <v>22</v>
      </c>
      <c r="H2335" t="s">
        <v>53</v>
      </c>
      <c r="I2335" t="s">
        <v>3006</v>
      </c>
      <c r="J2335">
        <v>2020</v>
      </c>
      <c r="K2335">
        <v>43698.521897777777</v>
      </c>
      <c r="L2335" t="s">
        <v>1005</v>
      </c>
      <c r="M2335" t="s">
        <v>37</v>
      </c>
      <c r="N2335" t="s">
        <v>415</v>
      </c>
      <c r="O2335">
        <v>345434</v>
      </c>
      <c r="P2335">
        <v>43698.521897777777</v>
      </c>
      <c r="Q2335">
        <v>43552.69049228009</v>
      </c>
      <c r="R2335">
        <v>2375</v>
      </c>
    </row>
    <row r="2336" spans="1:18" x14ac:dyDescent="0.25">
      <c r="A2336" t="s">
        <v>8071</v>
      </c>
      <c r="B2336" t="s">
        <v>8072</v>
      </c>
      <c r="C2336" t="s">
        <v>8073</v>
      </c>
      <c r="D2336" t="s">
        <v>8073</v>
      </c>
      <c r="E2336" t="s">
        <v>8074</v>
      </c>
      <c r="F2336" t="s">
        <v>91</v>
      </c>
      <c r="G2336" t="s">
        <v>22</v>
      </c>
      <c r="H2336" t="s">
        <v>53</v>
      </c>
      <c r="I2336" t="s">
        <v>3006</v>
      </c>
      <c r="J2336">
        <v>2020</v>
      </c>
      <c r="K2336">
        <v>43698.521897777777</v>
      </c>
      <c r="L2336" t="s">
        <v>193</v>
      </c>
      <c r="M2336" t="s">
        <v>37</v>
      </c>
      <c r="N2336" t="s">
        <v>415</v>
      </c>
      <c r="O2336">
        <v>346993</v>
      </c>
      <c r="P2336">
        <v>43698.521897777777</v>
      </c>
      <c r="Q2336">
        <v>43552.691082094905</v>
      </c>
      <c r="R2336">
        <v>2376</v>
      </c>
    </row>
    <row r="2337" spans="1:18" x14ac:dyDescent="0.25">
      <c r="A2337" t="s">
        <v>8075</v>
      </c>
      <c r="B2337" t="s">
        <v>8076</v>
      </c>
      <c r="C2337" t="s">
        <v>8077</v>
      </c>
      <c r="D2337" t="s">
        <v>8077</v>
      </c>
      <c r="E2337" t="s">
        <v>8078</v>
      </c>
      <c r="F2337" t="s">
        <v>91</v>
      </c>
      <c r="G2337" t="s">
        <v>22</v>
      </c>
      <c r="H2337" t="s">
        <v>53</v>
      </c>
      <c r="I2337" t="s">
        <v>3006</v>
      </c>
      <c r="J2337">
        <v>2020</v>
      </c>
      <c r="K2337">
        <v>43698.521897777777</v>
      </c>
      <c r="L2337" t="s">
        <v>1005</v>
      </c>
      <c r="M2337" t="s">
        <v>37</v>
      </c>
      <c r="N2337" t="s">
        <v>415</v>
      </c>
      <c r="O2337">
        <v>345311</v>
      </c>
      <c r="P2337">
        <v>43698.191782407404</v>
      </c>
      <c r="Q2337">
        <v>43552.709113229168</v>
      </c>
      <c r="R2337">
        <v>2377</v>
      </c>
    </row>
    <row r="2338" spans="1:18" x14ac:dyDescent="0.25">
      <c r="A2338" t="s">
        <v>8079</v>
      </c>
      <c r="B2338" t="s">
        <v>8080</v>
      </c>
      <c r="C2338" t="s">
        <v>8081</v>
      </c>
      <c r="D2338" t="s">
        <v>8081</v>
      </c>
      <c r="E2338" t="s">
        <v>8082</v>
      </c>
      <c r="F2338" t="s">
        <v>91</v>
      </c>
      <c r="G2338" t="s">
        <v>22</v>
      </c>
      <c r="H2338" t="s">
        <v>53</v>
      </c>
      <c r="I2338" t="s">
        <v>3006</v>
      </c>
      <c r="J2338">
        <v>2020</v>
      </c>
      <c r="K2338">
        <v>43698.521897777777</v>
      </c>
      <c r="L2338" t="s">
        <v>1005</v>
      </c>
      <c r="M2338" t="s">
        <v>37</v>
      </c>
      <c r="N2338" t="s">
        <v>415</v>
      </c>
      <c r="O2338">
        <v>346260</v>
      </c>
      <c r="P2338">
        <v>43698.521897777777</v>
      </c>
      <c r="Q2338">
        <v>43552.709821793978</v>
      </c>
      <c r="R2338">
        <v>2378</v>
      </c>
    </row>
    <row r="2339" spans="1:18" x14ac:dyDescent="0.25">
      <c r="A2339" t="s">
        <v>8083</v>
      </c>
      <c r="B2339" t="s">
        <v>8084</v>
      </c>
      <c r="C2339" t="s">
        <v>8085</v>
      </c>
      <c r="D2339" t="s">
        <v>8085</v>
      </c>
      <c r="E2339" t="s">
        <v>8086</v>
      </c>
      <c r="F2339" t="s">
        <v>91</v>
      </c>
      <c r="G2339" t="s">
        <v>22</v>
      </c>
      <c r="H2339" t="s">
        <v>53</v>
      </c>
      <c r="I2339" t="s">
        <v>3006</v>
      </c>
      <c r="J2339">
        <v>2020</v>
      </c>
      <c r="K2339">
        <v>43698.521897777777</v>
      </c>
      <c r="L2339" t="s">
        <v>466</v>
      </c>
      <c r="M2339" t="s">
        <v>1738</v>
      </c>
      <c r="N2339" t="s">
        <v>1305</v>
      </c>
      <c r="O2339">
        <v>346625</v>
      </c>
      <c r="P2339">
        <v>43698.521897777777</v>
      </c>
      <c r="Q2339">
        <v>43552.711098958331</v>
      </c>
      <c r="R2339">
        <v>2379</v>
      </c>
    </row>
    <row r="2340" spans="1:18" x14ac:dyDescent="0.25">
      <c r="A2340" t="s">
        <v>8087</v>
      </c>
      <c r="B2340" t="s">
        <v>8088</v>
      </c>
      <c r="C2340" t="s">
        <v>8089</v>
      </c>
      <c r="D2340" t="s">
        <v>8089</v>
      </c>
      <c r="E2340" t="s">
        <v>8090</v>
      </c>
      <c r="F2340" t="s">
        <v>91</v>
      </c>
      <c r="G2340" t="s">
        <v>22</v>
      </c>
      <c r="H2340" t="s">
        <v>53</v>
      </c>
      <c r="I2340" t="s">
        <v>3006</v>
      </c>
      <c r="J2340">
        <v>2020</v>
      </c>
      <c r="K2340">
        <v>43698.521897777777</v>
      </c>
      <c r="L2340" t="s">
        <v>3142</v>
      </c>
      <c r="M2340" t="s">
        <v>37</v>
      </c>
      <c r="N2340" t="s">
        <v>415</v>
      </c>
      <c r="O2340">
        <v>347125</v>
      </c>
      <c r="P2340">
        <v>43698.521897777777</v>
      </c>
      <c r="Q2340">
        <v>43552.711764930558</v>
      </c>
      <c r="R2340">
        <v>2380</v>
      </c>
    </row>
    <row r="2341" spans="1:18" x14ac:dyDescent="0.25">
      <c r="A2341" t="s">
        <v>8091</v>
      </c>
      <c r="B2341" t="s">
        <v>8092</v>
      </c>
      <c r="C2341" t="s">
        <v>8093</v>
      </c>
      <c r="D2341" t="s">
        <v>8093</v>
      </c>
      <c r="E2341" t="s">
        <v>8094</v>
      </c>
      <c r="F2341" t="s">
        <v>91</v>
      </c>
      <c r="G2341" t="s">
        <v>22</v>
      </c>
      <c r="H2341" t="s">
        <v>53</v>
      </c>
      <c r="I2341" t="s">
        <v>3006</v>
      </c>
      <c r="J2341">
        <v>2020</v>
      </c>
      <c r="K2341">
        <v>43698.521897777777</v>
      </c>
      <c r="L2341" t="s">
        <v>1005</v>
      </c>
      <c r="M2341" t="s">
        <v>37</v>
      </c>
      <c r="N2341" t="s">
        <v>415</v>
      </c>
      <c r="O2341">
        <v>346065</v>
      </c>
      <c r="P2341">
        <v>43698.521897777777</v>
      </c>
      <c r="Q2341">
        <v>43552.713439386571</v>
      </c>
      <c r="R2341">
        <v>2381</v>
      </c>
    </row>
    <row r="2342" spans="1:18" x14ac:dyDescent="0.25">
      <c r="A2342" t="s">
        <v>8095</v>
      </c>
      <c r="B2342" t="s">
        <v>8096</v>
      </c>
      <c r="C2342" t="s">
        <v>8097</v>
      </c>
      <c r="D2342" t="s">
        <v>8097</v>
      </c>
      <c r="E2342" t="s">
        <v>8098</v>
      </c>
      <c r="F2342" t="s">
        <v>91</v>
      </c>
      <c r="G2342" t="s">
        <v>22</v>
      </c>
      <c r="H2342" t="s">
        <v>53</v>
      </c>
      <c r="I2342" t="s">
        <v>3006</v>
      </c>
      <c r="J2342">
        <v>2020</v>
      </c>
      <c r="K2342">
        <v>43698.521897777777</v>
      </c>
      <c r="L2342" t="s">
        <v>1056</v>
      </c>
      <c r="M2342" t="s">
        <v>37</v>
      </c>
      <c r="N2342" t="s">
        <v>415</v>
      </c>
      <c r="O2342">
        <v>339997</v>
      </c>
      <c r="P2342">
        <v>43684.266435185185</v>
      </c>
      <c r="Q2342">
        <v>43552.714184108794</v>
      </c>
      <c r="R2342">
        <v>2382</v>
      </c>
    </row>
    <row r="2343" spans="1:18" x14ac:dyDescent="0.25">
      <c r="A2343" t="s">
        <v>8099</v>
      </c>
      <c r="B2343" t="s">
        <v>8100</v>
      </c>
      <c r="C2343" t="s">
        <v>8101</v>
      </c>
      <c r="D2343" t="s">
        <v>8101</v>
      </c>
      <c r="E2343" t="s">
        <v>8102</v>
      </c>
      <c r="F2343" t="s">
        <v>91</v>
      </c>
      <c r="G2343" t="s">
        <v>22</v>
      </c>
      <c r="H2343" t="s">
        <v>53</v>
      </c>
      <c r="I2343" t="s">
        <v>3006</v>
      </c>
      <c r="J2343">
        <v>2020</v>
      </c>
      <c r="K2343">
        <v>43698.521897777777</v>
      </c>
      <c r="L2343" t="s">
        <v>466</v>
      </c>
      <c r="M2343" t="s">
        <v>1738</v>
      </c>
      <c r="N2343" t="s">
        <v>1305</v>
      </c>
      <c r="O2343">
        <v>346202</v>
      </c>
      <c r="P2343">
        <v>43698.521897777777</v>
      </c>
      <c r="Q2343">
        <v>43552.714852893521</v>
      </c>
      <c r="R2343">
        <v>2383</v>
      </c>
    </row>
    <row r="2344" spans="1:18" x14ac:dyDescent="0.25">
      <c r="A2344" t="s">
        <v>8103</v>
      </c>
      <c r="B2344" t="s">
        <v>8104</v>
      </c>
      <c r="C2344" t="s">
        <v>8105</v>
      </c>
      <c r="D2344" t="s">
        <v>8105</v>
      </c>
      <c r="E2344" t="s">
        <v>8106</v>
      </c>
      <c r="F2344" t="s">
        <v>91</v>
      </c>
      <c r="G2344" t="s">
        <v>22</v>
      </c>
      <c r="H2344" t="s">
        <v>53</v>
      </c>
      <c r="I2344" t="s">
        <v>3006</v>
      </c>
      <c r="J2344">
        <v>2020</v>
      </c>
      <c r="K2344">
        <v>43698.521897777777</v>
      </c>
      <c r="L2344" t="s">
        <v>1005</v>
      </c>
      <c r="M2344" t="s">
        <v>37</v>
      </c>
      <c r="N2344" t="s">
        <v>415</v>
      </c>
      <c r="O2344">
        <v>346599</v>
      </c>
      <c r="P2344">
        <v>43698.521897777777</v>
      </c>
      <c r="Q2344">
        <v>43552.717745798611</v>
      </c>
      <c r="R2344">
        <v>2384</v>
      </c>
    </row>
    <row r="2345" spans="1:18" x14ac:dyDescent="0.25">
      <c r="A2345" t="s">
        <v>8107</v>
      </c>
      <c r="B2345" t="s">
        <v>8108</v>
      </c>
      <c r="C2345" t="s">
        <v>8109</v>
      </c>
      <c r="D2345" t="s">
        <v>8109</v>
      </c>
      <c r="E2345" t="s">
        <v>8110</v>
      </c>
      <c r="F2345" t="s">
        <v>91</v>
      </c>
      <c r="G2345" t="s">
        <v>22</v>
      </c>
      <c r="H2345" t="s">
        <v>53</v>
      </c>
      <c r="I2345" t="s">
        <v>3006</v>
      </c>
      <c r="J2345">
        <v>2020</v>
      </c>
      <c r="K2345">
        <v>43698.521897777777</v>
      </c>
      <c r="L2345" t="s">
        <v>466</v>
      </c>
      <c r="M2345" t="s">
        <v>1738</v>
      </c>
      <c r="N2345" t="s">
        <v>1305</v>
      </c>
      <c r="O2345">
        <v>345790</v>
      </c>
      <c r="P2345">
        <v>43698.521897777777</v>
      </c>
      <c r="Q2345">
        <v>43552.718376273151</v>
      </c>
      <c r="R2345">
        <v>2385</v>
      </c>
    </row>
    <row r="2346" spans="1:18" x14ac:dyDescent="0.25">
      <c r="A2346" t="s">
        <v>8111</v>
      </c>
      <c r="B2346" t="s">
        <v>8112</v>
      </c>
      <c r="C2346" t="s">
        <v>8113</v>
      </c>
      <c r="D2346" t="s">
        <v>8113</v>
      </c>
      <c r="E2346" t="s">
        <v>8114</v>
      </c>
      <c r="F2346" t="s">
        <v>91</v>
      </c>
      <c r="G2346" t="s">
        <v>22</v>
      </c>
      <c r="H2346" t="s">
        <v>53</v>
      </c>
      <c r="I2346" t="s">
        <v>3006</v>
      </c>
      <c r="J2346">
        <v>2020</v>
      </c>
      <c r="K2346">
        <v>43698.521897777777</v>
      </c>
      <c r="L2346" t="s">
        <v>1005</v>
      </c>
      <c r="M2346" t="s">
        <v>37</v>
      </c>
      <c r="N2346" t="s">
        <v>415</v>
      </c>
      <c r="O2346">
        <v>347139</v>
      </c>
      <c r="P2346">
        <v>43698.521897777777</v>
      </c>
      <c r="Q2346">
        <v>43552.71895998843</v>
      </c>
      <c r="R2346">
        <v>2386</v>
      </c>
    </row>
    <row r="2347" spans="1:18" x14ac:dyDescent="0.25">
      <c r="A2347" t="s">
        <v>8115</v>
      </c>
      <c r="B2347" t="s">
        <v>8116</v>
      </c>
      <c r="C2347" t="s">
        <v>8117</v>
      </c>
      <c r="D2347" t="s">
        <v>8117</v>
      </c>
      <c r="E2347" t="s">
        <v>8118</v>
      </c>
      <c r="F2347" t="s">
        <v>91</v>
      </c>
      <c r="G2347" t="s">
        <v>22</v>
      </c>
      <c r="H2347" t="s">
        <v>53</v>
      </c>
      <c r="I2347" t="s">
        <v>3006</v>
      </c>
      <c r="J2347">
        <v>2020</v>
      </c>
      <c r="K2347">
        <v>43698.521897777777</v>
      </c>
      <c r="L2347" t="s">
        <v>3142</v>
      </c>
      <c r="M2347" t="s">
        <v>37</v>
      </c>
      <c r="N2347" t="s">
        <v>415</v>
      </c>
      <c r="O2347">
        <v>346389</v>
      </c>
      <c r="P2347">
        <v>43698.521897777777</v>
      </c>
      <c r="Q2347">
        <v>43552.719957951391</v>
      </c>
      <c r="R2347">
        <v>2387</v>
      </c>
    </row>
    <row r="2348" spans="1:18" x14ac:dyDescent="0.25">
      <c r="A2348" t="s">
        <v>8119</v>
      </c>
      <c r="B2348" t="s">
        <v>8120</v>
      </c>
      <c r="C2348" t="s">
        <v>8121</v>
      </c>
      <c r="D2348" t="s">
        <v>8121</v>
      </c>
      <c r="E2348" t="s">
        <v>8122</v>
      </c>
      <c r="F2348" t="s">
        <v>91</v>
      </c>
      <c r="G2348" t="s">
        <v>22</v>
      </c>
      <c r="H2348" t="s">
        <v>53</v>
      </c>
      <c r="I2348" t="s">
        <v>3006</v>
      </c>
      <c r="J2348">
        <v>2020</v>
      </c>
      <c r="K2348">
        <v>43698.521897777777</v>
      </c>
      <c r="L2348" t="s">
        <v>1005</v>
      </c>
      <c r="M2348" t="s">
        <v>37</v>
      </c>
      <c r="N2348" t="s">
        <v>415</v>
      </c>
      <c r="O2348">
        <v>347127</v>
      </c>
      <c r="P2348">
        <v>43698.521897777777</v>
      </c>
      <c r="Q2348">
        <v>43552.72078059028</v>
      </c>
      <c r="R2348">
        <v>2388</v>
      </c>
    </row>
    <row r="2349" spans="1:18" x14ac:dyDescent="0.25">
      <c r="A2349" t="s">
        <v>8123</v>
      </c>
      <c r="B2349" t="s">
        <v>8124</v>
      </c>
      <c r="C2349" t="s">
        <v>8125</v>
      </c>
      <c r="D2349" t="s">
        <v>8125</v>
      </c>
      <c r="E2349" t="s">
        <v>8126</v>
      </c>
      <c r="F2349" t="s">
        <v>91</v>
      </c>
      <c r="G2349" t="s">
        <v>22</v>
      </c>
      <c r="H2349" t="s">
        <v>53</v>
      </c>
      <c r="I2349" t="s">
        <v>3006</v>
      </c>
      <c r="J2349">
        <v>2020</v>
      </c>
      <c r="K2349">
        <v>43698.521897777777</v>
      </c>
      <c r="L2349" t="s">
        <v>1005</v>
      </c>
      <c r="M2349" t="s">
        <v>37</v>
      </c>
      <c r="N2349" t="s">
        <v>415</v>
      </c>
      <c r="O2349">
        <v>321836</v>
      </c>
      <c r="P2349">
        <v>43637.496527777781</v>
      </c>
      <c r="Q2349">
        <v>43552.721986493052</v>
      </c>
      <c r="R2349">
        <v>2389</v>
      </c>
    </row>
    <row r="2350" spans="1:18" x14ac:dyDescent="0.25">
      <c r="A2350" t="s">
        <v>8127</v>
      </c>
      <c r="B2350" t="s">
        <v>8128</v>
      </c>
      <c r="C2350" t="s">
        <v>8129</v>
      </c>
      <c r="D2350" t="s">
        <v>8129</v>
      </c>
      <c r="E2350" t="s">
        <v>8130</v>
      </c>
      <c r="F2350" t="s">
        <v>91</v>
      </c>
      <c r="G2350" t="s">
        <v>22</v>
      </c>
      <c r="H2350" t="s">
        <v>53</v>
      </c>
      <c r="I2350" t="s">
        <v>3006</v>
      </c>
      <c r="J2350">
        <v>2020</v>
      </c>
      <c r="K2350">
        <v>43698.521897777777</v>
      </c>
      <c r="L2350" t="s">
        <v>193</v>
      </c>
      <c r="M2350" t="s">
        <v>37</v>
      </c>
      <c r="N2350" t="s">
        <v>415</v>
      </c>
      <c r="O2350">
        <v>344377</v>
      </c>
      <c r="P2350">
        <v>43691.96875</v>
      </c>
      <c r="Q2350">
        <v>43552.722519594907</v>
      </c>
      <c r="R2350">
        <v>2390</v>
      </c>
    </row>
    <row r="2351" spans="1:18" x14ac:dyDescent="0.25">
      <c r="A2351" t="s">
        <v>8131</v>
      </c>
      <c r="B2351" t="s">
        <v>8132</v>
      </c>
      <c r="C2351" t="s">
        <v>8133</v>
      </c>
      <c r="D2351" t="s">
        <v>8133</v>
      </c>
      <c r="E2351" t="s">
        <v>8134</v>
      </c>
      <c r="F2351" t="s">
        <v>91</v>
      </c>
      <c r="G2351" t="s">
        <v>22</v>
      </c>
      <c r="H2351" t="s">
        <v>53</v>
      </c>
      <c r="I2351" t="s">
        <v>3006</v>
      </c>
      <c r="J2351">
        <v>2020</v>
      </c>
      <c r="K2351">
        <v>43698.521897777777</v>
      </c>
      <c r="L2351" t="s">
        <v>1005</v>
      </c>
      <c r="M2351" t="s">
        <v>37</v>
      </c>
      <c r="N2351" t="s">
        <v>415</v>
      </c>
      <c r="O2351">
        <v>344179</v>
      </c>
      <c r="P2351">
        <v>43695.066504629627</v>
      </c>
      <c r="Q2351">
        <v>43552.723066087965</v>
      </c>
      <c r="R2351">
        <v>2391</v>
      </c>
    </row>
    <row r="2352" spans="1:18" x14ac:dyDescent="0.25">
      <c r="A2352" t="s">
        <v>8135</v>
      </c>
      <c r="B2352" t="s">
        <v>8136</v>
      </c>
      <c r="C2352" t="s">
        <v>8137</v>
      </c>
      <c r="D2352" t="s">
        <v>8137</v>
      </c>
      <c r="E2352" t="s">
        <v>8138</v>
      </c>
      <c r="F2352" t="s">
        <v>21</v>
      </c>
      <c r="G2352" t="s">
        <v>22</v>
      </c>
      <c r="H2352" t="s">
        <v>53</v>
      </c>
      <c r="I2352" t="s">
        <v>471</v>
      </c>
      <c r="J2352">
        <v>2019</v>
      </c>
      <c r="K2352">
        <v>43698.521897777777</v>
      </c>
      <c r="L2352" t="s">
        <v>466</v>
      </c>
      <c r="M2352" t="s">
        <v>154</v>
      </c>
      <c r="N2352" t="s">
        <v>1305</v>
      </c>
      <c r="O2352">
        <v>326265</v>
      </c>
      <c r="P2352">
        <v>43655.561805555553</v>
      </c>
      <c r="Q2352">
        <v>43553.733386458334</v>
      </c>
      <c r="R2352">
        <v>2392</v>
      </c>
    </row>
    <row r="2353" spans="1:18" x14ac:dyDescent="0.25">
      <c r="A2353" t="s">
        <v>8139</v>
      </c>
      <c r="B2353" t="s">
        <v>8140</v>
      </c>
      <c r="C2353" t="s">
        <v>8141</v>
      </c>
      <c r="D2353" t="s">
        <v>8141</v>
      </c>
      <c r="E2353" t="s">
        <v>8142</v>
      </c>
      <c r="F2353" t="s">
        <v>21</v>
      </c>
      <c r="G2353" t="s">
        <v>22</v>
      </c>
      <c r="H2353" t="s">
        <v>53</v>
      </c>
      <c r="I2353" t="s">
        <v>471</v>
      </c>
      <c r="J2353">
        <v>2019</v>
      </c>
      <c r="K2353">
        <v>43698.521897777777</v>
      </c>
      <c r="L2353" t="s">
        <v>466</v>
      </c>
      <c r="M2353" t="s">
        <v>154</v>
      </c>
      <c r="N2353" t="s">
        <v>1305</v>
      </c>
      <c r="O2353">
        <v>324504</v>
      </c>
      <c r="P2353">
        <v>43643.748645833337</v>
      </c>
      <c r="Q2353">
        <v>43553.734763310182</v>
      </c>
      <c r="R2353">
        <v>2393</v>
      </c>
    </row>
    <row r="2354" spans="1:18" x14ac:dyDescent="0.25">
      <c r="A2354" t="s">
        <v>8143</v>
      </c>
      <c r="B2354" t="s">
        <v>1160</v>
      </c>
      <c r="C2354" t="s">
        <v>8144</v>
      </c>
      <c r="D2354" t="s">
        <v>8144</v>
      </c>
      <c r="E2354" t="s">
        <v>8144</v>
      </c>
      <c r="F2354" t="s">
        <v>21</v>
      </c>
      <c r="G2354" t="s">
        <v>63</v>
      </c>
      <c r="H2354" t="s">
        <v>53</v>
      </c>
      <c r="I2354" t="s">
        <v>471</v>
      </c>
      <c r="J2354">
        <v>2011</v>
      </c>
      <c r="K2354">
        <v>43698.521897777777</v>
      </c>
      <c r="L2354" t="s">
        <v>466</v>
      </c>
      <c r="M2354" t="s">
        <v>154</v>
      </c>
      <c r="N2354" t="s">
        <v>1305</v>
      </c>
      <c r="O2354">
        <v>308758</v>
      </c>
      <c r="P2354">
        <v>43609.436805555553</v>
      </c>
      <c r="Q2354">
        <v>43556.63789795139</v>
      </c>
      <c r="R2354">
        <v>2428</v>
      </c>
    </row>
    <row r="2355" spans="1:18" x14ac:dyDescent="0.25">
      <c r="A2355" t="s">
        <v>8145</v>
      </c>
      <c r="B2355" t="s">
        <v>8146</v>
      </c>
      <c r="C2355" t="s">
        <v>8147</v>
      </c>
      <c r="D2355" t="s">
        <v>8147</v>
      </c>
      <c r="E2355" t="s">
        <v>8147</v>
      </c>
      <c r="F2355" t="s">
        <v>91</v>
      </c>
      <c r="G2355" t="s">
        <v>63</v>
      </c>
      <c r="H2355" t="s">
        <v>53</v>
      </c>
      <c r="I2355" t="s">
        <v>471</v>
      </c>
      <c r="J2355">
        <v>2016</v>
      </c>
      <c r="K2355">
        <v>43698.521897777777</v>
      </c>
      <c r="L2355" t="s">
        <v>193</v>
      </c>
      <c r="M2355" t="s">
        <v>1941</v>
      </c>
      <c r="N2355" t="s">
        <v>415</v>
      </c>
      <c r="O2355">
        <v>346793</v>
      </c>
      <c r="P2355">
        <v>43698.521897777777</v>
      </c>
      <c r="Q2355">
        <v>43557.590622997683</v>
      </c>
      <c r="R2355">
        <v>2429</v>
      </c>
    </row>
    <row r="2356" spans="1:18" x14ac:dyDescent="0.25">
      <c r="A2356" t="s">
        <v>25</v>
      </c>
      <c r="B2356" t="s">
        <v>25</v>
      </c>
      <c r="C2356" t="s">
        <v>8148</v>
      </c>
      <c r="D2356" t="s">
        <v>8148</v>
      </c>
      <c r="E2356" t="s">
        <v>8149</v>
      </c>
      <c r="F2356" t="s">
        <v>21</v>
      </c>
      <c r="G2356" t="s">
        <v>106</v>
      </c>
      <c r="H2356" t="s">
        <v>25</v>
      </c>
      <c r="I2356" t="s">
        <v>25</v>
      </c>
      <c r="K2356">
        <v>43698.521897777777</v>
      </c>
      <c r="L2356" t="s">
        <v>25</v>
      </c>
      <c r="M2356" t="s">
        <v>42</v>
      </c>
      <c r="N2356" t="s">
        <v>415</v>
      </c>
      <c r="Q2356">
        <v>43557.631935648147</v>
      </c>
      <c r="R2356">
        <v>2430</v>
      </c>
    </row>
    <row r="2357" spans="1:18" x14ac:dyDescent="0.25">
      <c r="A2357" t="s">
        <v>8150</v>
      </c>
      <c r="B2357" t="s">
        <v>8151</v>
      </c>
      <c r="C2357" t="s">
        <v>8152</v>
      </c>
      <c r="D2357" t="s">
        <v>8152</v>
      </c>
      <c r="E2357" t="s">
        <v>8152</v>
      </c>
      <c r="F2357" t="s">
        <v>91</v>
      </c>
      <c r="G2357" t="s">
        <v>63</v>
      </c>
      <c r="H2357" t="s">
        <v>53</v>
      </c>
      <c r="I2357" t="s">
        <v>54</v>
      </c>
      <c r="J2357">
        <v>2016</v>
      </c>
      <c r="K2357">
        <v>43698.521897777777</v>
      </c>
      <c r="L2357" t="s">
        <v>466</v>
      </c>
      <c r="M2357" t="s">
        <v>154</v>
      </c>
      <c r="N2357" t="s">
        <v>1305</v>
      </c>
      <c r="O2357">
        <v>346650</v>
      </c>
      <c r="P2357">
        <v>43698.521897777777</v>
      </c>
      <c r="Q2357">
        <v>43559.509493715275</v>
      </c>
      <c r="R2357">
        <v>2431</v>
      </c>
    </row>
    <row r="2358" spans="1:18" x14ac:dyDescent="0.25">
      <c r="A2358" t="s">
        <v>8153</v>
      </c>
      <c r="B2358" t="s">
        <v>8154</v>
      </c>
      <c r="C2358" t="s">
        <v>8155</v>
      </c>
      <c r="D2358" t="s">
        <v>8155</v>
      </c>
      <c r="E2358" t="s">
        <v>8155</v>
      </c>
      <c r="F2358" t="s">
        <v>21</v>
      </c>
      <c r="G2358" t="s">
        <v>63</v>
      </c>
      <c r="H2358" t="s">
        <v>53</v>
      </c>
      <c r="I2358" t="s">
        <v>471</v>
      </c>
      <c r="J2358">
        <v>2019</v>
      </c>
      <c r="K2358">
        <v>43698.521897777777</v>
      </c>
      <c r="L2358" t="s">
        <v>466</v>
      </c>
      <c r="M2358" t="s">
        <v>154</v>
      </c>
      <c r="N2358" t="s">
        <v>1305</v>
      </c>
      <c r="O2358">
        <v>300289</v>
      </c>
      <c r="P2358">
        <v>43591.772719907407</v>
      </c>
      <c r="Q2358">
        <v>43559.602716979163</v>
      </c>
      <c r="R2358">
        <v>2432</v>
      </c>
    </row>
    <row r="2359" spans="1:18" x14ac:dyDescent="0.25">
      <c r="A2359" t="s">
        <v>8156</v>
      </c>
      <c r="B2359" t="s">
        <v>8157</v>
      </c>
      <c r="C2359" t="s">
        <v>8158</v>
      </c>
      <c r="D2359" t="s">
        <v>8158</v>
      </c>
      <c r="E2359" t="s">
        <v>8158</v>
      </c>
      <c r="F2359" t="s">
        <v>91</v>
      </c>
      <c r="G2359" t="s">
        <v>63</v>
      </c>
      <c r="H2359" t="s">
        <v>34</v>
      </c>
      <c r="I2359" t="s">
        <v>703</v>
      </c>
      <c r="J2359">
        <v>2012</v>
      </c>
      <c r="K2359">
        <v>43698.521897777777</v>
      </c>
      <c r="L2359" t="s">
        <v>422</v>
      </c>
      <c r="M2359" t="s">
        <v>2777</v>
      </c>
      <c r="N2359" t="s">
        <v>415</v>
      </c>
      <c r="O2359">
        <v>347022</v>
      </c>
      <c r="P2359">
        <v>43698.521897777777</v>
      </c>
      <c r="Q2359">
        <v>43560.383172719907</v>
      </c>
      <c r="R2359">
        <v>2433</v>
      </c>
    </row>
    <row r="2360" spans="1:18" x14ac:dyDescent="0.25">
      <c r="A2360" t="s">
        <v>8159</v>
      </c>
      <c r="B2360" t="s">
        <v>2626</v>
      </c>
      <c r="C2360" t="s">
        <v>8160</v>
      </c>
      <c r="D2360" t="s">
        <v>8160</v>
      </c>
      <c r="E2360" t="s">
        <v>8160</v>
      </c>
      <c r="F2360" t="s">
        <v>91</v>
      </c>
      <c r="G2360" t="s">
        <v>63</v>
      </c>
      <c r="H2360" t="s">
        <v>34</v>
      </c>
      <c r="I2360" t="s">
        <v>35</v>
      </c>
      <c r="J2360">
        <v>2015</v>
      </c>
      <c r="K2360">
        <v>43698.521897777777</v>
      </c>
      <c r="L2360" t="s">
        <v>193</v>
      </c>
      <c r="M2360" t="s">
        <v>42</v>
      </c>
      <c r="N2360" t="s">
        <v>415</v>
      </c>
      <c r="O2360">
        <v>346197</v>
      </c>
      <c r="P2360">
        <v>43698.521897777777</v>
      </c>
      <c r="Q2360">
        <v>43564.508663738423</v>
      </c>
      <c r="R2360">
        <v>2434</v>
      </c>
    </row>
    <row r="2361" spans="1:18" x14ac:dyDescent="0.25">
      <c r="A2361" t="s">
        <v>8161</v>
      </c>
      <c r="B2361" t="s">
        <v>8162</v>
      </c>
      <c r="C2361" t="s">
        <v>8163</v>
      </c>
      <c r="D2361" t="s">
        <v>8163</v>
      </c>
      <c r="E2361" t="s">
        <v>8163</v>
      </c>
      <c r="F2361" t="s">
        <v>91</v>
      </c>
      <c r="G2361" t="s">
        <v>63</v>
      </c>
      <c r="H2361" t="s">
        <v>8164</v>
      </c>
      <c r="I2361" t="s">
        <v>703</v>
      </c>
      <c r="J2361">
        <v>2015</v>
      </c>
      <c r="K2361">
        <v>43698.521897777777</v>
      </c>
      <c r="L2361" t="s">
        <v>1660</v>
      </c>
      <c r="M2361" t="s">
        <v>2777</v>
      </c>
      <c r="N2361" t="s">
        <v>415</v>
      </c>
      <c r="O2361">
        <v>346709</v>
      </c>
      <c r="P2361">
        <v>43698.521897777777</v>
      </c>
      <c r="Q2361">
        <v>43564.510081712964</v>
      </c>
      <c r="R2361">
        <v>2435</v>
      </c>
    </row>
    <row r="2362" spans="1:18" x14ac:dyDescent="0.25">
      <c r="A2362" t="s">
        <v>8165</v>
      </c>
      <c r="B2362" t="s">
        <v>8166</v>
      </c>
      <c r="C2362" t="s">
        <v>8167</v>
      </c>
      <c r="D2362" t="s">
        <v>8167</v>
      </c>
      <c r="E2362" t="s">
        <v>8167</v>
      </c>
      <c r="F2362" t="s">
        <v>91</v>
      </c>
      <c r="G2362" t="s">
        <v>63</v>
      </c>
      <c r="H2362" t="s">
        <v>53</v>
      </c>
      <c r="I2362" t="s">
        <v>4192</v>
      </c>
      <c r="J2362">
        <v>2006</v>
      </c>
      <c r="K2362">
        <v>43698.521897777777</v>
      </c>
      <c r="L2362" t="s">
        <v>1660</v>
      </c>
      <c r="M2362" t="s">
        <v>2777</v>
      </c>
      <c r="N2362" t="s">
        <v>1439</v>
      </c>
      <c r="O2362">
        <v>346612</v>
      </c>
      <c r="P2362">
        <v>43698.521897777777</v>
      </c>
      <c r="Q2362">
        <v>43564.510417939811</v>
      </c>
      <c r="R2362">
        <v>2436</v>
      </c>
    </row>
    <row r="2363" spans="1:18" x14ac:dyDescent="0.25">
      <c r="A2363" t="s">
        <v>8168</v>
      </c>
      <c r="B2363" t="s">
        <v>8168</v>
      </c>
      <c r="C2363" t="s">
        <v>8169</v>
      </c>
      <c r="D2363" t="s">
        <v>8169</v>
      </c>
      <c r="E2363" t="s">
        <v>8169</v>
      </c>
      <c r="F2363" t="s">
        <v>91</v>
      </c>
      <c r="G2363" t="s">
        <v>22</v>
      </c>
      <c r="H2363" t="s">
        <v>2760</v>
      </c>
      <c r="I2363" t="s">
        <v>8170</v>
      </c>
      <c r="K2363">
        <v>43698.521897777777</v>
      </c>
      <c r="L2363" t="s">
        <v>25</v>
      </c>
      <c r="M2363" t="s">
        <v>154</v>
      </c>
      <c r="N2363" t="s">
        <v>523</v>
      </c>
      <c r="Q2363">
        <v>43564.591569212964</v>
      </c>
      <c r="R2363">
        <v>2437</v>
      </c>
    </row>
    <row r="2364" spans="1:18" x14ac:dyDescent="0.25">
      <c r="A2364" t="s">
        <v>8171</v>
      </c>
      <c r="B2364" t="s">
        <v>8171</v>
      </c>
      <c r="C2364" t="s">
        <v>8172</v>
      </c>
      <c r="D2364" t="s">
        <v>8172</v>
      </c>
      <c r="E2364" t="s">
        <v>8172</v>
      </c>
      <c r="F2364" t="s">
        <v>91</v>
      </c>
      <c r="G2364" t="s">
        <v>22</v>
      </c>
      <c r="H2364" t="s">
        <v>2760</v>
      </c>
      <c r="I2364" t="s">
        <v>8170</v>
      </c>
      <c r="K2364">
        <v>43698.521897777777</v>
      </c>
      <c r="L2364" t="s">
        <v>25</v>
      </c>
      <c r="M2364" t="s">
        <v>154</v>
      </c>
      <c r="N2364" t="s">
        <v>523</v>
      </c>
      <c r="Q2364">
        <v>43564.592535034724</v>
      </c>
      <c r="R2364">
        <v>2438</v>
      </c>
    </row>
    <row r="2365" spans="1:18" x14ac:dyDescent="0.25">
      <c r="A2365" t="s">
        <v>8173</v>
      </c>
      <c r="B2365" t="s">
        <v>5617</v>
      </c>
      <c r="C2365" t="s">
        <v>8174</v>
      </c>
      <c r="D2365" t="s">
        <v>8174</v>
      </c>
      <c r="E2365" t="s">
        <v>8174</v>
      </c>
      <c r="F2365" t="s">
        <v>91</v>
      </c>
      <c r="G2365" t="s">
        <v>63</v>
      </c>
      <c r="H2365" t="s">
        <v>53</v>
      </c>
      <c r="I2365" t="s">
        <v>25</v>
      </c>
      <c r="J2365">
        <v>2012</v>
      </c>
      <c r="K2365">
        <v>43698.521897777777</v>
      </c>
      <c r="L2365" t="s">
        <v>466</v>
      </c>
      <c r="M2365" t="s">
        <v>154</v>
      </c>
      <c r="N2365" t="s">
        <v>1305</v>
      </c>
      <c r="O2365">
        <v>339960</v>
      </c>
      <c r="P2365">
        <v>43684.879444444443</v>
      </c>
      <c r="Q2365">
        <v>43565.618256597219</v>
      </c>
      <c r="R2365">
        <v>2439</v>
      </c>
    </row>
    <row r="2366" spans="1:18" x14ac:dyDescent="0.25">
      <c r="A2366" t="s">
        <v>8175</v>
      </c>
      <c r="B2366" t="s">
        <v>8176</v>
      </c>
      <c r="C2366" t="s">
        <v>8177</v>
      </c>
      <c r="D2366" t="s">
        <v>8177</v>
      </c>
      <c r="E2366" t="s">
        <v>8177</v>
      </c>
      <c r="F2366" t="s">
        <v>253</v>
      </c>
      <c r="G2366" t="s">
        <v>63</v>
      </c>
      <c r="H2366" t="s">
        <v>34</v>
      </c>
      <c r="I2366" t="s">
        <v>35</v>
      </c>
      <c r="J2366">
        <v>2019</v>
      </c>
      <c r="K2366">
        <v>43698.521897777777</v>
      </c>
      <c r="L2366" t="s">
        <v>4254</v>
      </c>
      <c r="M2366" t="s">
        <v>1941</v>
      </c>
      <c r="N2366" t="s">
        <v>415</v>
      </c>
      <c r="O2366">
        <v>334853</v>
      </c>
      <c r="P2366">
        <v>43669.847453703704</v>
      </c>
      <c r="Q2366">
        <v>43570.529391087963</v>
      </c>
      <c r="R2366">
        <v>2440</v>
      </c>
    </row>
    <row r="2367" spans="1:18" x14ac:dyDescent="0.25">
      <c r="A2367" t="s">
        <v>8178</v>
      </c>
      <c r="B2367" t="s">
        <v>8179</v>
      </c>
      <c r="C2367" t="s">
        <v>8180</v>
      </c>
      <c r="D2367" t="s">
        <v>8180</v>
      </c>
      <c r="E2367" t="s">
        <v>8180</v>
      </c>
      <c r="F2367" t="s">
        <v>91</v>
      </c>
      <c r="G2367" t="s">
        <v>63</v>
      </c>
      <c r="H2367" t="s">
        <v>53</v>
      </c>
      <c r="I2367" t="s">
        <v>41</v>
      </c>
      <c r="J2367">
        <v>2005</v>
      </c>
      <c r="K2367">
        <v>43698.521897777777</v>
      </c>
      <c r="L2367" t="s">
        <v>4254</v>
      </c>
      <c r="M2367" t="s">
        <v>1941</v>
      </c>
      <c r="N2367" t="s">
        <v>415</v>
      </c>
      <c r="O2367">
        <v>346401</v>
      </c>
      <c r="P2367">
        <v>43698.521897777777</v>
      </c>
      <c r="Q2367">
        <v>43570.530862384257</v>
      </c>
      <c r="R2367">
        <v>2441</v>
      </c>
    </row>
    <row r="2368" spans="1:18" x14ac:dyDescent="0.25">
      <c r="A2368" t="s">
        <v>8181</v>
      </c>
      <c r="B2368" t="s">
        <v>8182</v>
      </c>
      <c r="C2368" t="s">
        <v>8183</v>
      </c>
      <c r="D2368" t="s">
        <v>8183</v>
      </c>
      <c r="E2368" t="s">
        <v>8183</v>
      </c>
      <c r="F2368" t="s">
        <v>91</v>
      </c>
      <c r="G2368" t="s">
        <v>63</v>
      </c>
      <c r="H2368" t="s">
        <v>53</v>
      </c>
      <c r="I2368" t="s">
        <v>471</v>
      </c>
      <c r="J2368">
        <v>2012</v>
      </c>
      <c r="K2368">
        <v>43698.521897777777</v>
      </c>
      <c r="L2368" t="s">
        <v>1660</v>
      </c>
      <c r="M2368" t="s">
        <v>2777</v>
      </c>
      <c r="N2368" t="s">
        <v>994</v>
      </c>
      <c r="O2368">
        <v>347093</v>
      </c>
      <c r="P2368">
        <v>43698.521897777777</v>
      </c>
      <c r="Q2368">
        <v>43570.532675960647</v>
      </c>
      <c r="R2368">
        <v>2442</v>
      </c>
    </row>
    <row r="2369" spans="1:18" x14ac:dyDescent="0.25">
      <c r="A2369" t="s">
        <v>8184</v>
      </c>
      <c r="B2369" t="s">
        <v>3183</v>
      </c>
      <c r="C2369" t="s">
        <v>8185</v>
      </c>
      <c r="D2369" t="s">
        <v>8185</v>
      </c>
      <c r="E2369" t="s">
        <v>8186</v>
      </c>
      <c r="F2369" t="s">
        <v>21</v>
      </c>
      <c r="G2369" t="s">
        <v>22</v>
      </c>
      <c r="H2369" t="s">
        <v>53</v>
      </c>
      <c r="I2369" t="s">
        <v>3006</v>
      </c>
      <c r="J2369">
        <v>2018</v>
      </c>
      <c r="K2369">
        <v>43698.521897777777</v>
      </c>
      <c r="L2369" t="s">
        <v>466</v>
      </c>
      <c r="M2369" t="s">
        <v>1738</v>
      </c>
      <c r="N2369" t="s">
        <v>1305</v>
      </c>
      <c r="O2369">
        <v>321077</v>
      </c>
      <c r="P2369">
        <v>43634.947916666664</v>
      </c>
      <c r="Q2369">
        <v>43572.455854861109</v>
      </c>
      <c r="R2369">
        <v>2443</v>
      </c>
    </row>
    <row r="2370" spans="1:18" x14ac:dyDescent="0.25">
      <c r="A2370" t="s">
        <v>8187</v>
      </c>
      <c r="B2370" t="s">
        <v>8188</v>
      </c>
      <c r="C2370" t="s">
        <v>8189</v>
      </c>
      <c r="D2370" t="s">
        <v>8189</v>
      </c>
      <c r="E2370" t="s">
        <v>8189</v>
      </c>
      <c r="F2370" t="s">
        <v>91</v>
      </c>
      <c r="G2370" t="s">
        <v>63</v>
      </c>
      <c r="H2370" t="s">
        <v>53</v>
      </c>
      <c r="I2370" t="s">
        <v>282</v>
      </c>
      <c r="J2370">
        <v>2013</v>
      </c>
      <c r="K2370">
        <v>43698.521897777777</v>
      </c>
      <c r="L2370" t="s">
        <v>466</v>
      </c>
      <c r="M2370" t="s">
        <v>154</v>
      </c>
      <c r="N2370" t="s">
        <v>1305</v>
      </c>
      <c r="O2370">
        <v>343065</v>
      </c>
      <c r="P2370">
        <v>43693.417361111111</v>
      </c>
      <c r="Q2370">
        <v>43572.674978391202</v>
      </c>
      <c r="R2370">
        <v>2444</v>
      </c>
    </row>
    <row r="2371" spans="1:18" x14ac:dyDescent="0.25">
      <c r="A2371" t="s">
        <v>8190</v>
      </c>
      <c r="B2371" t="s">
        <v>8191</v>
      </c>
      <c r="C2371" t="s">
        <v>8192</v>
      </c>
      <c r="D2371" t="s">
        <v>8192</v>
      </c>
      <c r="E2371" t="s">
        <v>8193</v>
      </c>
      <c r="F2371" t="s">
        <v>253</v>
      </c>
      <c r="G2371" t="s">
        <v>22</v>
      </c>
      <c r="H2371" t="s">
        <v>520</v>
      </c>
      <c r="I2371" t="s">
        <v>521</v>
      </c>
      <c r="J2371">
        <v>2019</v>
      </c>
      <c r="K2371">
        <v>43698.521897777777</v>
      </c>
      <c r="L2371" t="s">
        <v>1809</v>
      </c>
      <c r="M2371" t="s">
        <v>154</v>
      </c>
      <c r="N2371" t="s">
        <v>1305</v>
      </c>
      <c r="Q2371">
        <v>43572.762707175927</v>
      </c>
      <c r="R2371">
        <v>2445</v>
      </c>
    </row>
    <row r="2372" spans="1:18" x14ac:dyDescent="0.25">
      <c r="A2372" t="s">
        <v>8194</v>
      </c>
      <c r="B2372" t="s">
        <v>8195</v>
      </c>
      <c r="C2372" t="s">
        <v>8196</v>
      </c>
      <c r="D2372" t="s">
        <v>8196</v>
      </c>
      <c r="E2372" t="s">
        <v>8197</v>
      </c>
      <c r="F2372" t="s">
        <v>253</v>
      </c>
      <c r="G2372" t="s">
        <v>22</v>
      </c>
      <c r="H2372" t="s">
        <v>520</v>
      </c>
      <c r="I2372" t="s">
        <v>521</v>
      </c>
      <c r="J2372">
        <v>2019</v>
      </c>
      <c r="K2372">
        <v>43698.521897777777</v>
      </c>
      <c r="L2372" t="s">
        <v>522</v>
      </c>
      <c r="M2372" t="s">
        <v>154</v>
      </c>
      <c r="N2372" t="s">
        <v>523</v>
      </c>
      <c r="Q2372">
        <v>43572.765666319443</v>
      </c>
      <c r="R2372">
        <v>2446</v>
      </c>
    </row>
    <row r="2373" spans="1:18" x14ac:dyDescent="0.25">
      <c r="A2373" t="s">
        <v>8198</v>
      </c>
      <c r="B2373" t="s">
        <v>5769</v>
      </c>
      <c r="C2373" t="s">
        <v>8199</v>
      </c>
      <c r="D2373" t="s">
        <v>8199</v>
      </c>
      <c r="E2373" t="s">
        <v>8199</v>
      </c>
      <c r="F2373" t="s">
        <v>91</v>
      </c>
      <c r="G2373" t="s">
        <v>63</v>
      </c>
      <c r="H2373" t="s">
        <v>53</v>
      </c>
      <c r="I2373" t="s">
        <v>3693</v>
      </c>
      <c r="J2373">
        <v>2019</v>
      </c>
      <c r="K2373">
        <v>43698.521897777777</v>
      </c>
      <c r="L2373" t="s">
        <v>1056</v>
      </c>
      <c r="M2373" t="s">
        <v>1941</v>
      </c>
      <c r="N2373" t="s">
        <v>415</v>
      </c>
      <c r="O2373">
        <v>346455</v>
      </c>
      <c r="P2373">
        <v>43698.521897777777</v>
      </c>
      <c r="Q2373">
        <v>43573.593354282406</v>
      </c>
      <c r="R2373">
        <v>2447</v>
      </c>
    </row>
    <row r="2374" spans="1:18" x14ac:dyDescent="0.25">
      <c r="A2374" t="s">
        <v>8200</v>
      </c>
      <c r="B2374" t="s">
        <v>8201</v>
      </c>
      <c r="C2374" t="s">
        <v>8202</v>
      </c>
      <c r="D2374" t="s">
        <v>8202</v>
      </c>
      <c r="E2374" t="s">
        <v>8202</v>
      </c>
      <c r="F2374" t="s">
        <v>21</v>
      </c>
      <c r="G2374" t="s">
        <v>63</v>
      </c>
      <c r="H2374" t="s">
        <v>23</v>
      </c>
      <c r="I2374" t="s">
        <v>41</v>
      </c>
      <c r="J2374">
        <v>2013</v>
      </c>
      <c r="K2374">
        <v>43698.521897777777</v>
      </c>
      <c r="L2374" t="s">
        <v>193</v>
      </c>
      <c r="M2374" t="s">
        <v>1941</v>
      </c>
      <c r="N2374" t="s">
        <v>415</v>
      </c>
      <c r="Q2374">
        <v>43573.593678472222</v>
      </c>
      <c r="R2374">
        <v>2448</v>
      </c>
    </row>
    <row r="2375" spans="1:18" x14ac:dyDescent="0.25">
      <c r="A2375" t="s">
        <v>8203</v>
      </c>
      <c r="B2375" t="s">
        <v>8204</v>
      </c>
      <c r="C2375" t="s">
        <v>8205</v>
      </c>
      <c r="D2375" t="s">
        <v>8205</v>
      </c>
      <c r="E2375" t="s">
        <v>8205</v>
      </c>
      <c r="F2375" t="s">
        <v>91</v>
      </c>
      <c r="G2375" t="s">
        <v>63</v>
      </c>
      <c r="H2375" t="s">
        <v>53</v>
      </c>
      <c r="I2375" t="s">
        <v>471</v>
      </c>
      <c r="J2375">
        <v>2018</v>
      </c>
      <c r="K2375">
        <v>43698.521897777777</v>
      </c>
      <c r="L2375" t="s">
        <v>466</v>
      </c>
      <c r="M2375" t="s">
        <v>154</v>
      </c>
      <c r="N2375" t="s">
        <v>1305</v>
      </c>
      <c r="O2375">
        <v>345817</v>
      </c>
      <c r="P2375">
        <v>43698.521897777777</v>
      </c>
      <c r="Q2375">
        <v>43573.633249108796</v>
      </c>
      <c r="R2375">
        <v>2449</v>
      </c>
    </row>
    <row r="2376" spans="1:18" x14ac:dyDescent="0.25">
      <c r="A2376" t="s">
        <v>8206</v>
      </c>
      <c r="B2376" t="s">
        <v>3236</v>
      </c>
      <c r="C2376" t="s">
        <v>8207</v>
      </c>
      <c r="D2376" t="s">
        <v>8207</v>
      </c>
      <c r="E2376" t="s">
        <v>8208</v>
      </c>
      <c r="F2376" t="s">
        <v>91</v>
      </c>
      <c r="G2376" t="s">
        <v>22</v>
      </c>
      <c r="H2376" t="s">
        <v>53</v>
      </c>
      <c r="I2376" t="s">
        <v>3006</v>
      </c>
      <c r="J2376">
        <v>2018</v>
      </c>
      <c r="K2376">
        <v>43698.521897777777</v>
      </c>
      <c r="L2376" t="s">
        <v>466</v>
      </c>
      <c r="M2376" t="s">
        <v>1738</v>
      </c>
      <c r="N2376" t="s">
        <v>1305</v>
      </c>
      <c r="O2376">
        <v>334557</v>
      </c>
      <c r="P2376">
        <v>43669.018055555556</v>
      </c>
      <c r="Q2376">
        <v>43573.714484293982</v>
      </c>
      <c r="R2376">
        <v>2450</v>
      </c>
    </row>
    <row r="2377" spans="1:18" x14ac:dyDescent="0.25">
      <c r="A2377" t="s">
        <v>8209</v>
      </c>
      <c r="B2377" t="s">
        <v>3240</v>
      </c>
      <c r="C2377" t="s">
        <v>8210</v>
      </c>
      <c r="D2377" t="s">
        <v>8210</v>
      </c>
      <c r="E2377" t="s">
        <v>8211</v>
      </c>
      <c r="F2377" t="s">
        <v>21</v>
      </c>
      <c r="G2377" t="s">
        <v>22</v>
      </c>
      <c r="H2377" t="s">
        <v>53</v>
      </c>
      <c r="I2377" t="s">
        <v>3006</v>
      </c>
      <c r="J2377">
        <v>2018</v>
      </c>
      <c r="K2377">
        <v>43698.521897777777</v>
      </c>
      <c r="L2377" t="s">
        <v>466</v>
      </c>
      <c r="M2377" t="s">
        <v>1738</v>
      </c>
      <c r="N2377" t="s">
        <v>1305</v>
      </c>
      <c r="O2377">
        <v>332871</v>
      </c>
      <c r="P2377">
        <v>43664.503472222219</v>
      </c>
      <c r="Q2377">
        <v>43573.715648032405</v>
      </c>
      <c r="R2377">
        <v>2451</v>
      </c>
    </row>
    <row r="2378" spans="1:18" x14ac:dyDescent="0.25">
      <c r="A2378" t="s">
        <v>8212</v>
      </c>
      <c r="B2378" t="s">
        <v>3156</v>
      </c>
      <c r="C2378" t="s">
        <v>8213</v>
      </c>
      <c r="D2378" t="s">
        <v>8213</v>
      </c>
      <c r="E2378" t="s">
        <v>8214</v>
      </c>
      <c r="F2378" t="s">
        <v>21</v>
      </c>
      <c r="G2378" t="s">
        <v>22</v>
      </c>
      <c r="H2378" t="s">
        <v>53</v>
      </c>
      <c r="I2378" t="s">
        <v>3006</v>
      </c>
      <c r="J2378">
        <v>2018</v>
      </c>
      <c r="K2378">
        <v>43698.521897777777</v>
      </c>
      <c r="L2378" t="s">
        <v>466</v>
      </c>
      <c r="M2378" t="s">
        <v>1738</v>
      </c>
      <c r="N2378" t="s">
        <v>1305</v>
      </c>
      <c r="O2378">
        <v>321464</v>
      </c>
      <c r="P2378">
        <v>43634.73541666667</v>
      </c>
      <c r="Q2378">
        <v>43573.719348761573</v>
      </c>
      <c r="R2378">
        <v>2452</v>
      </c>
    </row>
    <row r="2379" spans="1:18" x14ac:dyDescent="0.25">
      <c r="A2379" t="s">
        <v>8215</v>
      </c>
      <c r="B2379" t="s">
        <v>3115</v>
      </c>
      <c r="C2379" t="s">
        <v>8216</v>
      </c>
      <c r="D2379" t="s">
        <v>8216</v>
      </c>
      <c r="E2379" t="s">
        <v>8217</v>
      </c>
      <c r="F2379" t="s">
        <v>21</v>
      </c>
      <c r="G2379" t="s">
        <v>22</v>
      </c>
      <c r="H2379" t="s">
        <v>53</v>
      </c>
      <c r="I2379" t="s">
        <v>3006</v>
      </c>
      <c r="J2379">
        <v>2018</v>
      </c>
      <c r="K2379">
        <v>43698.521897777777</v>
      </c>
      <c r="L2379" t="s">
        <v>466</v>
      </c>
      <c r="M2379" t="s">
        <v>1738</v>
      </c>
      <c r="N2379" t="s">
        <v>1305</v>
      </c>
      <c r="O2379">
        <v>321983</v>
      </c>
      <c r="P2379">
        <v>43636.247916666667</v>
      </c>
      <c r="Q2379">
        <v>43573.722153553237</v>
      </c>
      <c r="R2379">
        <v>2453</v>
      </c>
    </row>
    <row r="2380" spans="1:18" x14ac:dyDescent="0.25">
      <c r="A2380" t="s">
        <v>8218</v>
      </c>
      <c r="B2380" t="s">
        <v>3191</v>
      </c>
      <c r="C2380" t="s">
        <v>8219</v>
      </c>
      <c r="D2380" t="s">
        <v>8219</v>
      </c>
      <c r="E2380" t="s">
        <v>8220</v>
      </c>
      <c r="F2380" t="s">
        <v>21</v>
      </c>
      <c r="G2380" t="s">
        <v>22</v>
      </c>
      <c r="H2380" t="s">
        <v>53</v>
      </c>
      <c r="I2380" t="s">
        <v>3006</v>
      </c>
      <c r="J2380">
        <v>2018</v>
      </c>
      <c r="K2380">
        <v>43698.521897777777</v>
      </c>
      <c r="L2380" t="s">
        <v>466</v>
      </c>
      <c r="M2380" t="s">
        <v>1738</v>
      </c>
      <c r="N2380" t="s">
        <v>1305</v>
      </c>
      <c r="O2380">
        <v>321314</v>
      </c>
      <c r="P2380">
        <v>43634.508333333331</v>
      </c>
      <c r="Q2380">
        <v>43574.597924768517</v>
      </c>
      <c r="R2380">
        <v>2454</v>
      </c>
    </row>
    <row r="2381" spans="1:18" x14ac:dyDescent="0.25">
      <c r="A2381" t="s">
        <v>8221</v>
      </c>
      <c r="B2381" t="s">
        <v>3195</v>
      </c>
      <c r="C2381" t="s">
        <v>8222</v>
      </c>
      <c r="D2381" t="s">
        <v>8222</v>
      </c>
      <c r="E2381" t="s">
        <v>8223</v>
      </c>
      <c r="F2381" t="s">
        <v>21</v>
      </c>
      <c r="G2381" t="s">
        <v>22</v>
      </c>
      <c r="H2381" t="s">
        <v>53</v>
      </c>
      <c r="I2381" t="s">
        <v>7997</v>
      </c>
      <c r="J2381">
        <v>2018</v>
      </c>
      <c r="K2381">
        <v>43698.521897777777</v>
      </c>
      <c r="L2381" t="s">
        <v>466</v>
      </c>
      <c r="M2381" t="s">
        <v>1738</v>
      </c>
      <c r="N2381" t="s">
        <v>1305</v>
      </c>
      <c r="O2381">
        <v>317057</v>
      </c>
      <c r="P2381">
        <v>43625.514733796299</v>
      </c>
      <c r="Q2381">
        <v>43574.602553009259</v>
      </c>
      <c r="R2381">
        <v>2455</v>
      </c>
    </row>
    <row r="2382" spans="1:18" x14ac:dyDescent="0.25">
      <c r="A2382" t="s">
        <v>8224</v>
      </c>
      <c r="B2382" t="s">
        <v>3248</v>
      </c>
      <c r="C2382" t="s">
        <v>8225</v>
      </c>
      <c r="D2382" t="s">
        <v>8225</v>
      </c>
      <c r="E2382" t="s">
        <v>8226</v>
      </c>
      <c r="F2382" t="s">
        <v>21</v>
      </c>
      <c r="G2382" t="s">
        <v>22</v>
      </c>
      <c r="H2382" t="s">
        <v>53</v>
      </c>
      <c r="I2382" t="s">
        <v>7997</v>
      </c>
      <c r="J2382">
        <v>2018</v>
      </c>
      <c r="K2382">
        <v>43698.521897777777</v>
      </c>
      <c r="L2382" t="s">
        <v>466</v>
      </c>
      <c r="M2382" t="s">
        <v>1738</v>
      </c>
      <c r="N2382" t="s">
        <v>467</v>
      </c>
      <c r="O2382">
        <v>325279</v>
      </c>
      <c r="P2382">
        <v>43643.703379629631</v>
      </c>
      <c r="Q2382">
        <v>43574.604684803242</v>
      </c>
      <c r="R2382">
        <v>2456</v>
      </c>
    </row>
    <row r="2383" spans="1:18" x14ac:dyDescent="0.25">
      <c r="A2383" t="s">
        <v>8227</v>
      </c>
      <c r="B2383" t="s">
        <v>2845</v>
      </c>
      <c r="C2383" t="s">
        <v>8228</v>
      </c>
      <c r="D2383" t="s">
        <v>8228</v>
      </c>
      <c r="E2383" t="s">
        <v>8228</v>
      </c>
      <c r="F2383" t="s">
        <v>21</v>
      </c>
      <c r="G2383" t="s">
        <v>63</v>
      </c>
      <c r="H2383" t="s">
        <v>34</v>
      </c>
      <c r="I2383" t="s">
        <v>1044</v>
      </c>
      <c r="J2383">
        <v>2012</v>
      </c>
      <c r="K2383">
        <v>43698.521897777777</v>
      </c>
      <c r="L2383" t="s">
        <v>466</v>
      </c>
      <c r="M2383" t="s">
        <v>154</v>
      </c>
      <c r="N2383" t="s">
        <v>1305</v>
      </c>
      <c r="O2383">
        <v>307000</v>
      </c>
      <c r="P2383">
        <v>43603.274502314816</v>
      </c>
      <c r="Q2383">
        <v>43577.598192210651</v>
      </c>
      <c r="R2383">
        <v>2457</v>
      </c>
    </row>
    <row r="2384" spans="1:18" x14ac:dyDescent="0.25">
      <c r="A2384" t="s">
        <v>8229</v>
      </c>
      <c r="B2384" t="s">
        <v>8230</v>
      </c>
      <c r="C2384" t="s">
        <v>8231</v>
      </c>
      <c r="D2384" t="s">
        <v>8231</v>
      </c>
      <c r="E2384" t="s">
        <v>8231</v>
      </c>
      <c r="F2384" t="s">
        <v>21</v>
      </c>
      <c r="G2384" t="s">
        <v>63</v>
      </c>
      <c r="H2384" t="s">
        <v>53</v>
      </c>
      <c r="I2384" t="s">
        <v>471</v>
      </c>
      <c r="J2384">
        <v>2014</v>
      </c>
      <c r="K2384">
        <v>43698.521897777777</v>
      </c>
      <c r="L2384" t="s">
        <v>466</v>
      </c>
      <c r="M2384" t="s">
        <v>154</v>
      </c>
      <c r="N2384" t="s">
        <v>1305</v>
      </c>
      <c r="O2384">
        <v>314038</v>
      </c>
      <c r="P2384">
        <v>43616.874074074076</v>
      </c>
      <c r="Q2384">
        <v>43577.658201701386</v>
      </c>
      <c r="R2384">
        <v>2458</v>
      </c>
    </row>
    <row r="2385" spans="1:18" x14ac:dyDescent="0.25">
      <c r="A2385" t="s">
        <v>8232</v>
      </c>
      <c r="B2385" t="s">
        <v>8233</v>
      </c>
      <c r="C2385" t="s">
        <v>8234</v>
      </c>
      <c r="D2385" t="s">
        <v>8234</v>
      </c>
      <c r="E2385" t="s">
        <v>8235</v>
      </c>
      <c r="F2385" t="s">
        <v>91</v>
      </c>
      <c r="G2385" t="s">
        <v>22</v>
      </c>
      <c r="H2385" t="s">
        <v>53</v>
      </c>
      <c r="I2385" t="s">
        <v>3006</v>
      </c>
      <c r="J2385">
        <v>2020</v>
      </c>
      <c r="K2385">
        <v>43698.521897777777</v>
      </c>
      <c r="L2385" t="s">
        <v>466</v>
      </c>
      <c r="M2385" t="s">
        <v>1738</v>
      </c>
      <c r="N2385" t="s">
        <v>1305</v>
      </c>
      <c r="O2385">
        <v>345885</v>
      </c>
      <c r="P2385">
        <v>43698.521897777777</v>
      </c>
      <c r="Q2385">
        <v>43577.73451357639</v>
      </c>
      <c r="R2385">
        <v>2459</v>
      </c>
    </row>
    <row r="2386" spans="1:18" x14ac:dyDescent="0.25">
      <c r="A2386" t="s">
        <v>8236</v>
      </c>
      <c r="B2386" t="s">
        <v>8237</v>
      </c>
      <c r="C2386" t="s">
        <v>8238</v>
      </c>
      <c r="D2386" t="s">
        <v>8238</v>
      </c>
      <c r="E2386" t="s">
        <v>8239</v>
      </c>
      <c r="F2386" t="s">
        <v>91</v>
      </c>
      <c r="G2386" t="s">
        <v>22</v>
      </c>
      <c r="H2386" t="s">
        <v>53</v>
      </c>
      <c r="I2386" t="s">
        <v>3006</v>
      </c>
      <c r="J2386">
        <v>2020</v>
      </c>
      <c r="K2386">
        <v>43698.521897777777</v>
      </c>
      <c r="L2386" t="s">
        <v>466</v>
      </c>
      <c r="M2386" t="s">
        <v>1738</v>
      </c>
      <c r="N2386" t="s">
        <v>1305</v>
      </c>
      <c r="O2386">
        <v>342717</v>
      </c>
      <c r="P2386">
        <v>43691.664375</v>
      </c>
      <c r="Q2386">
        <v>43577.735355439814</v>
      </c>
      <c r="R2386">
        <v>2460</v>
      </c>
    </row>
    <row r="2387" spans="1:18" x14ac:dyDescent="0.25">
      <c r="A2387" t="s">
        <v>8240</v>
      </c>
      <c r="B2387" t="s">
        <v>8241</v>
      </c>
      <c r="C2387" t="s">
        <v>8242</v>
      </c>
      <c r="D2387" t="s">
        <v>8242</v>
      </c>
      <c r="E2387" t="s">
        <v>8243</v>
      </c>
      <c r="F2387" t="s">
        <v>91</v>
      </c>
      <c r="G2387" t="s">
        <v>22</v>
      </c>
      <c r="H2387" t="s">
        <v>53</v>
      </c>
      <c r="I2387" t="s">
        <v>3006</v>
      </c>
      <c r="J2387">
        <v>2020</v>
      </c>
      <c r="K2387">
        <v>43698.521897777777</v>
      </c>
      <c r="L2387" t="s">
        <v>466</v>
      </c>
      <c r="M2387" t="s">
        <v>1738</v>
      </c>
      <c r="N2387" t="s">
        <v>1305</v>
      </c>
      <c r="O2387">
        <v>342270</v>
      </c>
      <c r="P2387">
        <v>43698.521897777777</v>
      </c>
      <c r="Q2387">
        <v>43577.736059756942</v>
      </c>
      <c r="R2387">
        <v>2461</v>
      </c>
    </row>
    <row r="2388" spans="1:18" x14ac:dyDescent="0.25">
      <c r="A2388" t="s">
        <v>8244</v>
      </c>
      <c r="B2388" t="s">
        <v>8245</v>
      </c>
      <c r="C2388" t="s">
        <v>8246</v>
      </c>
      <c r="D2388" t="s">
        <v>8246</v>
      </c>
      <c r="E2388" t="s">
        <v>8247</v>
      </c>
      <c r="F2388" t="s">
        <v>91</v>
      </c>
      <c r="G2388" t="s">
        <v>22</v>
      </c>
      <c r="H2388" t="s">
        <v>53</v>
      </c>
      <c r="I2388" t="s">
        <v>3006</v>
      </c>
      <c r="J2388">
        <v>2020</v>
      </c>
      <c r="K2388">
        <v>43698.521897777777</v>
      </c>
      <c r="L2388" t="s">
        <v>466</v>
      </c>
      <c r="M2388" t="s">
        <v>1738</v>
      </c>
      <c r="N2388" t="s">
        <v>1305</v>
      </c>
      <c r="O2388">
        <v>344301</v>
      </c>
      <c r="P2388">
        <v>43694.98810185185</v>
      </c>
      <c r="Q2388">
        <v>43577.73715390046</v>
      </c>
      <c r="R2388">
        <v>2462</v>
      </c>
    </row>
    <row r="2389" spans="1:18" x14ac:dyDescent="0.25">
      <c r="A2389" t="s">
        <v>8248</v>
      </c>
      <c r="B2389" t="s">
        <v>8249</v>
      </c>
      <c r="C2389" t="s">
        <v>8250</v>
      </c>
      <c r="D2389" t="s">
        <v>8250</v>
      </c>
      <c r="E2389" t="s">
        <v>8251</v>
      </c>
      <c r="F2389" t="s">
        <v>91</v>
      </c>
      <c r="G2389" t="s">
        <v>22</v>
      </c>
      <c r="H2389" t="s">
        <v>53</v>
      </c>
      <c r="I2389" t="s">
        <v>3006</v>
      </c>
      <c r="J2389">
        <v>2020</v>
      </c>
      <c r="K2389">
        <v>43698.521897777777</v>
      </c>
      <c r="L2389" t="s">
        <v>466</v>
      </c>
      <c r="M2389" t="s">
        <v>1738</v>
      </c>
      <c r="N2389" t="s">
        <v>1305</v>
      </c>
      <c r="O2389">
        <v>345370</v>
      </c>
      <c r="P2389">
        <v>43698.521897777777</v>
      </c>
      <c r="Q2389">
        <v>43577.738254629628</v>
      </c>
      <c r="R2389">
        <v>2463</v>
      </c>
    </row>
    <row r="2390" spans="1:18" x14ac:dyDescent="0.25">
      <c r="A2390" t="s">
        <v>8252</v>
      </c>
      <c r="B2390" t="s">
        <v>8253</v>
      </c>
      <c r="C2390" t="s">
        <v>8254</v>
      </c>
      <c r="D2390" t="s">
        <v>8254</v>
      </c>
      <c r="E2390" t="s">
        <v>8255</v>
      </c>
      <c r="F2390" t="s">
        <v>91</v>
      </c>
      <c r="G2390" t="s">
        <v>22</v>
      </c>
      <c r="H2390" t="s">
        <v>53</v>
      </c>
      <c r="I2390" t="s">
        <v>3006</v>
      </c>
      <c r="J2390">
        <v>2020</v>
      </c>
      <c r="K2390">
        <v>43698.521897777777</v>
      </c>
      <c r="L2390" t="s">
        <v>466</v>
      </c>
      <c r="M2390" t="s">
        <v>1738</v>
      </c>
      <c r="N2390" t="s">
        <v>415</v>
      </c>
      <c r="O2390">
        <v>346629</v>
      </c>
      <c r="P2390">
        <v>43698.521897777777</v>
      </c>
      <c r="Q2390">
        <v>43577.739027199073</v>
      </c>
      <c r="R2390">
        <v>2464</v>
      </c>
    </row>
    <row r="2391" spans="1:18" x14ac:dyDescent="0.25">
      <c r="A2391" t="s">
        <v>8256</v>
      </c>
      <c r="B2391" t="s">
        <v>8257</v>
      </c>
      <c r="C2391" t="s">
        <v>8258</v>
      </c>
      <c r="D2391" t="s">
        <v>8258</v>
      </c>
      <c r="E2391" t="s">
        <v>8259</v>
      </c>
      <c r="F2391" t="s">
        <v>91</v>
      </c>
      <c r="G2391" t="s">
        <v>22</v>
      </c>
      <c r="H2391" t="s">
        <v>53</v>
      </c>
      <c r="I2391" t="s">
        <v>3006</v>
      </c>
      <c r="J2391">
        <v>2020</v>
      </c>
      <c r="K2391">
        <v>43698.521897777777</v>
      </c>
      <c r="L2391" t="s">
        <v>466</v>
      </c>
      <c r="M2391" t="s">
        <v>1738</v>
      </c>
      <c r="N2391" t="s">
        <v>1305</v>
      </c>
      <c r="O2391">
        <v>345514</v>
      </c>
      <c r="P2391">
        <v>43698.521897777777</v>
      </c>
      <c r="Q2391">
        <v>43577.756850729165</v>
      </c>
      <c r="R2391">
        <v>2465</v>
      </c>
    </row>
    <row r="2392" spans="1:18" x14ac:dyDescent="0.25">
      <c r="A2392" t="s">
        <v>8260</v>
      </c>
      <c r="B2392" t="s">
        <v>8261</v>
      </c>
      <c r="C2392" t="s">
        <v>8262</v>
      </c>
      <c r="D2392" t="s">
        <v>8262</v>
      </c>
      <c r="E2392" t="s">
        <v>8263</v>
      </c>
      <c r="F2392" t="s">
        <v>253</v>
      </c>
      <c r="G2392" t="s">
        <v>22</v>
      </c>
      <c r="H2392" t="s">
        <v>53</v>
      </c>
      <c r="I2392" t="s">
        <v>3006</v>
      </c>
      <c r="J2392">
        <v>2020</v>
      </c>
      <c r="K2392">
        <v>43698.521897777777</v>
      </c>
      <c r="L2392" t="s">
        <v>466</v>
      </c>
      <c r="M2392" t="s">
        <v>1738</v>
      </c>
      <c r="N2392" t="s">
        <v>1305</v>
      </c>
      <c r="O2392">
        <v>343903</v>
      </c>
      <c r="P2392">
        <v>43695.657719907409</v>
      </c>
      <c r="Q2392">
        <v>43577.757473182872</v>
      </c>
      <c r="R2392">
        <v>2466</v>
      </c>
    </row>
    <row r="2393" spans="1:18" x14ac:dyDescent="0.25">
      <c r="A2393" t="s">
        <v>8264</v>
      </c>
      <c r="B2393" t="s">
        <v>8265</v>
      </c>
      <c r="C2393" t="s">
        <v>8266</v>
      </c>
      <c r="D2393" t="s">
        <v>8266</v>
      </c>
      <c r="E2393" t="s">
        <v>8267</v>
      </c>
      <c r="F2393" t="s">
        <v>91</v>
      </c>
      <c r="G2393" t="s">
        <v>22</v>
      </c>
      <c r="H2393" t="s">
        <v>53</v>
      </c>
      <c r="I2393" t="s">
        <v>3006</v>
      </c>
      <c r="J2393">
        <v>2020</v>
      </c>
      <c r="K2393">
        <v>43698.521897777777</v>
      </c>
      <c r="L2393" t="s">
        <v>466</v>
      </c>
      <c r="M2393" t="s">
        <v>1738</v>
      </c>
      <c r="N2393" t="s">
        <v>1305</v>
      </c>
      <c r="O2393">
        <v>342380</v>
      </c>
      <c r="P2393">
        <v>43694.717361111114</v>
      </c>
      <c r="Q2393">
        <v>43577.758113622687</v>
      </c>
      <c r="R2393">
        <v>2467</v>
      </c>
    </row>
    <row r="2394" spans="1:18" x14ac:dyDescent="0.25">
      <c r="A2394" t="s">
        <v>8268</v>
      </c>
      <c r="B2394" t="s">
        <v>8269</v>
      </c>
      <c r="C2394" t="s">
        <v>8270</v>
      </c>
      <c r="D2394" t="s">
        <v>8270</v>
      </c>
      <c r="E2394" t="s">
        <v>8271</v>
      </c>
      <c r="F2394" t="s">
        <v>91</v>
      </c>
      <c r="G2394" t="s">
        <v>22</v>
      </c>
      <c r="H2394" t="s">
        <v>53</v>
      </c>
      <c r="I2394" t="s">
        <v>3006</v>
      </c>
      <c r="J2394">
        <v>2020</v>
      </c>
      <c r="K2394">
        <v>43698.521897777777</v>
      </c>
      <c r="L2394" t="s">
        <v>466</v>
      </c>
      <c r="M2394" t="s">
        <v>1738</v>
      </c>
      <c r="N2394" t="s">
        <v>1305</v>
      </c>
      <c r="O2394">
        <v>346180</v>
      </c>
      <c r="P2394">
        <v>43698.521897777777</v>
      </c>
      <c r="Q2394">
        <v>43577.758855092594</v>
      </c>
      <c r="R2394">
        <v>2468</v>
      </c>
    </row>
    <row r="2395" spans="1:18" x14ac:dyDescent="0.25">
      <c r="A2395" t="s">
        <v>8272</v>
      </c>
      <c r="B2395" t="s">
        <v>8273</v>
      </c>
      <c r="C2395" t="s">
        <v>8274</v>
      </c>
      <c r="D2395" t="s">
        <v>8274</v>
      </c>
      <c r="E2395" t="s">
        <v>8275</v>
      </c>
      <c r="F2395" t="s">
        <v>91</v>
      </c>
      <c r="G2395" t="s">
        <v>22</v>
      </c>
      <c r="H2395" t="s">
        <v>53</v>
      </c>
      <c r="I2395" t="s">
        <v>3006</v>
      </c>
      <c r="J2395">
        <v>2020</v>
      </c>
      <c r="K2395">
        <v>43698.521897777777</v>
      </c>
      <c r="L2395" t="s">
        <v>466</v>
      </c>
      <c r="M2395" t="s">
        <v>1738</v>
      </c>
      <c r="N2395" t="s">
        <v>1305</v>
      </c>
      <c r="O2395">
        <v>346577</v>
      </c>
      <c r="P2395">
        <v>43698.521897777777</v>
      </c>
      <c r="Q2395">
        <v>43577.759683993056</v>
      </c>
      <c r="R2395">
        <v>2469</v>
      </c>
    </row>
    <row r="2396" spans="1:18" x14ac:dyDescent="0.25">
      <c r="A2396" t="s">
        <v>8276</v>
      </c>
      <c r="B2396" t="s">
        <v>8277</v>
      </c>
      <c r="C2396" t="s">
        <v>8278</v>
      </c>
      <c r="D2396" t="s">
        <v>8278</v>
      </c>
      <c r="E2396" t="s">
        <v>8279</v>
      </c>
      <c r="F2396" t="s">
        <v>91</v>
      </c>
      <c r="G2396" t="s">
        <v>22</v>
      </c>
      <c r="H2396" t="s">
        <v>53</v>
      </c>
      <c r="I2396" t="s">
        <v>3006</v>
      </c>
      <c r="J2396">
        <v>2020</v>
      </c>
      <c r="K2396">
        <v>43698.521897777777</v>
      </c>
      <c r="L2396" t="s">
        <v>899</v>
      </c>
      <c r="M2396" t="s">
        <v>1738</v>
      </c>
      <c r="N2396" t="s">
        <v>1305</v>
      </c>
      <c r="O2396">
        <v>345406</v>
      </c>
      <c r="P2396">
        <v>43698.521897777777</v>
      </c>
      <c r="Q2396">
        <v>43577.761319710648</v>
      </c>
      <c r="R2396">
        <v>2470</v>
      </c>
    </row>
    <row r="2397" spans="1:18" x14ac:dyDescent="0.25">
      <c r="A2397" t="s">
        <v>8280</v>
      </c>
      <c r="B2397" t="s">
        <v>8281</v>
      </c>
      <c r="C2397" t="s">
        <v>8282</v>
      </c>
      <c r="D2397" t="s">
        <v>8282</v>
      </c>
      <c r="E2397" t="s">
        <v>8283</v>
      </c>
      <c r="F2397" t="s">
        <v>91</v>
      </c>
      <c r="G2397" t="s">
        <v>22</v>
      </c>
      <c r="H2397" t="s">
        <v>53</v>
      </c>
      <c r="I2397" t="s">
        <v>3006</v>
      </c>
      <c r="J2397">
        <v>2020</v>
      </c>
      <c r="K2397">
        <v>43698.521897777777</v>
      </c>
      <c r="L2397" t="s">
        <v>466</v>
      </c>
      <c r="M2397" t="s">
        <v>1738</v>
      </c>
      <c r="N2397" t="s">
        <v>1305</v>
      </c>
      <c r="O2397">
        <v>345800</v>
      </c>
      <c r="P2397">
        <v>43698.521897777777</v>
      </c>
      <c r="Q2397">
        <v>43577.762987615744</v>
      </c>
      <c r="R2397">
        <v>2471</v>
      </c>
    </row>
    <row r="2398" spans="1:18" x14ac:dyDescent="0.25">
      <c r="A2398" t="s">
        <v>8284</v>
      </c>
      <c r="B2398" t="s">
        <v>8285</v>
      </c>
      <c r="C2398" t="s">
        <v>8286</v>
      </c>
      <c r="D2398" t="s">
        <v>8286</v>
      </c>
      <c r="E2398" t="s">
        <v>8287</v>
      </c>
      <c r="F2398" t="s">
        <v>91</v>
      </c>
      <c r="G2398" t="s">
        <v>22</v>
      </c>
      <c r="H2398" t="s">
        <v>53</v>
      </c>
      <c r="I2398" t="s">
        <v>3006</v>
      </c>
      <c r="J2398">
        <v>2020</v>
      </c>
      <c r="K2398">
        <v>43698.521897777777</v>
      </c>
      <c r="L2398" t="s">
        <v>466</v>
      </c>
      <c r="M2398" t="s">
        <v>1738</v>
      </c>
      <c r="N2398" t="s">
        <v>1305</v>
      </c>
      <c r="O2398">
        <v>346131</v>
      </c>
      <c r="P2398">
        <v>43698.521897777777</v>
      </c>
      <c r="Q2398">
        <v>43577.767682638892</v>
      </c>
      <c r="R2398">
        <v>2472</v>
      </c>
    </row>
    <row r="2399" spans="1:18" x14ac:dyDescent="0.25">
      <c r="A2399" t="s">
        <v>8288</v>
      </c>
      <c r="B2399" t="s">
        <v>8289</v>
      </c>
      <c r="C2399" t="s">
        <v>8290</v>
      </c>
      <c r="D2399" t="s">
        <v>8290</v>
      </c>
      <c r="E2399" t="s">
        <v>8291</v>
      </c>
      <c r="F2399" t="s">
        <v>91</v>
      </c>
      <c r="G2399" t="s">
        <v>22</v>
      </c>
      <c r="H2399" t="s">
        <v>53</v>
      </c>
      <c r="I2399" t="s">
        <v>3006</v>
      </c>
      <c r="J2399">
        <v>2020</v>
      </c>
      <c r="K2399">
        <v>43698.521897777777</v>
      </c>
      <c r="L2399" t="s">
        <v>466</v>
      </c>
      <c r="M2399" t="s">
        <v>1738</v>
      </c>
      <c r="N2399" t="s">
        <v>1305</v>
      </c>
      <c r="O2399">
        <v>345786</v>
      </c>
      <c r="P2399">
        <v>43698.521897777777</v>
      </c>
      <c r="Q2399">
        <v>43577.768308252314</v>
      </c>
      <c r="R2399">
        <v>2473</v>
      </c>
    </row>
    <row r="2400" spans="1:18" x14ac:dyDescent="0.25">
      <c r="A2400" t="s">
        <v>8292</v>
      </c>
      <c r="B2400" t="s">
        <v>8293</v>
      </c>
      <c r="C2400" t="s">
        <v>8294</v>
      </c>
      <c r="D2400" t="s">
        <v>8294</v>
      </c>
      <c r="E2400" t="s">
        <v>8295</v>
      </c>
      <c r="F2400" t="s">
        <v>91</v>
      </c>
      <c r="G2400" t="s">
        <v>22</v>
      </c>
      <c r="H2400" t="s">
        <v>53</v>
      </c>
      <c r="I2400" t="s">
        <v>3006</v>
      </c>
      <c r="J2400">
        <v>2020</v>
      </c>
      <c r="K2400">
        <v>43698.521897777777</v>
      </c>
      <c r="L2400" t="s">
        <v>466</v>
      </c>
      <c r="M2400" t="s">
        <v>1738</v>
      </c>
      <c r="N2400" t="s">
        <v>1305</v>
      </c>
      <c r="O2400">
        <v>346153</v>
      </c>
      <c r="P2400">
        <v>43698.521897777777</v>
      </c>
      <c r="Q2400">
        <v>43577.769419062497</v>
      </c>
      <c r="R2400">
        <v>2474</v>
      </c>
    </row>
    <row r="2401" spans="1:18" x14ac:dyDescent="0.25">
      <c r="A2401" t="s">
        <v>8296</v>
      </c>
      <c r="B2401" t="s">
        <v>8297</v>
      </c>
      <c r="C2401" t="s">
        <v>8298</v>
      </c>
      <c r="D2401" t="s">
        <v>8298</v>
      </c>
      <c r="E2401" t="s">
        <v>8299</v>
      </c>
      <c r="F2401" t="s">
        <v>91</v>
      </c>
      <c r="G2401" t="s">
        <v>22</v>
      </c>
      <c r="H2401" t="s">
        <v>53</v>
      </c>
      <c r="I2401" t="s">
        <v>3006</v>
      </c>
      <c r="J2401">
        <v>2020</v>
      </c>
      <c r="K2401">
        <v>43698.521897777777</v>
      </c>
      <c r="L2401" t="s">
        <v>466</v>
      </c>
      <c r="M2401" t="s">
        <v>1738</v>
      </c>
      <c r="N2401" t="s">
        <v>1305</v>
      </c>
      <c r="O2401">
        <v>345862</v>
      </c>
      <c r="P2401">
        <v>43698.521897777777</v>
      </c>
      <c r="Q2401">
        <v>43577.770160798609</v>
      </c>
      <c r="R2401">
        <v>2475</v>
      </c>
    </row>
    <row r="2402" spans="1:18" x14ac:dyDescent="0.25">
      <c r="A2402" t="s">
        <v>8300</v>
      </c>
      <c r="B2402" t="s">
        <v>8301</v>
      </c>
      <c r="C2402" t="s">
        <v>8302</v>
      </c>
      <c r="D2402" t="s">
        <v>8302</v>
      </c>
      <c r="E2402" t="s">
        <v>8303</v>
      </c>
      <c r="F2402" t="s">
        <v>91</v>
      </c>
      <c r="G2402" t="s">
        <v>22</v>
      </c>
      <c r="H2402" t="s">
        <v>53</v>
      </c>
      <c r="I2402" t="s">
        <v>3006</v>
      </c>
      <c r="J2402">
        <v>2020</v>
      </c>
      <c r="K2402">
        <v>43698.521897777777</v>
      </c>
      <c r="L2402" t="s">
        <v>466</v>
      </c>
      <c r="M2402" t="s">
        <v>1738</v>
      </c>
      <c r="N2402" t="s">
        <v>1305</v>
      </c>
      <c r="O2402">
        <v>345752</v>
      </c>
      <c r="P2402">
        <v>43698.521897777777</v>
      </c>
      <c r="Q2402">
        <v>43577.770726504627</v>
      </c>
      <c r="R2402">
        <v>2476</v>
      </c>
    </row>
    <row r="2403" spans="1:18" x14ac:dyDescent="0.25">
      <c r="A2403" t="s">
        <v>8304</v>
      </c>
      <c r="B2403" t="s">
        <v>8305</v>
      </c>
      <c r="C2403" t="s">
        <v>8306</v>
      </c>
      <c r="D2403" t="s">
        <v>8306</v>
      </c>
      <c r="E2403" t="s">
        <v>8307</v>
      </c>
      <c r="F2403" t="s">
        <v>91</v>
      </c>
      <c r="G2403" t="s">
        <v>22</v>
      </c>
      <c r="H2403" t="s">
        <v>53</v>
      </c>
      <c r="I2403" t="s">
        <v>3006</v>
      </c>
      <c r="J2403">
        <v>2020</v>
      </c>
      <c r="K2403">
        <v>43698.521897777777</v>
      </c>
      <c r="L2403" t="s">
        <v>466</v>
      </c>
      <c r="M2403" t="s">
        <v>1738</v>
      </c>
      <c r="N2403" t="s">
        <v>1305</v>
      </c>
      <c r="O2403">
        <v>343738</v>
      </c>
      <c r="P2403">
        <v>43695.766585648147</v>
      </c>
      <c r="Q2403">
        <v>43577.771422372687</v>
      </c>
      <c r="R2403">
        <v>2477</v>
      </c>
    </row>
    <row r="2404" spans="1:18" x14ac:dyDescent="0.25">
      <c r="A2404" t="s">
        <v>8308</v>
      </c>
      <c r="B2404" t="s">
        <v>8309</v>
      </c>
      <c r="C2404" t="s">
        <v>8310</v>
      </c>
      <c r="D2404" t="s">
        <v>8310</v>
      </c>
      <c r="E2404" t="s">
        <v>8311</v>
      </c>
      <c r="F2404" t="s">
        <v>91</v>
      </c>
      <c r="G2404" t="s">
        <v>22</v>
      </c>
      <c r="H2404" t="s">
        <v>53</v>
      </c>
      <c r="I2404" t="s">
        <v>3006</v>
      </c>
      <c r="J2404">
        <v>2020</v>
      </c>
      <c r="K2404">
        <v>43698.521897777777</v>
      </c>
      <c r="L2404" t="s">
        <v>466</v>
      </c>
      <c r="M2404" t="s">
        <v>1738</v>
      </c>
      <c r="N2404" t="s">
        <v>1305</v>
      </c>
      <c r="O2404">
        <v>345952</v>
      </c>
      <c r="P2404">
        <v>43698.521897777777</v>
      </c>
      <c r="Q2404">
        <v>43577.772089502316</v>
      </c>
      <c r="R2404">
        <v>2478</v>
      </c>
    </row>
    <row r="2405" spans="1:18" x14ac:dyDescent="0.25">
      <c r="A2405" t="s">
        <v>8312</v>
      </c>
      <c r="B2405" t="s">
        <v>4544</v>
      </c>
      <c r="C2405" t="s">
        <v>8313</v>
      </c>
      <c r="D2405" t="s">
        <v>8313</v>
      </c>
      <c r="E2405" t="s">
        <v>8313</v>
      </c>
      <c r="F2405" t="s">
        <v>91</v>
      </c>
      <c r="G2405" t="s">
        <v>63</v>
      </c>
      <c r="H2405" t="s">
        <v>53</v>
      </c>
      <c r="I2405" t="s">
        <v>3693</v>
      </c>
      <c r="J2405">
        <v>2018</v>
      </c>
      <c r="K2405">
        <v>43698.521897777777</v>
      </c>
      <c r="L2405" t="s">
        <v>193</v>
      </c>
      <c r="M2405" t="s">
        <v>1941</v>
      </c>
      <c r="N2405" t="s">
        <v>415</v>
      </c>
      <c r="O2405">
        <v>346237</v>
      </c>
      <c r="P2405">
        <v>43698.521897777777</v>
      </c>
      <c r="Q2405">
        <v>43578.529646793984</v>
      </c>
      <c r="R2405">
        <v>2481</v>
      </c>
    </row>
    <row r="2406" spans="1:18" x14ac:dyDescent="0.25">
      <c r="A2406" t="s">
        <v>8314</v>
      </c>
      <c r="B2406" t="s">
        <v>3187</v>
      </c>
      <c r="C2406" t="s">
        <v>8315</v>
      </c>
      <c r="D2406" t="s">
        <v>8315</v>
      </c>
      <c r="E2406" t="s">
        <v>8316</v>
      </c>
      <c r="F2406" t="s">
        <v>21</v>
      </c>
      <c r="G2406" t="s">
        <v>22</v>
      </c>
      <c r="H2406" t="s">
        <v>53</v>
      </c>
      <c r="I2406" t="s">
        <v>3006</v>
      </c>
      <c r="J2406">
        <v>2018</v>
      </c>
      <c r="K2406">
        <v>43698.521897777777</v>
      </c>
      <c r="L2406" t="s">
        <v>466</v>
      </c>
      <c r="M2406" t="s">
        <v>1738</v>
      </c>
      <c r="N2406" t="s">
        <v>1305</v>
      </c>
      <c r="O2406">
        <v>321317</v>
      </c>
      <c r="P2406">
        <v>43634.650694444441</v>
      </c>
      <c r="Q2406">
        <v>43579.90957974537</v>
      </c>
      <c r="R2406">
        <v>2482</v>
      </c>
    </row>
    <row r="2407" spans="1:18" x14ac:dyDescent="0.25">
      <c r="A2407" t="s">
        <v>8317</v>
      </c>
      <c r="B2407" t="s">
        <v>3179</v>
      </c>
      <c r="C2407" t="s">
        <v>8318</v>
      </c>
      <c r="D2407" t="s">
        <v>8318</v>
      </c>
      <c r="E2407" t="s">
        <v>8319</v>
      </c>
      <c r="F2407" t="s">
        <v>21</v>
      </c>
      <c r="G2407" t="s">
        <v>22</v>
      </c>
      <c r="H2407" t="s">
        <v>53</v>
      </c>
      <c r="I2407" t="s">
        <v>3006</v>
      </c>
      <c r="J2407">
        <v>2018</v>
      </c>
      <c r="K2407">
        <v>43698.521897777777</v>
      </c>
      <c r="L2407" t="s">
        <v>466</v>
      </c>
      <c r="M2407" t="s">
        <v>1738</v>
      </c>
      <c r="N2407" t="s">
        <v>1305</v>
      </c>
      <c r="O2407">
        <v>317072</v>
      </c>
      <c r="P2407">
        <v>43626.297222222223</v>
      </c>
      <c r="Q2407">
        <v>43579.91339652778</v>
      </c>
      <c r="R2407">
        <v>2483</v>
      </c>
    </row>
    <row r="2408" spans="1:18" x14ac:dyDescent="0.25">
      <c r="A2408" t="s">
        <v>8320</v>
      </c>
      <c r="B2408" t="s">
        <v>3123</v>
      </c>
      <c r="C2408" t="s">
        <v>8321</v>
      </c>
      <c r="D2408" t="s">
        <v>8321</v>
      </c>
      <c r="E2408" t="s">
        <v>8322</v>
      </c>
      <c r="F2408" t="s">
        <v>21</v>
      </c>
      <c r="G2408" t="s">
        <v>22</v>
      </c>
      <c r="H2408" t="s">
        <v>53</v>
      </c>
      <c r="I2408" t="s">
        <v>3006</v>
      </c>
      <c r="J2408">
        <v>2018</v>
      </c>
      <c r="K2408">
        <v>43698.521897777777</v>
      </c>
      <c r="L2408" t="s">
        <v>466</v>
      </c>
      <c r="M2408" t="s">
        <v>1738</v>
      </c>
      <c r="N2408" t="s">
        <v>1305</v>
      </c>
      <c r="O2408">
        <v>315575</v>
      </c>
      <c r="P2408">
        <v>43621.074999999997</v>
      </c>
      <c r="Q2408">
        <v>43579.948279432872</v>
      </c>
      <c r="R2408">
        <v>2484</v>
      </c>
    </row>
    <row r="2409" spans="1:18" x14ac:dyDescent="0.25">
      <c r="A2409" t="s">
        <v>8323</v>
      </c>
      <c r="B2409" t="s">
        <v>5781</v>
      </c>
      <c r="C2409" t="s">
        <v>8324</v>
      </c>
      <c r="D2409" t="s">
        <v>8324</v>
      </c>
      <c r="E2409" t="s">
        <v>8324</v>
      </c>
      <c r="F2409" t="s">
        <v>91</v>
      </c>
      <c r="G2409" t="s">
        <v>63</v>
      </c>
      <c r="H2409" t="s">
        <v>53</v>
      </c>
      <c r="I2409" t="s">
        <v>3693</v>
      </c>
      <c r="J2409">
        <v>2019</v>
      </c>
      <c r="K2409">
        <v>43698.521897777777</v>
      </c>
      <c r="L2409" t="s">
        <v>1005</v>
      </c>
      <c r="M2409" t="s">
        <v>1941</v>
      </c>
      <c r="N2409" t="s">
        <v>415</v>
      </c>
      <c r="O2409">
        <v>345349</v>
      </c>
      <c r="P2409">
        <v>43698.521897777777</v>
      </c>
      <c r="Q2409">
        <v>43580.443534293983</v>
      </c>
      <c r="R2409">
        <v>2485</v>
      </c>
    </row>
    <row r="2410" spans="1:18" x14ac:dyDescent="0.25">
      <c r="A2410" t="s">
        <v>8325</v>
      </c>
      <c r="B2410" t="s">
        <v>8326</v>
      </c>
      <c r="C2410" t="s">
        <v>8327</v>
      </c>
      <c r="D2410" t="s">
        <v>8327</v>
      </c>
      <c r="E2410" t="s">
        <v>8327</v>
      </c>
      <c r="F2410" t="s">
        <v>91</v>
      </c>
      <c r="G2410" t="s">
        <v>63</v>
      </c>
      <c r="H2410" t="s">
        <v>53</v>
      </c>
      <c r="I2410" t="s">
        <v>471</v>
      </c>
      <c r="J2410">
        <v>2015</v>
      </c>
      <c r="K2410">
        <v>43698.521897777777</v>
      </c>
      <c r="L2410" t="s">
        <v>466</v>
      </c>
      <c r="M2410" t="s">
        <v>154</v>
      </c>
      <c r="N2410" t="s">
        <v>1305</v>
      </c>
      <c r="Q2410">
        <v>43580.472096215279</v>
      </c>
      <c r="R2410">
        <v>2486</v>
      </c>
    </row>
    <row r="2411" spans="1:18" x14ac:dyDescent="0.25">
      <c r="A2411" t="s">
        <v>8328</v>
      </c>
      <c r="B2411" t="s">
        <v>4275</v>
      </c>
      <c r="C2411" t="s">
        <v>8329</v>
      </c>
      <c r="D2411" t="s">
        <v>8329</v>
      </c>
      <c r="E2411" t="s">
        <v>8330</v>
      </c>
      <c r="F2411" t="s">
        <v>91</v>
      </c>
      <c r="G2411" t="s">
        <v>22</v>
      </c>
      <c r="H2411" t="s">
        <v>53</v>
      </c>
      <c r="I2411" t="s">
        <v>3006</v>
      </c>
      <c r="J2411">
        <v>2018</v>
      </c>
      <c r="K2411">
        <v>43698.521897777777</v>
      </c>
      <c r="L2411" t="s">
        <v>466</v>
      </c>
      <c r="M2411" t="s">
        <v>1738</v>
      </c>
      <c r="N2411" t="s">
        <v>1305</v>
      </c>
      <c r="O2411">
        <v>343186</v>
      </c>
      <c r="P2411">
        <v>43695.683333333334</v>
      </c>
      <c r="Q2411">
        <v>43581.438001932867</v>
      </c>
      <c r="R2411">
        <v>2487</v>
      </c>
    </row>
    <row r="2412" spans="1:18" x14ac:dyDescent="0.25">
      <c r="A2412" t="s">
        <v>8331</v>
      </c>
      <c r="B2412" t="s">
        <v>4251</v>
      </c>
      <c r="C2412" t="s">
        <v>8332</v>
      </c>
      <c r="D2412" t="s">
        <v>8332</v>
      </c>
      <c r="E2412" t="s">
        <v>8333</v>
      </c>
      <c r="F2412" t="s">
        <v>91</v>
      </c>
      <c r="G2412" t="s">
        <v>22</v>
      </c>
      <c r="H2412" t="s">
        <v>53</v>
      </c>
      <c r="I2412" t="s">
        <v>3006</v>
      </c>
      <c r="J2412">
        <v>2018</v>
      </c>
      <c r="K2412">
        <v>43698.521897777777</v>
      </c>
      <c r="L2412" t="s">
        <v>466</v>
      </c>
      <c r="M2412" t="s">
        <v>1738</v>
      </c>
      <c r="N2412" t="s">
        <v>1305</v>
      </c>
      <c r="O2412">
        <v>339526</v>
      </c>
      <c r="P2412">
        <v>43688.477222222224</v>
      </c>
      <c r="Q2412">
        <v>43581.438916666666</v>
      </c>
      <c r="R2412">
        <v>2488</v>
      </c>
    </row>
    <row r="2413" spans="1:18" x14ac:dyDescent="0.25">
      <c r="A2413" t="s">
        <v>8334</v>
      </c>
      <c r="B2413" t="s">
        <v>4223</v>
      </c>
      <c r="C2413" t="s">
        <v>8335</v>
      </c>
      <c r="D2413" t="s">
        <v>8335</v>
      </c>
      <c r="E2413" t="s">
        <v>8336</v>
      </c>
      <c r="F2413" t="s">
        <v>91</v>
      </c>
      <c r="G2413" t="s">
        <v>63</v>
      </c>
      <c r="H2413" t="s">
        <v>53</v>
      </c>
      <c r="I2413" t="s">
        <v>3006</v>
      </c>
      <c r="J2413">
        <v>2018</v>
      </c>
      <c r="K2413">
        <v>43698.521897777777</v>
      </c>
      <c r="L2413" t="s">
        <v>466</v>
      </c>
      <c r="M2413" t="s">
        <v>1738</v>
      </c>
      <c r="N2413" t="s">
        <v>1305</v>
      </c>
      <c r="O2413">
        <v>345648</v>
      </c>
      <c r="P2413">
        <v>43698.521897777777</v>
      </c>
      <c r="Q2413">
        <v>43581.440483877312</v>
      </c>
      <c r="R2413">
        <v>2489</v>
      </c>
    </row>
    <row r="2414" spans="1:18" x14ac:dyDescent="0.25">
      <c r="A2414" t="s">
        <v>8337</v>
      </c>
      <c r="B2414" t="s">
        <v>3655</v>
      </c>
      <c r="C2414" t="s">
        <v>8338</v>
      </c>
      <c r="D2414" t="s">
        <v>8338</v>
      </c>
      <c r="E2414" t="s">
        <v>8339</v>
      </c>
      <c r="F2414" t="s">
        <v>91</v>
      </c>
      <c r="G2414" t="s">
        <v>22</v>
      </c>
      <c r="H2414" t="s">
        <v>53</v>
      </c>
      <c r="I2414" t="s">
        <v>3006</v>
      </c>
      <c r="J2414">
        <v>2018</v>
      </c>
      <c r="K2414">
        <v>43698.521897777777</v>
      </c>
      <c r="L2414" t="s">
        <v>466</v>
      </c>
      <c r="M2414" t="s">
        <v>1738</v>
      </c>
      <c r="N2414" t="s">
        <v>1305</v>
      </c>
      <c r="O2414">
        <v>346878</v>
      </c>
      <c r="P2414">
        <v>43698.521897777777</v>
      </c>
      <c r="Q2414">
        <v>43581.442116631944</v>
      </c>
      <c r="R2414">
        <v>2490</v>
      </c>
    </row>
    <row r="2415" spans="1:18" x14ac:dyDescent="0.25">
      <c r="A2415" t="s">
        <v>8340</v>
      </c>
      <c r="B2415" t="s">
        <v>8341</v>
      </c>
      <c r="C2415" t="s">
        <v>8342</v>
      </c>
      <c r="D2415" t="s">
        <v>8342</v>
      </c>
      <c r="E2415" t="s">
        <v>8342</v>
      </c>
      <c r="F2415" t="s">
        <v>21</v>
      </c>
      <c r="G2415" t="s">
        <v>63</v>
      </c>
      <c r="H2415" t="s">
        <v>34</v>
      </c>
      <c r="I2415" t="s">
        <v>8343</v>
      </c>
      <c r="J2415">
        <v>2012</v>
      </c>
      <c r="K2415">
        <v>43698.521897777777</v>
      </c>
      <c r="L2415" t="s">
        <v>466</v>
      </c>
      <c r="M2415" t="s">
        <v>154</v>
      </c>
      <c r="N2415" t="s">
        <v>1305</v>
      </c>
      <c r="O2415">
        <v>307521</v>
      </c>
      <c r="P2415">
        <v>43604.815868055557</v>
      </c>
      <c r="Q2415">
        <v>43587.665906944443</v>
      </c>
      <c r="R2415">
        <v>2491</v>
      </c>
    </row>
    <row r="2416" spans="1:18" x14ac:dyDescent="0.25">
      <c r="A2416" t="s">
        <v>8344</v>
      </c>
      <c r="B2416" t="s">
        <v>8345</v>
      </c>
      <c r="C2416" t="s">
        <v>8346</v>
      </c>
      <c r="D2416" t="s">
        <v>8346</v>
      </c>
      <c r="E2416" t="s">
        <v>8347</v>
      </c>
      <c r="F2416" t="s">
        <v>91</v>
      </c>
      <c r="G2416" t="s">
        <v>22</v>
      </c>
      <c r="H2416" t="s">
        <v>53</v>
      </c>
      <c r="I2416" t="s">
        <v>3006</v>
      </c>
      <c r="J2416">
        <v>2020</v>
      </c>
      <c r="K2416">
        <v>43698.521897777777</v>
      </c>
      <c r="L2416" t="s">
        <v>193</v>
      </c>
      <c r="M2416" t="s">
        <v>42</v>
      </c>
      <c r="N2416" t="s">
        <v>415</v>
      </c>
      <c r="O2416">
        <v>346697</v>
      </c>
      <c r="P2416">
        <v>43698.521897777777</v>
      </c>
      <c r="Q2416">
        <v>43593.567152743053</v>
      </c>
      <c r="R2416">
        <v>2492</v>
      </c>
    </row>
    <row r="2417" spans="1:18" x14ac:dyDescent="0.25">
      <c r="A2417" t="s">
        <v>8348</v>
      </c>
      <c r="B2417" t="s">
        <v>8349</v>
      </c>
      <c r="C2417" t="s">
        <v>8350</v>
      </c>
      <c r="D2417" t="s">
        <v>8350</v>
      </c>
      <c r="E2417" t="s">
        <v>8351</v>
      </c>
      <c r="F2417" t="s">
        <v>91</v>
      </c>
      <c r="G2417" t="s">
        <v>22</v>
      </c>
      <c r="H2417" t="s">
        <v>53</v>
      </c>
      <c r="I2417" t="s">
        <v>3006</v>
      </c>
      <c r="J2417">
        <v>2020</v>
      </c>
      <c r="K2417">
        <v>43698.521897777777</v>
      </c>
      <c r="L2417" t="s">
        <v>193</v>
      </c>
      <c r="M2417" t="s">
        <v>42</v>
      </c>
      <c r="N2417" t="s">
        <v>415</v>
      </c>
      <c r="O2417">
        <v>346901</v>
      </c>
      <c r="P2417">
        <v>43698.521897777777</v>
      </c>
      <c r="Q2417">
        <v>43593.568267939816</v>
      </c>
      <c r="R2417">
        <v>2493</v>
      </c>
    </row>
    <row r="2418" spans="1:18" x14ac:dyDescent="0.25">
      <c r="A2418" t="s">
        <v>8352</v>
      </c>
      <c r="B2418" t="s">
        <v>8353</v>
      </c>
      <c r="C2418" t="s">
        <v>8354</v>
      </c>
      <c r="D2418" t="s">
        <v>8354</v>
      </c>
      <c r="E2418" t="s">
        <v>8355</v>
      </c>
      <c r="F2418" t="s">
        <v>253</v>
      </c>
      <c r="G2418" t="s">
        <v>22</v>
      </c>
      <c r="H2418" t="s">
        <v>53</v>
      </c>
      <c r="I2418" t="s">
        <v>3006</v>
      </c>
      <c r="J2418">
        <v>2020</v>
      </c>
      <c r="K2418">
        <v>43698.521897777777</v>
      </c>
      <c r="L2418" t="s">
        <v>193</v>
      </c>
      <c r="M2418" t="s">
        <v>42</v>
      </c>
      <c r="N2418" t="s">
        <v>415</v>
      </c>
      <c r="O2418">
        <v>324089</v>
      </c>
      <c r="P2418">
        <v>43642.397222222222</v>
      </c>
      <c r="Q2418">
        <v>43593.568874884259</v>
      </c>
      <c r="R2418">
        <v>2494</v>
      </c>
    </row>
    <row r="2419" spans="1:18" x14ac:dyDescent="0.25">
      <c r="A2419" t="s">
        <v>8356</v>
      </c>
      <c r="B2419" t="s">
        <v>8357</v>
      </c>
      <c r="C2419" t="s">
        <v>8358</v>
      </c>
      <c r="D2419" t="s">
        <v>8358</v>
      </c>
      <c r="E2419" t="s">
        <v>8359</v>
      </c>
      <c r="F2419" t="s">
        <v>91</v>
      </c>
      <c r="G2419" t="s">
        <v>22</v>
      </c>
      <c r="H2419" t="s">
        <v>53</v>
      </c>
      <c r="I2419" t="s">
        <v>3006</v>
      </c>
      <c r="J2419">
        <v>2020</v>
      </c>
      <c r="K2419">
        <v>43698.521897777777</v>
      </c>
      <c r="L2419" t="s">
        <v>193</v>
      </c>
      <c r="M2419" t="s">
        <v>42</v>
      </c>
      <c r="N2419" t="s">
        <v>415</v>
      </c>
      <c r="O2419">
        <v>346941</v>
      </c>
      <c r="P2419">
        <v>43698.521897777777</v>
      </c>
      <c r="Q2419">
        <v>43593.569513344904</v>
      </c>
      <c r="R2419">
        <v>2495</v>
      </c>
    </row>
    <row r="2420" spans="1:18" x14ac:dyDescent="0.25">
      <c r="A2420" t="s">
        <v>8360</v>
      </c>
      <c r="B2420" t="s">
        <v>8361</v>
      </c>
      <c r="C2420" t="s">
        <v>8362</v>
      </c>
      <c r="D2420" t="s">
        <v>8362</v>
      </c>
      <c r="E2420" t="s">
        <v>8363</v>
      </c>
      <c r="F2420" t="s">
        <v>91</v>
      </c>
      <c r="G2420" t="s">
        <v>22</v>
      </c>
      <c r="H2420" t="s">
        <v>53</v>
      </c>
      <c r="I2420" t="s">
        <v>3006</v>
      </c>
      <c r="J2420">
        <v>2020</v>
      </c>
      <c r="K2420">
        <v>43698.521897777777</v>
      </c>
      <c r="L2420" t="s">
        <v>193</v>
      </c>
      <c r="M2420" t="s">
        <v>42</v>
      </c>
      <c r="N2420" t="s">
        <v>415</v>
      </c>
      <c r="O2420">
        <v>346946</v>
      </c>
      <c r="P2420">
        <v>43698.521897777777</v>
      </c>
      <c r="Q2420">
        <v>43593.570271643519</v>
      </c>
      <c r="R2420">
        <v>2496</v>
      </c>
    </row>
    <row r="2421" spans="1:18" x14ac:dyDescent="0.25">
      <c r="A2421" t="s">
        <v>8364</v>
      </c>
      <c r="B2421" t="s">
        <v>8365</v>
      </c>
      <c r="C2421" t="s">
        <v>8366</v>
      </c>
      <c r="D2421" t="s">
        <v>8366</v>
      </c>
      <c r="E2421" t="s">
        <v>8367</v>
      </c>
      <c r="F2421" t="s">
        <v>91</v>
      </c>
      <c r="G2421" t="s">
        <v>22</v>
      </c>
      <c r="H2421" t="s">
        <v>53</v>
      </c>
      <c r="I2421" t="s">
        <v>3006</v>
      </c>
      <c r="J2421">
        <v>2020</v>
      </c>
      <c r="K2421">
        <v>43698.521897777777</v>
      </c>
      <c r="L2421" t="s">
        <v>193</v>
      </c>
      <c r="M2421" t="s">
        <v>42</v>
      </c>
      <c r="N2421" t="s">
        <v>415</v>
      </c>
      <c r="O2421">
        <v>346805</v>
      </c>
      <c r="P2421">
        <v>43698.521897777777</v>
      </c>
      <c r="Q2421">
        <v>43593.571034687498</v>
      </c>
      <c r="R2421">
        <v>2497</v>
      </c>
    </row>
    <row r="2422" spans="1:18" x14ac:dyDescent="0.25">
      <c r="A2422" t="s">
        <v>8368</v>
      </c>
      <c r="B2422" t="s">
        <v>8369</v>
      </c>
      <c r="C2422" t="s">
        <v>8370</v>
      </c>
      <c r="D2422" t="s">
        <v>8370</v>
      </c>
      <c r="E2422" t="s">
        <v>8371</v>
      </c>
      <c r="F2422" t="s">
        <v>91</v>
      </c>
      <c r="G2422" t="s">
        <v>22</v>
      </c>
      <c r="H2422" t="s">
        <v>53</v>
      </c>
      <c r="I2422" t="s">
        <v>3006</v>
      </c>
      <c r="J2422">
        <v>2020</v>
      </c>
      <c r="K2422">
        <v>43698.521897777777</v>
      </c>
      <c r="L2422" t="s">
        <v>193</v>
      </c>
      <c r="M2422" t="s">
        <v>42</v>
      </c>
      <c r="N2422" t="s">
        <v>415</v>
      </c>
      <c r="O2422">
        <v>347088</v>
      </c>
      <c r="P2422">
        <v>43698.521897777777</v>
      </c>
      <c r="Q2422">
        <v>43593.571718946761</v>
      </c>
      <c r="R2422">
        <v>2498</v>
      </c>
    </row>
    <row r="2423" spans="1:18" x14ac:dyDescent="0.25">
      <c r="A2423" t="s">
        <v>8372</v>
      </c>
      <c r="B2423" t="s">
        <v>8373</v>
      </c>
      <c r="C2423" t="s">
        <v>8374</v>
      </c>
      <c r="D2423" t="s">
        <v>8374</v>
      </c>
      <c r="E2423" t="s">
        <v>8375</v>
      </c>
      <c r="F2423" t="s">
        <v>91</v>
      </c>
      <c r="G2423" t="s">
        <v>22</v>
      </c>
      <c r="H2423" t="s">
        <v>53</v>
      </c>
      <c r="I2423" t="s">
        <v>3006</v>
      </c>
      <c r="J2423">
        <v>2020</v>
      </c>
      <c r="K2423">
        <v>43698.521897777777</v>
      </c>
      <c r="L2423" t="s">
        <v>193</v>
      </c>
      <c r="M2423" t="s">
        <v>42</v>
      </c>
      <c r="N2423" t="s">
        <v>415</v>
      </c>
      <c r="O2423">
        <v>346959</v>
      </c>
      <c r="P2423">
        <v>43698.521897777777</v>
      </c>
      <c r="Q2423">
        <v>43593.572339432867</v>
      </c>
      <c r="R2423">
        <v>2499</v>
      </c>
    </row>
    <row r="2424" spans="1:18" x14ac:dyDescent="0.25">
      <c r="A2424" t="s">
        <v>8376</v>
      </c>
      <c r="B2424" t="s">
        <v>8377</v>
      </c>
      <c r="C2424" t="s">
        <v>8378</v>
      </c>
      <c r="D2424" t="s">
        <v>8378</v>
      </c>
      <c r="E2424" t="s">
        <v>8379</v>
      </c>
      <c r="F2424" t="s">
        <v>91</v>
      </c>
      <c r="G2424" t="s">
        <v>22</v>
      </c>
      <c r="H2424" t="s">
        <v>53</v>
      </c>
      <c r="I2424" t="s">
        <v>3006</v>
      </c>
      <c r="J2424">
        <v>2020</v>
      </c>
      <c r="K2424">
        <v>43698.521897777777</v>
      </c>
      <c r="L2424" t="s">
        <v>193</v>
      </c>
      <c r="M2424" t="s">
        <v>42</v>
      </c>
      <c r="N2424" t="s">
        <v>415</v>
      </c>
      <c r="O2424">
        <v>347016</v>
      </c>
      <c r="P2424">
        <v>43698.521897777777</v>
      </c>
      <c r="Q2424">
        <v>43593.573239270831</v>
      </c>
      <c r="R2424">
        <v>2500</v>
      </c>
    </row>
    <row r="2425" spans="1:18" x14ac:dyDescent="0.25">
      <c r="A2425" t="s">
        <v>8380</v>
      </c>
      <c r="B2425" t="s">
        <v>8381</v>
      </c>
      <c r="C2425" t="s">
        <v>8382</v>
      </c>
      <c r="D2425" t="s">
        <v>8382</v>
      </c>
      <c r="E2425" t="s">
        <v>8383</v>
      </c>
      <c r="F2425" t="s">
        <v>91</v>
      </c>
      <c r="G2425" t="s">
        <v>22</v>
      </c>
      <c r="H2425" t="s">
        <v>53</v>
      </c>
      <c r="I2425" t="s">
        <v>3006</v>
      </c>
      <c r="J2425">
        <v>2020</v>
      </c>
      <c r="K2425">
        <v>43698.521897777777</v>
      </c>
      <c r="L2425" t="s">
        <v>1005</v>
      </c>
      <c r="M2425" t="s">
        <v>42</v>
      </c>
      <c r="N2425" t="s">
        <v>415</v>
      </c>
      <c r="O2425">
        <v>346063</v>
      </c>
      <c r="P2425">
        <v>43698.521897777777</v>
      </c>
      <c r="Q2425">
        <v>43593.575359988426</v>
      </c>
      <c r="R2425">
        <v>2501</v>
      </c>
    </row>
    <row r="2426" spans="1:18" x14ac:dyDescent="0.25">
      <c r="A2426" t="s">
        <v>8384</v>
      </c>
      <c r="B2426" t="s">
        <v>8385</v>
      </c>
      <c r="C2426" t="s">
        <v>8386</v>
      </c>
      <c r="D2426" t="s">
        <v>8386</v>
      </c>
      <c r="E2426" t="s">
        <v>8387</v>
      </c>
      <c r="F2426" t="s">
        <v>91</v>
      </c>
      <c r="G2426" t="s">
        <v>22</v>
      </c>
      <c r="H2426" t="s">
        <v>53</v>
      </c>
      <c r="I2426" t="s">
        <v>3006</v>
      </c>
      <c r="J2426">
        <v>2020</v>
      </c>
      <c r="K2426">
        <v>43698.521897777777</v>
      </c>
      <c r="L2426" t="s">
        <v>1005</v>
      </c>
      <c r="M2426" t="s">
        <v>37</v>
      </c>
      <c r="N2426" t="s">
        <v>415</v>
      </c>
      <c r="O2426">
        <v>346520</v>
      </c>
      <c r="P2426">
        <v>43698.521897777777</v>
      </c>
      <c r="Q2426">
        <v>43593.579886574073</v>
      </c>
      <c r="R2426">
        <v>2502</v>
      </c>
    </row>
    <row r="2427" spans="1:18" x14ac:dyDescent="0.25">
      <c r="A2427" t="s">
        <v>8388</v>
      </c>
      <c r="B2427" t="s">
        <v>8389</v>
      </c>
      <c r="C2427" t="s">
        <v>8390</v>
      </c>
      <c r="D2427" t="s">
        <v>8390</v>
      </c>
      <c r="E2427" t="s">
        <v>8391</v>
      </c>
      <c r="F2427" t="s">
        <v>91</v>
      </c>
      <c r="G2427" t="s">
        <v>22</v>
      </c>
      <c r="H2427" t="s">
        <v>53</v>
      </c>
      <c r="I2427" t="s">
        <v>3006</v>
      </c>
      <c r="J2427">
        <v>2020</v>
      </c>
      <c r="K2427">
        <v>43698.521897777777</v>
      </c>
      <c r="L2427" t="s">
        <v>1005</v>
      </c>
      <c r="M2427" t="s">
        <v>37</v>
      </c>
      <c r="N2427" t="s">
        <v>415</v>
      </c>
      <c r="O2427">
        <v>336642</v>
      </c>
      <c r="P2427">
        <v>43680.382638888892</v>
      </c>
      <c r="Q2427">
        <v>43593.581039317127</v>
      </c>
      <c r="R2427">
        <v>2503</v>
      </c>
    </row>
    <row r="2428" spans="1:18" x14ac:dyDescent="0.25">
      <c r="A2428" t="s">
        <v>8392</v>
      </c>
      <c r="B2428" t="s">
        <v>8393</v>
      </c>
      <c r="C2428" t="s">
        <v>8394</v>
      </c>
      <c r="D2428" t="s">
        <v>8394</v>
      </c>
      <c r="E2428" t="s">
        <v>8395</v>
      </c>
      <c r="F2428" t="s">
        <v>91</v>
      </c>
      <c r="G2428" t="s">
        <v>22</v>
      </c>
      <c r="H2428" t="s">
        <v>53</v>
      </c>
      <c r="I2428" t="s">
        <v>3006</v>
      </c>
      <c r="J2428">
        <v>2020</v>
      </c>
      <c r="K2428">
        <v>43698.521897777777</v>
      </c>
      <c r="L2428" t="s">
        <v>1005</v>
      </c>
      <c r="M2428" t="s">
        <v>37</v>
      </c>
      <c r="N2428" t="s">
        <v>415</v>
      </c>
      <c r="O2428">
        <v>346580</v>
      </c>
      <c r="P2428">
        <v>43698.521897777777</v>
      </c>
      <c r="Q2428">
        <v>43593.582598263885</v>
      </c>
      <c r="R2428">
        <v>2504</v>
      </c>
    </row>
    <row r="2429" spans="1:18" x14ac:dyDescent="0.25">
      <c r="A2429" t="s">
        <v>8396</v>
      </c>
      <c r="B2429" t="s">
        <v>8397</v>
      </c>
      <c r="C2429" t="s">
        <v>8398</v>
      </c>
      <c r="D2429" t="s">
        <v>8398</v>
      </c>
      <c r="E2429" t="s">
        <v>8399</v>
      </c>
      <c r="F2429" t="s">
        <v>91</v>
      </c>
      <c r="G2429" t="s">
        <v>22</v>
      </c>
      <c r="H2429" t="s">
        <v>53</v>
      </c>
      <c r="I2429" t="s">
        <v>3006</v>
      </c>
      <c r="J2429">
        <v>2020</v>
      </c>
      <c r="K2429">
        <v>43698.521897777777</v>
      </c>
      <c r="L2429" t="s">
        <v>1005</v>
      </c>
      <c r="M2429" t="s">
        <v>37</v>
      </c>
      <c r="N2429" t="s">
        <v>415</v>
      </c>
      <c r="O2429">
        <v>346569</v>
      </c>
      <c r="P2429">
        <v>43698.521897777777</v>
      </c>
      <c r="Q2429">
        <v>43593.583601192127</v>
      </c>
      <c r="R2429">
        <v>2505</v>
      </c>
    </row>
    <row r="2430" spans="1:18" x14ac:dyDescent="0.25">
      <c r="A2430" t="s">
        <v>8400</v>
      </c>
      <c r="B2430" t="s">
        <v>8401</v>
      </c>
      <c r="C2430" t="s">
        <v>8402</v>
      </c>
      <c r="D2430" t="s">
        <v>8402</v>
      </c>
      <c r="E2430" t="s">
        <v>8403</v>
      </c>
      <c r="F2430" t="s">
        <v>91</v>
      </c>
      <c r="G2430" t="s">
        <v>22</v>
      </c>
      <c r="H2430" t="s">
        <v>53</v>
      </c>
      <c r="I2430" t="s">
        <v>3006</v>
      </c>
      <c r="J2430">
        <v>2020</v>
      </c>
      <c r="K2430">
        <v>43698.521897777777</v>
      </c>
      <c r="L2430" t="s">
        <v>193</v>
      </c>
      <c r="M2430" t="s">
        <v>26</v>
      </c>
      <c r="N2430" t="s">
        <v>415</v>
      </c>
      <c r="O2430">
        <v>346369</v>
      </c>
      <c r="P2430">
        <v>43698.521897777777</v>
      </c>
      <c r="Q2430">
        <v>43593.592797187499</v>
      </c>
      <c r="R2430">
        <v>2506</v>
      </c>
    </row>
    <row r="2431" spans="1:18" x14ac:dyDescent="0.25">
      <c r="A2431" t="s">
        <v>8404</v>
      </c>
      <c r="B2431" t="s">
        <v>8405</v>
      </c>
      <c r="C2431" t="s">
        <v>8406</v>
      </c>
      <c r="D2431" t="s">
        <v>8406</v>
      </c>
      <c r="E2431" t="s">
        <v>8407</v>
      </c>
      <c r="F2431" t="s">
        <v>91</v>
      </c>
      <c r="G2431" t="s">
        <v>22</v>
      </c>
      <c r="H2431" t="s">
        <v>53</v>
      </c>
      <c r="I2431" t="s">
        <v>3006</v>
      </c>
      <c r="J2431">
        <v>2020</v>
      </c>
      <c r="K2431">
        <v>43698.521897777777</v>
      </c>
      <c r="L2431" t="s">
        <v>1005</v>
      </c>
      <c r="M2431" t="s">
        <v>26</v>
      </c>
      <c r="N2431" t="s">
        <v>415</v>
      </c>
      <c r="O2431">
        <v>346735</v>
      </c>
      <c r="P2431">
        <v>43698.521897777777</v>
      </c>
      <c r="Q2431">
        <v>43593.593788310187</v>
      </c>
      <c r="R2431">
        <v>2507</v>
      </c>
    </row>
    <row r="2432" spans="1:18" x14ac:dyDescent="0.25">
      <c r="A2432" t="s">
        <v>8408</v>
      </c>
      <c r="B2432" t="s">
        <v>8409</v>
      </c>
      <c r="C2432" t="s">
        <v>8410</v>
      </c>
      <c r="D2432" t="s">
        <v>8410</v>
      </c>
      <c r="E2432" t="s">
        <v>8411</v>
      </c>
      <c r="F2432" t="s">
        <v>91</v>
      </c>
      <c r="G2432" t="s">
        <v>22</v>
      </c>
      <c r="H2432" t="s">
        <v>53</v>
      </c>
      <c r="I2432" t="s">
        <v>3006</v>
      </c>
      <c r="J2432">
        <v>2020</v>
      </c>
      <c r="K2432">
        <v>43698.521897777777</v>
      </c>
      <c r="L2432" t="s">
        <v>193</v>
      </c>
      <c r="M2432" t="s">
        <v>26</v>
      </c>
      <c r="N2432" t="s">
        <v>415</v>
      </c>
      <c r="O2432">
        <v>346397</v>
      </c>
      <c r="P2432">
        <v>43698.521897777777</v>
      </c>
      <c r="Q2432">
        <v>43593.594639733798</v>
      </c>
      <c r="R2432">
        <v>2508</v>
      </c>
    </row>
    <row r="2433" spans="1:18" x14ac:dyDescent="0.25">
      <c r="A2433" t="s">
        <v>8412</v>
      </c>
      <c r="B2433" t="s">
        <v>8413</v>
      </c>
      <c r="C2433" t="s">
        <v>8414</v>
      </c>
      <c r="D2433" t="s">
        <v>8414</v>
      </c>
      <c r="E2433" t="s">
        <v>8415</v>
      </c>
      <c r="F2433" t="s">
        <v>91</v>
      </c>
      <c r="G2433" t="s">
        <v>22</v>
      </c>
      <c r="H2433" t="s">
        <v>53</v>
      </c>
      <c r="I2433" t="s">
        <v>3006</v>
      </c>
      <c r="J2433">
        <v>2020</v>
      </c>
      <c r="K2433">
        <v>43698.521897777777</v>
      </c>
      <c r="L2433" t="s">
        <v>2686</v>
      </c>
      <c r="M2433" t="s">
        <v>26</v>
      </c>
      <c r="N2433" t="s">
        <v>415</v>
      </c>
      <c r="O2433">
        <v>347085</v>
      </c>
      <c r="P2433">
        <v>43698.521897777777</v>
      </c>
      <c r="Q2433">
        <v>43593.595257789355</v>
      </c>
      <c r="R2433">
        <v>2509</v>
      </c>
    </row>
    <row r="2434" spans="1:18" x14ac:dyDescent="0.25">
      <c r="A2434" t="s">
        <v>8416</v>
      </c>
      <c r="B2434" t="s">
        <v>8417</v>
      </c>
      <c r="C2434" t="s">
        <v>8418</v>
      </c>
      <c r="D2434" t="s">
        <v>8418</v>
      </c>
      <c r="E2434" t="s">
        <v>8419</v>
      </c>
      <c r="F2434" t="s">
        <v>91</v>
      </c>
      <c r="G2434" t="s">
        <v>22</v>
      </c>
      <c r="H2434" t="s">
        <v>53</v>
      </c>
      <c r="I2434" t="s">
        <v>3006</v>
      </c>
      <c r="J2434">
        <v>2020</v>
      </c>
      <c r="K2434">
        <v>43698.521897777777</v>
      </c>
      <c r="L2434" t="s">
        <v>2686</v>
      </c>
      <c r="M2434" t="s">
        <v>26</v>
      </c>
      <c r="N2434" t="s">
        <v>415</v>
      </c>
      <c r="O2434">
        <v>346924</v>
      </c>
      <c r="P2434">
        <v>43698.521897777777</v>
      </c>
      <c r="Q2434">
        <v>43593.596347534723</v>
      </c>
      <c r="R2434">
        <v>2510</v>
      </c>
    </row>
    <row r="2435" spans="1:18" x14ac:dyDescent="0.25">
      <c r="A2435" t="s">
        <v>8420</v>
      </c>
      <c r="B2435" t="s">
        <v>8421</v>
      </c>
      <c r="C2435" t="s">
        <v>8422</v>
      </c>
      <c r="D2435" t="s">
        <v>8422</v>
      </c>
      <c r="E2435" t="s">
        <v>8423</v>
      </c>
      <c r="F2435" t="s">
        <v>91</v>
      </c>
      <c r="G2435" t="s">
        <v>22</v>
      </c>
      <c r="H2435" t="s">
        <v>53</v>
      </c>
      <c r="I2435" t="s">
        <v>3006</v>
      </c>
      <c r="J2435">
        <v>2020</v>
      </c>
      <c r="K2435">
        <v>43698.521897777777</v>
      </c>
      <c r="L2435" t="s">
        <v>1005</v>
      </c>
      <c r="M2435" t="s">
        <v>37</v>
      </c>
      <c r="N2435" t="s">
        <v>415</v>
      </c>
      <c r="O2435">
        <v>346085</v>
      </c>
      <c r="P2435">
        <v>43698.521897777777</v>
      </c>
      <c r="Q2435">
        <v>43593.613980243055</v>
      </c>
      <c r="R2435">
        <v>2511</v>
      </c>
    </row>
    <row r="2436" spans="1:18" x14ac:dyDescent="0.25">
      <c r="A2436" t="s">
        <v>8424</v>
      </c>
      <c r="B2436" t="s">
        <v>8425</v>
      </c>
      <c r="C2436" t="s">
        <v>8426</v>
      </c>
      <c r="D2436" t="s">
        <v>8426</v>
      </c>
      <c r="E2436" t="s">
        <v>8426</v>
      </c>
      <c r="F2436" t="s">
        <v>21</v>
      </c>
      <c r="G2436" t="s">
        <v>63</v>
      </c>
      <c r="H2436" t="s">
        <v>53</v>
      </c>
      <c r="I2436" t="s">
        <v>471</v>
      </c>
      <c r="J2436">
        <v>2015</v>
      </c>
      <c r="K2436">
        <v>43698.521897777777</v>
      </c>
      <c r="L2436" t="s">
        <v>25</v>
      </c>
      <c r="M2436" t="s">
        <v>154</v>
      </c>
      <c r="N2436" t="s">
        <v>4011</v>
      </c>
      <c r="O2436">
        <v>343188</v>
      </c>
      <c r="P2436">
        <v>43694.537476851852</v>
      </c>
      <c r="Q2436">
        <v>43593.884891932874</v>
      </c>
      <c r="R2436">
        <v>2512</v>
      </c>
    </row>
    <row r="2437" spans="1:18" x14ac:dyDescent="0.25">
      <c r="A2437" t="s">
        <v>8427</v>
      </c>
      <c r="B2437" t="s">
        <v>8428</v>
      </c>
      <c r="C2437" t="s">
        <v>8429</v>
      </c>
      <c r="D2437" t="s">
        <v>8429</v>
      </c>
      <c r="E2437" t="s">
        <v>8429</v>
      </c>
      <c r="F2437" t="s">
        <v>91</v>
      </c>
      <c r="G2437" t="s">
        <v>22</v>
      </c>
      <c r="H2437" t="s">
        <v>1315</v>
      </c>
      <c r="I2437" t="s">
        <v>6976</v>
      </c>
      <c r="J2437">
        <v>2018</v>
      </c>
      <c r="K2437">
        <v>43698.521897777777</v>
      </c>
      <c r="L2437" t="s">
        <v>1978</v>
      </c>
      <c r="M2437" t="s">
        <v>5389</v>
      </c>
      <c r="N2437" t="s">
        <v>523</v>
      </c>
      <c r="Q2437">
        <v>43594.614547141202</v>
      </c>
      <c r="R2437">
        <v>2513</v>
      </c>
    </row>
    <row r="2438" spans="1:18" x14ac:dyDescent="0.25">
      <c r="A2438" t="s">
        <v>8430</v>
      </c>
      <c r="B2438" t="s">
        <v>3480</v>
      </c>
      <c r="C2438" t="s">
        <v>8431</v>
      </c>
      <c r="D2438" t="s">
        <v>8431</v>
      </c>
      <c r="E2438" t="s">
        <v>8432</v>
      </c>
      <c r="F2438" t="s">
        <v>91</v>
      </c>
      <c r="G2438" t="s">
        <v>22</v>
      </c>
      <c r="H2438" t="s">
        <v>53</v>
      </c>
      <c r="I2438" t="s">
        <v>3006</v>
      </c>
      <c r="J2438">
        <v>2018</v>
      </c>
      <c r="K2438">
        <v>43698.521897777777</v>
      </c>
      <c r="L2438" t="s">
        <v>466</v>
      </c>
      <c r="M2438" t="s">
        <v>1738</v>
      </c>
      <c r="N2438" t="s">
        <v>467</v>
      </c>
      <c r="O2438">
        <v>345394</v>
      </c>
      <c r="P2438">
        <v>43698.521897777777</v>
      </c>
      <c r="Q2438">
        <v>43594.634913159724</v>
      </c>
      <c r="R2438">
        <v>2514</v>
      </c>
    </row>
    <row r="2439" spans="1:18" x14ac:dyDescent="0.25">
      <c r="A2439" t="s">
        <v>8433</v>
      </c>
      <c r="B2439" t="s">
        <v>8434</v>
      </c>
      <c r="C2439" t="s">
        <v>8435</v>
      </c>
      <c r="D2439" t="s">
        <v>8435</v>
      </c>
      <c r="E2439" t="s">
        <v>8435</v>
      </c>
      <c r="F2439" t="s">
        <v>91</v>
      </c>
      <c r="G2439" t="s">
        <v>63</v>
      </c>
      <c r="H2439" t="s">
        <v>23</v>
      </c>
      <c r="I2439" t="s">
        <v>41</v>
      </c>
      <c r="J2439">
        <v>2019</v>
      </c>
      <c r="K2439">
        <v>43698.521897777777</v>
      </c>
      <c r="L2439" t="s">
        <v>1005</v>
      </c>
      <c r="M2439" t="s">
        <v>1941</v>
      </c>
      <c r="N2439" t="s">
        <v>415</v>
      </c>
      <c r="O2439">
        <v>346047</v>
      </c>
      <c r="P2439">
        <v>43698.521897777777</v>
      </c>
      <c r="Q2439">
        <v>43594.67963244213</v>
      </c>
      <c r="R2439">
        <v>2515</v>
      </c>
    </row>
    <row r="2440" spans="1:18" x14ac:dyDescent="0.25">
      <c r="A2440" t="s">
        <v>8436</v>
      </c>
      <c r="B2440" t="s">
        <v>6209</v>
      </c>
      <c r="C2440" t="s">
        <v>8437</v>
      </c>
      <c r="D2440" t="s">
        <v>8437</v>
      </c>
      <c r="E2440" t="s">
        <v>8437</v>
      </c>
      <c r="F2440" t="s">
        <v>253</v>
      </c>
      <c r="G2440" t="s">
        <v>63</v>
      </c>
      <c r="H2440" t="s">
        <v>34</v>
      </c>
      <c r="I2440" t="s">
        <v>35</v>
      </c>
      <c r="J2440">
        <v>2019</v>
      </c>
      <c r="K2440">
        <v>43698.521897777777</v>
      </c>
      <c r="L2440" t="s">
        <v>1056</v>
      </c>
      <c r="M2440" t="s">
        <v>1941</v>
      </c>
      <c r="N2440" t="s">
        <v>415</v>
      </c>
      <c r="O2440">
        <v>345936</v>
      </c>
      <c r="P2440">
        <v>43698.521897777777</v>
      </c>
      <c r="Q2440">
        <v>43609.443175347224</v>
      </c>
      <c r="R2440">
        <v>2516</v>
      </c>
    </row>
    <row r="2441" spans="1:18" x14ac:dyDescent="0.25">
      <c r="A2441" t="s">
        <v>8438</v>
      </c>
      <c r="B2441" t="s">
        <v>2255</v>
      </c>
      <c r="C2441" t="s">
        <v>8439</v>
      </c>
      <c r="D2441" t="s">
        <v>8439</v>
      </c>
      <c r="E2441" t="s">
        <v>8439</v>
      </c>
      <c r="F2441" t="s">
        <v>91</v>
      </c>
      <c r="G2441" t="s">
        <v>63</v>
      </c>
      <c r="H2441" t="s">
        <v>53</v>
      </c>
      <c r="I2441" t="s">
        <v>4052</v>
      </c>
      <c r="J2441">
        <v>2007</v>
      </c>
      <c r="K2441">
        <v>43698.521897777777</v>
      </c>
      <c r="L2441" t="s">
        <v>578</v>
      </c>
      <c r="M2441" t="s">
        <v>1941</v>
      </c>
      <c r="N2441" t="s">
        <v>415</v>
      </c>
      <c r="O2441">
        <v>341916</v>
      </c>
      <c r="P2441">
        <v>43686.563194444447</v>
      </c>
      <c r="Q2441">
        <v>43609.443697222225</v>
      </c>
      <c r="R2441">
        <v>2517</v>
      </c>
    </row>
    <row r="2442" spans="1:18" x14ac:dyDescent="0.25">
      <c r="A2442" t="s">
        <v>8440</v>
      </c>
      <c r="B2442" t="s">
        <v>8441</v>
      </c>
      <c r="C2442" t="s">
        <v>8442</v>
      </c>
      <c r="D2442" t="s">
        <v>8442</v>
      </c>
      <c r="E2442" t="s">
        <v>8443</v>
      </c>
      <c r="F2442" t="s">
        <v>91</v>
      </c>
      <c r="G2442" t="s">
        <v>22</v>
      </c>
      <c r="H2442" t="s">
        <v>53</v>
      </c>
      <c r="I2442" t="s">
        <v>3006</v>
      </c>
      <c r="J2442">
        <v>2020</v>
      </c>
      <c r="K2442">
        <v>43698.521897777777</v>
      </c>
      <c r="L2442" t="s">
        <v>466</v>
      </c>
      <c r="M2442" t="s">
        <v>1738</v>
      </c>
      <c r="N2442" t="s">
        <v>1305</v>
      </c>
      <c r="O2442">
        <v>346124</v>
      </c>
      <c r="P2442">
        <v>43698.521897777777</v>
      </c>
      <c r="Q2442">
        <v>43609.5654440625</v>
      </c>
      <c r="R2442">
        <v>2524</v>
      </c>
    </row>
    <row r="2443" spans="1:18" x14ac:dyDescent="0.25">
      <c r="A2443" t="s">
        <v>8444</v>
      </c>
      <c r="B2443" t="s">
        <v>8445</v>
      </c>
      <c r="C2443" t="s">
        <v>8446</v>
      </c>
      <c r="D2443" t="s">
        <v>8446</v>
      </c>
      <c r="E2443" t="s">
        <v>8447</v>
      </c>
      <c r="F2443" t="s">
        <v>91</v>
      </c>
      <c r="G2443" t="s">
        <v>22</v>
      </c>
      <c r="H2443" t="s">
        <v>53</v>
      </c>
      <c r="I2443" t="s">
        <v>3006</v>
      </c>
      <c r="J2443">
        <v>2020</v>
      </c>
      <c r="K2443">
        <v>43698.521897777777</v>
      </c>
      <c r="L2443" t="s">
        <v>466</v>
      </c>
      <c r="M2443" t="s">
        <v>1738</v>
      </c>
      <c r="N2443" t="s">
        <v>467</v>
      </c>
      <c r="O2443">
        <v>344200</v>
      </c>
      <c r="P2443">
        <v>43695.78465277778</v>
      </c>
      <c r="Q2443">
        <v>43609.567018553244</v>
      </c>
      <c r="R2443">
        <v>2526</v>
      </c>
    </row>
    <row r="2444" spans="1:18" x14ac:dyDescent="0.25">
      <c r="A2444" t="s">
        <v>8448</v>
      </c>
      <c r="B2444" t="s">
        <v>8449</v>
      </c>
      <c r="C2444" t="s">
        <v>8450</v>
      </c>
      <c r="D2444" t="s">
        <v>8450</v>
      </c>
      <c r="E2444" t="s">
        <v>8451</v>
      </c>
      <c r="F2444" t="s">
        <v>91</v>
      </c>
      <c r="G2444" t="s">
        <v>22</v>
      </c>
      <c r="H2444" t="s">
        <v>53</v>
      </c>
      <c r="I2444" t="s">
        <v>3006</v>
      </c>
      <c r="J2444">
        <v>2020</v>
      </c>
      <c r="K2444">
        <v>43698.521897777777</v>
      </c>
      <c r="L2444" t="s">
        <v>466</v>
      </c>
      <c r="M2444" t="s">
        <v>1738</v>
      </c>
      <c r="N2444" t="s">
        <v>1305</v>
      </c>
      <c r="O2444">
        <v>345816</v>
      </c>
      <c r="P2444">
        <v>43698.521897777777</v>
      </c>
      <c r="Q2444">
        <v>43609.567883298609</v>
      </c>
      <c r="R2444">
        <v>2527</v>
      </c>
    </row>
    <row r="2445" spans="1:18" x14ac:dyDescent="0.25">
      <c r="A2445" t="s">
        <v>8452</v>
      </c>
      <c r="B2445" t="s">
        <v>8453</v>
      </c>
      <c r="C2445" t="s">
        <v>8454</v>
      </c>
      <c r="D2445" t="s">
        <v>8454</v>
      </c>
      <c r="E2445" t="s">
        <v>8455</v>
      </c>
      <c r="F2445" t="s">
        <v>91</v>
      </c>
      <c r="G2445" t="s">
        <v>22</v>
      </c>
      <c r="H2445" t="s">
        <v>53</v>
      </c>
      <c r="I2445" t="s">
        <v>3006</v>
      </c>
      <c r="J2445">
        <v>2020</v>
      </c>
      <c r="K2445">
        <v>43698.521897777777</v>
      </c>
      <c r="L2445" t="s">
        <v>466</v>
      </c>
      <c r="M2445" t="s">
        <v>1738</v>
      </c>
      <c r="N2445" t="s">
        <v>1305</v>
      </c>
      <c r="O2445">
        <v>345813</v>
      </c>
      <c r="P2445">
        <v>43698.521897777777</v>
      </c>
      <c r="Q2445">
        <v>43609.571712847224</v>
      </c>
      <c r="R2445">
        <v>2530</v>
      </c>
    </row>
    <row r="2446" spans="1:18" x14ac:dyDescent="0.25">
      <c r="A2446" t="s">
        <v>8456</v>
      </c>
      <c r="B2446" t="s">
        <v>8457</v>
      </c>
      <c r="C2446" t="s">
        <v>8458</v>
      </c>
      <c r="D2446" t="s">
        <v>8458</v>
      </c>
      <c r="E2446" t="s">
        <v>8459</v>
      </c>
      <c r="F2446" t="s">
        <v>91</v>
      </c>
      <c r="G2446" t="s">
        <v>22</v>
      </c>
      <c r="H2446" t="s">
        <v>53</v>
      </c>
      <c r="I2446" t="s">
        <v>3006</v>
      </c>
      <c r="J2446">
        <v>2020</v>
      </c>
      <c r="K2446">
        <v>43698.521897777777</v>
      </c>
      <c r="L2446" t="s">
        <v>466</v>
      </c>
      <c r="M2446" t="s">
        <v>1738</v>
      </c>
      <c r="N2446" t="s">
        <v>1305</v>
      </c>
      <c r="O2446">
        <v>343395</v>
      </c>
      <c r="P2446">
        <v>43695.368055555555</v>
      </c>
      <c r="Q2446">
        <v>43609.572898611113</v>
      </c>
      <c r="R2446">
        <v>2531</v>
      </c>
    </row>
    <row r="2447" spans="1:18" x14ac:dyDescent="0.25">
      <c r="A2447" t="s">
        <v>8460</v>
      </c>
      <c r="B2447" t="s">
        <v>8461</v>
      </c>
      <c r="C2447" t="s">
        <v>8462</v>
      </c>
      <c r="D2447" t="s">
        <v>8462</v>
      </c>
      <c r="E2447" t="s">
        <v>8463</v>
      </c>
      <c r="F2447" t="s">
        <v>91</v>
      </c>
      <c r="G2447" t="s">
        <v>22</v>
      </c>
      <c r="H2447" t="s">
        <v>53</v>
      </c>
      <c r="I2447" t="s">
        <v>3006</v>
      </c>
      <c r="J2447">
        <v>2020</v>
      </c>
      <c r="K2447">
        <v>43698.521897777777</v>
      </c>
      <c r="L2447" t="s">
        <v>466</v>
      </c>
      <c r="M2447" t="s">
        <v>1738</v>
      </c>
      <c r="N2447" t="s">
        <v>1305</v>
      </c>
      <c r="O2447">
        <v>346669</v>
      </c>
      <c r="P2447">
        <v>43698.521897777777</v>
      </c>
      <c r="Q2447">
        <v>43609.573668553239</v>
      </c>
      <c r="R2447">
        <v>2532</v>
      </c>
    </row>
    <row r="2448" spans="1:18" x14ac:dyDescent="0.25">
      <c r="A2448" t="s">
        <v>8464</v>
      </c>
      <c r="B2448" t="s">
        <v>8465</v>
      </c>
      <c r="C2448" t="s">
        <v>8466</v>
      </c>
      <c r="D2448" t="s">
        <v>8466</v>
      </c>
      <c r="E2448" t="s">
        <v>8467</v>
      </c>
      <c r="F2448" t="s">
        <v>91</v>
      </c>
      <c r="G2448" t="s">
        <v>22</v>
      </c>
      <c r="H2448" t="s">
        <v>53</v>
      </c>
      <c r="I2448" t="s">
        <v>3006</v>
      </c>
      <c r="J2448">
        <v>2020</v>
      </c>
      <c r="K2448">
        <v>43698.521897777777</v>
      </c>
      <c r="L2448" t="s">
        <v>466</v>
      </c>
      <c r="M2448" t="s">
        <v>1738</v>
      </c>
      <c r="N2448" t="s">
        <v>1305</v>
      </c>
      <c r="O2448">
        <v>345858</v>
      </c>
      <c r="P2448">
        <v>43698.521897777777</v>
      </c>
      <c r="Q2448">
        <v>43609.574549618053</v>
      </c>
      <c r="R2448">
        <v>2533</v>
      </c>
    </row>
    <row r="2449" spans="1:18" x14ac:dyDescent="0.25">
      <c r="A2449" t="s">
        <v>8468</v>
      </c>
      <c r="B2449" t="s">
        <v>8469</v>
      </c>
      <c r="C2449" t="s">
        <v>8470</v>
      </c>
      <c r="D2449" t="s">
        <v>8470</v>
      </c>
      <c r="E2449" t="s">
        <v>8471</v>
      </c>
      <c r="F2449" t="s">
        <v>91</v>
      </c>
      <c r="G2449" t="s">
        <v>22</v>
      </c>
      <c r="H2449" t="s">
        <v>53</v>
      </c>
      <c r="I2449" t="s">
        <v>3006</v>
      </c>
      <c r="J2449">
        <v>2020</v>
      </c>
      <c r="K2449">
        <v>43698.521897777777</v>
      </c>
      <c r="L2449" t="s">
        <v>466</v>
      </c>
      <c r="M2449" t="s">
        <v>1738</v>
      </c>
      <c r="N2449" t="s">
        <v>1305</v>
      </c>
      <c r="O2449">
        <v>346645</v>
      </c>
      <c r="P2449">
        <v>43698.521897777777</v>
      </c>
      <c r="Q2449">
        <v>43609.575183946756</v>
      </c>
      <c r="R2449">
        <v>2534</v>
      </c>
    </row>
    <row r="2450" spans="1:18" x14ac:dyDescent="0.25">
      <c r="A2450" t="s">
        <v>25</v>
      </c>
      <c r="B2450" t="s">
        <v>25</v>
      </c>
      <c r="C2450" t="s">
        <v>8472</v>
      </c>
      <c r="D2450" t="s">
        <v>8472</v>
      </c>
      <c r="E2450" t="s">
        <v>8472</v>
      </c>
      <c r="F2450" t="s">
        <v>91</v>
      </c>
      <c r="G2450" t="s">
        <v>22</v>
      </c>
      <c r="H2450" t="s">
        <v>8473</v>
      </c>
      <c r="I2450" t="s">
        <v>5748</v>
      </c>
      <c r="J2450">
        <v>2019</v>
      </c>
      <c r="K2450">
        <v>43698.521897777777</v>
      </c>
      <c r="L2450" t="s">
        <v>1978</v>
      </c>
      <c r="M2450" t="s">
        <v>5389</v>
      </c>
      <c r="N2450" t="s">
        <v>523</v>
      </c>
      <c r="Q2450">
        <v>43612.358080787038</v>
      </c>
      <c r="R2450">
        <v>2536</v>
      </c>
    </row>
    <row r="2451" spans="1:18" x14ac:dyDescent="0.25">
      <c r="A2451" t="s">
        <v>8474</v>
      </c>
      <c r="B2451" t="s">
        <v>8475</v>
      </c>
      <c r="C2451" t="s">
        <v>8476</v>
      </c>
      <c r="D2451" t="s">
        <v>8476</v>
      </c>
      <c r="E2451" t="s">
        <v>8476</v>
      </c>
      <c r="F2451" t="s">
        <v>91</v>
      </c>
      <c r="G2451" t="s">
        <v>22</v>
      </c>
      <c r="H2451" t="s">
        <v>1315</v>
      </c>
      <c r="I2451" t="s">
        <v>5748</v>
      </c>
      <c r="J2451">
        <v>2019</v>
      </c>
      <c r="K2451">
        <v>43698.521897777777</v>
      </c>
      <c r="L2451" t="s">
        <v>1604</v>
      </c>
      <c r="M2451" t="s">
        <v>5389</v>
      </c>
      <c r="N2451" t="s">
        <v>467</v>
      </c>
      <c r="Q2451">
        <v>43612.358886261572</v>
      </c>
      <c r="R2451">
        <v>2537</v>
      </c>
    </row>
    <row r="2452" spans="1:18" x14ac:dyDescent="0.25">
      <c r="A2452" t="s">
        <v>8477</v>
      </c>
      <c r="B2452" t="s">
        <v>7994</v>
      </c>
      <c r="C2452" t="s">
        <v>8478</v>
      </c>
      <c r="D2452" t="s">
        <v>8478</v>
      </c>
      <c r="E2452" t="s">
        <v>8479</v>
      </c>
      <c r="F2452" t="s">
        <v>91</v>
      </c>
      <c r="G2452" t="s">
        <v>22</v>
      </c>
      <c r="H2452" t="s">
        <v>53</v>
      </c>
      <c r="I2452" t="s">
        <v>3006</v>
      </c>
      <c r="J2452">
        <v>2019</v>
      </c>
      <c r="K2452">
        <v>43698.521897777777</v>
      </c>
      <c r="L2452" t="s">
        <v>578</v>
      </c>
      <c r="M2452" t="s">
        <v>37</v>
      </c>
      <c r="N2452" t="s">
        <v>415</v>
      </c>
      <c r="O2452">
        <v>333076</v>
      </c>
      <c r="P2452">
        <v>43665.924305555556</v>
      </c>
      <c r="Q2452">
        <v>43612.437166053242</v>
      </c>
      <c r="R2452">
        <v>2538</v>
      </c>
    </row>
    <row r="2453" spans="1:18" x14ac:dyDescent="0.25">
      <c r="A2453" t="s">
        <v>8480</v>
      </c>
      <c r="B2453" t="s">
        <v>8003</v>
      </c>
      <c r="C2453" t="s">
        <v>8481</v>
      </c>
      <c r="D2453" t="s">
        <v>8481</v>
      </c>
      <c r="E2453" t="s">
        <v>8482</v>
      </c>
      <c r="F2453" t="s">
        <v>91</v>
      </c>
      <c r="G2453" t="s">
        <v>22</v>
      </c>
      <c r="H2453" t="s">
        <v>53</v>
      </c>
      <c r="I2453" t="s">
        <v>3006</v>
      </c>
      <c r="J2453">
        <v>2019</v>
      </c>
      <c r="K2453">
        <v>43698.521897777777</v>
      </c>
      <c r="L2453" t="s">
        <v>2686</v>
      </c>
      <c r="M2453" t="s">
        <v>37</v>
      </c>
      <c r="N2453" t="s">
        <v>1439</v>
      </c>
      <c r="O2453">
        <v>346923</v>
      </c>
      <c r="P2453">
        <v>43698.46020833333</v>
      </c>
      <c r="Q2453">
        <v>43612.438760300924</v>
      </c>
      <c r="R2453">
        <v>2539</v>
      </c>
    </row>
    <row r="2454" spans="1:18" x14ac:dyDescent="0.25">
      <c r="A2454" t="s">
        <v>8483</v>
      </c>
      <c r="B2454" t="s">
        <v>8007</v>
      </c>
      <c r="C2454" t="s">
        <v>8484</v>
      </c>
      <c r="D2454" t="s">
        <v>8484</v>
      </c>
      <c r="E2454" t="s">
        <v>8485</v>
      </c>
      <c r="F2454" t="s">
        <v>91</v>
      </c>
      <c r="G2454" t="s">
        <v>22</v>
      </c>
      <c r="H2454" t="s">
        <v>53</v>
      </c>
      <c r="I2454" t="s">
        <v>3006</v>
      </c>
      <c r="J2454">
        <v>2019</v>
      </c>
      <c r="K2454">
        <v>43698.521897777777</v>
      </c>
      <c r="L2454" t="s">
        <v>2686</v>
      </c>
      <c r="M2454" t="s">
        <v>37</v>
      </c>
      <c r="N2454" t="s">
        <v>415</v>
      </c>
      <c r="O2454">
        <v>346958</v>
      </c>
      <c r="P2454">
        <v>43698.521897777777</v>
      </c>
      <c r="Q2454">
        <v>43612.440256712965</v>
      </c>
      <c r="R2454">
        <v>2540</v>
      </c>
    </row>
    <row r="2455" spans="1:18" x14ac:dyDescent="0.25">
      <c r="A2455" t="s">
        <v>8486</v>
      </c>
      <c r="B2455" t="s">
        <v>8011</v>
      </c>
      <c r="C2455" t="s">
        <v>8487</v>
      </c>
      <c r="D2455" t="s">
        <v>8487</v>
      </c>
      <c r="E2455" t="s">
        <v>8488</v>
      </c>
      <c r="F2455" t="s">
        <v>91</v>
      </c>
      <c r="G2455" t="s">
        <v>22</v>
      </c>
      <c r="H2455" t="s">
        <v>53</v>
      </c>
      <c r="I2455" t="s">
        <v>3006</v>
      </c>
      <c r="J2455">
        <v>2019</v>
      </c>
      <c r="K2455">
        <v>43698.521897777777</v>
      </c>
      <c r="L2455" t="s">
        <v>2686</v>
      </c>
      <c r="M2455" t="s">
        <v>37</v>
      </c>
      <c r="N2455" t="s">
        <v>415</v>
      </c>
      <c r="O2455">
        <v>347086</v>
      </c>
      <c r="P2455">
        <v>43698.521897777777</v>
      </c>
      <c r="Q2455">
        <v>43612.441456053239</v>
      </c>
      <c r="R2455">
        <v>2541</v>
      </c>
    </row>
    <row r="2456" spans="1:18" x14ac:dyDescent="0.25">
      <c r="A2456" t="s">
        <v>8489</v>
      </c>
      <c r="B2456" t="s">
        <v>7999</v>
      </c>
      <c r="C2456" t="s">
        <v>8490</v>
      </c>
      <c r="D2456" t="s">
        <v>8490</v>
      </c>
      <c r="E2456" t="s">
        <v>8491</v>
      </c>
      <c r="F2456" t="s">
        <v>91</v>
      </c>
      <c r="G2456" t="s">
        <v>22</v>
      </c>
      <c r="H2456" t="s">
        <v>53</v>
      </c>
      <c r="I2456" t="s">
        <v>3006</v>
      </c>
      <c r="J2456">
        <v>2019</v>
      </c>
      <c r="K2456">
        <v>43698.521897777777</v>
      </c>
      <c r="L2456" t="s">
        <v>578</v>
      </c>
      <c r="M2456" t="s">
        <v>37</v>
      </c>
      <c r="N2456" t="s">
        <v>415</v>
      </c>
      <c r="O2456">
        <v>346898</v>
      </c>
      <c r="P2456">
        <v>43698.521897777777</v>
      </c>
      <c r="Q2456">
        <v>43612.446700081018</v>
      </c>
      <c r="R2456">
        <v>2542</v>
      </c>
    </row>
    <row r="2457" spans="1:18" x14ac:dyDescent="0.25">
      <c r="A2457" t="s">
        <v>25</v>
      </c>
      <c r="B2457" t="s">
        <v>25</v>
      </c>
      <c r="C2457" t="s">
        <v>8492</v>
      </c>
      <c r="D2457" t="s">
        <v>8492</v>
      </c>
      <c r="E2457" t="s">
        <v>8492</v>
      </c>
      <c r="F2457" t="s">
        <v>91</v>
      </c>
      <c r="G2457" t="s">
        <v>22</v>
      </c>
      <c r="H2457" t="s">
        <v>1315</v>
      </c>
      <c r="I2457" t="s">
        <v>8493</v>
      </c>
      <c r="J2457">
        <v>2019</v>
      </c>
      <c r="K2457">
        <v>43698.521897777777</v>
      </c>
      <c r="L2457" t="s">
        <v>1978</v>
      </c>
      <c r="M2457" t="s">
        <v>5389</v>
      </c>
      <c r="N2457" t="s">
        <v>523</v>
      </c>
      <c r="Q2457">
        <v>43612.618591168983</v>
      </c>
      <c r="R2457">
        <v>2543</v>
      </c>
    </row>
    <row r="2458" spans="1:18" x14ac:dyDescent="0.25">
      <c r="A2458" t="s">
        <v>8494</v>
      </c>
      <c r="B2458" t="s">
        <v>8495</v>
      </c>
      <c r="C2458" t="s">
        <v>8496</v>
      </c>
      <c r="D2458" t="s">
        <v>8496</v>
      </c>
      <c r="E2458" t="s">
        <v>8497</v>
      </c>
      <c r="F2458" t="s">
        <v>91</v>
      </c>
      <c r="G2458" t="s">
        <v>22</v>
      </c>
      <c r="H2458" t="s">
        <v>53</v>
      </c>
      <c r="I2458" t="s">
        <v>3006</v>
      </c>
      <c r="J2458">
        <v>2020</v>
      </c>
      <c r="K2458">
        <v>43698.521897777777</v>
      </c>
      <c r="L2458" t="s">
        <v>899</v>
      </c>
      <c r="M2458" t="s">
        <v>1738</v>
      </c>
      <c r="N2458" t="s">
        <v>415</v>
      </c>
      <c r="O2458">
        <v>346534</v>
      </c>
      <c r="P2458">
        <v>43698.521897777777</v>
      </c>
      <c r="Q2458">
        <v>43613.863600115743</v>
      </c>
      <c r="R2458">
        <v>2544</v>
      </c>
    </row>
    <row r="2459" spans="1:18" x14ac:dyDescent="0.25">
      <c r="A2459" t="s">
        <v>8498</v>
      </c>
      <c r="B2459" t="s">
        <v>8499</v>
      </c>
      <c r="C2459" t="s">
        <v>8500</v>
      </c>
      <c r="D2459" t="s">
        <v>8500</v>
      </c>
      <c r="E2459" t="s">
        <v>8501</v>
      </c>
      <c r="F2459" t="s">
        <v>91</v>
      </c>
      <c r="G2459" t="s">
        <v>22</v>
      </c>
      <c r="H2459" t="s">
        <v>53</v>
      </c>
      <c r="I2459" t="s">
        <v>3006</v>
      </c>
      <c r="J2459">
        <v>2020</v>
      </c>
      <c r="K2459">
        <v>43698.521897777777</v>
      </c>
      <c r="L2459" t="s">
        <v>1978</v>
      </c>
      <c r="M2459" t="s">
        <v>1738</v>
      </c>
      <c r="N2459" t="s">
        <v>415</v>
      </c>
      <c r="O2459">
        <v>346717</v>
      </c>
      <c r="P2459">
        <v>43698.521897777777</v>
      </c>
      <c r="Q2459">
        <v>43613.871638344906</v>
      </c>
      <c r="R2459">
        <v>2545</v>
      </c>
    </row>
    <row r="2460" spans="1:18" x14ac:dyDescent="0.25">
      <c r="A2460" t="s">
        <v>8502</v>
      </c>
      <c r="B2460" t="s">
        <v>8503</v>
      </c>
      <c r="C2460" t="s">
        <v>8504</v>
      </c>
      <c r="D2460" t="s">
        <v>8504</v>
      </c>
      <c r="E2460" t="s">
        <v>8505</v>
      </c>
      <c r="F2460" t="s">
        <v>91</v>
      </c>
      <c r="G2460" t="s">
        <v>22</v>
      </c>
      <c r="H2460" t="s">
        <v>53</v>
      </c>
      <c r="I2460" t="s">
        <v>3006</v>
      </c>
      <c r="J2460">
        <v>2020</v>
      </c>
      <c r="K2460">
        <v>43698.521897777777</v>
      </c>
      <c r="L2460" t="s">
        <v>466</v>
      </c>
      <c r="M2460" t="s">
        <v>1738</v>
      </c>
      <c r="N2460" t="s">
        <v>415</v>
      </c>
      <c r="O2460">
        <v>346722</v>
      </c>
      <c r="P2460">
        <v>43698.521897777777</v>
      </c>
      <c r="Q2460">
        <v>43613.909762847223</v>
      </c>
      <c r="R2460">
        <v>2546</v>
      </c>
    </row>
    <row r="2461" spans="1:18" x14ac:dyDescent="0.25">
      <c r="A2461" t="s">
        <v>8506</v>
      </c>
      <c r="B2461" t="s">
        <v>8507</v>
      </c>
      <c r="C2461" t="s">
        <v>8508</v>
      </c>
      <c r="D2461" t="s">
        <v>8508</v>
      </c>
      <c r="E2461" t="s">
        <v>8509</v>
      </c>
      <c r="F2461" t="s">
        <v>91</v>
      </c>
      <c r="G2461" t="s">
        <v>22</v>
      </c>
      <c r="H2461" t="s">
        <v>53</v>
      </c>
      <c r="I2461" t="s">
        <v>3006</v>
      </c>
      <c r="J2461">
        <v>2020</v>
      </c>
      <c r="K2461">
        <v>43698.521897777777</v>
      </c>
      <c r="L2461" t="s">
        <v>466</v>
      </c>
      <c r="M2461" t="s">
        <v>1738</v>
      </c>
      <c r="N2461" t="s">
        <v>415</v>
      </c>
      <c r="O2461">
        <v>342524</v>
      </c>
      <c r="P2461">
        <v>43698.521897777777</v>
      </c>
      <c r="Q2461">
        <v>43613.910682719907</v>
      </c>
      <c r="R2461">
        <v>2547</v>
      </c>
    </row>
    <row r="2462" spans="1:18" x14ac:dyDescent="0.25">
      <c r="A2462" t="s">
        <v>8510</v>
      </c>
      <c r="B2462" t="s">
        <v>8511</v>
      </c>
      <c r="C2462" t="s">
        <v>8512</v>
      </c>
      <c r="D2462" t="s">
        <v>8512</v>
      </c>
      <c r="E2462" t="s">
        <v>8513</v>
      </c>
      <c r="F2462" t="s">
        <v>91</v>
      </c>
      <c r="G2462" t="s">
        <v>22</v>
      </c>
      <c r="H2462" t="s">
        <v>53</v>
      </c>
      <c r="I2462" t="s">
        <v>3006</v>
      </c>
      <c r="J2462">
        <v>2020</v>
      </c>
      <c r="K2462">
        <v>43698.521897777777</v>
      </c>
      <c r="L2462" t="s">
        <v>466</v>
      </c>
      <c r="M2462" t="s">
        <v>1738</v>
      </c>
      <c r="N2462" t="s">
        <v>415</v>
      </c>
      <c r="O2462">
        <v>341270</v>
      </c>
      <c r="P2462">
        <v>43687.502442129633</v>
      </c>
      <c r="Q2462">
        <v>43613.912708680553</v>
      </c>
      <c r="R2462">
        <v>2548</v>
      </c>
    </row>
    <row r="2463" spans="1:18" x14ac:dyDescent="0.25">
      <c r="A2463" t="s">
        <v>8514</v>
      </c>
      <c r="B2463" t="s">
        <v>8515</v>
      </c>
      <c r="C2463" t="s">
        <v>8516</v>
      </c>
      <c r="D2463" t="s">
        <v>8516</v>
      </c>
      <c r="E2463" t="s">
        <v>8517</v>
      </c>
      <c r="F2463" t="s">
        <v>91</v>
      </c>
      <c r="G2463" t="s">
        <v>22</v>
      </c>
      <c r="H2463" t="s">
        <v>53</v>
      </c>
      <c r="I2463" t="s">
        <v>3006</v>
      </c>
      <c r="J2463">
        <v>2020</v>
      </c>
      <c r="K2463">
        <v>43698.521897777777</v>
      </c>
      <c r="L2463" t="s">
        <v>466</v>
      </c>
      <c r="M2463" t="s">
        <v>1738</v>
      </c>
      <c r="N2463" t="s">
        <v>415</v>
      </c>
      <c r="O2463">
        <v>342752</v>
      </c>
      <c r="P2463">
        <v>43698.521897777777</v>
      </c>
      <c r="Q2463">
        <v>43613.913555671294</v>
      </c>
      <c r="R2463">
        <v>2549</v>
      </c>
    </row>
    <row r="2464" spans="1:18" x14ac:dyDescent="0.25">
      <c r="A2464" t="s">
        <v>8518</v>
      </c>
      <c r="B2464" t="s">
        <v>8519</v>
      </c>
      <c r="C2464" t="s">
        <v>8520</v>
      </c>
      <c r="D2464" t="s">
        <v>8520</v>
      </c>
      <c r="E2464" t="s">
        <v>8521</v>
      </c>
      <c r="F2464" t="s">
        <v>91</v>
      </c>
      <c r="G2464" t="s">
        <v>22</v>
      </c>
      <c r="H2464" t="s">
        <v>53</v>
      </c>
      <c r="I2464" t="s">
        <v>3006</v>
      </c>
      <c r="J2464">
        <v>2020</v>
      </c>
      <c r="K2464">
        <v>43698.521897777777</v>
      </c>
      <c r="L2464" t="s">
        <v>466</v>
      </c>
      <c r="M2464" t="s">
        <v>1738</v>
      </c>
      <c r="N2464" t="s">
        <v>415</v>
      </c>
      <c r="O2464">
        <v>346700</v>
      </c>
      <c r="P2464">
        <v>43698.521897777777</v>
      </c>
      <c r="Q2464">
        <v>43613.914248877314</v>
      </c>
      <c r="R2464">
        <v>2550</v>
      </c>
    </row>
    <row r="2465" spans="1:18" x14ac:dyDescent="0.25">
      <c r="A2465" t="s">
        <v>8522</v>
      </c>
      <c r="B2465" t="s">
        <v>8523</v>
      </c>
      <c r="C2465" t="s">
        <v>8524</v>
      </c>
      <c r="D2465" t="s">
        <v>8524</v>
      </c>
      <c r="E2465" t="s">
        <v>8525</v>
      </c>
      <c r="F2465" t="s">
        <v>91</v>
      </c>
      <c r="G2465" t="s">
        <v>22</v>
      </c>
      <c r="H2465" t="s">
        <v>53</v>
      </c>
      <c r="I2465" t="s">
        <v>3006</v>
      </c>
      <c r="J2465">
        <v>2020</v>
      </c>
      <c r="K2465">
        <v>43698.521897777777</v>
      </c>
      <c r="L2465" t="s">
        <v>466</v>
      </c>
      <c r="M2465" t="s">
        <v>1738</v>
      </c>
      <c r="N2465" t="s">
        <v>415</v>
      </c>
      <c r="O2465">
        <v>345834</v>
      </c>
      <c r="P2465">
        <v>43698.521897777777</v>
      </c>
      <c r="Q2465">
        <v>43613.914996678242</v>
      </c>
      <c r="R2465">
        <v>2551</v>
      </c>
    </row>
    <row r="2466" spans="1:18" x14ac:dyDescent="0.25">
      <c r="A2466" t="s">
        <v>8526</v>
      </c>
      <c r="B2466" t="s">
        <v>8527</v>
      </c>
      <c r="C2466" t="s">
        <v>8528</v>
      </c>
      <c r="D2466" t="s">
        <v>8528</v>
      </c>
      <c r="E2466" t="s">
        <v>8529</v>
      </c>
      <c r="F2466" t="s">
        <v>91</v>
      </c>
      <c r="G2466" t="s">
        <v>22</v>
      </c>
      <c r="H2466" t="s">
        <v>53</v>
      </c>
      <c r="I2466" t="s">
        <v>3006</v>
      </c>
      <c r="J2466">
        <v>2020</v>
      </c>
      <c r="K2466">
        <v>43698.521897777777</v>
      </c>
      <c r="L2466" t="s">
        <v>466</v>
      </c>
      <c r="M2466" t="s">
        <v>1738</v>
      </c>
      <c r="N2466" t="s">
        <v>415</v>
      </c>
      <c r="O2466">
        <v>345745</v>
      </c>
      <c r="P2466">
        <v>43698.521897777777</v>
      </c>
      <c r="Q2466">
        <v>43613.916121064816</v>
      </c>
      <c r="R2466">
        <v>2552</v>
      </c>
    </row>
    <row r="2467" spans="1:18" x14ac:dyDescent="0.25">
      <c r="A2467" t="s">
        <v>8530</v>
      </c>
      <c r="B2467" t="s">
        <v>8531</v>
      </c>
      <c r="C2467" t="s">
        <v>8532</v>
      </c>
      <c r="D2467" t="s">
        <v>8532</v>
      </c>
      <c r="E2467" t="s">
        <v>8533</v>
      </c>
      <c r="F2467" t="s">
        <v>91</v>
      </c>
      <c r="G2467" t="s">
        <v>22</v>
      </c>
      <c r="H2467" t="s">
        <v>53</v>
      </c>
      <c r="I2467" t="s">
        <v>3006</v>
      </c>
      <c r="J2467">
        <v>2020</v>
      </c>
      <c r="K2467">
        <v>43698.521897777777</v>
      </c>
      <c r="L2467" t="s">
        <v>466</v>
      </c>
      <c r="M2467" t="s">
        <v>1738</v>
      </c>
      <c r="N2467" t="s">
        <v>415</v>
      </c>
      <c r="O2467">
        <v>346012</v>
      </c>
      <c r="P2467">
        <v>43698.521897777777</v>
      </c>
      <c r="Q2467">
        <v>43613.919057523148</v>
      </c>
      <c r="R2467">
        <v>2553</v>
      </c>
    </row>
    <row r="2468" spans="1:18" x14ac:dyDescent="0.25">
      <c r="A2468" t="s">
        <v>8534</v>
      </c>
      <c r="B2468" t="s">
        <v>766</v>
      </c>
      <c r="C2468" t="s">
        <v>8535</v>
      </c>
      <c r="D2468" t="s">
        <v>8535</v>
      </c>
      <c r="E2468" t="s">
        <v>8535</v>
      </c>
      <c r="F2468" t="s">
        <v>91</v>
      </c>
      <c r="G2468" t="s">
        <v>63</v>
      </c>
      <c r="H2468" t="s">
        <v>4440</v>
      </c>
      <c r="I2468" t="s">
        <v>728</v>
      </c>
      <c r="J2468">
        <v>2014</v>
      </c>
      <c r="K2468">
        <v>43698.521897777777</v>
      </c>
      <c r="L2468" t="s">
        <v>25</v>
      </c>
      <c r="M2468" t="s">
        <v>154</v>
      </c>
      <c r="N2468" t="s">
        <v>467</v>
      </c>
      <c r="O2468">
        <v>346760</v>
      </c>
      <c r="P2468">
        <v>43698.521897777777</v>
      </c>
      <c r="Q2468">
        <v>43616.409772569445</v>
      </c>
      <c r="R2468">
        <v>2554</v>
      </c>
    </row>
    <row r="2469" spans="1:18" x14ac:dyDescent="0.25">
      <c r="A2469" t="s">
        <v>8536</v>
      </c>
      <c r="B2469" t="s">
        <v>8537</v>
      </c>
      <c r="C2469" t="s">
        <v>8538</v>
      </c>
      <c r="D2469" t="s">
        <v>8538</v>
      </c>
      <c r="E2469" t="s">
        <v>8538</v>
      </c>
      <c r="F2469" t="s">
        <v>91</v>
      </c>
      <c r="G2469" t="s">
        <v>63</v>
      </c>
      <c r="H2469" t="s">
        <v>53</v>
      </c>
      <c r="I2469" t="s">
        <v>3693</v>
      </c>
      <c r="J2469">
        <v>2020</v>
      </c>
      <c r="K2469">
        <v>43698.521897777777</v>
      </c>
      <c r="L2469" t="s">
        <v>1005</v>
      </c>
      <c r="M2469" t="s">
        <v>1941</v>
      </c>
      <c r="N2469" t="s">
        <v>415</v>
      </c>
      <c r="O2469">
        <v>346213</v>
      </c>
      <c r="P2469">
        <v>43698.521897777777</v>
      </c>
      <c r="Q2469">
        <v>43616.699068634261</v>
      </c>
      <c r="R2469">
        <v>2555</v>
      </c>
    </row>
    <row r="2470" spans="1:18" x14ac:dyDescent="0.25">
      <c r="A2470" t="s">
        <v>8539</v>
      </c>
      <c r="B2470" t="s">
        <v>8540</v>
      </c>
      <c r="C2470" t="s">
        <v>8541</v>
      </c>
      <c r="D2470" t="s">
        <v>8541</v>
      </c>
      <c r="E2470" t="s">
        <v>8541</v>
      </c>
      <c r="F2470" t="s">
        <v>91</v>
      </c>
      <c r="G2470" t="s">
        <v>63</v>
      </c>
      <c r="H2470" t="s">
        <v>53</v>
      </c>
      <c r="I2470" t="s">
        <v>2916</v>
      </c>
      <c r="J2470">
        <v>2013</v>
      </c>
      <c r="K2470">
        <v>43698.521897777777</v>
      </c>
      <c r="L2470" t="s">
        <v>1660</v>
      </c>
      <c r="M2470" t="s">
        <v>2777</v>
      </c>
      <c r="N2470" t="s">
        <v>415</v>
      </c>
      <c r="O2470">
        <v>346338</v>
      </c>
      <c r="P2470">
        <v>43697.87777777778</v>
      </c>
      <c r="Q2470">
        <v>43621.497844710648</v>
      </c>
      <c r="R2470">
        <v>2556</v>
      </c>
    </row>
    <row r="2471" spans="1:18" x14ac:dyDescent="0.25">
      <c r="A2471" t="s">
        <v>8542</v>
      </c>
      <c r="B2471" t="s">
        <v>1615</v>
      </c>
      <c r="C2471" t="s">
        <v>8543</v>
      </c>
      <c r="D2471" t="s">
        <v>8543</v>
      </c>
      <c r="E2471" t="s">
        <v>8543</v>
      </c>
      <c r="F2471" t="s">
        <v>91</v>
      </c>
      <c r="G2471" t="s">
        <v>63</v>
      </c>
      <c r="H2471" t="s">
        <v>34</v>
      </c>
      <c r="I2471" t="s">
        <v>35</v>
      </c>
      <c r="J2471">
        <v>2016</v>
      </c>
      <c r="K2471">
        <v>43698.521897777777</v>
      </c>
      <c r="L2471" t="s">
        <v>1005</v>
      </c>
      <c r="M2471" t="s">
        <v>1941</v>
      </c>
      <c r="N2471" t="s">
        <v>415</v>
      </c>
      <c r="O2471">
        <v>345362</v>
      </c>
      <c r="P2471">
        <v>43698.521897777777</v>
      </c>
      <c r="Q2471">
        <v>43629.510268865743</v>
      </c>
      <c r="R2471">
        <v>2557</v>
      </c>
    </row>
    <row r="2472" spans="1:18" x14ac:dyDescent="0.25">
      <c r="A2472" t="s">
        <v>8544</v>
      </c>
      <c r="B2472" t="s">
        <v>8545</v>
      </c>
      <c r="C2472" t="s">
        <v>8546</v>
      </c>
      <c r="D2472" t="s">
        <v>8546</v>
      </c>
      <c r="E2472" t="s">
        <v>8546</v>
      </c>
      <c r="F2472" t="s">
        <v>91</v>
      </c>
      <c r="G2472" t="s">
        <v>63</v>
      </c>
      <c r="H2472" t="s">
        <v>53</v>
      </c>
      <c r="I2472" t="s">
        <v>471</v>
      </c>
      <c r="J2472">
        <v>2020</v>
      </c>
      <c r="K2472">
        <v>43698.521897777777</v>
      </c>
      <c r="L2472" t="s">
        <v>1005</v>
      </c>
      <c r="M2472" t="s">
        <v>1941</v>
      </c>
      <c r="N2472" t="s">
        <v>415</v>
      </c>
      <c r="O2472">
        <v>346071</v>
      </c>
      <c r="P2472">
        <v>43698.521897777777</v>
      </c>
      <c r="Q2472">
        <v>43636.373355937503</v>
      </c>
      <c r="R2472">
        <v>2558</v>
      </c>
    </row>
    <row r="2473" spans="1:18" x14ac:dyDescent="0.25">
      <c r="A2473" t="s">
        <v>8547</v>
      </c>
      <c r="B2473" t="s">
        <v>5812</v>
      </c>
      <c r="C2473" t="s">
        <v>8548</v>
      </c>
      <c r="D2473" t="s">
        <v>8548</v>
      </c>
      <c r="E2473" t="s">
        <v>8548</v>
      </c>
      <c r="F2473" t="s">
        <v>91</v>
      </c>
      <c r="G2473" t="s">
        <v>63</v>
      </c>
      <c r="H2473" t="s">
        <v>53</v>
      </c>
      <c r="I2473" t="s">
        <v>471</v>
      </c>
      <c r="J2473">
        <v>2019</v>
      </c>
      <c r="K2473">
        <v>43698.521897777777</v>
      </c>
      <c r="L2473" t="s">
        <v>1056</v>
      </c>
      <c r="M2473" t="s">
        <v>1941</v>
      </c>
      <c r="N2473" t="s">
        <v>415</v>
      </c>
      <c r="O2473">
        <v>345823</v>
      </c>
      <c r="P2473">
        <v>43698.056435185186</v>
      </c>
      <c r="Q2473">
        <v>43636.493732407405</v>
      </c>
      <c r="R2473">
        <v>2559</v>
      </c>
    </row>
    <row r="2474" spans="1:18" x14ac:dyDescent="0.25">
      <c r="A2474" t="s">
        <v>8549</v>
      </c>
      <c r="B2474" t="s">
        <v>8550</v>
      </c>
      <c r="C2474" t="s">
        <v>8551</v>
      </c>
      <c r="D2474" t="s">
        <v>8551</v>
      </c>
      <c r="E2474" t="s">
        <v>8551</v>
      </c>
      <c r="F2474" t="s">
        <v>91</v>
      </c>
      <c r="G2474" t="s">
        <v>22</v>
      </c>
      <c r="H2474" t="s">
        <v>1315</v>
      </c>
      <c r="I2474" t="s">
        <v>8552</v>
      </c>
      <c r="J2474">
        <v>2019</v>
      </c>
      <c r="K2474">
        <v>43698.521897777777</v>
      </c>
      <c r="L2474" t="s">
        <v>422</v>
      </c>
      <c r="M2474" t="s">
        <v>5389</v>
      </c>
      <c r="N2474" t="s">
        <v>467</v>
      </c>
      <c r="Q2474">
        <v>43637.693463460651</v>
      </c>
      <c r="R2474">
        <v>2560</v>
      </c>
    </row>
    <row r="2475" spans="1:18" x14ac:dyDescent="0.25">
      <c r="A2475" t="s">
        <v>8553</v>
      </c>
      <c r="B2475" t="s">
        <v>8554</v>
      </c>
      <c r="C2475" t="s">
        <v>8555</v>
      </c>
      <c r="D2475" t="s">
        <v>8555</v>
      </c>
      <c r="E2475" t="s">
        <v>8556</v>
      </c>
      <c r="F2475" t="s">
        <v>91</v>
      </c>
      <c r="G2475" t="s">
        <v>22</v>
      </c>
      <c r="H2475" t="s">
        <v>53</v>
      </c>
      <c r="I2475" t="s">
        <v>3006</v>
      </c>
      <c r="J2475">
        <v>2020</v>
      </c>
      <c r="K2475">
        <v>43698.521897777777</v>
      </c>
      <c r="L2475" t="s">
        <v>25</v>
      </c>
      <c r="M2475" t="s">
        <v>154</v>
      </c>
      <c r="N2475" t="s">
        <v>467</v>
      </c>
      <c r="O2475">
        <v>343261</v>
      </c>
      <c r="P2475">
        <v>43695.260567129626</v>
      </c>
      <c r="Q2475">
        <v>43639.746522719906</v>
      </c>
      <c r="R2475">
        <v>2561</v>
      </c>
    </row>
    <row r="2476" spans="1:18" x14ac:dyDescent="0.25">
      <c r="A2476" t="s">
        <v>8557</v>
      </c>
      <c r="B2476" t="s">
        <v>8558</v>
      </c>
      <c r="C2476" t="s">
        <v>8559</v>
      </c>
      <c r="D2476" t="s">
        <v>8559</v>
      </c>
      <c r="E2476" t="s">
        <v>8560</v>
      </c>
      <c r="F2476" t="s">
        <v>91</v>
      </c>
      <c r="G2476" t="s">
        <v>22</v>
      </c>
      <c r="H2476" t="s">
        <v>53</v>
      </c>
      <c r="I2476" t="s">
        <v>3006</v>
      </c>
      <c r="J2476">
        <v>2020</v>
      </c>
      <c r="K2476">
        <v>43698.521897777777</v>
      </c>
      <c r="L2476" t="s">
        <v>466</v>
      </c>
      <c r="M2476" t="s">
        <v>154</v>
      </c>
      <c r="N2476" t="s">
        <v>467</v>
      </c>
      <c r="O2476">
        <v>346616</v>
      </c>
      <c r="P2476">
        <v>43698.521897777777</v>
      </c>
      <c r="Q2476">
        <v>43639.748519826389</v>
      </c>
      <c r="R2476">
        <v>2562</v>
      </c>
    </row>
    <row r="2477" spans="1:18" x14ac:dyDescent="0.25">
      <c r="A2477" t="s">
        <v>8561</v>
      </c>
      <c r="B2477" t="s">
        <v>8562</v>
      </c>
      <c r="C2477" t="s">
        <v>8563</v>
      </c>
      <c r="D2477" t="s">
        <v>8563</v>
      </c>
      <c r="E2477" t="s">
        <v>8564</v>
      </c>
      <c r="F2477" t="s">
        <v>253</v>
      </c>
      <c r="G2477" t="s">
        <v>22</v>
      </c>
      <c r="H2477" t="s">
        <v>53</v>
      </c>
      <c r="I2477" t="s">
        <v>3006</v>
      </c>
      <c r="J2477">
        <v>2020</v>
      </c>
      <c r="K2477">
        <v>43698.521897777777</v>
      </c>
      <c r="L2477" t="s">
        <v>25</v>
      </c>
      <c r="M2477" t="s">
        <v>154</v>
      </c>
      <c r="N2477" t="s">
        <v>467</v>
      </c>
      <c r="O2477">
        <v>340907</v>
      </c>
      <c r="P2477">
        <v>43688.461724537039</v>
      </c>
      <c r="Q2477">
        <v>43639.750278472224</v>
      </c>
      <c r="R2477">
        <v>2563</v>
      </c>
    </row>
    <row r="2478" spans="1:18" x14ac:dyDescent="0.25">
      <c r="A2478" t="s">
        <v>8565</v>
      </c>
      <c r="B2478" t="s">
        <v>8566</v>
      </c>
      <c r="C2478" t="s">
        <v>8567</v>
      </c>
      <c r="D2478" t="s">
        <v>8567</v>
      </c>
      <c r="E2478" t="s">
        <v>8568</v>
      </c>
      <c r="F2478" t="s">
        <v>91</v>
      </c>
      <c r="G2478" t="s">
        <v>22</v>
      </c>
      <c r="H2478" t="s">
        <v>53</v>
      </c>
      <c r="I2478" t="s">
        <v>3006</v>
      </c>
      <c r="J2478">
        <v>2020</v>
      </c>
      <c r="K2478">
        <v>43698.521897777777</v>
      </c>
      <c r="L2478" t="s">
        <v>25</v>
      </c>
      <c r="M2478" t="s">
        <v>154</v>
      </c>
      <c r="N2478" t="s">
        <v>467</v>
      </c>
      <c r="O2478">
        <v>343321</v>
      </c>
      <c r="P2478">
        <v>43694.511446759258</v>
      </c>
      <c r="Q2478">
        <v>43639.751427974537</v>
      </c>
      <c r="R2478">
        <v>2564</v>
      </c>
    </row>
    <row r="2479" spans="1:18" x14ac:dyDescent="0.25">
      <c r="A2479" t="s">
        <v>8569</v>
      </c>
      <c r="B2479" t="s">
        <v>8570</v>
      </c>
      <c r="C2479" t="s">
        <v>8571</v>
      </c>
      <c r="D2479" t="s">
        <v>8571</v>
      </c>
      <c r="E2479" t="s">
        <v>8572</v>
      </c>
      <c r="F2479" t="s">
        <v>91</v>
      </c>
      <c r="G2479" t="s">
        <v>22</v>
      </c>
      <c r="H2479" t="s">
        <v>53</v>
      </c>
      <c r="I2479" t="s">
        <v>3006</v>
      </c>
      <c r="J2479">
        <v>2020</v>
      </c>
      <c r="K2479">
        <v>43698.521897777777</v>
      </c>
      <c r="L2479" t="s">
        <v>466</v>
      </c>
      <c r="M2479" t="s">
        <v>154</v>
      </c>
      <c r="N2479" t="s">
        <v>467</v>
      </c>
      <c r="O2479">
        <v>345671</v>
      </c>
      <c r="P2479">
        <v>43698.521897777777</v>
      </c>
      <c r="Q2479">
        <v>43639.752286377312</v>
      </c>
      <c r="R2479">
        <v>2565</v>
      </c>
    </row>
    <row r="2480" spans="1:18" x14ac:dyDescent="0.25">
      <c r="A2480" t="s">
        <v>8573</v>
      </c>
      <c r="B2480" t="s">
        <v>8574</v>
      </c>
      <c r="C2480" t="s">
        <v>8575</v>
      </c>
      <c r="D2480" t="s">
        <v>8575</v>
      </c>
      <c r="E2480" t="s">
        <v>8576</v>
      </c>
      <c r="F2480" t="s">
        <v>91</v>
      </c>
      <c r="G2480" t="s">
        <v>22</v>
      </c>
      <c r="H2480" t="s">
        <v>53</v>
      </c>
      <c r="I2480" t="s">
        <v>3006</v>
      </c>
      <c r="J2480">
        <v>2020</v>
      </c>
      <c r="K2480">
        <v>43698.521897777777</v>
      </c>
      <c r="L2480" t="s">
        <v>25</v>
      </c>
      <c r="M2480" t="s">
        <v>154</v>
      </c>
      <c r="N2480" t="s">
        <v>467</v>
      </c>
      <c r="O2480">
        <v>345425</v>
      </c>
      <c r="P2480">
        <v>43698.521897777777</v>
      </c>
      <c r="Q2480">
        <v>43639.75339834491</v>
      </c>
      <c r="R2480">
        <v>2566</v>
      </c>
    </row>
    <row r="2481" spans="1:18" x14ac:dyDescent="0.25">
      <c r="A2481" t="s">
        <v>8577</v>
      </c>
      <c r="B2481" t="s">
        <v>8578</v>
      </c>
      <c r="C2481" t="s">
        <v>8579</v>
      </c>
      <c r="D2481" t="s">
        <v>8579</v>
      </c>
      <c r="E2481" t="s">
        <v>8580</v>
      </c>
      <c r="F2481" t="s">
        <v>91</v>
      </c>
      <c r="G2481" t="s">
        <v>22</v>
      </c>
      <c r="H2481" t="s">
        <v>53</v>
      </c>
      <c r="I2481" t="s">
        <v>3006</v>
      </c>
      <c r="J2481">
        <v>2020</v>
      </c>
      <c r="K2481">
        <v>43698.521897777777</v>
      </c>
      <c r="L2481" t="s">
        <v>25</v>
      </c>
      <c r="M2481" t="s">
        <v>154</v>
      </c>
      <c r="N2481" t="s">
        <v>467</v>
      </c>
      <c r="O2481">
        <v>344308</v>
      </c>
      <c r="P2481">
        <v>43694.690821759257</v>
      </c>
      <c r="Q2481">
        <v>43639.75432847222</v>
      </c>
      <c r="R2481">
        <v>2567</v>
      </c>
    </row>
    <row r="2482" spans="1:18" x14ac:dyDescent="0.25">
      <c r="A2482" t="s">
        <v>8581</v>
      </c>
      <c r="B2482" t="s">
        <v>8582</v>
      </c>
      <c r="C2482" t="s">
        <v>8583</v>
      </c>
      <c r="D2482" t="s">
        <v>8583</v>
      </c>
      <c r="E2482" t="s">
        <v>8584</v>
      </c>
      <c r="F2482" t="s">
        <v>91</v>
      </c>
      <c r="G2482" t="s">
        <v>22</v>
      </c>
      <c r="H2482" t="s">
        <v>53</v>
      </c>
      <c r="I2482" t="s">
        <v>3006</v>
      </c>
      <c r="J2482">
        <v>2020</v>
      </c>
      <c r="K2482">
        <v>43698.521897777777</v>
      </c>
      <c r="L2482" t="s">
        <v>466</v>
      </c>
      <c r="M2482" t="s">
        <v>154</v>
      </c>
      <c r="N2482" t="s">
        <v>467</v>
      </c>
      <c r="O2482">
        <v>346877</v>
      </c>
      <c r="P2482">
        <v>43698.521897777777</v>
      </c>
      <c r="Q2482">
        <v>43639.755447337964</v>
      </c>
      <c r="R2482">
        <v>2568</v>
      </c>
    </row>
    <row r="2483" spans="1:18" x14ac:dyDescent="0.25">
      <c r="A2483" t="s">
        <v>8585</v>
      </c>
      <c r="B2483" t="s">
        <v>8586</v>
      </c>
      <c r="C2483" t="s">
        <v>8587</v>
      </c>
      <c r="D2483" t="s">
        <v>8587</v>
      </c>
      <c r="E2483" t="s">
        <v>8588</v>
      </c>
      <c r="F2483" t="s">
        <v>91</v>
      </c>
      <c r="G2483" t="s">
        <v>22</v>
      </c>
      <c r="H2483" t="s">
        <v>53</v>
      </c>
      <c r="I2483" t="s">
        <v>3006</v>
      </c>
      <c r="J2483">
        <v>2020</v>
      </c>
      <c r="K2483">
        <v>43698.521897777777</v>
      </c>
      <c r="L2483" t="s">
        <v>466</v>
      </c>
      <c r="M2483" t="s">
        <v>154</v>
      </c>
      <c r="N2483" t="s">
        <v>467</v>
      </c>
      <c r="O2483">
        <v>345367</v>
      </c>
      <c r="P2483">
        <v>43698.521897777777</v>
      </c>
      <c r="Q2483">
        <v>43639.757808414353</v>
      </c>
      <c r="R2483">
        <v>2569</v>
      </c>
    </row>
    <row r="2484" spans="1:18" x14ac:dyDescent="0.25">
      <c r="A2484" t="s">
        <v>8589</v>
      </c>
      <c r="B2484" t="s">
        <v>8590</v>
      </c>
      <c r="C2484" t="s">
        <v>8591</v>
      </c>
      <c r="D2484" t="s">
        <v>8591</v>
      </c>
      <c r="E2484" t="s">
        <v>8592</v>
      </c>
      <c r="F2484" t="s">
        <v>91</v>
      </c>
      <c r="G2484" t="s">
        <v>22</v>
      </c>
      <c r="H2484" t="s">
        <v>53</v>
      </c>
      <c r="I2484" t="s">
        <v>3006</v>
      </c>
      <c r="J2484">
        <v>2020</v>
      </c>
      <c r="K2484">
        <v>43698.521897777777</v>
      </c>
      <c r="L2484" t="s">
        <v>466</v>
      </c>
      <c r="M2484" t="s">
        <v>154</v>
      </c>
      <c r="N2484" t="s">
        <v>467</v>
      </c>
      <c r="O2484">
        <v>345846</v>
      </c>
      <c r="P2484">
        <v>43698.521897777777</v>
      </c>
      <c r="Q2484">
        <v>43639.766965972223</v>
      </c>
      <c r="R2484">
        <v>2570</v>
      </c>
    </row>
    <row r="2485" spans="1:18" x14ac:dyDescent="0.25">
      <c r="A2485" t="s">
        <v>8593</v>
      </c>
      <c r="B2485" t="s">
        <v>8594</v>
      </c>
      <c r="C2485" t="s">
        <v>8595</v>
      </c>
      <c r="D2485" t="s">
        <v>8595</v>
      </c>
      <c r="E2485" t="s">
        <v>8596</v>
      </c>
      <c r="F2485" t="s">
        <v>91</v>
      </c>
      <c r="G2485" t="s">
        <v>22</v>
      </c>
      <c r="H2485" t="s">
        <v>53</v>
      </c>
      <c r="I2485" t="s">
        <v>3006</v>
      </c>
      <c r="J2485">
        <v>2020</v>
      </c>
      <c r="K2485">
        <v>43698.521897777777</v>
      </c>
      <c r="L2485" t="s">
        <v>1005</v>
      </c>
      <c r="M2485" t="s">
        <v>37</v>
      </c>
      <c r="N2485" t="s">
        <v>415</v>
      </c>
      <c r="O2485">
        <v>347129</v>
      </c>
      <c r="P2485">
        <v>43698.521897777777</v>
      </c>
      <c r="Q2485">
        <v>43641.552214317133</v>
      </c>
      <c r="R2485">
        <v>2571</v>
      </c>
    </row>
    <row r="2486" spans="1:18" x14ac:dyDescent="0.25">
      <c r="A2486" t="s">
        <v>8597</v>
      </c>
      <c r="B2486" t="s">
        <v>8598</v>
      </c>
      <c r="C2486" t="s">
        <v>8599</v>
      </c>
      <c r="D2486" t="s">
        <v>8599</v>
      </c>
      <c r="E2486" t="s">
        <v>8600</v>
      </c>
      <c r="F2486" t="s">
        <v>91</v>
      </c>
      <c r="G2486" t="s">
        <v>22</v>
      </c>
      <c r="H2486" t="s">
        <v>53</v>
      </c>
      <c r="I2486" t="s">
        <v>3006</v>
      </c>
      <c r="J2486">
        <v>2020</v>
      </c>
      <c r="K2486">
        <v>43698.521897777777</v>
      </c>
      <c r="L2486" t="s">
        <v>1005</v>
      </c>
      <c r="M2486" t="s">
        <v>37</v>
      </c>
      <c r="N2486" t="s">
        <v>415</v>
      </c>
      <c r="O2486">
        <v>345307</v>
      </c>
      <c r="P2486">
        <v>43697.9375</v>
      </c>
      <c r="Q2486">
        <v>43641.552743402775</v>
      </c>
      <c r="R2486">
        <v>2572</v>
      </c>
    </row>
    <row r="2487" spans="1:18" x14ac:dyDescent="0.25">
      <c r="A2487" t="s">
        <v>8601</v>
      </c>
      <c r="B2487" t="s">
        <v>8602</v>
      </c>
      <c r="C2487" t="s">
        <v>8603</v>
      </c>
      <c r="D2487" t="s">
        <v>8603</v>
      </c>
      <c r="E2487" t="s">
        <v>8604</v>
      </c>
      <c r="F2487" t="s">
        <v>91</v>
      </c>
      <c r="G2487" t="s">
        <v>22</v>
      </c>
      <c r="H2487" t="s">
        <v>53</v>
      </c>
      <c r="I2487" t="s">
        <v>3006</v>
      </c>
      <c r="J2487">
        <v>2020</v>
      </c>
      <c r="K2487">
        <v>43698.521897777777</v>
      </c>
      <c r="L2487" t="s">
        <v>1005</v>
      </c>
      <c r="M2487" t="s">
        <v>37</v>
      </c>
      <c r="N2487" t="s">
        <v>415</v>
      </c>
      <c r="O2487">
        <v>347142</v>
      </c>
      <c r="P2487">
        <v>43698.521897777777</v>
      </c>
      <c r="Q2487">
        <v>43641.553584224537</v>
      </c>
      <c r="R2487">
        <v>2573</v>
      </c>
    </row>
    <row r="2488" spans="1:18" x14ac:dyDescent="0.25">
      <c r="A2488" t="s">
        <v>8605</v>
      </c>
      <c r="B2488" t="s">
        <v>8606</v>
      </c>
      <c r="C2488" t="s">
        <v>8607</v>
      </c>
      <c r="D2488" t="s">
        <v>8607</v>
      </c>
      <c r="E2488" t="s">
        <v>8608</v>
      </c>
      <c r="F2488" t="s">
        <v>91</v>
      </c>
      <c r="G2488" t="s">
        <v>22</v>
      </c>
      <c r="H2488" t="s">
        <v>53</v>
      </c>
      <c r="I2488" t="s">
        <v>3006</v>
      </c>
      <c r="J2488">
        <v>2020</v>
      </c>
      <c r="K2488">
        <v>43698.521897777777</v>
      </c>
      <c r="L2488" t="s">
        <v>1005</v>
      </c>
      <c r="M2488" t="s">
        <v>37</v>
      </c>
      <c r="N2488" t="s">
        <v>415</v>
      </c>
      <c r="O2488">
        <v>346072</v>
      </c>
      <c r="P2488">
        <v>43698.521897777777</v>
      </c>
      <c r="Q2488">
        <v>43641.554341122683</v>
      </c>
      <c r="R2488">
        <v>2574</v>
      </c>
    </row>
    <row r="2489" spans="1:18" x14ac:dyDescent="0.25">
      <c r="A2489" t="s">
        <v>8609</v>
      </c>
      <c r="B2489" t="s">
        <v>4929</v>
      </c>
      <c r="C2489" t="s">
        <v>8610</v>
      </c>
      <c r="D2489" t="s">
        <v>8610</v>
      </c>
      <c r="E2489" t="s">
        <v>8610</v>
      </c>
      <c r="F2489" t="s">
        <v>91</v>
      </c>
      <c r="G2489" t="s">
        <v>63</v>
      </c>
      <c r="H2489" t="s">
        <v>53</v>
      </c>
      <c r="I2489" t="s">
        <v>471</v>
      </c>
      <c r="J2489">
        <v>2019</v>
      </c>
      <c r="K2489">
        <v>43698.521897777777</v>
      </c>
      <c r="L2489" t="s">
        <v>193</v>
      </c>
      <c r="M2489" t="s">
        <v>1941</v>
      </c>
      <c r="N2489" t="s">
        <v>415</v>
      </c>
      <c r="O2489">
        <v>345521</v>
      </c>
      <c r="P2489">
        <v>43698.521897777777</v>
      </c>
      <c r="Q2489">
        <v>43643.52432971065</v>
      </c>
      <c r="R2489">
        <v>2575</v>
      </c>
    </row>
    <row r="2490" spans="1:18" x14ac:dyDescent="0.25">
      <c r="A2490" t="s">
        <v>8611</v>
      </c>
      <c r="B2490" t="s">
        <v>3614</v>
      </c>
      <c r="C2490" t="s">
        <v>8612</v>
      </c>
      <c r="D2490" t="s">
        <v>8612</v>
      </c>
      <c r="E2490" t="s">
        <v>8612</v>
      </c>
      <c r="F2490" t="s">
        <v>91</v>
      </c>
      <c r="G2490" t="s">
        <v>63</v>
      </c>
      <c r="H2490" t="s">
        <v>53</v>
      </c>
      <c r="I2490" t="s">
        <v>471</v>
      </c>
      <c r="J2490">
        <v>2017</v>
      </c>
      <c r="K2490">
        <v>43698.521897777777</v>
      </c>
      <c r="L2490" t="s">
        <v>1005</v>
      </c>
      <c r="M2490" t="s">
        <v>1941</v>
      </c>
      <c r="N2490" t="s">
        <v>415</v>
      </c>
      <c r="O2490">
        <v>347117</v>
      </c>
      <c r="P2490">
        <v>43698.521897777777</v>
      </c>
      <c r="Q2490">
        <v>43644.494061655096</v>
      </c>
      <c r="R2490">
        <v>2576</v>
      </c>
    </row>
    <row r="2491" spans="1:18" x14ac:dyDescent="0.25">
      <c r="A2491" t="s">
        <v>8613</v>
      </c>
      <c r="B2491" t="s">
        <v>3092</v>
      </c>
      <c r="C2491" t="s">
        <v>8614</v>
      </c>
      <c r="D2491" t="s">
        <v>8614</v>
      </c>
      <c r="E2491" t="s">
        <v>8614</v>
      </c>
      <c r="F2491" t="s">
        <v>91</v>
      </c>
      <c r="G2491" t="s">
        <v>63</v>
      </c>
      <c r="H2491" t="s">
        <v>53</v>
      </c>
      <c r="I2491" t="s">
        <v>3693</v>
      </c>
      <c r="J2491">
        <v>2018</v>
      </c>
      <c r="K2491">
        <v>43698.521897777777</v>
      </c>
      <c r="L2491" t="s">
        <v>193</v>
      </c>
      <c r="M2491" t="s">
        <v>1941</v>
      </c>
      <c r="N2491" t="s">
        <v>415</v>
      </c>
      <c r="O2491">
        <v>345598</v>
      </c>
      <c r="P2491">
        <v>43698.521897777777</v>
      </c>
      <c r="Q2491">
        <v>43649.386665706021</v>
      </c>
      <c r="R2491">
        <v>2577</v>
      </c>
    </row>
    <row r="2492" spans="1:18" x14ac:dyDescent="0.25">
      <c r="A2492" t="s">
        <v>8615</v>
      </c>
      <c r="B2492" t="s">
        <v>8616</v>
      </c>
      <c r="C2492" t="s">
        <v>8617</v>
      </c>
      <c r="D2492" t="s">
        <v>8617</v>
      </c>
      <c r="E2492" t="s">
        <v>8617</v>
      </c>
      <c r="F2492" t="s">
        <v>91</v>
      </c>
      <c r="G2492" t="s">
        <v>63</v>
      </c>
      <c r="H2492" t="s">
        <v>34</v>
      </c>
      <c r="I2492" t="s">
        <v>35</v>
      </c>
      <c r="J2492">
        <v>2020</v>
      </c>
      <c r="K2492">
        <v>43698.521897777777</v>
      </c>
      <c r="L2492" t="s">
        <v>193</v>
      </c>
      <c r="M2492" t="s">
        <v>1941</v>
      </c>
      <c r="N2492" t="s">
        <v>415</v>
      </c>
      <c r="O2492">
        <v>344193</v>
      </c>
      <c r="P2492">
        <v>43695.926388888889</v>
      </c>
      <c r="Q2492">
        <v>43649.564798923609</v>
      </c>
      <c r="R2492">
        <v>2578</v>
      </c>
    </row>
    <row r="2493" spans="1:18" x14ac:dyDescent="0.25">
      <c r="A2493" t="s">
        <v>8618</v>
      </c>
      <c r="B2493" t="s">
        <v>5558</v>
      </c>
      <c r="C2493" t="s">
        <v>8619</v>
      </c>
      <c r="D2493" t="s">
        <v>8619</v>
      </c>
      <c r="E2493" t="s">
        <v>8619</v>
      </c>
      <c r="F2493" t="s">
        <v>91</v>
      </c>
      <c r="G2493" t="s">
        <v>63</v>
      </c>
      <c r="H2493" t="s">
        <v>34</v>
      </c>
      <c r="I2493" t="s">
        <v>35</v>
      </c>
      <c r="J2493">
        <v>2012</v>
      </c>
      <c r="K2493">
        <v>43698.521897777777</v>
      </c>
      <c r="L2493" t="s">
        <v>1005</v>
      </c>
      <c r="M2493" t="s">
        <v>1941</v>
      </c>
      <c r="N2493" t="s">
        <v>415</v>
      </c>
      <c r="O2493">
        <v>345667</v>
      </c>
      <c r="P2493">
        <v>43698.521897777777</v>
      </c>
      <c r="Q2493">
        <v>43649.68633665509</v>
      </c>
      <c r="R2493">
        <v>2580</v>
      </c>
    </row>
    <row r="2494" spans="1:18" x14ac:dyDescent="0.25">
      <c r="A2494" t="s">
        <v>8620</v>
      </c>
      <c r="B2494" t="s">
        <v>8621</v>
      </c>
      <c r="C2494" t="s">
        <v>8622</v>
      </c>
      <c r="D2494" t="s">
        <v>8622</v>
      </c>
      <c r="E2494" t="s">
        <v>8623</v>
      </c>
      <c r="F2494" t="s">
        <v>91</v>
      </c>
      <c r="G2494" t="s">
        <v>22</v>
      </c>
      <c r="H2494" t="s">
        <v>53</v>
      </c>
      <c r="I2494" t="s">
        <v>3006</v>
      </c>
      <c r="J2494">
        <v>2020</v>
      </c>
      <c r="K2494">
        <v>43698.521897777777</v>
      </c>
      <c r="L2494" t="s">
        <v>1005</v>
      </c>
      <c r="M2494" t="s">
        <v>37</v>
      </c>
      <c r="N2494" t="s">
        <v>415</v>
      </c>
      <c r="O2494">
        <v>345082</v>
      </c>
      <c r="P2494">
        <v>43696.956250000003</v>
      </c>
      <c r="Q2494">
        <v>43655.478039664355</v>
      </c>
      <c r="R2494">
        <v>2581</v>
      </c>
    </row>
    <row r="2495" spans="1:18" x14ac:dyDescent="0.25">
      <c r="A2495" t="s">
        <v>8624</v>
      </c>
      <c r="B2495" t="s">
        <v>8625</v>
      </c>
      <c r="C2495" t="s">
        <v>8626</v>
      </c>
      <c r="D2495" t="s">
        <v>8626</v>
      </c>
      <c r="E2495" t="s">
        <v>8627</v>
      </c>
      <c r="F2495" t="s">
        <v>91</v>
      </c>
      <c r="G2495" t="s">
        <v>22</v>
      </c>
      <c r="H2495" t="s">
        <v>53</v>
      </c>
      <c r="I2495" t="s">
        <v>3006</v>
      </c>
      <c r="J2495">
        <v>2020</v>
      </c>
      <c r="K2495">
        <v>43698.521897777777</v>
      </c>
      <c r="L2495" t="s">
        <v>25</v>
      </c>
      <c r="M2495" t="s">
        <v>37</v>
      </c>
      <c r="N2495" t="s">
        <v>415</v>
      </c>
      <c r="O2495">
        <v>346582</v>
      </c>
      <c r="P2495">
        <v>43698.521897777777</v>
      </c>
      <c r="Q2495">
        <v>43655.47942959491</v>
      </c>
      <c r="R2495">
        <v>2582</v>
      </c>
    </row>
    <row r="2496" spans="1:18" x14ac:dyDescent="0.25">
      <c r="A2496" t="s">
        <v>8628</v>
      </c>
      <c r="B2496" t="s">
        <v>8629</v>
      </c>
      <c r="C2496" t="s">
        <v>8630</v>
      </c>
      <c r="D2496" t="s">
        <v>8630</v>
      </c>
      <c r="E2496" t="s">
        <v>8631</v>
      </c>
      <c r="F2496" t="s">
        <v>91</v>
      </c>
      <c r="G2496" t="s">
        <v>22</v>
      </c>
      <c r="H2496" t="s">
        <v>53</v>
      </c>
      <c r="I2496" t="s">
        <v>3006</v>
      </c>
      <c r="J2496">
        <v>2020</v>
      </c>
      <c r="K2496">
        <v>43698.521897777777</v>
      </c>
      <c r="L2496" t="s">
        <v>25</v>
      </c>
      <c r="M2496" t="s">
        <v>37</v>
      </c>
      <c r="N2496" t="s">
        <v>415</v>
      </c>
      <c r="O2496">
        <v>345338</v>
      </c>
      <c r="P2496">
        <v>43697.979166666664</v>
      </c>
      <c r="Q2496">
        <v>43655.48024513889</v>
      </c>
      <c r="R2496">
        <v>2583</v>
      </c>
    </row>
    <row r="2497" spans="1:18" x14ac:dyDescent="0.25">
      <c r="A2497" t="s">
        <v>8632</v>
      </c>
      <c r="B2497" t="s">
        <v>8633</v>
      </c>
      <c r="C2497" t="s">
        <v>8634</v>
      </c>
      <c r="D2497" t="s">
        <v>8634</v>
      </c>
      <c r="E2497" t="s">
        <v>8635</v>
      </c>
      <c r="F2497" t="s">
        <v>91</v>
      </c>
      <c r="G2497" t="s">
        <v>22</v>
      </c>
      <c r="H2497" t="s">
        <v>998</v>
      </c>
      <c r="I2497" t="s">
        <v>3006</v>
      </c>
      <c r="J2497">
        <v>2020</v>
      </c>
      <c r="K2497">
        <v>43698.521897777777</v>
      </c>
      <c r="L2497" t="s">
        <v>25</v>
      </c>
      <c r="M2497" t="s">
        <v>37</v>
      </c>
      <c r="N2497" t="s">
        <v>415</v>
      </c>
      <c r="O2497">
        <v>346652</v>
      </c>
      <c r="P2497">
        <v>43698.521897777777</v>
      </c>
      <c r="Q2497">
        <v>43655.481150231484</v>
      </c>
      <c r="R2497">
        <v>2584</v>
      </c>
    </row>
    <row r="2498" spans="1:18" x14ac:dyDescent="0.25">
      <c r="A2498" t="s">
        <v>8636</v>
      </c>
      <c r="B2498" t="s">
        <v>8637</v>
      </c>
      <c r="C2498" t="s">
        <v>8638</v>
      </c>
      <c r="D2498" t="s">
        <v>8638</v>
      </c>
      <c r="E2498" t="s">
        <v>8639</v>
      </c>
      <c r="F2498" t="s">
        <v>91</v>
      </c>
      <c r="G2498" t="s">
        <v>22</v>
      </c>
      <c r="H2498" t="s">
        <v>53</v>
      </c>
      <c r="I2498" t="s">
        <v>3006</v>
      </c>
      <c r="J2498">
        <v>2020</v>
      </c>
      <c r="K2498">
        <v>43698.521897777777</v>
      </c>
      <c r="L2498" t="s">
        <v>25</v>
      </c>
      <c r="M2498" t="s">
        <v>37</v>
      </c>
      <c r="N2498" t="s">
        <v>415</v>
      </c>
      <c r="O2498">
        <v>345320</v>
      </c>
      <c r="P2498">
        <v>43698.165682870371</v>
      </c>
      <c r="Q2498">
        <v>43655.482117824075</v>
      </c>
      <c r="R2498">
        <v>2585</v>
      </c>
    </row>
    <row r="2499" spans="1:18" x14ac:dyDescent="0.25">
      <c r="A2499" t="s">
        <v>8640</v>
      </c>
      <c r="B2499" t="s">
        <v>8641</v>
      </c>
      <c r="C2499" t="s">
        <v>8642</v>
      </c>
      <c r="D2499" t="s">
        <v>8642</v>
      </c>
      <c r="E2499" t="s">
        <v>8643</v>
      </c>
      <c r="F2499" t="s">
        <v>91</v>
      </c>
      <c r="G2499" t="s">
        <v>22</v>
      </c>
      <c r="H2499" t="s">
        <v>53</v>
      </c>
      <c r="I2499" t="s">
        <v>3006</v>
      </c>
      <c r="J2499">
        <v>2020</v>
      </c>
      <c r="K2499">
        <v>43698.521897777777</v>
      </c>
      <c r="L2499" t="s">
        <v>25</v>
      </c>
      <c r="M2499" t="s">
        <v>37</v>
      </c>
      <c r="N2499" t="s">
        <v>415</v>
      </c>
      <c r="O2499">
        <v>345357</v>
      </c>
      <c r="P2499">
        <v>43698.521897777777</v>
      </c>
      <c r="Q2499">
        <v>43655.4826846875</v>
      </c>
      <c r="R2499">
        <v>2586</v>
      </c>
    </row>
    <row r="2500" spans="1:18" x14ac:dyDescent="0.25">
      <c r="A2500" t="s">
        <v>8644</v>
      </c>
      <c r="B2500" t="s">
        <v>8645</v>
      </c>
      <c r="C2500" t="s">
        <v>8646</v>
      </c>
      <c r="D2500" t="s">
        <v>8646</v>
      </c>
      <c r="E2500" t="s">
        <v>8647</v>
      </c>
      <c r="F2500" t="s">
        <v>91</v>
      </c>
      <c r="G2500" t="s">
        <v>22</v>
      </c>
      <c r="H2500" t="s">
        <v>53</v>
      </c>
      <c r="I2500" t="s">
        <v>3006</v>
      </c>
      <c r="J2500">
        <v>2020</v>
      </c>
      <c r="K2500">
        <v>43698.521897777777</v>
      </c>
      <c r="L2500" t="s">
        <v>25</v>
      </c>
      <c r="M2500" t="s">
        <v>37</v>
      </c>
      <c r="N2500" t="s">
        <v>415</v>
      </c>
      <c r="O2500">
        <v>344708</v>
      </c>
      <c r="P2500">
        <v>43698.521897777777</v>
      </c>
      <c r="Q2500">
        <v>43655.483564733797</v>
      </c>
      <c r="R2500">
        <v>2587</v>
      </c>
    </row>
    <row r="2501" spans="1:18" x14ac:dyDescent="0.25">
      <c r="A2501" t="s">
        <v>8648</v>
      </c>
      <c r="B2501" t="s">
        <v>8649</v>
      </c>
      <c r="C2501" t="s">
        <v>8650</v>
      </c>
      <c r="D2501" t="s">
        <v>8650</v>
      </c>
      <c r="E2501" t="s">
        <v>8651</v>
      </c>
      <c r="F2501" t="s">
        <v>91</v>
      </c>
      <c r="G2501" t="s">
        <v>22</v>
      </c>
      <c r="H2501" t="s">
        <v>53</v>
      </c>
      <c r="I2501" t="s">
        <v>3006</v>
      </c>
      <c r="J2501">
        <v>2020</v>
      </c>
      <c r="K2501">
        <v>43698.521897777777</v>
      </c>
      <c r="L2501" t="s">
        <v>25</v>
      </c>
      <c r="M2501" t="s">
        <v>37</v>
      </c>
      <c r="N2501" t="s">
        <v>415</v>
      </c>
      <c r="O2501">
        <v>347113</v>
      </c>
      <c r="P2501">
        <v>43698.521897777777</v>
      </c>
      <c r="Q2501">
        <v>43655.484615543981</v>
      </c>
      <c r="R2501">
        <v>2588</v>
      </c>
    </row>
    <row r="2502" spans="1:18" x14ac:dyDescent="0.25">
      <c r="A2502" t="s">
        <v>8652</v>
      </c>
      <c r="B2502" t="s">
        <v>8653</v>
      </c>
      <c r="C2502" t="s">
        <v>8654</v>
      </c>
      <c r="D2502" t="s">
        <v>8654</v>
      </c>
      <c r="E2502" t="s">
        <v>8655</v>
      </c>
      <c r="F2502" t="s">
        <v>91</v>
      </c>
      <c r="G2502" t="s">
        <v>22</v>
      </c>
      <c r="H2502" t="s">
        <v>53</v>
      </c>
      <c r="I2502" t="s">
        <v>3006</v>
      </c>
      <c r="J2502">
        <v>2020</v>
      </c>
      <c r="K2502">
        <v>43698.521897777777</v>
      </c>
      <c r="L2502" t="s">
        <v>25</v>
      </c>
      <c r="M2502" t="s">
        <v>37</v>
      </c>
      <c r="N2502" t="s">
        <v>415</v>
      </c>
      <c r="O2502">
        <v>344640</v>
      </c>
      <c r="P2502">
        <v>43696.381909722222</v>
      </c>
      <c r="Q2502">
        <v>43655.48587546296</v>
      </c>
      <c r="R2502">
        <v>2589</v>
      </c>
    </row>
    <row r="2503" spans="1:18" x14ac:dyDescent="0.25">
      <c r="A2503" t="s">
        <v>8656</v>
      </c>
      <c r="B2503" t="s">
        <v>8657</v>
      </c>
      <c r="C2503" t="s">
        <v>8658</v>
      </c>
      <c r="D2503" t="s">
        <v>8658</v>
      </c>
      <c r="E2503" t="s">
        <v>8659</v>
      </c>
      <c r="F2503" t="s">
        <v>91</v>
      </c>
      <c r="G2503" t="s">
        <v>22</v>
      </c>
      <c r="H2503" t="s">
        <v>53</v>
      </c>
      <c r="I2503" t="s">
        <v>3006</v>
      </c>
      <c r="J2503">
        <v>2020</v>
      </c>
      <c r="K2503">
        <v>43698.521897777777</v>
      </c>
      <c r="L2503" t="s">
        <v>25</v>
      </c>
      <c r="M2503" t="s">
        <v>37</v>
      </c>
      <c r="N2503" t="s">
        <v>415</v>
      </c>
      <c r="O2503">
        <v>345422</v>
      </c>
      <c r="P2503">
        <v>43698.521897777777</v>
      </c>
      <c r="Q2503">
        <v>43655.486367557867</v>
      </c>
      <c r="R2503">
        <v>2590</v>
      </c>
    </row>
    <row r="2504" spans="1:18" x14ac:dyDescent="0.25">
      <c r="A2504" t="s">
        <v>8660</v>
      </c>
      <c r="B2504" t="s">
        <v>8661</v>
      </c>
      <c r="C2504" t="s">
        <v>8662</v>
      </c>
      <c r="D2504" t="s">
        <v>8662</v>
      </c>
      <c r="E2504" t="s">
        <v>8663</v>
      </c>
      <c r="F2504" t="s">
        <v>91</v>
      </c>
      <c r="G2504" t="s">
        <v>63</v>
      </c>
      <c r="H2504" t="s">
        <v>53</v>
      </c>
      <c r="I2504" t="s">
        <v>3006</v>
      </c>
      <c r="J2504">
        <v>2020</v>
      </c>
      <c r="K2504">
        <v>43698.521897777777</v>
      </c>
      <c r="L2504" t="s">
        <v>466</v>
      </c>
      <c r="M2504" t="s">
        <v>154</v>
      </c>
      <c r="N2504" t="s">
        <v>467</v>
      </c>
      <c r="O2504">
        <v>345765</v>
      </c>
      <c r="P2504">
        <v>43698.521897777777</v>
      </c>
      <c r="Q2504">
        <v>43655.53115894676</v>
      </c>
      <c r="R2504">
        <v>2591</v>
      </c>
    </row>
    <row r="2505" spans="1:18" x14ac:dyDescent="0.25">
      <c r="A2505" t="s">
        <v>8664</v>
      </c>
      <c r="B2505" t="s">
        <v>8665</v>
      </c>
      <c r="C2505" t="s">
        <v>8666</v>
      </c>
      <c r="D2505" t="s">
        <v>8666</v>
      </c>
      <c r="E2505" t="s">
        <v>8667</v>
      </c>
      <c r="F2505" t="s">
        <v>91</v>
      </c>
      <c r="G2505" t="s">
        <v>22</v>
      </c>
      <c r="H2505" t="s">
        <v>53</v>
      </c>
      <c r="I2505" t="s">
        <v>3006</v>
      </c>
      <c r="J2505">
        <v>2020</v>
      </c>
      <c r="K2505">
        <v>43698.521897777777</v>
      </c>
      <c r="L2505" t="s">
        <v>466</v>
      </c>
      <c r="M2505" t="s">
        <v>154</v>
      </c>
      <c r="N2505" t="s">
        <v>467</v>
      </c>
      <c r="O2505">
        <v>345507</v>
      </c>
      <c r="P2505">
        <v>43698.521897777777</v>
      </c>
      <c r="Q2505">
        <v>43655.533408298608</v>
      </c>
      <c r="R2505">
        <v>2592</v>
      </c>
    </row>
    <row r="2506" spans="1:18" x14ac:dyDescent="0.25">
      <c r="A2506" t="s">
        <v>8668</v>
      </c>
      <c r="B2506" t="s">
        <v>8669</v>
      </c>
      <c r="C2506" t="s">
        <v>8670</v>
      </c>
      <c r="D2506" t="s">
        <v>8670</v>
      </c>
      <c r="E2506" t="s">
        <v>8671</v>
      </c>
      <c r="F2506" t="s">
        <v>91</v>
      </c>
      <c r="G2506" t="s">
        <v>22</v>
      </c>
      <c r="H2506" t="s">
        <v>53</v>
      </c>
      <c r="I2506" t="s">
        <v>3006</v>
      </c>
      <c r="J2506">
        <v>2020</v>
      </c>
      <c r="K2506">
        <v>43698.521897777777</v>
      </c>
      <c r="L2506" t="s">
        <v>466</v>
      </c>
      <c r="M2506" t="s">
        <v>154</v>
      </c>
      <c r="N2506" t="s">
        <v>467</v>
      </c>
      <c r="O2506">
        <v>336634</v>
      </c>
      <c r="P2506">
        <v>43673.803472222222</v>
      </c>
      <c r="Q2506">
        <v>43655.534565509261</v>
      </c>
      <c r="R2506">
        <v>2593</v>
      </c>
    </row>
    <row r="2507" spans="1:18" x14ac:dyDescent="0.25">
      <c r="A2507" t="s">
        <v>8672</v>
      </c>
      <c r="B2507" t="s">
        <v>8673</v>
      </c>
      <c r="C2507" t="s">
        <v>8674</v>
      </c>
      <c r="D2507" t="s">
        <v>8674</v>
      </c>
      <c r="E2507" t="s">
        <v>8675</v>
      </c>
      <c r="F2507" t="s">
        <v>91</v>
      </c>
      <c r="G2507" t="s">
        <v>22</v>
      </c>
      <c r="H2507" t="s">
        <v>53</v>
      </c>
      <c r="I2507" t="s">
        <v>3006</v>
      </c>
      <c r="J2507">
        <v>2020</v>
      </c>
      <c r="K2507">
        <v>43698.521897777777</v>
      </c>
      <c r="L2507" t="s">
        <v>466</v>
      </c>
      <c r="M2507" t="s">
        <v>154</v>
      </c>
      <c r="N2507" t="s">
        <v>467</v>
      </c>
      <c r="O2507">
        <v>346614</v>
      </c>
      <c r="P2507">
        <v>43698.521897777777</v>
      </c>
      <c r="Q2507">
        <v>43655.535321145835</v>
      </c>
      <c r="R2507">
        <v>2594</v>
      </c>
    </row>
    <row r="2508" spans="1:18" x14ac:dyDescent="0.25">
      <c r="A2508" t="s">
        <v>8676</v>
      </c>
      <c r="B2508" t="s">
        <v>8677</v>
      </c>
      <c r="C2508" t="s">
        <v>8678</v>
      </c>
      <c r="D2508" t="s">
        <v>8678</v>
      </c>
      <c r="E2508" t="s">
        <v>8679</v>
      </c>
      <c r="F2508" t="s">
        <v>91</v>
      </c>
      <c r="G2508" t="s">
        <v>22</v>
      </c>
      <c r="H2508" t="s">
        <v>53</v>
      </c>
      <c r="I2508" t="s">
        <v>3006</v>
      </c>
      <c r="J2508">
        <v>2020</v>
      </c>
      <c r="K2508">
        <v>43698.521897777777</v>
      </c>
      <c r="L2508" t="s">
        <v>466</v>
      </c>
      <c r="M2508" t="s">
        <v>154</v>
      </c>
      <c r="N2508" t="s">
        <v>467</v>
      </c>
      <c r="O2508">
        <v>345396</v>
      </c>
      <c r="P2508">
        <v>43698.521897777777</v>
      </c>
      <c r="Q2508">
        <v>43655.536251585647</v>
      </c>
      <c r="R2508">
        <v>2595</v>
      </c>
    </row>
    <row r="2509" spans="1:18" x14ac:dyDescent="0.25">
      <c r="A2509" t="s">
        <v>8680</v>
      </c>
      <c r="B2509" t="s">
        <v>2469</v>
      </c>
      <c r="C2509" t="s">
        <v>8681</v>
      </c>
      <c r="D2509" t="s">
        <v>8681</v>
      </c>
      <c r="E2509" t="s">
        <v>8682</v>
      </c>
      <c r="F2509" t="s">
        <v>91</v>
      </c>
      <c r="G2509" t="s">
        <v>22</v>
      </c>
      <c r="H2509" t="s">
        <v>4440</v>
      </c>
      <c r="I2509" t="s">
        <v>556</v>
      </c>
      <c r="J2509">
        <v>2017</v>
      </c>
      <c r="K2509">
        <v>43698.521897777777</v>
      </c>
      <c r="L2509" t="s">
        <v>1809</v>
      </c>
      <c r="M2509" t="s">
        <v>154</v>
      </c>
      <c r="N2509" t="s">
        <v>467</v>
      </c>
      <c r="O2509">
        <v>345176</v>
      </c>
      <c r="P2509">
        <v>43693.863888888889</v>
      </c>
      <c r="Q2509">
        <v>43655.598265972221</v>
      </c>
      <c r="R2509">
        <v>2596</v>
      </c>
    </row>
    <row r="2510" spans="1:18" x14ac:dyDescent="0.25">
      <c r="A2510" t="s">
        <v>8683</v>
      </c>
      <c r="B2510" t="s">
        <v>2465</v>
      </c>
      <c r="C2510" t="s">
        <v>8684</v>
      </c>
      <c r="D2510" t="s">
        <v>8684</v>
      </c>
      <c r="E2510" t="s">
        <v>8685</v>
      </c>
      <c r="F2510" t="s">
        <v>91</v>
      </c>
      <c r="G2510" t="s">
        <v>22</v>
      </c>
      <c r="H2510" t="s">
        <v>4440</v>
      </c>
      <c r="I2510" t="s">
        <v>556</v>
      </c>
      <c r="J2510">
        <v>2017</v>
      </c>
      <c r="K2510">
        <v>43698.521897777777</v>
      </c>
      <c r="L2510" t="s">
        <v>1809</v>
      </c>
      <c r="M2510" t="s">
        <v>154</v>
      </c>
      <c r="N2510" t="s">
        <v>467</v>
      </c>
      <c r="Q2510">
        <v>43655.598950543979</v>
      </c>
      <c r="R2510">
        <v>2597</v>
      </c>
    </row>
    <row r="2511" spans="1:18" x14ac:dyDescent="0.25">
      <c r="A2511" t="s">
        <v>8686</v>
      </c>
      <c r="B2511" t="s">
        <v>2461</v>
      </c>
      <c r="C2511" t="s">
        <v>8687</v>
      </c>
      <c r="D2511" t="s">
        <v>8687</v>
      </c>
      <c r="E2511" t="s">
        <v>8688</v>
      </c>
      <c r="F2511" t="s">
        <v>91</v>
      </c>
      <c r="G2511" t="s">
        <v>22</v>
      </c>
      <c r="H2511" t="s">
        <v>4440</v>
      </c>
      <c r="I2511" t="s">
        <v>556</v>
      </c>
      <c r="J2511">
        <v>2017</v>
      </c>
      <c r="K2511">
        <v>43698.521897777777</v>
      </c>
      <c r="L2511" t="s">
        <v>1809</v>
      </c>
      <c r="M2511" t="s">
        <v>154</v>
      </c>
      <c r="N2511" t="s">
        <v>467</v>
      </c>
      <c r="O2511">
        <v>342262</v>
      </c>
      <c r="P2511">
        <v>43686.938194444447</v>
      </c>
      <c r="Q2511">
        <v>43655.599966238427</v>
      </c>
      <c r="R2511">
        <v>2598</v>
      </c>
    </row>
    <row r="2512" spans="1:18" x14ac:dyDescent="0.25">
      <c r="A2512" t="s">
        <v>8689</v>
      </c>
      <c r="B2512" t="s">
        <v>8690</v>
      </c>
      <c r="C2512" t="s">
        <v>8691</v>
      </c>
      <c r="D2512" t="s">
        <v>8691</v>
      </c>
      <c r="E2512" t="s">
        <v>8691</v>
      </c>
      <c r="F2512" t="s">
        <v>91</v>
      </c>
      <c r="G2512" t="s">
        <v>63</v>
      </c>
      <c r="H2512" t="s">
        <v>53</v>
      </c>
      <c r="I2512" t="s">
        <v>471</v>
      </c>
      <c r="J2512">
        <v>2014</v>
      </c>
      <c r="K2512">
        <v>43698.521897777777</v>
      </c>
      <c r="L2512" t="s">
        <v>1660</v>
      </c>
      <c r="M2512" t="s">
        <v>2777</v>
      </c>
      <c r="N2512" t="s">
        <v>415</v>
      </c>
      <c r="O2512">
        <v>346775</v>
      </c>
      <c r="P2512">
        <v>43698.521897777777</v>
      </c>
      <c r="Q2512">
        <v>43656.429304016201</v>
      </c>
      <c r="R2512">
        <v>2599</v>
      </c>
    </row>
    <row r="2513" spans="1:18" x14ac:dyDescent="0.25">
      <c r="A2513" t="s">
        <v>8692</v>
      </c>
      <c r="B2513" t="s">
        <v>8693</v>
      </c>
      <c r="C2513" t="s">
        <v>8694</v>
      </c>
      <c r="D2513" t="s">
        <v>8694</v>
      </c>
      <c r="E2513" t="s">
        <v>8694</v>
      </c>
      <c r="F2513" t="s">
        <v>91</v>
      </c>
      <c r="G2513" t="s">
        <v>63</v>
      </c>
      <c r="H2513" t="s">
        <v>53</v>
      </c>
      <c r="I2513" t="s">
        <v>471</v>
      </c>
      <c r="J2513">
        <v>2015</v>
      </c>
      <c r="K2513">
        <v>43698.521897777777</v>
      </c>
      <c r="L2513" t="s">
        <v>466</v>
      </c>
      <c r="M2513" t="s">
        <v>154</v>
      </c>
      <c r="N2513" t="s">
        <v>467</v>
      </c>
      <c r="O2513">
        <v>346869</v>
      </c>
      <c r="P2513">
        <v>43698.521897777777</v>
      </c>
      <c r="Q2513">
        <v>43656.681376388886</v>
      </c>
      <c r="R2513">
        <v>2600</v>
      </c>
    </row>
    <row r="2514" spans="1:18" x14ac:dyDescent="0.25">
      <c r="A2514" t="s">
        <v>8695</v>
      </c>
      <c r="B2514" t="s">
        <v>2457</v>
      </c>
      <c r="C2514" t="s">
        <v>8696</v>
      </c>
      <c r="D2514" t="s">
        <v>8696</v>
      </c>
      <c r="E2514" t="s">
        <v>8697</v>
      </c>
      <c r="F2514" t="s">
        <v>91</v>
      </c>
      <c r="G2514" t="s">
        <v>22</v>
      </c>
      <c r="H2514" t="s">
        <v>4440</v>
      </c>
      <c r="I2514" t="s">
        <v>556</v>
      </c>
      <c r="J2514">
        <v>2017</v>
      </c>
      <c r="K2514">
        <v>43698.521897777777</v>
      </c>
      <c r="L2514" t="s">
        <v>1809</v>
      </c>
      <c r="M2514" t="s">
        <v>154</v>
      </c>
      <c r="N2514" t="s">
        <v>467</v>
      </c>
      <c r="O2514">
        <v>345324</v>
      </c>
      <c r="P2514">
        <v>43694.874305555553</v>
      </c>
      <c r="Q2514">
        <v>43657.352255590275</v>
      </c>
      <c r="R2514">
        <v>2601</v>
      </c>
    </row>
    <row r="2515" spans="1:18" x14ac:dyDescent="0.25">
      <c r="A2515" t="s">
        <v>8698</v>
      </c>
      <c r="B2515" t="s">
        <v>2453</v>
      </c>
      <c r="C2515" t="s">
        <v>8699</v>
      </c>
      <c r="D2515" t="s">
        <v>8699</v>
      </c>
      <c r="E2515" t="s">
        <v>8700</v>
      </c>
      <c r="F2515" t="s">
        <v>91</v>
      </c>
      <c r="G2515" t="s">
        <v>22</v>
      </c>
      <c r="H2515" t="s">
        <v>4440</v>
      </c>
      <c r="I2515" t="s">
        <v>556</v>
      </c>
      <c r="J2515">
        <v>2017</v>
      </c>
      <c r="K2515">
        <v>43698.521897777777</v>
      </c>
      <c r="L2515" t="s">
        <v>1809</v>
      </c>
      <c r="M2515" t="s">
        <v>154</v>
      </c>
      <c r="N2515" t="s">
        <v>467</v>
      </c>
      <c r="O2515">
        <v>346755</v>
      </c>
      <c r="P2515">
        <v>43698.521897777777</v>
      </c>
      <c r="Q2515">
        <v>43657.361872141206</v>
      </c>
      <c r="R2515">
        <v>2602</v>
      </c>
    </row>
    <row r="2516" spans="1:18" x14ac:dyDescent="0.25">
      <c r="A2516" t="s">
        <v>8701</v>
      </c>
      <c r="B2516" t="s">
        <v>8702</v>
      </c>
      <c r="C2516" t="s">
        <v>8703</v>
      </c>
      <c r="D2516" t="s">
        <v>8703</v>
      </c>
      <c r="E2516" t="s">
        <v>8703</v>
      </c>
      <c r="F2516" t="s">
        <v>91</v>
      </c>
      <c r="G2516" t="s">
        <v>63</v>
      </c>
      <c r="H2516" t="s">
        <v>34</v>
      </c>
      <c r="I2516" t="s">
        <v>35</v>
      </c>
      <c r="J2516">
        <v>2019</v>
      </c>
      <c r="K2516">
        <v>43698.521897777777</v>
      </c>
      <c r="L2516" t="s">
        <v>1005</v>
      </c>
      <c r="M2516" t="s">
        <v>1941</v>
      </c>
      <c r="N2516" t="s">
        <v>415</v>
      </c>
      <c r="O2516">
        <v>345371</v>
      </c>
      <c r="P2516">
        <v>43698.053796296299</v>
      </c>
      <c r="Q2516">
        <v>43657.42456767361</v>
      </c>
      <c r="R2516">
        <v>2603</v>
      </c>
    </row>
    <row r="2517" spans="1:18" x14ac:dyDescent="0.25">
      <c r="A2517" t="s">
        <v>8704</v>
      </c>
      <c r="B2517" t="s">
        <v>8705</v>
      </c>
      <c r="C2517" t="s">
        <v>8706</v>
      </c>
      <c r="D2517" t="s">
        <v>8706</v>
      </c>
      <c r="E2517" t="s">
        <v>8707</v>
      </c>
      <c r="F2517" t="s">
        <v>91</v>
      </c>
      <c r="G2517" t="s">
        <v>22</v>
      </c>
      <c r="H2517" t="s">
        <v>53</v>
      </c>
      <c r="I2517" t="s">
        <v>3006</v>
      </c>
      <c r="J2517">
        <v>2020</v>
      </c>
      <c r="K2517">
        <v>43698.521897777777</v>
      </c>
      <c r="L2517" t="s">
        <v>466</v>
      </c>
      <c r="M2517" t="s">
        <v>1738</v>
      </c>
      <c r="N2517" t="s">
        <v>467</v>
      </c>
      <c r="O2517">
        <v>337021</v>
      </c>
      <c r="P2517">
        <v>43675.016481481478</v>
      </c>
      <c r="Q2517">
        <v>43662.698818715275</v>
      </c>
      <c r="R2517">
        <v>2604</v>
      </c>
    </row>
    <row r="2518" spans="1:18" x14ac:dyDescent="0.25">
      <c r="A2518" t="s">
        <v>8708</v>
      </c>
      <c r="B2518" t="s">
        <v>8709</v>
      </c>
      <c r="C2518" t="s">
        <v>8710</v>
      </c>
      <c r="D2518" t="s">
        <v>8710</v>
      </c>
      <c r="E2518" t="s">
        <v>8711</v>
      </c>
      <c r="F2518" t="s">
        <v>91</v>
      </c>
      <c r="G2518" t="s">
        <v>22</v>
      </c>
      <c r="H2518" t="s">
        <v>53</v>
      </c>
      <c r="I2518" t="s">
        <v>3006</v>
      </c>
      <c r="J2518">
        <v>2020</v>
      </c>
      <c r="K2518">
        <v>43698.521897777777</v>
      </c>
      <c r="L2518" t="s">
        <v>466</v>
      </c>
      <c r="M2518" t="s">
        <v>1738</v>
      </c>
      <c r="N2518" t="s">
        <v>467</v>
      </c>
      <c r="O2518">
        <v>345664</v>
      </c>
      <c r="P2518">
        <v>43698.521897777777</v>
      </c>
      <c r="Q2518">
        <v>43662.699366898145</v>
      </c>
      <c r="R2518">
        <v>2605</v>
      </c>
    </row>
    <row r="2519" spans="1:18" x14ac:dyDescent="0.25">
      <c r="A2519" t="s">
        <v>8712</v>
      </c>
      <c r="B2519" t="s">
        <v>8713</v>
      </c>
      <c r="C2519" t="s">
        <v>8714</v>
      </c>
      <c r="D2519" t="s">
        <v>8714</v>
      </c>
      <c r="E2519" t="s">
        <v>8715</v>
      </c>
      <c r="F2519" t="s">
        <v>91</v>
      </c>
      <c r="G2519" t="s">
        <v>22</v>
      </c>
      <c r="H2519" t="s">
        <v>53</v>
      </c>
      <c r="I2519" t="s">
        <v>3006</v>
      </c>
      <c r="J2519">
        <v>2020</v>
      </c>
      <c r="K2519">
        <v>43698.521897777777</v>
      </c>
      <c r="L2519" t="s">
        <v>466</v>
      </c>
      <c r="M2519" t="s">
        <v>1738</v>
      </c>
      <c r="N2519" t="s">
        <v>467</v>
      </c>
      <c r="Q2519">
        <v>43662.699922488428</v>
      </c>
      <c r="R2519">
        <v>2606</v>
      </c>
    </row>
    <row r="2520" spans="1:18" x14ac:dyDescent="0.25">
      <c r="A2520" t="s">
        <v>8716</v>
      </c>
      <c r="B2520" t="s">
        <v>8717</v>
      </c>
      <c r="C2520" t="s">
        <v>8718</v>
      </c>
      <c r="D2520" t="s">
        <v>8718</v>
      </c>
      <c r="E2520" t="s">
        <v>8719</v>
      </c>
      <c r="F2520" t="s">
        <v>91</v>
      </c>
      <c r="G2520" t="s">
        <v>22</v>
      </c>
      <c r="H2520" t="s">
        <v>53</v>
      </c>
      <c r="I2520" t="s">
        <v>3006</v>
      </c>
      <c r="J2520">
        <v>2020</v>
      </c>
      <c r="K2520">
        <v>43698.521897777777</v>
      </c>
      <c r="L2520" t="s">
        <v>466</v>
      </c>
      <c r="M2520" t="s">
        <v>1738</v>
      </c>
      <c r="N2520" t="s">
        <v>467</v>
      </c>
      <c r="O2520">
        <v>345215</v>
      </c>
      <c r="P2520">
        <v>43698.521897777777</v>
      </c>
      <c r="Q2520">
        <v>43662.700438344909</v>
      </c>
      <c r="R2520">
        <v>2607</v>
      </c>
    </row>
    <row r="2521" spans="1:18" x14ac:dyDescent="0.25">
      <c r="A2521" t="s">
        <v>8720</v>
      </c>
      <c r="B2521" t="s">
        <v>8721</v>
      </c>
      <c r="C2521" t="s">
        <v>8722</v>
      </c>
      <c r="D2521" t="s">
        <v>8722</v>
      </c>
      <c r="E2521" t="s">
        <v>8723</v>
      </c>
      <c r="F2521" t="s">
        <v>91</v>
      </c>
      <c r="G2521" t="s">
        <v>22</v>
      </c>
      <c r="H2521" t="s">
        <v>53</v>
      </c>
      <c r="I2521" t="s">
        <v>3006</v>
      </c>
      <c r="J2521">
        <v>2020</v>
      </c>
      <c r="K2521">
        <v>43698.521897777777</v>
      </c>
      <c r="L2521" t="s">
        <v>466</v>
      </c>
      <c r="M2521" t="s">
        <v>1738</v>
      </c>
      <c r="N2521" t="s">
        <v>467</v>
      </c>
      <c r="O2521">
        <v>346690</v>
      </c>
      <c r="P2521">
        <v>43698.521897777777</v>
      </c>
      <c r="Q2521">
        <v>43662.700981331021</v>
      </c>
      <c r="R2521">
        <v>2608</v>
      </c>
    </row>
    <row r="2522" spans="1:18" x14ac:dyDescent="0.25">
      <c r="A2522" t="s">
        <v>8724</v>
      </c>
      <c r="B2522" t="s">
        <v>8725</v>
      </c>
      <c r="C2522" t="s">
        <v>8726</v>
      </c>
      <c r="D2522" t="s">
        <v>8726</v>
      </c>
      <c r="E2522" t="s">
        <v>8727</v>
      </c>
      <c r="F2522" t="s">
        <v>91</v>
      </c>
      <c r="G2522" t="s">
        <v>22</v>
      </c>
      <c r="H2522" t="s">
        <v>53</v>
      </c>
      <c r="I2522" t="s">
        <v>3006</v>
      </c>
      <c r="J2522">
        <v>2020</v>
      </c>
      <c r="K2522">
        <v>43698.521897777777</v>
      </c>
      <c r="L2522" t="s">
        <v>466</v>
      </c>
      <c r="M2522" t="s">
        <v>1738</v>
      </c>
      <c r="N2522" t="s">
        <v>467</v>
      </c>
      <c r="O2522">
        <v>345657</v>
      </c>
      <c r="P2522">
        <v>43698.521897777777</v>
      </c>
      <c r="Q2522">
        <v>43662.701530011575</v>
      </c>
      <c r="R2522">
        <v>2609</v>
      </c>
    </row>
    <row r="2523" spans="1:18" x14ac:dyDescent="0.25">
      <c r="A2523" t="s">
        <v>8728</v>
      </c>
      <c r="B2523" t="s">
        <v>8729</v>
      </c>
      <c r="C2523" t="s">
        <v>8730</v>
      </c>
      <c r="D2523" t="s">
        <v>8730</v>
      </c>
      <c r="E2523" t="s">
        <v>8731</v>
      </c>
      <c r="F2523" t="s">
        <v>91</v>
      </c>
      <c r="G2523" t="s">
        <v>22</v>
      </c>
      <c r="H2523" t="s">
        <v>53</v>
      </c>
      <c r="I2523" t="s">
        <v>3006</v>
      </c>
      <c r="J2523">
        <v>2020</v>
      </c>
      <c r="K2523">
        <v>43698.521897777777</v>
      </c>
      <c r="L2523" t="s">
        <v>466</v>
      </c>
      <c r="M2523" t="s">
        <v>1738</v>
      </c>
      <c r="N2523" t="s">
        <v>467</v>
      </c>
      <c r="O2523">
        <v>345472</v>
      </c>
      <c r="P2523">
        <v>43698.521897777777</v>
      </c>
      <c r="Q2523">
        <v>43662.702128009259</v>
      </c>
      <c r="R2523">
        <v>2610</v>
      </c>
    </row>
    <row r="2524" spans="1:18" x14ac:dyDescent="0.25">
      <c r="A2524" t="s">
        <v>8732</v>
      </c>
      <c r="B2524" t="s">
        <v>8733</v>
      </c>
      <c r="C2524" t="s">
        <v>8734</v>
      </c>
      <c r="D2524" t="s">
        <v>8734</v>
      </c>
      <c r="E2524" t="s">
        <v>8735</v>
      </c>
      <c r="F2524" t="s">
        <v>91</v>
      </c>
      <c r="G2524" t="s">
        <v>22</v>
      </c>
      <c r="H2524" t="s">
        <v>53</v>
      </c>
      <c r="I2524" t="s">
        <v>3006</v>
      </c>
      <c r="J2524">
        <v>2020</v>
      </c>
      <c r="K2524">
        <v>43698.521897777777</v>
      </c>
      <c r="L2524" t="s">
        <v>466</v>
      </c>
      <c r="M2524" t="s">
        <v>1738</v>
      </c>
      <c r="N2524" t="s">
        <v>467</v>
      </c>
      <c r="O2524">
        <v>340366</v>
      </c>
      <c r="P2524">
        <v>43683.448287037034</v>
      </c>
      <c r="Q2524">
        <v>43662.703279363428</v>
      </c>
      <c r="R2524">
        <v>2611</v>
      </c>
    </row>
    <row r="2525" spans="1:18" x14ac:dyDescent="0.25">
      <c r="A2525" t="s">
        <v>8736</v>
      </c>
      <c r="B2525" t="s">
        <v>8737</v>
      </c>
      <c r="C2525" t="s">
        <v>8738</v>
      </c>
      <c r="D2525" t="s">
        <v>8738</v>
      </c>
      <c r="E2525" t="s">
        <v>8739</v>
      </c>
      <c r="F2525" t="s">
        <v>253</v>
      </c>
      <c r="G2525" t="s">
        <v>22</v>
      </c>
      <c r="H2525" t="s">
        <v>53</v>
      </c>
      <c r="I2525" t="s">
        <v>3006</v>
      </c>
      <c r="J2525">
        <v>2020</v>
      </c>
      <c r="K2525">
        <v>43698.521897777777</v>
      </c>
      <c r="L2525" t="s">
        <v>466</v>
      </c>
      <c r="M2525" t="s">
        <v>1738</v>
      </c>
      <c r="N2525" t="s">
        <v>467</v>
      </c>
      <c r="Q2525">
        <v>43662.704188657408</v>
      </c>
      <c r="R2525">
        <v>2612</v>
      </c>
    </row>
    <row r="2526" spans="1:18" x14ac:dyDescent="0.25">
      <c r="A2526" t="s">
        <v>8740</v>
      </c>
      <c r="B2526" t="s">
        <v>8741</v>
      </c>
      <c r="C2526" t="s">
        <v>8742</v>
      </c>
      <c r="D2526" t="s">
        <v>8742</v>
      </c>
      <c r="E2526" t="s">
        <v>8743</v>
      </c>
      <c r="F2526" t="s">
        <v>91</v>
      </c>
      <c r="G2526" t="s">
        <v>22</v>
      </c>
      <c r="H2526" t="s">
        <v>53</v>
      </c>
      <c r="I2526" t="s">
        <v>3006</v>
      </c>
      <c r="J2526">
        <v>2020</v>
      </c>
      <c r="K2526">
        <v>43698.521897777777</v>
      </c>
      <c r="L2526" t="s">
        <v>466</v>
      </c>
      <c r="M2526" t="s">
        <v>1738</v>
      </c>
      <c r="N2526" t="s">
        <v>467</v>
      </c>
      <c r="O2526">
        <v>345839</v>
      </c>
      <c r="P2526">
        <v>43698.521897777777</v>
      </c>
      <c r="Q2526">
        <v>43662.70480590278</v>
      </c>
      <c r="R2526">
        <v>2613</v>
      </c>
    </row>
    <row r="2527" spans="1:18" x14ac:dyDescent="0.25">
      <c r="A2527" t="s">
        <v>8744</v>
      </c>
      <c r="B2527" t="s">
        <v>8745</v>
      </c>
      <c r="C2527" t="s">
        <v>8746</v>
      </c>
      <c r="D2527" t="s">
        <v>8746</v>
      </c>
      <c r="E2527" t="s">
        <v>8747</v>
      </c>
      <c r="F2527" t="s">
        <v>253</v>
      </c>
      <c r="G2527" t="s">
        <v>22</v>
      </c>
      <c r="H2527" t="s">
        <v>53</v>
      </c>
      <c r="I2527" t="s">
        <v>3006</v>
      </c>
      <c r="J2527">
        <v>2020</v>
      </c>
      <c r="K2527">
        <v>43698.521897777777</v>
      </c>
      <c r="L2527" t="s">
        <v>466</v>
      </c>
      <c r="M2527" t="s">
        <v>1738</v>
      </c>
      <c r="N2527" t="s">
        <v>467</v>
      </c>
      <c r="Q2527">
        <v>43662.705422800929</v>
      </c>
      <c r="R2527">
        <v>2614</v>
      </c>
    </row>
    <row r="2528" spans="1:18" x14ac:dyDescent="0.25">
      <c r="A2528" t="s">
        <v>8748</v>
      </c>
      <c r="B2528" t="s">
        <v>8749</v>
      </c>
      <c r="C2528" t="s">
        <v>8750</v>
      </c>
      <c r="D2528" t="s">
        <v>8750</v>
      </c>
      <c r="E2528" t="s">
        <v>8751</v>
      </c>
      <c r="F2528" t="s">
        <v>91</v>
      </c>
      <c r="G2528" t="s">
        <v>22</v>
      </c>
      <c r="H2528" t="s">
        <v>53</v>
      </c>
      <c r="I2528" t="s">
        <v>3006</v>
      </c>
      <c r="J2528">
        <v>2020</v>
      </c>
      <c r="K2528">
        <v>43698.521897777777</v>
      </c>
      <c r="L2528" t="s">
        <v>466</v>
      </c>
      <c r="M2528" t="s">
        <v>1738</v>
      </c>
      <c r="N2528" t="s">
        <v>467</v>
      </c>
      <c r="O2528">
        <v>345865</v>
      </c>
      <c r="P2528">
        <v>43698.521897777777</v>
      </c>
      <c r="Q2528">
        <v>43662.705976192126</v>
      </c>
      <c r="R2528">
        <v>2615</v>
      </c>
    </row>
    <row r="2529" spans="1:18" x14ac:dyDescent="0.25">
      <c r="A2529" t="s">
        <v>8752</v>
      </c>
      <c r="B2529" t="s">
        <v>8753</v>
      </c>
      <c r="C2529" t="s">
        <v>8754</v>
      </c>
      <c r="D2529" t="s">
        <v>8754</v>
      </c>
      <c r="E2529" t="s">
        <v>8755</v>
      </c>
      <c r="F2529" t="s">
        <v>91</v>
      </c>
      <c r="G2529" t="s">
        <v>22</v>
      </c>
      <c r="H2529" t="s">
        <v>53</v>
      </c>
      <c r="I2529" t="s">
        <v>3006</v>
      </c>
      <c r="J2529">
        <v>2020</v>
      </c>
      <c r="K2529">
        <v>43698.521897777777</v>
      </c>
      <c r="L2529" t="s">
        <v>466</v>
      </c>
      <c r="M2529" t="s">
        <v>1738</v>
      </c>
      <c r="N2529" t="s">
        <v>467</v>
      </c>
      <c r="O2529">
        <v>347063</v>
      </c>
      <c r="P2529">
        <v>43698.521897777777</v>
      </c>
      <c r="Q2529">
        <v>43662.707078506945</v>
      </c>
      <c r="R2529">
        <v>2616</v>
      </c>
    </row>
    <row r="2530" spans="1:18" x14ac:dyDescent="0.25">
      <c r="A2530" t="s">
        <v>8756</v>
      </c>
      <c r="B2530" t="s">
        <v>8757</v>
      </c>
      <c r="C2530" t="s">
        <v>8758</v>
      </c>
      <c r="D2530" t="s">
        <v>8758</v>
      </c>
      <c r="E2530" t="s">
        <v>8759</v>
      </c>
      <c r="F2530" t="s">
        <v>253</v>
      </c>
      <c r="G2530" t="s">
        <v>22</v>
      </c>
      <c r="H2530" t="s">
        <v>53</v>
      </c>
      <c r="I2530" t="s">
        <v>3006</v>
      </c>
      <c r="J2530">
        <v>2020</v>
      </c>
      <c r="K2530">
        <v>43698.521897777777</v>
      </c>
      <c r="L2530" t="s">
        <v>466</v>
      </c>
      <c r="M2530" t="s">
        <v>1738</v>
      </c>
      <c r="N2530" t="s">
        <v>467</v>
      </c>
      <c r="Q2530">
        <v>43662.708192824073</v>
      </c>
      <c r="R2530">
        <v>2617</v>
      </c>
    </row>
    <row r="2531" spans="1:18" x14ac:dyDescent="0.25">
      <c r="A2531" t="s">
        <v>8760</v>
      </c>
      <c r="B2531" t="s">
        <v>8761</v>
      </c>
      <c r="C2531" t="s">
        <v>8762</v>
      </c>
      <c r="D2531" t="s">
        <v>8762</v>
      </c>
      <c r="E2531" t="s">
        <v>8763</v>
      </c>
      <c r="F2531" t="s">
        <v>253</v>
      </c>
      <c r="G2531" t="s">
        <v>22</v>
      </c>
      <c r="H2531" t="s">
        <v>53</v>
      </c>
      <c r="I2531" t="s">
        <v>3006</v>
      </c>
      <c r="J2531">
        <v>2020</v>
      </c>
      <c r="K2531">
        <v>43698.521897777777</v>
      </c>
      <c r="L2531" t="s">
        <v>466</v>
      </c>
      <c r="M2531" t="s">
        <v>1738</v>
      </c>
      <c r="N2531" t="s">
        <v>467</v>
      </c>
      <c r="Q2531">
        <v>43662.708820370368</v>
      </c>
      <c r="R2531">
        <v>2618</v>
      </c>
    </row>
    <row r="2532" spans="1:18" x14ac:dyDescent="0.25">
      <c r="A2532" t="s">
        <v>8764</v>
      </c>
      <c r="B2532" t="s">
        <v>8765</v>
      </c>
      <c r="C2532" t="s">
        <v>8766</v>
      </c>
      <c r="D2532" t="s">
        <v>8766</v>
      </c>
      <c r="E2532" t="s">
        <v>8767</v>
      </c>
      <c r="F2532" t="s">
        <v>253</v>
      </c>
      <c r="G2532" t="s">
        <v>22</v>
      </c>
      <c r="H2532" t="s">
        <v>53</v>
      </c>
      <c r="I2532" t="s">
        <v>3006</v>
      </c>
      <c r="J2532">
        <v>2020</v>
      </c>
      <c r="K2532">
        <v>43698.521897777777</v>
      </c>
      <c r="L2532" t="s">
        <v>466</v>
      </c>
      <c r="M2532" t="s">
        <v>1738</v>
      </c>
      <c r="N2532" t="s">
        <v>467</v>
      </c>
      <c r="Q2532">
        <v>43662.709337268519</v>
      </c>
      <c r="R2532">
        <v>2619</v>
      </c>
    </row>
    <row r="2533" spans="1:18" x14ac:dyDescent="0.25">
      <c r="A2533" t="s">
        <v>8768</v>
      </c>
      <c r="B2533" t="s">
        <v>8769</v>
      </c>
      <c r="C2533" t="s">
        <v>8770</v>
      </c>
      <c r="D2533" t="s">
        <v>8770</v>
      </c>
      <c r="E2533" t="s">
        <v>8771</v>
      </c>
      <c r="F2533" t="s">
        <v>91</v>
      </c>
      <c r="G2533" t="s">
        <v>22</v>
      </c>
      <c r="H2533" t="s">
        <v>53</v>
      </c>
      <c r="I2533" t="s">
        <v>3006</v>
      </c>
      <c r="J2533">
        <v>2020</v>
      </c>
      <c r="K2533">
        <v>43698.521897777777</v>
      </c>
      <c r="L2533" t="s">
        <v>466</v>
      </c>
      <c r="M2533" t="s">
        <v>1738</v>
      </c>
      <c r="N2533" t="s">
        <v>467</v>
      </c>
      <c r="O2533">
        <v>345366</v>
      </c>
      <c r="P2533">
        <v>43698.521897777777</v>
      </c>
      <c r="Q2533">
        <v>43662.709797187497</v>
      </c>
      <c r="R2533">
        <v>2620</v>
      </c>
    </row>
    <row r="2534" spans="1:18" x14ac:dyDescent="0.25">
      <c r="A2534" t="s">
        <v>8772</v>
      </c>
      <c r="B2534" t="s">
        <v>8773</v>
      </c>
      <c r="C2534" t="s">
        <v>8774</v>
      </c>
      <c r="D2534" t="s">
        <v>8774</v>
      </c>
      <c r="E2534" t="s">
        <v>8775</v>
      </c>
      <c r="F2534" t="s">
        <v>253</v>
      </c>
      <c r="G2534" t="s">
        <v>22</v>
      </c>
      <c r="H2534" t="s">
        <v>53</v>
      </c>
      <c r="I2534" t="s">
        <v>3006</v>
      </c>
      <c r="J2534">
        <v>2020</v>
      </c>
      <c r="K2534">
        <v>43698.521897777777</v>
      </c>
      <c r="L2534" t="s">
        <v>466</v>
      </c>
      <c r="M2534" t="s">
        <v>1738</v>
      </c>
      <c r="N2534" t="s">
        <v>467</v>
      </c>
      <c r="Q2534">
        <v>43662.710323495368</v>
      </c>
      <c r="R2534">
        <v>2621</v>
      </c>
    </row>
    <row r="2535" spans="1:18" x14ac:dyDescent="0.25">
      <c r="A2535" t="s">
        <v>8776</v>
      </c>
      <c r="B2535" t="s">
        <v>8777</v>
      </c>
      <c r="C2535" t="s">
        <v>8778</v>
      </c>
      <c r="D2535" t="s">
        <v>8778</v>
      </c>
      <c r="E2535" t="s">
        <v>8779</v>
      </c>
      <c r="F2535" t="s">
        <v>253</v>
      </c>
      <c r="G2535" t="s">
        <v>22</v>
      </c>
      <c r="H2535" t="s">
        <v>53</v>
      </c>
      <c r="I2535" t="s">
        <v>3006</v>
      </c>
      <c r="J2535">
        <v>2020</v>
      </c>
      <c r="K2535">
        <v>43698.521897777777</v>
      </c>
      <c r="L2535" t="s">
        <v>466</v>
      </c>
      <c r="M2535" t="s">
        <v>1738</v>
      </c>
      <c r="N2535" t="s">
        <v>467</v>
      </c>
      <c r="Q2535">
        <v>43662.710818784719</v>
      </c>
      <c r="R2535">
        <v>2622</v>
      </c>
    </row>
    <row r="2536" spans="1:18" x14ac:dyDescent="0.25">
      <c r="A2536" t="s">
        <v>8780</v>
      </c>
      <c r="B2536" t="s">
        <v>8781</v>
      </c>
      <c r="C2536" t="s">
        <v>8782</v>
      </c>
      <c r="D2536" t="s">
        <v>8782</v>
      </c>
      <c r="E2536" t="s">
        <v>8783</v>
      </c>
      <c r="F2536" t="s">
        <v>91</v>
      </c>
      <c r="G2536" t="s">
        <v>22</v>
      </c>
      <c r="H2536" t="s">
        <v>53</v>
      </c>
      <c r="I2536" t="s">
        <v>3006</v>
      </c>
      <c r="J2536">
        <v>2020</v>
      </c>
      <c r="K2536">
        <v>43698.521897777777</v>
      </c>
      <c r="L2536" t="s">
        <v>466</v>
      </c>
      <c r="M2536" t="s">
        <v>1738</v>
      </c>
      <c r="N2536" t="s">
        <v>467</v>
      </c>
      <c r="Q2536">
        <v>43662.711444756947</v>
      </c>
      <c r="R2536">
        <v>2623</v>
      </c>
    </row>
    <row r="2537" spans="1:18" x14ac:dyDescent="0.25">
      <c r="A2537" t="s">
        <v>8784</v>
      </c>
      <c r="B2537" t="s">
        <v>4520</v>
      </c>
      <c r="C2537" t="s">
        <v>8785</v>
      </c>
      <c r="D2537" t="s">
        <v>8785</v>
      </c>
      <c r="E2537" t="s">
        <v>8785</v>
      </c>
      <c r="F2537" t="s">
        <v>91</v>
      </c>
      <c r="G2537" t="s">
        <v>63</v>
      </c>
      <c r="H2537" t="s">
        <v>53</v>
      </c>
      <c r="I2537" t="s">
        <v>3693</v>
      </c>
      <c r="J2537">
        <v>2018</v>
      </c>
      <c r="K2537">
        <v>43698.521897777777</v>
      </c>
      <c r="L2537" t="s">
        <v>25</v>
      </c>
      <c r="M2537" t="s">
        <v>1941</v>
      </c>
      <c r="N2537" t="s">
        <v>415</v>
      </c>
      <c r="Q2537">
        <v>43675.392058530095</v>
      </c>
      <c r="R2537">
        <v>2624</v>
      </c>
    </row>
    <row r="2538" spans="1:18" x14ac:dyDescent="0.25">
      <c r="A2538" t="s">
        <v>8786</v>
      </c>
      <c r="B2538" t="s">
        <v>8787</v>
      </c>
      <c r="C2538" t="s">
        <v>8788</v>
      </c>
      <c r="D2538" t="s">
        <v>8788</v>
      </c>
      <c r="E2538" t="s">
        <v>8789</v>
      </c>
      <c r="F2538" t="s">
        <v>253</v>
      </c>
      <c r="G2538" t="s">
        <v>22</v>
      </c>
      <c r="H2538" t="s">
        <v>53</v>
      </c>
      <c r="I2538" t="s">
        <v>3006</v>
      </c>
      <c r="J2538">
        <v>2020</v>
      </c>
      <c r="K2538">
        <v>43698.521897777777</v>
      </c>
      <c r="L2538" t="s">
        <v>466</v>
      </c>
      <c r="M2538" t="s">
        <v>1738</v>
      </c>
      <c r="N2538" t="s">
        <v>467</v>
      </c>
      <c r="Q2538">
        <v>43677.360920949075</v>
      </c>
      <c r="R2538">
        <v>2625</v>
      </c>
    </row>
    <row r="2539" spans="1:18" x14ac:dyDescent="0.25">
      <c r="A2539" t="s">
        <v>8790</v>
      </c>
      <c r="B2539" t="s">
        <v>8791</v>
      </c>
      <c r="C2539" t="s">
        <v>8792</v>
      </c>
      <c r="D2539" t="s">
        <v>8792</v>
      </c>
      <c r="E2539" t="s">
        <v>8793</v>
      </c>
      <c r="F2539" t="s">
        <v>253</v>
      </c>
      <c r="G2539" t="s">
        <v>22</v>
      </c>
      <c r="H2539" t="s">
        <v>53</v>
      </c>
      <c r="I2539" t="s">
        <v>3006</v>
      </c>
      <c r="J2539">
        <v>2020</v>
      </c>
      <c r="K2539">
        <v>43698.521897777777</v>
      </c>
      <c r="L2539" t="s">
        <v>466</v>
      </c>
      <c r="M2539" t="s">
        <v>1738</v>
      </c>
      <c r="N2539" t="s">
        <v>467</v>
      </c>
      <c r="Q2539">
        <v>43677.36149116898</v>
      </c>
      <c r="R2539">
        <v>2626</v>
      </c>
    </row>
    <row r="2540" spans="1:18" x14ac:dyDescent="0.25">
      <c r="A2540" t="s">
        <v>8794</v>
      </c>
      <c r="B2540" t="s">
        <v>8795</v>
      </c>
      <c r="C2540" t="s">
        <v>8796</v>
      </c>
      <c r="D2540" t="s">
        <v>8796</v>
      </c>
      <c r="E2540" t="s">
        <v>8797</v>
      </c>
      <c r="F2540" t="s">
        <v>253</v>
      </c>
      <c r="G2540" t="s">
        <v>22</v>
      </c>
      <c r="H2540" t="s">
        <v>53</v>
      </c>
      <c r="I2540" t="s">
        <v>3006</v>
      </c>
      <c r="J2540">
        <v>2020</v>
      </c>
      <c r="K2540">
        <v>43698.521897777777</v>
      </c>
      <c r="L2540" t="s">
        <v>466</v>
      </c>
      <c r="M2540" t="s">
        <v>1738</v>
      </c>
      <c r="N2540" t="s">
        <v>467</v>
      </c>
      <c r="Q2540">
        <v>43677.362701307873</v>
      </c>
      <c r="R2540">
        <v>2627</v>
      </c>
    </row>
    <row r="2541" spans="1:18" x14ac:dyDescent="0.25">
      <c r="A2541" t="s">
        <v>8798</v>
      </c>
      <c r="B2541" t="s">
        <v>8799</v>
      </c>
      <c r="C2541" t="s">
        <v>8800</v>
      </c>
      <c r="D2541" t="s">
        <v>8800</v>
      </c>
      <c r="E2541" t="s">
        <v>8801</v>
      </c>
      <c r="F2541" t="s">
        <v>253</v>
      </c>
      <c r="G2541" t="s">
        <v>22</v>
      </c>
      <c r="H2541" t="s">
        <v>53</v>
      </c>
      <c r="I2541" t="s">
        <v>3006</v>
      </c>
      <c r="J2541">
        <v>2020</v>
      </c>
      <c r="K2541">
        <v>43698.521897777777</v>
      </c>
      <c r="L2541" t="s">
        <v>25</v>
      </c>
      <c r="M2541" t="s">
        <v>1738</v>
      </c>
      <c r="N2541" t="s">
        <v>467</v>
      </c>
      <c r="Q2541">
        <v>43677.363410185186</v>
      </c>
      <c r="R2541">
        <v>2628</v>
      </c>
    </row>
    <row r="2542" spans="1:18" x14ac:dyDescent="0.25">
      <c r="A2542" t="s">
        <v>8802</v>
      </c>
      <c r="B2542" t="s">
        <v>8803</v>
      </c>
      <c r="C2542" t="s">
        <v>8804</v>
      </c>
      <c r="D2542" t="s">
        <v>8804</v>
      </c>
      <c r="E2542" t="s">
        <v>8805</v>
      </c>
      <c r="F2542" t="s">
        <v>253</v>
      </c>
      <c r="G2542" t="s">
        <v>22</v>
      </c>
      <c r="H2542" t="s">
        <v>53</v>
      </c>
      <c r="I2542" t="s">
        <v>3006</v>
      </c>
      <c r="J2542">
        <v>2020</v>
      </c>
      <c r="K2542">
        <v>43698.521897777777</v>
      </c>
      <c r="L2542" t="s">
        <v>25</v>
      </c>
      <c r="M2542" t="s">
        <v>1738</v>
      </c>
      <c r="N2542" t="s">
        <v>467</v>
      </c>
      <c r="Q2542">
        <v>43677.364111342591</v>
      </c>
      <c r="R2542">
        <v>2629</v>
      </c>
    </row>
    <row r="2543" spans="1:18" x14ac:dyDescent="0.25">
      <c r="A2543" t="s">
        <v>8806</v>
      </c>
      <c r="B2543" t="s">
        <v>8807</v>
      </c>
      <c r="C2543" t="s">
        <v>8808</v>
      </c>
      <c r="D2543" t="s">
        <v>8808</v>
      </c>
      <c r="E2543" t="s">
        <v>8809</v>
      </c>
      <c r="F2543" t="s">
        <v>253</v>
      </c>
      <c r="G2543" t="s">
        <v>22</v>
      </c>
      <c r="H2543" t="s">
        <v>53</v>
      </c>
      <c r="I2543" t="s">
        <v>3006</v>
      </c>
      <c r="J2543">
        <v>2020</v>
      </c>
      <c r="K2543">
        <v>43698.521897777777</v>
      </c>
      <c r="L2543" t="s">
        <v>25</v>
      </c>
      <c r="M2543" t="s">
        <v>1738</v>
      </c>
      <c r="N2543" t="s">
        <v>467</v>
      </c>
      <c r="Q2543">
        <v>43677.364691516203</v>
      </c>
      <c r="R2543">
        <v>2630</v>
      </c>
    </row>
    <row r="2544" spans="1:18" x14ac:dyDescent="0.25">
      <c r="A2544" t="s">
        <v>8810</v>
      </c>
      <c r="B2544" t="s">
        <v>8811</v>
      </c>
      <c r="C2544" t="s">
        <v>8812</v>
      </c>
      <c r="D2544" t="s">
        <v>8812</v>
      </c>
      <c r="E2544" t="s">
        <v>8813</v>
      </c>
      <c r="F2544" t="s">
        <v>253</v>
      </c>
      <c r="G2544" t="s">
        <v>22</v>
      </c>
      <c r="H2544" t="s">
        <v>53</v>
      </c>
      <c r="I2544" t="s">
        <v>471</v>
      </c>
      <c r="J2544">
        <v>2020</v>
      </c>
      <c r="K2544">
        <v>43698.521897777777</v>
      </c>
      <c r="L2544" t="s">
        <v>25</v>
      </c>
      <c r="M2544" t="s">
        <v>1738</v>
      </c>
      <c r="N2544" t="s">
        <v>467</v>
      </c>
      <c r="Q2544">
        <v>43677.365275034725</v>
      </c>
      <c r="R2544">
        <v>2631</v>
      </c>
    </row>
    <row r="2545" spans="1:18" x14ac:dyDescent="0.25">
      <c r="A2545" t="s">
        <v>8814</v>
      </c>
      <c r="B2545" t="s">
        <v>8815</v>
      </c>
      <c r="C2545" t="s">
        <v>8816</v>
      </c>
      <c r="D2545" t="s">
        <v>8816</v>
      </c>
      <c r="E2545" t="s">
        <v>8817</v>
      </c>
      <c r="F2545" t="s">
        <v>253</v>
      </c>
      <c r="G2545" t="s">
        <v>22</v>
      </c>
      <c r="H2545" t="s">
        <v>53</v>
      </c>
      <c r="I2545" t="s">
        <v>3006</v>
      </c>
      <c r="J2545">
        <v>2020</v>
      </c>
      <c r="K2545">
        <v>43698.521897777777</v>
      </c>
      <c r="L2545" t="s">
        <v>25</v>
      </c>
      <c r="M2545" t="s">
        <v>1738</v>
      </c>
      <c r="N2545" t="s">
        <v>467</v>
      </c>
      <c r="Q2545">
        <v>43677.365805324072</v>
      </c>
      <c r="R2545">
        <v>2632</v>
      </c>
    </row>
    <row r="2546" spans="1:18" x14ac:dyDescent="0.25">
      <c r="A2546" t="s">
        <v>8818</v>
      </c>
      <c r="B2546" t="s">
        <v>8819</v>
      </c>
      <c r="C2546" t="s">
        <v>8820</v>
      </c>
      <c r="D2546" t="s">
        <v>8820</v>
      </c>
      <c r="E2546" t="s">
        <v>8821</v>
      </c>
      <c r="F2546" t="s">
        <v>253</v>
      </c>
      <c r="G2546" t="s">
        <v>22</v>
      </c>
      <c r="H2546" t="s">
        <v>998</v>
      </c>
      <c r="I2546" t="s">
        <v>3006</v>
      </c>
      <c r="J2546">
        <v>2020</v>
      </c>
      <c r="K2546">
        <v>43698.521897777777</v>
      </c>
      <c r="L2546" t="s">
        <v>25</v>
      </c>
      <c r="M2546" t="s">
        <v>1738</v>
      </c>
      <c r="N2546" t="s">
        <v>467</v>
      </c>
      <c r="Q2546">
        <v>43677.366583796298</v>
      </c>
      <c r="R2546">
        <v>2633</v>
      </c>
    </row>
    <row r="2547" spans="1:18" x14ac:dyDescent="0.25">
      <c r="A2547" t="s">
        <v>8822</v>
      </c>
      <c r="B2547" t="s">
        <v>8823</v>
      </c>
      <c r="C2547" t="s">
        <v>8824</v>
      </c>
      <c r="D2547" t="s">
        <v>8824</v>
      </c>
      <c r="E2547" t="s">
        <v>8825</v>
      </c>
      <c r="F2547" t="s">
        <v>253</v>
      </c>
      <c r="G2547" t="s">
        <v>22</v>
      </c>
      <c r="H2547" t="s">
        <v>53</v>
      </c>
      <c r="I2547" t="s">
        <v>3006</v>
      </c>
      <c r="J2547">
        <v>2020</v>
      </c>
      <c r="K2547">
        <v>43698.521897777777</v>
      </c>
      <c r="L2547" t="s">
        <v>25</v>
      </c>
      <c r="M2547" t="s">
        <v>1738</v>
      </c>
      <c r="N2547" t="s">
        <v>467</v>
      </c>
      <c r="Q2547">
        <v>43677.367393287037</v>
      </c>
      <c r="R2547">
        <v>2634</v>
      </c>
    </row>
    <row r="2548" spans="1:18" x14ac:dyDescent="0.25">
      <c r="A2548" t="s">
        <v>8826</v>
      </c>
      <c r="B2548" t="s">
        <v>8827</v>
      </c>
      <c r="C2548" t="s">
        <v>8828</v>
      </c>
      <c r="D2548" t="s">
        <v>8828</v>
      </c>
      <c r="E2548" t="s">
        <v>8829</v>
      </c>
      <c r="F2548" t="s">
        <v>253</v>
      </c>
      <c r="G2548" t="s">
        <v>22</v>
      </c>
      <c r="H2548" t="s">
        <v>53</v>
      </c>
      <c r="I2548" t="s">
        <v>3006</v>
      </c>
      <c r="J2548">
        <v>2020</v>
      </c>
      <c r="K2548">
        <v>43698.521897777777</v>
      </c>
      <c r="L2548" t="s">
        <v>466</v>
      </c>
      <c r="M2548" t="s">
        <v>154</v>
      </c>
      <c r="N2548" t="s">
        <v>467</v>
      </c>
      <c r="Q2548">
        <v>43677.368427777779</v>
      </c>
      <c r="R2548">
        <v>2635</v>
      </c>
    </row>
    <row r="2549" spans="1:18" x14ac:dyDescent="0.25">
      <c r="A2549" t="s">
        <v>8830</v>
      </c>
      <c r="B2549" t="s">
        <v>8831</v>
      </c>
      <c r="C2549" t="s">
        <v>8832</v>
      </c>
      <c r="D2549" t="s">
        <v>8832</v>
      </c>
      <c r="E2549" t="s">
        <v>8833</v>
      </c>
      <c r="F2549" t="s">
        <v>91</v>
      </c>
      <c r="G2549" t="s">
        <v>22</v>
      </c>
      <c r="H2549" t="s">
        <v>53</v>
      </c>
      <c r="I2549" t="s">
        <v>3006</v>
      </c>
      <c r="J2549">
        <v>2020</v>
      </c>
      <c r="K2549">
        <v>43698.521897777777</v>
      </c>
      <c r="L2549" t="s">
        <v>466</v>
      </c>
      <c r="M2549" t="s">
        <v>154</v>
      </c>
      <c r="N2549" t="s">
        <v>467</v>
      </c>
      <c r="O2549">
        <v>345374</v>
      </c>
      <c r="P2549">
        <v>43698.521897777777</v>
      </c>
      <c r="Q2549">
        <v>43677.369154664353</v>
      </c>
      <c r="R2549">
        <v>2636</v>
      </c>
    </row>
    <row r="2550" spans="1:18" x14ac:dyDescent="0.25">
      <c r="A2550" t="s">
        <v>8834</v>
      </c>
      <c r="B2550" t="s">
        <v>8835</v>
      </c>
      <c r="C2550" t="s">
        <v>8836</v>
      </c>
      <c r="D2550" t="s">
        <v>8836</v>
      </c>
      <c r="E2550" t="s">
        <v>8837</v>
      </c>
      <c r="F2550" t="s">
        <v>253</v>
      </c>
      <c r="G2550" t="s">
        <v>22</v>
      </c>
      <c r="H2550" t="s">
        <v>53</v>
      </c>
      <c r="I2550" t="s">
        <v>3006</v>
      </c>
      <c r="J2550">
        <v>2020</v>
      </c>
      <c r="K2550">
        <v>43698.521897777777</v>
      </c>
      <c r="L2550" t="s">
        <v>466</v>
      </c>
      <c r="M2550" t="s">
        <v>154</v>
      </c>
      <c r="N2550" t="s">
        <v>467</v>
      </c>
      <c r="Q2550">
        <v>43677.369634062503</v>
      </c>
      <c r="R2550">
        <v>2637</v>
      </c>
    </row>
    <row r="2551" spans="1:18" x14ac:dyDescent="0.25">
      <c r="A2551" t="s">
        <v>8838</v>
      </c>
      <c r="B2551" t="s">
        <v>8839</v>
      </c>
      <c r="C2551" t="s">
        <v>8840</v>
      </c>
      <c r="D2551" t="s">
        <v>8840</v>
      </c>
      <c r="E2551" t="s">
        <v>8841</v>
      </c>
      <c r="F2551" t="s">
        <v>253</v>
      </c>
      <c r="G2551" t="s">
        <v>22</v>
      </c>
      <c r="H2551" t="s">
        <v>53</v>
      </c>
      <c r="I2551" t="s">
        <v>3006</v>
      </c>
      <c r="J2551">
        <v>2020</v>
      </c>
      <c r="K2551">
        <v>43698.521897777777</v>
      </c>
      <c r="L2551" t="s">
        <v>466</v>
      </c>
      <c r="M2551" t="s">
        <v>154</v>
      </c>
      <c r="N2551" t="s">
        <v>467</v>
      </c>
      <c r="Q2551">
        <v>43677.370347881944</v>
      </c>
      <c r="R2551">
        <v>2638</v>
      </c>
    </row>
    <row r="2552" spans="1:18" x14ac:dyDescent="0.25">
      <c r="A2552" t="s">
        <v>8842</v>
      </c>
      <c r="B2552" t="s">
        <v>8843</v>
      </c>
      <c r="C2552" t="s">
        <v>8844</v>
      </c>
      <c r="D2552" t="s">
        <v>8844</v>
      </c>
      <c r="E2552" t="s">
        <v>8845</v>
      </c>
      <c r="F2552" t="s">
        <v>253</v>
      </c>
      <c r="G2552" t="s">
        <v>22</v>
      </c>
      <c r="H2552" t="s">
        <v>53</v>
      </c>
      <c r="I2552" t="s">
        <v>3006</v>
      </c>
      <c r="J2552">
        <v>2020</v>
      </c>
      <c r="K2552">
        <v>43698.521897777777</v>
      </c>
      <c r="L2552" t="s">
        <v>466</v>
      </c>
      <c r="M2552" t="s">
        <v>154</v>
      </c>
      <c r="N2552" t="s">
        <v>467</v>
      </c>
      <c r="Q2552">
        <v>43677.370936921296</v>
      </c>
      <c r="R2552">
        <v>2639</v>
      </c>
    </row>
    <row r="2553" spans="1:18" x14ac:dyDescent="0.25">
      <c r="A2553" t="s">
        <v>8846</v>
      </c>
      <c r="B2553" t="s">
        <v>8847</v>
      </c>
      <c r="C2553" t="s">
        <v>8848</v>
      </c>
      <c r="D2553" t="s">
        <v>8848</v>
      </c>
      <c r="E2553" t="s">
        <v>8849</v>
      </c>
      <c r="F2553" t="s">
        <v>91</v>
      </c>
      <c r="G2553" t="s">
        <v>22</v>
      </c>
      <c r="H2553" t="s">
        <v>53</v>
      </c>
      <c r="I2553" t="s">
        <v>3006</v>
      </c>
      <c r="J2553">
        <v>2020</v>
      </c>
      <c r="K2553">
        <v>43698.521897777777</v>
      </c>
      <c r="L2553" t="s">
        <v>466</v>
      </c>
      <c r="M2553" t="s">
        <v>154</v>
      </c>
      <c r="N2553" t="s">
        <v>467</v>
      </c>
      <c r="O2553">
        <v>346196</v>
      </c>
      <c r="P2553">
        <v>43698.521897777777</v>
      </c>
      <c r="Q2553">
        <v>43677.371494710649</v>
      </c>
      <c r="R2553">
        <v>2640</v>
      </c>
    </row>
    <row r="2554" spans="1:18" x14ac:dyDescent="0.25">
      <c r="A2554" t="s">
        <v>8850</v>
      </c>
      <c r="B2554" t="s">
        <v>8851</v>
      </c>
      <c r="C2554" t="s">
        <v>8852</v>
      </c>
      <c r="D2554" t="s">
        <v>8852</v>
      </c>
      <c r="E2554" t="s">
        <v>8853</v>
      </c>
      <c r="F2554" t="s">
        <v>253</v>
      </c>
      <c r="G2554" t="s">
        <v>22</v>
      </c>
      <c r="H2554" t="s">
        <v>53</v>
      </c>
      <c r="I2554" t="s">
        <v>3006</v>
      </c>
      <c r="J2554">
        <v>2020</v>
      </c>
      <c r="K2554">
        <v>43698.521897777777</v>
      </c>
      <c r="L2554" t="s">
        <v>466</v>
      </c>
      <c r="M2554" t="s">
        <v>154</v>
      </c>
      <c r="N2554" t="s">
        <v>467</v>
      </c>
      <c r="Q2554">
        <v>43677.372099768516</v>
      </c>
      <c r="R2554">
        <v>2641</v>
      </c>
    </row>
    <row r="2555" spans="1:18" x14ac:dyDescent="0.25">
      <c r="A2555" t="s">
        <v>8854</v>
      </c>
      <c r="B2555" t="s">
        <v>8855</v>
      </c>
      <c r="C2555" t="s">
        <v>8856</v>
      </c>
      <c r="D2555" t="s">
        <v>8856</v>
      </c>
      <c r="E2555" t="s">
        <v>8857</v>
      </c>
      <c r="F2555" t="s">
        <v>253</v>
      </c>
      <c r="G2555" t="s">
        <v>22</v>
      </c>
      <c r="H2555" t="s">
        <v>53</v>
      </c>
      <c r="I2555" t="s">
        <v>3006</v>
      </c>
      <c r="J2555">
        <v>2020</v>
      </c>
      <c r="K2555">
        <v>43698.521897777777</v>
      </c>
      <c r="L2555" t="s">
        <v>466</v>
      </c>
      <c r="M2555" t="s">
        <v>154</v>
      </c>
      <c r="N2555" t="s">
        <v>467</v>
      </c>
      <c r="Q2555">
        <v>43677.372646215277</v>
      </c>
      <c r="R2555">
        <v>2642</v>
      </c>
    </row>
    <row r="2556" spans="1:18" x14ac:dyDescent="0.25">
      <c r="A2556" t="s">
        <v>8858</v>
      </c>
      <c r="B2556" t="s">
        <v>8859</v>
      </c>
      <c r="C2556" t="s">
        <v>8860</v>
      </c>
      <c r="D2556" t="s">
        <v>8860</v>
      </c>
      <c r="E2556" t="s">
        <v>8861</v>
      </c>
      <c r="F2556" t="s">
        <v>253</v>
      </c>
      <c r="G2556" t="s">
        <v>22</v>
      </c>
      <c r="H2556" t="s">
        <v>53</v>
      </c>
      <c r="I2556" t="s">
        <v>3006</v>
      </c>
      <c r="J2556">
        <v>2020</v>
      </c>
      <c r="K2556">
        <v>43698.521897777777</v>
      </c>
      <c r="L2556" t="s">
        <v>466</v>
      </c>
      <c r="M2556" t="s">
        <v>154</v>
      </c>
      <c r="N2556" t="s">
        <v>467</v>
      </c>
      <c r="Q2556">
        <v>43677.374092129627</v>
      </c>
      <c r="R2556">
        <v>2643</v>
      </c>
    </row>
    <row r="2557" spans="1:18" x14ac:dyDescent="0.25">
      <c r="A2557" t="s">
        <v>8862</v>
      </c>
      <c r="B2557" t="s">
        <v>8863</v>
      </c>
      <c r="C2557" t="s">
        <v>8864</v>
      </c>
      <c r="D2557" t="s">
        <v>8864</v>
      </c>
      <c r="E2557" t="s">
        <v>8865</v>
      </c>
      <c r="F2557" t="s">
        <v>253</v>
      </c>
      <c r="G2557" t="s">
        <v>22</v>
      </c>
      <c r="H2557" t="s">
        <v>53</v>
      </c>
      <c r="I2557" t="s">
        <v>3006</v>
      </c>
      <c r="J2557">
        <v>2020</v>
      </c>
      <c r="K2557">
        <v>43698.521897777777</v>
      </c>
      <c r="L2557" t="s">
        <v>466</v>
      </c>
      <c r="M2557" t="s">
        <v>154</v>
      </c>
      <c r="N2557" t="s">
        <v>467</v>
      </c>
      <c r="Q2557">
        <v>43677.374623842596</v>
      </c>
      <c r="R2557">
        <v>2644</v>
      </c>
    </row>
    <row r="2558" spans="1:18" x14ac:dyDescent="0.25">
      <c r="A2558" t="s">
        <v>25</v>
      </c>
      <c r="B2558" t="s">
        <v>25</v>
      </c>
      <c r="C2558" t="s">
        <v>8866</v>
      </c>
      <c r="D2558" t="s">
        <v>8866</v>
      </c>
      <c r="E2558" t="s">
        <v>8866</v>
      </c>
      <c r="F2558" t="s">
        <v>91</v>
      </c>
      <c r="G2558" t="s">
        <v>63</v>
      </c>
      <c r="H2558" t="s">
        <v>25</v>
      </c>
      <c r="I2558" t="s">
        <v>25</v>
      </c>
      <c r="K2558">
        <v>43698.521897777777</v>
      </c>
      <c r="L2558" t="s">
        <v>422</v>
      </c>
      <c r="M2558" t="s">
        <v>42</v>
      </c>
      <c r="N2558" t="s">
        <v>415</v>
      </c>
      <c r="O2558">
        <v>347040</v>
      </c>
      <c r="P2558">
        <v>43698.521897777777</v>
      </c>
      <c r="Q2558">
        <v>43677.414461574073</v>
      </c>
      <c r="R2558">
        <v>2645</v>
      </c>
    </row>
    <row r="2559" spans="1:18" x14ac:dyDescent="0.25">
      <c r="A2559" t="s">
        <v>25</v>
      </c>
      <c r="B2559" t="s">
        <v>25</v>
      </c>
      <c r="C2559" t="s">
        <v>8867</v>
      </c>
      <c r="D2559" t="s">
        <v>8867</v>
      </c>
      <c r="E2559" t="s">
        <v>8868</v>
      </c>
      <c r="F2559" t="s">
        <v>91</v>
      </c>
      <c r="G2559" t="s">
        <v>63</v>
      </c>
      <c r="H2559" t="s">
        <v>25</v>
      </c>
      <c r="I2559" t="s">
        <v>25</v>
      </c>
      <c r="K2559">
        <v>43698.521897777777</v>
      </c>
      <c r="L2559" t="s">
        <v>25</v>
      </c>
      <c r="M2559" t="s">
        <v>42</v>
      </c>
      <c r="N2559" t="s">
        <v>415</v>
      </c>
      <c r="O2559">
        <v>339821</v>
      </c>
      <c r="P2559">
        <v>43681.645833333336</v>
      </c>
      <c r="Q2559">
        <v>43680.510719409722</v>
      </c>
      <c r="R2559">
        <v>2651</v>
      </c>
    </row>
    <row r="2560" spans="1:18" x14ac:dyDescent="0.25">
      <c r="A2560" t="s">
        <v>25</v>
      </c>
      <c r="B2560" t="s">
        <v>25</v>
      </c>
      <c r="C2560" t="s">
        <v>8867</v>
      </c>
      <c r="D2560" t="s">
        <v>8867</v>
      </c>
      <c r="E2560" t="s">
        <v>8869</v>
      </c>
      <c r="F2560" t="s">
        <v>91</v>
      </c>
      <c r="G2560" t="s">
        <v>63</v>
      </c>
      <c r="H2560" t="s">
        <v>25</v>
      </c>
      <c r="I2560" t="s">
        <v>25</v>
      </c>
      <c r="K2560">
        <v>43698.521897777777</v>
      </c>
      <c r="L2560" t="s">
        <v>25</v>
      </c>
      <c r="M2560" t="s">
        <v>42</v>
      </c>
      <c r="N2560" t="s">
        <v>415</v>
      </c>
      <c r="O2560">
        <v>339833</v>
      </c>
      <c r="P2560">
        <v>43681.6875</v>
      </c>
      <c r="Q2560">
        <v>43680.510880092595</v>
      </c>
      <c r="R2560">
        <v>2652</v>
      </c>
    </row>
    <row r="2561" spans="1:18" x14ac:dyDescent="0.25">
      <c r="A2561" t="s">
        <v>25</v>
      </c>
      <c r="B2561" t="s">
        <v>25</v>
      </c>
      <c r="C2561" t="s">
        <v>8867</v>
      </c>
      <c r="D2561" t="s">
        <v>8867</v>
      </c>
      <c r="E2561" t="s">
        <v>8870</v>
      </c>
      <c r="F2561" t="s">
        <v>91</v>
      </c>
      <c r="G2561" t="s">
        <v>63</v>
      </c>
      <c r="H2561" t="s">
        <v>25</v>
      </c>
      <c r="I2561" t="s">
        <v>25</v>
      </c>
      <c r="K2561">
        <v>43698.521897777777</v>
      </c>
      <c r="L2561" t="s">
        <v>25</v>
      </c>
      <c r="M2561" t="s">
        <v>42</v>
      </c>
      <c r="N2561" t="s">
        <v>415</v>
      </c>
      <c r="O2561">
        <v>339841</v>
      </c>
      <c r="P2561">
        <v>43681.604166666664</v>
      </c>
      <c r="Q2561">
        <v>43680.511009918984</v>
      </c>
      <c r="R2561">
        <v>2653</v>
      </c>
    </row>
    <row r="2562" spans="1:18" x14ac:dyDescent="0.25">
      <c r="A2562" t="s">
        <v>25</v>
      </c>
      <c r="B2562" t="s">
        <v>25</v>
      </c>
      <c r="C2562" t="s">
        <v>8867</v>
      </c>
      <c r="D2562" t="s">
        <v>8867</v>
      </c>
      <c r="E2562" t="s">
        <v>8871</v>
      </c>
      <c r="F2562" t="s">
        <v>91</v>
      </c>
      <c r="G2562" t="s">
        <v>63</v>
      </c>
      <c r="H2562" t="s">
        <v>25</v>
      </c>
      <c r="I2562" t="s">
        <v>25</v>
      </c>
      <c r="K2562">
        <v>43698.521897777777</v>
      </c>
      <c r="L2562" t="s">
        <v>25</v>
      </c>
      <c r="M2562" t="s">
        <v>42</v>
      </c>
      <c r="N2562" t="s">
        <v>415</v>
      </c>
      <c r="O2562">
        <v>339572</v>
      </c>
      <c r="P2562">
        <v>43680.621527777781</v>
      </c>
      <c r="Q2562">
        <v>43680.511207673611</v>
      </c>
      <c r="R2562">
        <v>2654</v>
      </c>
    </row>
    <row r="2563" spans="1:18" x14ac:dyDescent="0.25">
      <c r="A2563" t="s">
        <v>8872</v>
      </c>
      <c r="B2563" t="s">
        <v>8872</v>
      </c>
      <c r="C2563" t="s">
        <v>8873</v>
      </c>
      <c r="D2563" t="s">
        <v>8873</v>
      </c>
      <c r="E2563" t="s">
        <v>8873</v>
      </c>
      <c r="F2563" t="s">
        <v>91</v>
      </c>
      <c r="G2563" t="s">
        <v>22</v>
      </c>
      <c r="H2563" t="s">
        <v>2802</v>
      </c>
      <c r="I2563" t="s">
        <v>25</v>
      </c>
      <c r="K2563">
        <v>43698.521897777777</v>
      </c>
      <c r="L2563" t="s">
        <v>25</v>
      </c>
      <c r="M2563" t="s">
        <v>5389</v>
      </c>
      <c r="N2563" t="s">
        <v>523</v>
      </c>
      <c r="Q2563">
        <v>43683.455892361111</v>
      </c>
      <c r="R2563">
        <v>2655</v>
      </c>
    </row>
    <row r="2564" spans="1:18" x14ac:dyDescent="0.25">
      <c r="A2564" t="s">
        <v>8874</v>
      </c>
      <c r="B2564" t="s">
        <v>8874</v>
      </c>
      <c r="C2564" t="s">
        <v>8875</v>
      </c>
      <c r="D2564" t="s">
        <v>8875</v>
      </c>
      <c r="E2564" t="s">
        <v>8875</v>
      </c>
      <c r="F2564" t="s">
        <v>91</v>
      </c>
      <c r="G2564" t="s">
        <v>22</v>
      </c>
      <c r="H2564" t="s">
        <v>2802</v>
      </c>
      <c r="I2564" t="s">
        <v>25</v>
      </c>
      <c r="K2564">
        <v>43698.521897777777</v>
      </c>
      <c r="L2564" t="s">
        <v>25</v>
      </c>
      <c r="M2564" t="s">
        <v>5389</v>
      </c>
      <c r="N2564" t="s">
        <v>523</v>
      </c>
      <c r="Q2564">
        <v>43683.456731562503</v>
      </c>
      <c r="R2564">
        <v>2656</v>
      </c>
    </row>
    <row r="2565" spans="1:18" x14ac:dyDescent="0.25">
      <c r="A2565" t="s">
        <v>8876</v>
      </c>
      <c r="B2565" t="s">
        <v>8876</v>
      </c>
      <c r="C2565" t="s">
        <v>8877</v>
      </c>
      <c r="D2565" t="s">
        <v>8877</v>
      </c>
      <c r="E2565" t="s">
        <v>8877</v>
      </c>
      <c r="F2565" t="s">
        <v>91</v>
      </c>
      <c r="G2565" t="s">
        <v>22</v>
      </c>
      <c r="H2565" t="s">
        <v>2802</v>
      </c>
      <c r="I2565" t="s">
        <v>25</v>
      </c>
      <c r="K2565">
        <v>43698.521897777777</v>
      </c>
      <c r="L2565" t="s">
        <v>25</v>
      </c>
      <c r="M2565" t="s">
        <v>5389</v>
      </c>
      <c r="N2565" t="s">
        <v>523</v>
      </c>
      <c r="Q2565">
        <v>43683.487555752312</v>
      </c>
      <c r="R2565">
        <v>2657</v>
      </c>
    </row>
    <row r="2566" spans="1:18" x14ac:dyDescent="0.25">
      <c r="A2566" t="s">
        <v>8878</v>
      </c>
      <c r="B2566" t="s">
        <v>2092</v>
      </c>
      <c r="C2566" t="s">
        <v>8879</v>
      </c>
      <c r="D2566" t="s">
        <v>8879</v>
      </c>
      <c r="E2566" t="s">
        <v>8879</v>
      </c>
      <c r="F2566" t="s">
        <v>253</v>
      </c>
      <c r="G2566" t="s">
        <v>63</v>
      </c>
      <c r="H2566" t="s">
        <v>53</v>
      </c>
      <c r="I2566" t="s">
        <v>471</v>
      </c>
      <c r="J2566">
        <v>2017</v>
      </c>
      <c r="K2566">
        <v>43698.521897777777</v>
      </c>
      <c r="L2566" t="s">
        <v>25</v>
      </c>
      <c r="M2566" t="s">
        <v>1941</v>
      </c>
      <c r="N2566" t="s">
        <v>415</v>
      </c>
      <c r="Q2566">
        <v>43691.451248761572</v>
      </c>
      <c r="R2566">
        <v>2658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Power Query</vt:lpstr>
      <vt:lpstr>Master truck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Garg</dc:creator>
  <cp:lastModifiedBy>Falgun Patel</cp:lastModifiedBy>
  <dcterms:created xsi:type="dcterms:W3CDTF">2019-08-21T16:28:24Z</dcterms:created>
  <dcterms:modified xsi:type="dcterms:W3CDTF">2020-01-10T17:54:40Z</dcterms:modified>
</cp:coreProperties>
</file>