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ptimista" sheetId="1" r:id="rId3"/>
    <sheet state="visible" name="Realista" sheetId="2" r:id="rId4"/>
    <sheet state="visible" name="Pesimista" sheetId="3" r:id="rId5"/>
  </sheets>
  <definedNames/>
  <calcPr/>
</workbook>
</file>

<file path=xl/sharedStrings.xml><?xml version="1.0" encoding="utf-8"?>
<sst xmlns="http://schemas.openxmlformats.org/spreadsheetml/2006/main" count="124" uniqueCount="40">
  <si>
    <t>Año 0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</si>
  <si>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</si>
  <si>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</si>
  <si>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</si>
  <si>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</si>
  <si>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</si>
  <si>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</si>
  <si>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</si>
  <si>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</si>
  <si>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</si>
  <si>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</si>
  <si>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Ingresos por venta</t>
  </si>
  <si>
    <t>Costos por venta</t>
  </si>
  <si>
    <t>Margen Operacional</t>
  </si>
  <si>
    <t>Gastos por ventas</t>
  </si>
  <si>
    <t>Gastos administrativos</t>
  </si>
  <si>
    <t>Resultado operacional bruto</t>
  </si>
  <si>
    <t>Depreciación</t>
  </si>
  <si>
    <t>Resultado operacional neto</t>
  </si>
  <si>
    <t>Valor libro</t>
  </si>
  <si>
    <t>Valor recuperación</t>
  </si>
  <si>
    <t>Utilidad antes de impuesto</t>
  </si>
  <si>
    <t>Impuestos</t>
  </si>
  <si>
    <t>Utilidad neta</t>
  </si>
  <si>
    <t>Inversión</t>
  </si>
  <si>
    <t>Capital de trabajo</t>
  </si>
  <si>
    <t>Flujo de caja</t>
  </si>
  <si>
    <t>Flujo de caja acumulado</t>
  </si>
  <si>
    <t>Tasa descuento</t>
  </si>
  <si>
    <t>VAN(20%)</t>
  </si>
  <si>
    <t>FC1/(1,2)</t>
  </si>
  <si>
    <t>FC2/(1,2^2)</t>
  </si>
  <si>
    <t>FC3/(1,2^3)</t>
  </si>
  <si>
    <t>FC4/(1,2^4)</t>
  </si>
  <si>
    <t>TIR</t>
  </si>
  <si>
    <t>FC5/(1,2^5)</t>
  </si>
  <si>
    <t>IVAN</t>
  </si>
  <si>
    <t>Payback</t>
  </si>
  <si>
    <t>1-(1/(1,2^10)</t>
  </si>
  <si>
    <t>VAE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</si>
</sst>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;(#,##0.00)"/>
    <numFmt numFmtId="165" formatCode="#,##0;(#,##0)"/>
    <numFmt numFmtId="166" formatCode="0.0"/>
  </numFmts>
  <fonts count="5">
    <font>
      <sz val="10.0"/>
      <color rgb="FF000000"/>
      <name val="Arial"/>
    </font>
    <font/>
    <font>
      <b/>
    </font>
    <font>
      <name val="Arial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0" fillId="0" fontId="1" numFmtId="164" xfId="0" applyFont="1" applyNumberFormat="1"/>
    <xf borderId="1" fillId="0" fontId="1" numFmtId="165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1" numFmtId="165" xfId="0" applyBorder="1" applyFont="1" applyNumberFormat="1"/>
    <xf borderId="1" fillId="0" fontId="3" numFmtId="165" xfId="0" applyAlignment="1" applyBorder="1" applyFont="1" applyNumberFormat="1">
      <alignment horizontal="right" vertical="bottom"/>
    </xf>
    <xf borderId="2" fillId="0" fontId="3" numFmtId="165" xfId="0" applyAlignment="1" applyBorder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Font="1" applyNumberFormat="1"/>
    <xf borderId="0" fillId="0" fontId="1" numFmtId="2" xfId="0" applyFont="1" applyNumberFormat="1"/>
    <xf borderId="0" fillId="0" fontId="1" numFmtId="2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Font="1" applyNumberFormat="1"/>
    <xf borderId="0" fillId="2" fontId="4" numFmtId="164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12" width="15.29"/>
  </cols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11</v>
      </c>
      <c r="B2" s="5">
        <v>0.0</v>
      </c>
      <c r="C2" s="5">
        <v>3.19326313E8</v>
      </c>
      <c r="D2" s="5">
        <v>6.4879572E8</v>
      </c>
      <c r="E2" s="5">
        <v>6.4879572E8</v>
      </c>
      <c r="F2" s="5">
        <v>6.4879572E8</v>
      </c>
      <c r="G2" s="5">
        <v>6.4879572E8</v>
      </c>
      <c r="H2" s="5">
        <v>6.4879572E8</v>
      </c>
      <c r="I2" s="5">
        <v>6.4879572E8</v>
      </c>
      <c r="J2" s="5">
        <v>6.4879572E8</v>
      </c>
      <c r="K2" s="5">
        <v>6.4879572E8</v>
      </c>
      <c r="L2" s="5">
        <v>6.4879572E8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12</v>
      </c>
      <c r="B3" s="5">
        <v>0.0</v>
      </c>
      <c r="C3" s="5">
        <v>-1.59663156E8</v>
      </c>
      <c r="D3" s="5">
        <v>-3.2439786E8</v>
      </c>
      <c r="E3" s="5">
        <v>-3.2439786E8</v>
      </c>
      <c r="F3" s="5">
        <v>-3.2439786E8</v>
      </c>
      <c r="G3" s="5">
        <v>-3.2439786E8</v>
      </c>
      <c r="H3" s="5">
        <v>-3.2439786E8</v>
      </c>
      <c r="I3" s="5">
        <v>-3.2439786E8</v>
      </c>
      <c r="J3" s="5">
        <v>-3.2439786E8</v>
      </c>
      <c r="K3" s="5">
        <v>-3.2439786E8</v>
      </c>
      <c r="L3" s="5">
        <v>-3.2439786E8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13</v>
      </c>
      <c r="B4" s="9">
        <f t="shared" ref="B4:L4" si="1">B2+B3</f>
        <v>0</v>
      </c>
      <c r="C4" s="9">
        <f t="shared" si="1"/>
        <v>159663157</v>
      </c>
      <c r="D4" s="9">
        <f t="shared" si="1"/>
        <v>324397860</v>
      </c>
      <c r="E4" s="9">
        <f t="shared" si="1"/>
        <v>324397860</v>
      </c>
      <c r="F4" s="9">
        <f t="shared" si="1"/>
        <v>324397860</v>
      </c>
      <c r="G4" s="9">
        <f t="shared" si="1"/>
        <v>324397860</v>
      </c>
      <c r="H4" s="9">
        <f t="shared" si="1"/>
        <v>324397860</v>
      </c>
      <c r="I4" s="9">
        <f t="shared" si="1"/>
        <v>324397860</v>
      </c>
      <c r="J4" s="9">
        <f t="shared" si="1"/>
        <v>324397860</v>
      </c>
      <c r="K4" s="9">
        <f t="shared" si="1"/>
        <v>324397860</v>
      </c>
      <c r="L4" s="9">
        <f t="shared" si="1"/>
        <v>324397860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14</v>
      </c>
      <c r="B5" s="5">
        <v>0.0</v>
      </c>
      <c r="C5" s="9">
        <f t="shared" ref="C5:L5" si="2">-4175280</f>
        <v>-4175280</v>
      </c>
      <c r="D5" s="9">
        <f t="shared" si="2"/>
        <v>-4175280</v>
      </c>
      <c r="E5" s="9">
        <f t="shared" si="2"/>
        <v>-4175280</v>
      </c>
      <c r="F5" s="9">
        <f t="shared" si="2"/>
        <v>-4175280</v>
      </c>
      <c r="G5" s="9">
        <f t="shared" si="2"/>
        <v>-4175280</v>
      </c>
      <c r="H5" s="9">
        <f t="shared" si="2"/>
        <v>-4175280</v>
      </c>
      <c r="I5" s="9">
        <f t="shared" si="2"/>
        <v>-4175280</v>
      </c>
      <c r="J5" s="9">
        <f t="shared" si="2"/>
        <v>-4175280</v>
      </c>
      <c r="K5" s="9">
        <f t="shared" si="2"/>
        <v>-4175280</v>
      </c>
      <c r="L5" s="9">
        <f t="shared" si="2"/>
        <v>-4175280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15</v>
      </c>
      <c r="B6" s="5">
        <v>0.0</v>
      </c>
      <c r="C6" s="5">
        <f t="shared" ref="C6:L6" si="3">-114636168-84552000-1831200</f>
        <v>-201019368</v>
      </c>
      <c r="D6" s="5">
        <f t="shared" si="3"/>
        <v>-201019368</v>
      </c>
      <c r="E6" s="5">
        <f t="shared" si="3"/>
        <v>-201019368</v>
      </c>
      <c r="F6" s="5">
        <f t="shared" si="3"/>
        <v>-201019368</v>
      </c>
      <c r="G6" s="5">
        <f t="shared" si="3"/>
        <v>-201019368</v>
      </c>
      <c r="H6" s="5">
        <f t="shared" si="3"/>
        <v>-201019368</v>
      </c>
      <c r="I6" s="5">
        <f t="shared" si="3"/>
        <v>-201019368</v>
      </c>
      <c r="J6" s="5">
        <f t="shared" si="3"/>
        <v>-201019368</v>
      </c>
      <c r="K6" s="5">
        <f t="shared" si="3"/>
        <v>-201019368</v>
      </c>
      <c r="L6" s="5">
        <f t="shared" si="3"/>
        <v>-201019368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16</v>
      </c>
      <c r="B7" s="9">
        <f t="shared" ref="B7:L7" si="4">B4+B5+B6</f>
        <v>0</v>
      </c>
      <c r="C7" s="9">
        <f t="shared" si="4"/>
        <v>-45531491</v>
      </c>
      <c r="D7" s="9">
        <f t="shared" si="4"/>
        <v>119203212</v>
      </c>
      <c r="E7" s="9">
        <f t="shared" si="4"/>
        <v>119203212</v>
      </c>
      <c r="F7" s="9">
        <f t="shared" si="4"/>
        <v>119203212</v>
      </c>
      <c r="G7" s="9">
        <f t="shared" si="4"/>
        <v>119203212</v>
      </c>
      <c r="H7" s="9">
        <f t="shared" si="4"/>
        <v>119203212</v>
      </c>
      <c r="I7" s="9">
        <f t="shared" si="4"/>
        <v>119203212</v>
      </c>
      <c r="J7" s="9">
        <f t="shared" si="4"/>
        <v>119203212</v>
      </c>
      <c r="K7" s="9">
        <f t="shared" si="4"/>
        <v>119203212</v>
      </c>
      <c r="L7" s="9">
        <f t="shared" si="4"/>
        <v>119203212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17</v>
      </c>
      <c r="B8" s="5">
        <v>0.0</v>
      </c>
      <c r="C8" s="5">
        <v>-4109265.0</v>
      </c>
      <c r="D8" s="5">
        <v>-4109265.0</v>
      </c>
      <c r="E8" s="5">
        <v>-4109265.0</v>
      </c>
      <c r="F8" s="5">
        <v>-4109265.0</v>
      </c>
      <c r="G8" s="5">
        <v>-4109265.0</v>
      </c>
      <c r="H8" s="5">
        <v>-3970303.0</v>
      </c>
      <c r="I8" s="5">
        <v>-3970303.0</v>
      </c>
      <c r="J8" s="5">
        <v>-1513166.0</v>
      </c>
      <c r="K8" s="5">
        <v>-1513166.0</v>
      </c>
      <c r="L8" s="5">
        <v>-1493447.0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18</v>
      </c>
      <c r="B9" s="9">
        <f t="shared" ref="B9:L9" si="5">B7+B8</f>
        <v>0</v>
      </c>
      <c r="C9" s="9">
        <f t="shared" si="5"/>
        <v>-49640756</v>
      </c>
      <c r="D9" s="9">
        <f t="shared" si="5"/>
        <v>115093947</v>
      </c>
      <c r="E9" s="9">
        <f t="shared" si="5"/>
        <v>115093947</v>
      </c>
      <c r="F9" s="9">
        <f t="shared" si="5"/>
        <v>115093947</v>
      </c>
      <c r="G9" s="9">
        <f t="shared" si="5"/>
        <v>115093947</v>
      </c>
      <c r="H9" s="9">
        <f t="shared" si="5"/>
        <v>115232909</v>
      </c>
      <c r="I9" s="9">
        <f t="shared" si="5"/>
        <v>115232909</v>
      </c>
      <c r="J9" s="9">
        <f t="shared" si="5"/>
        <v>117690046</v>
      </c>
      <c r="K9" s="9">
        <f t="shared" si="5"/>
        <v>117690046</v>
      </c>
      <c r="L9" s="9">
        <f t="shared" si="5"/>
        <v>117709765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19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-4.5037443E7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20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9">
        <f>10197</f>
        <v>10197</v>
      </c>
      <c r="I11" s="5">
        <v>622470.0</v>
      </c>
      <c r="J11" s="5">
        <v>0.0</v>
      </c>
      <c r="K11" s="5">
        <v>0.0</v>
      </c>
      <c r="L11" s="5">
        <v>4.5037443E7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21</v>
      </c>
      <c r="B12" s="9">
        <f t="shared" ref="B12:L12" si="6">B9+B10+B11</f>
        <v>0</v>
      </c>
      <c r="C12" s="9">
        <f t="shared" si="6"/>
        <v>-49640756</v>
      </c>
      <c r="D12" s="9">
        <f t="shared" si="6"/>
        <v>115093947</v>
      </c>
      <c r="E12" s="9">
        <f t="shared" si="6"/>
        <v>115093947</v>
      </c>
      <c r="F12" s="9">
        <f t="shared" si="6"/>
        <v>115093947</v>
      </c>
      <c r="G12" s="9">
        <f t="shared" si="6"/>
        <v>115093947</v>
      </c>
      <c r="H12" s="9">
        <f t="shared" si="6"/>
        <v>115243106</v>
      </c>
      <c r="I12" s="9">
        <f t="shared" si="6"/>
        <v>115855379</v>
      </c>
      <c r="J12" s="9">
        <f t="shared" si="6"/>
        <v>117690046</v>
      </c>
      <c r="K12" s="9">
        <f t="shared" si="6"/>
        <v>117690046</v>
      </c>
      <c r="L12" s="9">
        <f t="shared" si="6"/>
        <v>117709765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22</v>
      </c>
      <c r="B13" s="5">
        <v>0.0</v>
      </c>
      <c r="C13" s="9">
        <f t="shared" ref="C13:L13" si="7">IF(C12&gt;=0,-C12*0.27,0)</f>
        <v>0</v>
      </c>
      <c r="D13" s="9">
        <f t="shared" si="7"/>
        <v>-31075365.69</v>
      </c>
      <c r="E13" s="9">
        <f t="shared" si="7"/>
        <v>-31075365.69</v>
      </c>
      <c r="F13" s="9">
        <f t="shared" si="7"/>
        <v>-31075365.69</v>
      </c>
      <c r="G13" s="9">
        <f t="shared" si="7"/>
        <v>-31075365.69</v>
      </c>
      <c r="H13" s="9">
        <f t="shared" si="7"/>
        <v>-31115638.62</v>
      </c>
      <c r="I13" s="9">
        <f t="shared" si="7"/>
        <v>-31280952.33</v>
      </c>
      <c r="J13" s="9">
        <f t="shared" si="7"/>
        <v>-31776312.42</v>
      </c>
      <c r="K13" s="9">
        <f t="shared" si="7"/>
        <v>-31776312.42</v>
      </c>
      <c r="L13" s="9">
        <f t="shared" si="7"/>
        <v>-31781636.55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23</v>
      </c>
      <c r="B14" s="9">
        <f t="shared" ref="B14:L14" si="8">B12+B13</f>
        <v>0</v>
      </c>
      <c r="C14" s="9">
        <f t="shared" si="8"/>
        <v>-49640756</v>
      </c>
      <c r="D14" s="9">
        <f t="shared" si="8"/>
        <v>84018581.31</v>
      </c>
      <c r="E14" s="9">
        <f t="shared" si="8"/>
        <v>84018581.31</v>
      </c>
      <c r="F14" s="9">
        <f t="shared" si="8"/>
        <v>84018581.31</v>
      </c>
      <c r="G14" s="9">
        <f t="shared" si="8"/>
        <v>84018581.31</v>
      </c>
      <c r="H14" s="9">
        <f t="shared" si="8"/>
        <v>84127467.38</v>
      </c>
      <c r="I14" s="9">
        <f t="shared" si="8"/>
        <v>84574426.67</v>
      </c>
      <c r="J14" s="9">
        <f t="shared" si="8"/>
        <v>85913733.58</v>
      </c>
      <c r="K14" s="9">
        <f t="shared" si="8"/>
        <v>85913733.58</v>
      </c>
      <c r="L14" s="9">
        <f t="shared" si="8"/>
        <v>85928128.45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17</v>
      </c>
      <c r="B15" s="5">
        <v>0.0</v>
      </c>
      <c r="C15" s="9">
        <f t="shared" ref="C15:L15" si="9">-C8</f>
        <v>4109265</v>
      </c>
      <c r="D15" s="9">
        <f t="shared" si="9"/>
        <v>4109265</v>
      </c>
      <c r="E15" s="9">
        <f t="shared" si="9"/>
        <v>4109265</v>
      </c>
      <c r="F15" s="9">
        <f t="shared" si="9"/>
        <v>4109265</v>
      </c>
      <c r="G15" s="9">
        <f t="shared" si="9"/>
        <v>4109265</v>
      </c>
      <c r="H15" s="9">
        <f t="shared" si="9"/>
        <v>3970303</v>
      </c>
      <c r="I15" s="9">
        <f t="shared" si="9"/>
        <v>3970303</v>
      </c>
      <c r="J15" s="9">
        <f t="shared" si="9"/>
        <v>1513166</v>
      </c>
      <c r="K15" s="9">
        <f t="shared" si="9"/>
        <v>1513166</v>
      </c>
      <c r="L15" s="9">
        <f t="shared" si="9"/>
        <v>1493447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19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9">
        <f>-L10</f>
        <v>45037443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24</v>
      </c>
      <c r="B17" s="5">
        <f>-78106100-1182217</f>
        <v>-79288317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10">
        <v>-33990.0</v>
      </c>
      <c r="I17" s="11">
        <v>-2074900.0</v>
      </c>
      <c r="J17" s="5">
        <v>0.0</v>
      </c>
      <c r="K17" s="5">
        <v>0.0</v>
      </c>
      <c r="L17" s="5">
        <v>0.0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25</v>
      </c>
      <c r="B18" s="5">
        <f>-42790457</f>
        <v>-42790457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4.2790457E7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26</v>
      </c>
      <c r="B19" s="9">
        <f t="shared" ref="B19:L19" si="10">B14+B15+B16+B17+B18</f>
        <v>-122078774</v>
      </c>
      <c r="C19" s="9">
        <f t="shared" si="10"/>
        <v>-45531491</v>
      </c>
      <c r="D19" s="9">
        <f t="shared" si="10"/>
        <v>88127846.31</v>
      </c>
      <c r="E19" s="9">
        <f t="shared" si="10"/>
        <v>88127846.31</v>
      </c>
      <c r="F19" s="9">
        <f t="shared" si="10"/>
        <v>88127846.31</v>
      </c>
      <c r="G19" s="9">
        <f t="shared" si="10"/>
        <v>88127846.31</v>
      </c>
      <c r="H19" s="9">
        <f t="shared" si="10"/>
        <v>88063780.38</v>
      </c>
      <c r="I19" s="9">
        <f t="shared" si="10"/>
        <v>86469829.67</v>
      </c>
      <c r="J19" s="9">
        <f t="shared" si="10"/>
        <v>87426899.58</v>
      </c>
      <c r="K19" s="9">
        <f t="shared" si="10"/>
        <v>87426899.58</v>
      </c>
      <c r="L19" s="9">
        <f t="shared" si="10"/>
        <v>175249475.5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 t="s">
        <v>27</v>
      </c>
      <c r="B20" s="9">
        <f>B19</f>
        <v>-122078774</v>
      </c>
      <c r="C20" s="9">
        <f t="shared" ref="C20:L20" si="11">B20+C19</f>
        <v>-167610265</v>
      </c>
      <c r="D20" s="9">
        <f t="shared" si="11"/>
        <v>-79482418.69</v>
      </c>
      <c r="E20" s="9">
        <f t="shared" si="11"/>
        <v>8645427.62</v>
      </c>
      <c r="F20" s="9">
        <f t="shared" si="11"/>
        <v>96773273.93</v>
      </c>
      <c r="G20" s="9">
        <f t="shared" si="11"/>
        <v>184901120.2</v>
      </c>
      <c r="H20" s="9">
        <f t="shared" si="11"/>
        <v>272964900.6</v>
      </c>
      <c r="I20" s="9">
        <f t="shared" si="11"/>
        <v>359434730.3</v>
      </c>
      <c r="J20" s="9">
        <f t="shared" si="11"/>
        <v>446861629.9</v>
      </c>
      <c r="K20" s="9">
        <f t="shared" si="11"/>
        <v>534288529.5</v>
      </c>
      <c r="L20" s="9">
        <f t="shared" si="11"/>
        <v>709538004.9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17" t="s">
        <v>28</v>
      </c>
      <c r="C23" s="17">
        <v>0.2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7" t="s">
        <v>29</v>
      </c>
      <c r="C25" s="14">
        <f t="array" ref="C25">NPV(C23,B19,C19:L19)</f>
        <v>124416305.4</v>
      </c>
      <c r="D25" s="4"/>
      <c r="E25" s="4"/>
      <c r="F25" s="17" t="s">
        <v>30</v>
      </c>
      <c r="G25" s="17" t="s">
        <v>31</v>
      </c>
      <c r="H25" s="17" t="s">
        <v>32</v>
      </c>
      <c r="I25" s="17" t="s">
        <v>33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14">
        <f>C19/1.2</f>
        <v>-37942909.17</v>
      </c>
      <c r="G26" s="14">
        <f>D19/(1.2^2)</f>
        <v>61199893.27</v>
      </c>
      <c r="H26" s="14">
        <f>E19/(1.2^3)</f>
        <v>50999911.06</v>
      </c>
      <c r="I26" s="14">
        <f>F19/(1.2^4)</f>
        <v>42499925.88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17" t="s">
        <v>34</v>
      </c>
      <c r="C27" s="4">
        <f>IRR(B19:L19)</f>
        <v>0.3952051332</v>
      </c>
      <c r="D27" s="4"/>
      <c r="E27" s="4"/>
      <c r="F27" s="14">
        <f>B17+F26</f>
        <v>-117231226.2</v>
      </c>
      <c r="G27" s="14">
        <f t="shared" ref="G27:H27" si="12">F27+G26</f>
        <v>-56031332.9</v>
      </c>
      <c r="H27" s="14">
        <f t="shared" si="12"/>
        <v>-5031421.837</v>
      </c>
      <c r="I27" s="1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17" t="s">
        <v>36</v>
      </c>
      <c r="C29" s="18">
        <f>C25/-(B17+B18)</f>
        <v>1.01914773</v>
      </c>
      <c r="D29" s="4"/>
      <c r="E29" s="4"/>
      <c r="F29" s="4"/>
      <c r="G29" s="4"/>
      <c r="H29" s="4"/>
      <c r="I29" s="4">
        <f> COUNT(F27:H27)-H27/I26</f>
        <v>3.118386603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17" t="s">
        <v>37</v>
      </c>
      <c r="C31" s="19">
        <f> COUNT(F27:H27)-H27/I26</f>
        <v>3.118386603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17" t="s">
        <v>38</v>
      </c>
      <c r="G32" s="4">
        <f>1-(1/(1.2)^10)</f>
        <v>0.8384944171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7" t="s">
        <v>39</v>
      </c>
      <c r="C33" s="14">
        <f>(C25*0.2)/G32</f>
        <v>29676120.16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3" max="3" width="14.71"/>
  </cols>
  <sheetData>
    <row r="1">
      <c r="A1" s="2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>
      <c r="A2" s="6" t="s">
        <v>11</v>
      </c>
      <c r="B2" s="5">
        <v>0.0</v>
      </c>
      <c r="C2" s="5">
        <v>2.38996636E8</v>
      </c>
      <c r="D2" s="5">
        <v>6.4879572E8</v>
      </c>
      <c r="E2" s="5">
        <v>6.4879572E8</v>
      </c>
      <c r="F2" s="5">
        <v>6.4879572E8</v>
      </c>
      <c r="G2" s="5">
        <v>6.4879572E8</v>
      </c>
      <c r="H2" s="5">
        <v>6.4879572E8</v>
      </c>
      <c r="I2" s="5">
        <v>6.4879572E8</v>
      </c>
      <c r="J2" s="5">
        <v>6.4879572E8</v>
      </c>
      <c r="K2" s="5">
        <v>6.4879572E8</v>
      </c>
      <c r="L2" s="5">
        <v>6.4879572E8</v>
      </c>
    </row>
    <row r="3">
      <c r="A3" s="6" t="s">
        <v>12</v>
      </c>
      <c r="B3" s="5">
        <v>0.0</v>
      </c>
      <c r="C3" s="5">
        <v>-1.19498318E8</v>
      </c>
      <c r="D3" s="5">
        <v>-3.2439786E8</v>
      </c>
      <c r="E3" s="5">
        <v>-3.2439786E8</v>
      </c>
      <c r="F3" s="5">
        <v>-3.2439786E8</v>
      </c>
      <c r="G3" s="5">
        <v>-3.2439786E8</v>
      </c>
      <c r="H3" s="5">
        <v>-3.2439786E8</v>
      </c>
      <c r="I3" s="5">
        <v>-3.2439786E8</v>
      </c>
      <c r="J3" s="5">
        <v>-3.2439786E8</v>
      </c>
      <c r="K3" s="5">
        <v>-3.2439786E8</v>
      </c>
      <c r="L3" s="5">
        <v>-3.2439786E8</v>
      </c>
    </row>
    <row r="4">
      <c r="A4" s="8" t="s">
        <v>13</v>
      </c>
      <c r="B4" s="9">
        <f t="shared" ref="B4:L4" si="1">B2+B3</f>
        <v>0</v>
      </c>
      <c r="C4" s="9">
        <f t="shared" si="1"/>
        <v>119498318</v>
      </c>
      <c r="D4" s="9">
        <f t="shared" si="1"/>
        <v>324397860</v>
      </c>
      <c r="E4" s="9">
        <f t="shared" si="1"/>
        <v>324397860</v>
      </c>
      <c r="F4" s="9">
        <f t="shared" si="1"/>
        <v>324397860</v>
      </c>
      <c r="G4" s="9">
        <f t="shared" si="1"/>
        <v>324397860</v>
      </c>
      <c r="H4" s="9">
        <f t="shared" si="1"/>
        <v>324397860</v>
      </c>
      <c r="I4" s="9">
        <f t="shared" si="1"/>
        <v>324397860</v>
      </c>
      <c r="J4" s="9">
        <f t="shared" si="1"/>
        <v>324397860</v>
      </c>
      <c r="K4" s="9">
        <f t="shared" si="1"/>
        <v>324397860</v>
      </c>
      <c r="L4" s="9">
        <f t="shared" si="1"/>
        <v>324397860</v>
      </c>
    </row>
    <row r="5">
      <c r="A5" s="6" t="s">
        <v>14</v>
      </c>
      <c r="B5" s="5">
        <v>0.0</v>
      </c>
      <c r="C5" s="9">
        <f t="shared" ref="C5:L5" si="2">-4175280</f>
        <v>-4175280</v>
      </c>
      <c r="D5" s="9">
        <f t="shared" si="2"/>
        <v>-4175280</v>
      </c>
      <c r="E5" s="9">
        <f t="shared" si="2"/>
        <v>-4175280</v>
      </c>
      <c r="F5" s="9">
        <f t="shared" si="2"/>
        <v>-4175280</v>
      </c>
      <c r="G5" s="9">
        <f t="shared" si="2"/>
        <v>-4175280</v>
      </c>
      <c r="H5" s="9">
        <f t="shared" si="2"/>
        <v>-4175280</v>
      </c>
      <c r="I5" s="9">
        <f t="shared" si="2"/>
        <v>-4175280</v>
      </c>
      <c r="J5" s="9">
        <f t="shared" si="2"/>
        <v>-4175280</v>
      </c>
      <c r="K5" s="9">
        <f t="shared" si="2"/>
        <v>-4175280</v>
      </c>
      <c r="L5" s="9">
        <f t="shared" si="2"/>
        <v>-4175280</v>
      </c>
    </row>
    <row r="6">
      <c r="A6" s="6" t="s">
        <v>15</v>
      </c>
      <c r="B6" s="5">
        <v>0.0</v>
      </c>
      <c r="C6" s="5">
        <f t="shared" ref="C6:L6" si="3">-114636168-84552000-1831200</f>
        <v>-201019368</v>
      </c>
      <c r="D6" s="5">
        <f t="shared" si="3"/>
        <v>-201019368</v>
      </c>
      <c r="E6" s="5">
        <f t="shared" si="3"/>
        <v>-201019368</v>
      </c>
      <c r="F6" s="5">
        <f t="shared" si="3"/>
        <v>-201019368</v>
      </c>
      <c r="G6" s="5">
        <f t="shared" si="3"/>
        <v>-201019368</v>
      </c>
      <c r="H6" s="5">
        <f t="shared" si="3"/>
        <v>-201019368</v>
      </c>
      <c r="I6" s="5">
        <f t="shared" si="3"/>
        <v>-201019368</v>
      </c>
      <c r="J6" s="5">
        <f t="shared" si="3"/>
        <v>-201019368</v>
      </c>
      <c r="K6" s="5">
        <f t="shared" si="3"/>
        <v>-201019368</v>
      </c>
      <c r="L6" s="5">
        <f t="shared" si="3"/>
        <v>-201019368</v>
      </c>
    </row>
    <row r="7">
      <c r="A7" s="8" t="s">
        <v>16</v>
      </c>
      <c r="B7" s="9">
        <f t="shared" ref="B7:L7" si="4">B4+B5+B6</f>
        <v>0</v>
      </c>
      <c r="C7" s="9">
        <f t="shared" si="4"/>
        <v>-85696330</v>
      </c>
      <c r="D7" s="9">
        <f t="shared" si="4"/>
        <v>119203212</v>
      </c>
      <c r="E7" s="9">
        <f t="shared" si="4"/>
        <v>119203212</v>
      </c>
      <c r="F7" s="9">
        <f t="shared" si="4"/>
        <v>119203212</v>
      </c>
      <c r="G7" s="9">
        <f t="shared" si="4"/>
        <v>119203212</v>
      </c>
      <c r="H7" s="9">
        <f t="shared" si="4"/>
        <v>119203212</v>
      </c>
      <c r="I7" s="9">
        <f t="shared" si="4"/>
        <v>119203212</v>
      </c>
      <c r="J7" s="9">
        <f t="shared" si="4"/>
        <v>119203212</v>
      </c>
      <c r="K7" s="9">
        <f t="shared" si="4"/>
        <v>119203212</v>
      </c>
      <c r="L7" s="9">
        <f t="shared" si="4"/>
        <v>119203212</v>
      </c>
    </row>
    <row r="8">
      <c r="A8" s="6" t="s">
        <v>17</v>
      </c>
      <c r="B8" s="5">
        <v>0.0</v>
      </c>
      <c r="C8" s="5">
        <v>-4109265.0</v>
      </c>
      <c r="D8" s="5">
        <v>-4109265.0</v>
      </c>
      <c r="E8" s="5">
        <v>-4109265.0</v>
      </c>
      <c r="F8" s="5">
        <v>-4109265.0</v>
      </c>
      <c r="G8" s="5">
        <v>-4109265.0</v>
      </c>
      <c r="H8" s="5">
        <v>-3970303.0</v>
      </c>
      <c r="I8" s="5">
        <v>-3970303.0</v>
      </c>
      <c r="J8" s="5">
        <v>-1513166.0</v>
      </c>
      <c r="K8" s="5">
        <v>-1513166.0</v>
      </c>
      <c r="L8" s="5">
        <v>-1493447.0</v>
      </c>
    </row>
    <row r="9">
      <c r="A9" s="8" t="s">
        <v>18</v>
      </c>
      <c r="B9" s="9">
        <f t="shared" ref="B9:L9" si="5">B7+B8</f>
        <v>0</v>
      </c>
      <c r="C9" s="9">
        <f t="shared" si="5"/>
        <v>-89805595</v>
      </c>
      <c r="D9" s="9">
        <f t="shared" si="5"/>
        <v>115093947</v>
      </c>
      <c r="E9" s="9">
        <f t="shared" si="5"/>
        <v>115093947</v>
      </c>
      <c r="F9" s="9">
        <f t="shared" si="5"/>
        <v>115093947</v>
      </c>
      <c r="G9" s="9">
        <f t="shared" si="5"/>
        <v>115093947</v>
      </c>
      <c r="H9" s="9">
        <f t="shared" si="5"/>
        <v>115232909</v>
      </c>
      <c r="I9" s="9">
        <f t="shared" si="5"/>
        <v>115232909</v>
      </c>
      <c r="J9" s="9">
        <f t="shared" si="5"/>
        <v>117690046</v>
      </c>
      <c r="K9" s="9">
        <f t="shared" si="5"/>
        <v>117690046</v>
      </c>
      <c r="L9" s="9">
        <f t="shared" si="5"/>
        <v>117709765</v>
      </c>
    </row>
    <row r="10">
      <c r="A10" s="6" t="s">
        <v>19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-4.5037443E7</v>
      </c>
    </row>
    <row r="11">
      <c r="A11" s="6" t="s">
        <v>20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9">
        <f>10197</f>
        <v>10197</v>
      </c>
      <c r="I11" s="5">
        <v>622470.0</v>
      </c>
      <c r="J11" s="5">
        <v>0.0</v>
      </c>
      <c r="K11" s="5">
        <v>0.0</v>
      </c>
      <c r="L11" s="5">
        <v>4.5037443E7</v>
      </c>
    </row>
    <row r="12">
      <c r="A12" s="8" t="s">
        <v>21</v>
      </c>
      <c r="B12" s="9">
        <f t="shared" ref="B12:L12" si="6">B9+B10+B11</f>
        <v>0</v>
      </c>
      <c r="C12" s="9">
        <f t="shared" si="6"/>
        <v>-89805595</v>
      </c>
      <c r="D12" s="9">
        <f t="shared" si="6"/>
        <v>115093947</v>
      </c>
      <c r="E12" s="9">
        <f t="shared" si="6"/>
        <v>115093947</v>
      </c>
      <c r="F12" s="9">
        <f t="shared" si="6"/>
        <v>115093947</v>
      </c>
      <c r="G12" s="9">
        <f t="shared" si="6"/>
        <v>115093947</v>
      </c>
      <c r="H12" s="9">
        <f t="shared" si="6"/>
        <v>115243106</v>
      </c>
      <c r="I12" s="9">
        <f t="shared" si="6"/>
        <v>115855379</v>
      </c>
      <c r="J12" s="9">
        <f t="shared" si="6"/>
        <v>117690046</v>
      </c>
      <c r="K12" s="9">
        <f t="shared" si="6"/>
        <v>117690046</v>
      </c>
      <c r="L12" s="9">
        <f t="shared" si="6"/>
        <v>117709765</v>
      </c>
    </row>
    <row r="13">
      <c r="A13" s="6" t="s">
        <v>22</v>
      </c>
      <c r="B13" s="9">
        <f t="shared" ref="B13:L13" si="7">IF(B12&gt;=0,-B12*0.27,0)</f>
        <v>0</v>
      </c>
      <c r="C13" s="9">
        <f t="shared" si="7"/>
        <v>0</v>
      </c>
      <c r="D13" s="9">
        <f t="shared" si="7"/>
        <v>-31075365.69</v>
      </c>
      <c r="E13" s="9">
        <f t="shared" si="7"/>
        <v>-31075365.69</v>
      </c>
      <c r="F13" s="9">
        <f t="shared" si="7"/>
        <v>-31075365.69</v>
      </c>
      <c r="G13" s="9">
        <f t="shared" si="7"/>
        <v>-31075365.69</v>
      </c>
      <c r="H13" s="9">
        <f t="shared" si="7"/>
        <v>-31115638.62</v>
      </c>
      <c r="I13" s="9">
        <f t="shared" si="7"/>
        <v>-31280952.33</v>
      </c>
      <c r="J13" s="9">
        <f t="shared" si="7"/>
        <v>-31776312.42</v>
      </c>
      <c r="K13" s="9">
        <f t="shared" si="7"/>
        <v>-31776312.42</v>
      </c>
      <c r="L13" s="9">
        <f t="shared" si="7"/>
        <v>-31781636.55</v>
      </c>
    </row>
    <row r="14">
      <c r="A14" s="8" t="s">
        <v>23</v>
      </c>
      <c r="B14" s="9">
        <f t="shared" ref="B14:L14" si="8">B12+B13</f>
        <v>0</v>
      </c>
      <c r="C14" s="9">
        <f t="shared" si="8"/>
        <v>-89805595</v>
      </c>
      <c r="D14" s="9">
        <f t="shared" si="8"/>
        <v>84018581.31</v>
      </c>
      <c r="E14" s="9">
        <f t="shared" si="8"/>
        <v>84018581.31</v>
      </c>
      <c r="F14" s="9">
        <f t="shared" si="8"/>
        <v>84018581.31</v>
      </c>
      <c r="G14" s="9">
        <f t="shared" si="8"/>
        <v>84018581.31</v>
      </c>
      <c r="H14" s="9">
        <f t="shared" si="8"/>
        <v>84127467.38</v>
      </c>
      <c r="I14" s="9">
        <f t="shared" si="8"/>
        <v>84574426.67</v>
      </c>
      <c r="J14" s="9">
        <f t="shared" si="8"/>
        <v>85913733.58</v>
      </c>
      <c r="K14" s="9">
        <f t="shared" si="8"/>
        <v>85913733.58</v>
      </c>
      <c r="L14" s="9">
        <f t="shared" si="8"/>
        <v>85928128.45</v>
      </c>
    </row>
    <row r="15">
      <c r="A15" s="6" t="s">
        <v>17</v>
      </c>
      <c r="B15" s="5">
        <v>0.0</v>
      </c>
      <c r="C15" s="9">
        <f t="shared" ref="C15:L15" si="9">-C8</f>
        <v>4109265</v>
      </c>
      <c r="D15" s="9">
        <f t="shared" si="9"/>
        <v>4109265</v>
      </c>
      <c r="E15" s="9">
        <f t="shared" si="9"/>
        <v>4109265</v>
      </c>
      <c r="F15" s="9">
        <f t="shared" si="9"/>
        <v>4109265</v>
      </c>
      <c r="G15" s="9">
        <f t="shared" si="9"/>
        <v>4109265</v>
      </c>
      <c r="H15" s="9">
        <f t="shared" si="9"/>
        <v>3970303</v>
      </c>
      <c r="I15" s="9">
        <f t="shared" si="9"/>
        <v>3970303</v>
      </c>
      <c r="J15" s="9">
        <f t="shared" si="9"/>
        <v>1513166</v>
      </c>
      <c r="K15" s="9">
        <f t="shared" si="9"/>
        <v>1513166</v>
      </c>
      <c r="L15" s="9">
        <f t="shared" si="9"/>
        <v>1493447</v>
      </c>
    </row>
    <row r="16">
      <c r="A16" s="6" t="s">
        <v>19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9">
        <f>-L10</f>
        <v>45037443</v>
      </c>
    </row>
    <row r="17">
      <c r="A17" s="6" t="s">
        <v>24</v>
      </c>
      <c r="B17" s="5">
        <f>-78106100-1182217</f>
        <v>-79288317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-33990.0</v>
      </c>
      <c r="I17" s="5">
        <v>-2074900.0</v>
      </c>
      <c r="J17" s="5">
        <v>0.0</v>
      </c>
      <c r="K17" s="5">
        <v>0.0</v>
      </c>
      <c r="L17" s="5">
        <v>0.0</v>
      </c>
    </row>
    <row r="18">
      <c r="A18" s="6" t="s">
        <v>25</v>
      </c>
      <c r="B18" s="5">
        <f>-42790457</f>
        <v>-42790457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4.2790457E7</v>
      </c>
    </row>
    <row r="19">
      <c r="A19" s="8" t="s">
        <v>26</v>
      </c>
      <c r="B19" s="9">
        <f t="shared" ref="B19:L19" si="10">B14+B15+B16+B17+B18</f>
        <v>-122078774</v>
      </c>
      <c r="C19" s="9">
        <f t="shared" si="10"/>
        <v>-85696330</v>
      </c>
      <c r="D19" s="9">
        <f t="shared" si="10"/>
        <v>88127846.31</v>
      </c>
      <c r="E19" s="9">
        <f t="shared" si="10"/>
        <v>88127846.31</v>
      </c>
      <c r="F19" s="9">
        <f t="shared" si="10"/>
        <v>88127846.31</v>
      </c>
      <c r="G19" s="9">
        <f t="shared" si="10"/>
        <v>88127846.31</v>
      </c>
      <c r="H19" s="9">
        <f t="shared" si="10"/>
        <v>88063780.38</v>
      </c>
      <c r="I19" s="9">
        <f t="shared" si="10"/>
        <v>86469829.67</v>
      </c>
      <c r="J19" s="9">
        <f t="shared" si="10"/>
        <v>87426899.58</v>
      </c>
      <c r="K19" s="9">
        <f t="shared" si="10"/>
        <v>87426899.58</v>
      </c>
      <c r="L19" s="9">
        <f t="shared" si="10"/>
        <v>175249475.5</v>
      </c>
    </row>
    <row r="20">
      <c r="A20" s="8" t="s">
        <v>27</v>
      </c>
      <c r="B20" s="9">
        <f>B19</f>
        <v>-122078774</v>
      </c>
      <c r="C20" s="9">
        <f t="shared" ref="C20:L20" si="11">B20+C19</f>
        <v>-207775104</v>
      </c>
      <c r="D20" s="9">
        <f t="shared" si="11"/>
        <v>-119647257.7</v>
      </c>
      <c r="E20" s="9">
        <f t="shared" si="11"/>
        <v>-31519411.38</v>
      </c>
      <c r="F20" s="9">
        <f t="shared" si="11"/>
        <v>56608434.93</v>
      </c>
      <c r="G20" s="9">
        <f t="shared" si="11"/>
        <v>144736281.2</v>
      </c>
      <c r="H20" s="9">
        <f t="shared" si="11"/>
        <v>232800061.6</v>
      </c>
      <c r="I20" s="9">
        <f t="shared" si="11"/>
        <v>319269891.3</v>
      </c>
      <c r="J20" s="9">
        <f t="shared" si="11"/>
        <v>406696790.9</v>
      </c>
      <c r="K20" s="9">
        <f t="shared" si="11"/>
        <v>494123690.5</v>
      </c>
      <c r="L20" s="9">
        <f t="shared" si="11"/>
        <v>669373165.9</v>
      </c>
    </row>
    <row r="23">
      <c r="B23" s="12" t="s">
        <v>28</v>
      </c>
      <c r="C23" s="12">
        <v>0.2</v>
      </c>
    </row>
    <row r="25">
      <c r="B25" s="12" t="s">
        <v>29</v>
      </c>
      <c r="C25" s="4">
        <f t="array" ref="C25">NPV(C23,B19,C19:L19)</f>
        <v>96524056.09</v>
      </c>
      <c r="D25" s="12"/>
      <c r="F25" s="12" t="s">
        <v>30</v>
      </c>
      <c r="G25" s="12" t="s">
        <v>31</v>
      </c>
      <c r="H25" s="12" t="s">
        <v>32</v>
      </c>
      <c r="I25" s="12" t="s">
        <v>33</v>
      </c>
    </row>
    <row r="26">
      <c r="F26" s="4">
        <f>C19/1.2</f>
        <v>-71413608.33</v>
      </c>
      <c r="G26" s="4">
        <f>D19/(1.2^2)</f>
        <v>61199893.27</v>
      </c>
      <c r="H26" s="4">
        <f>E19/(1.2^3)</f>
        <v>50999911.06</v>
      </c>
      <c r="I26" s="4">
        <f>F19/(1.2^4)</f>
        <v>42499925.88</v>
      </c>
    </row>
    <row r="27">
      <c r="B27" s="12" t="s">
        <v>34</v>
      </c>
      <c r="C27" s="4">
        <f>IRR(B19:L19)</f>
        <v>0.3361402959</v>
      </c>
      <c r="F27" s="4">
        <f>B17+F26</f>
        <v>-150701925.3</v>
      </c>
      <c r="G27" s="4">
        <f t="shared" ref="G27:H27" si="12">F27+G26</f>
        <v>-89502032.06</v>
      </c>
      <c r="H27" s="4">
        <f t="shared" si="12"/>
        <v>-38502121</v>
      </c>
      <c r="I27" s="4"/>
    </row>
    <row r="28">
      <c r="I28" s="15">
        <f>COUNT(F27:H27)-H27/I26</f>
        <v>3.905933839</v>
      </c>
    </row>
    <row r="29">
      <c r="B29" s="12" t="s">
        <v>36</v>
      </c>
      <c r="C29" s="4">
        <f>C25/-(B17+B18)</f>
        <v>0.7906702609</v>
      </c>
    </row>
    <row r="31">
      <c r="B31" s="12" t="s">
        <v>37</v>
      </c>
      <c r="C31" s="16">
        <f>COUNT(F27:H27)-H27/I26</f>
        <v>3.905933839</v>
      </c>
    </row>
    <row r="32">
      <c r="F32" s="12" t="s">
        <v>38</v>
      </c>
      <c r="G32">
        <f>1-(1/(1.2)^10)</f>
        <v>0.8384944171</v>
      </c>
    </row>
    <row r="33">
      <c r="B33" s="12" t="s">
        <v>39</v>
      </c>
      <c r="C33" s="17">
        <f>(C25*0.2)/G32</f>
        <v>23023183.96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3" max="3" width="14.71"/>
  </cols>
  <sheetData>
    <row r="1">
      <c r="A1" s="2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>
      <c r="A2" s="6" t="s">
        <v>11</v>
      </c>
      <c r="B2" s="5">
        <v>0.0</v>
      </c>
      <c r="C2" s="5">
        <v>1.7578343E8</v>
      </c>
      <c r="D2" s="5">
        <v>6.4879572E8</v>
      </c>
      <c r="E2" s="5">
        <v>6.4879572E8</v>
      </c>
      <c r="F2" s="5">
        <v>6.4879572E8</v>
      </c>
      <c r="G2" s="5">
        <v>6.4879572E8</v>
      </c>
      <c r="H2" s="5">
        <v>6.4879572E8</v>
      </c>
      <c r="I2" s="5">
        <v>6.4879572E8</v>
      </c>
      <c r="J2" s="5">
        <v>6.4879572E8</v>
      </c>
      <c r="K2" s="5">
        <v>6.4879572E8</v>
      </c>
      <c r="L2" s="5">
        <v>6.4879572E8</v>
      </c>
    </row>
    <row r="3">
      <c r="A3" s="6" t="s">
        <v>12</v>
      </c>
      <c r="B3" s="5">
        <v>0.0</v>
      </c>
      <c r="C3" s="5">
        <v>-8.7891715E7</v>
      </c>
      <c r="D3" s="5">
        <v>-3.2439786E8</v>
      </c>
      <c r="E3" s="5">
        <v>-3.2439786E8</v>
      </c>
      <c r="F3" s="5">
        <v>-3.2439786E8</v>
      </c>
      <c r="G3" s="5">
        <v>-3.2439786E8</v>
      </c>
      <c r="H3" s="5">
        <v>-3.2439786E8</v>
      </c>
      <c r="I3" s="5">
        <v>-3.2439786E8</v>
      </c>
      <c r="J3" s="5">
        <v>-3.2439786E8</v>
      </c>
      <c r="K3" s="5">
        <v>-3.2439786E8</v>
      </c>
      <c r="L3" s="5">
        <v>-3.2439786E8</v>
      </c>
    </row>
    <row r="4">
      <c r="A4" s="8" t="s">
        <v>13</v>
      </c>
      <c r="B4" s="9">
        <f t="shared" ref="B4:L4" si="1">B2+B3</f>
        <v>0</v>
      </c>
      <c r="C4" s="9">
        <f t="shared" si="1"/>
        <v>87891715</v>
      </c>
      <c r="D4" s="9">
        <f t="shared" si="1"/>
        <v>324397860</v>
      </c>
      <c r="E4" s="9">
        <f t="shared" si="1"/>
        <v>324397860</v>
      </c>
      <c r="F4" s="9">
        <f t="shared" si="1"/>
        <v>324397860</v>
      </c>
      <c r="G4" s="9">
        <f t="shared" si="1"/>
        <v>324397860</v>
      </c>
      <c r="H4" s="9">
        <f t="shared" si="1"/>
        <v>324397860</v>
      </c>
      <c r="I4" s="9">
        <f t="shared" si="1"/>
        <v>324397860</v>
      </c>
      <c r="J4" s="9">
        <f t="shared" si="1"/>
        <v>324397860</v>
      </c>
      <c r="K4" s="9">
        <f t="shared" si="1"/>
        <v>324397860</v>
      </c>
      <c r="L4" s="9">
        <f t="shared" si="1"/>
        <v>324397860</v>
      </c>
    </row>
    <row r="5">
      <c r="A5" s="6" t="s">
        <v>14</v>
      </c>
      <c r="B5" s="5">
        <v>0.0</v>
      </c>
      <c r="C5" s="9">
        <f t="shared" ref="C5:L5" si="2">-4175280</f>
        <v>-4175280</v>
      </c>
      <c r="D5" s="9">
        <f t="shared" si="2"/>
        <v>-4175280</v>
      </c>
      <c r="E5" s="9">
        <f t="shared" si="2"/>
        <v>-4175280</v>
      </c>
      <c r="F5" s="9">
        <f t="shared" si="2"/>
        <v>-4175280</v>
      </c>
      <c r="G5" s="9">
        <f t="shared" si="2"/>
        <v>-4175280</v>
      </c>
      <c r="H5" s="9">
        <f t="shared" si="2"/>
        <v>-4175280</v>
      </c>
      <c r="I5" s="9">
        <f t="shared" si="2"/>
        <v>-4175280</v>
      </c>
      <c r="J5" s="9">
        <f t="shared" si="2"/>
        <v>-4175280</v>
      </c>
      <c r="K5" s="9">
        <f t="shared" si="2"/>
        <v>-4175280</v>
      </c>
      <c r="L5" s="9">
        <f t="shared" si="2"/>
        <v>-4175280</v>
      </c>
    </row>
    <row r="6">
      <c r="A6" s="6" t="s">
        <v>15</v>
      </c>
      <c r="B6" s="5">
        <v>0.0</v>
      </c>
      <c r="C6" s="5">
        <f t="shared" ref="C6:L6" si="3">-114636168-84552000-1831200</f>
        <v>-201019368</v>
      </c>
      <c r="D6" s="5">
        <f t="shared" si="3"/>
        <v>-201019368</v>
      </c>
      <c r="E6" s="5">
        <f t="shared" si="3"/>
        <v>-201019368</v>
      </c>
      <c r="F6" s="5">
        <f t="shared" si="3"/>
        <v>-201019368</v>
      </c>
      <c r="G6" s="5">
        <f t="shared" si="3"/>
        <v>-201019368</v>
      </c>
      <c r="H6" s="5">
        <f t="shared" si="3"/>
        <v>-201019368</v>
      </c>
      <c r="I6" s="5">
        <f t="shared" si="3"/>
        <v>-201019368</v>
      </c>
      <c r="J6" s="5">
        <f t="shared" si="3"/>
        <v>-201019368</v>
      </c>
      <c r="K6" s="5">
        <f t="shared" si="3"/>
        <v>-201019368</v>
      </c>
      <c r="L6" s="5">
        <f t="shared" si="3"/>
        <v>-201019368</v>
      </c>
    </row>
    <row r="7">
      <c r="A7" s="8" t="s">
        <v>16</v>
      </c>
      <c r="B7" s="9">
        <f t="shared" ref="B7:L7" si="4">B4+B5+B6</f>
        <v>0</v>
      </c>
      <c r="C7" s="9">
        <f t="shared" si="4"/>
        <v>-117302933</v>
      </c>
      <c r="D7" s="9">
        <f t="shared" si="4"/>
        <v>119203212</v>
      </c>
      <c r="E7" s="9">
        <f t="shared" si="4"/>
        <v>119203212</v>
      </c>
      <c r="F7" s="9">
        <f t="shared" si="4"/>
        <v>119203212</v>
      </c>
      <c r="G7" s="9">
        <f t="shared" si="4"/>
        <v>119203212</v>
      </c>
      <c r="H7" s="9">
        <f t="shared" si="4"/>
        <v>119203212</v>
      </c>
      <c r="I7" s="9">
        <f t="shared" si="4"/>
        <v>119203212</v>
      </c>
      <c r="J7" s="9">
        <f t="shared" si="4"/>
        <v>119203212</v>
      </c>
      <c r="K7" s="9">
        <f t="shared" si="4"/>
        <v>119203212</v>
      </c>
      <c r="L7" s="9">
        <f t="shared" si="4"/>
        <v>119203212</v>
      </c>
    </row>
    <row r="8">
      <c r="A8" s="6" t="s">
        <v>17</v>
      </c>
      <c r="B8" s="5">
        <v>0.0</v>
      </c>
      <c r="C8" s="5">
        <v>-4109265.0</v>
      </c>
      <c r="D8" s="5">
        <v>-4109265.0</v>
      </c>
      <c r="E8" s="5">
        <v>-4109265.0</v>
      </c>
      <c r="F8" s="5">
        <v>-4109265.0</v>
      </c>
      <c r="G8" s="5">
        <v>-4109265.0</v>
      </c>
      <c r="H8" s="5">
        <v>-3970303.0</v>
      </c>
      <c r="I8" s="5">
        <v>-3970303.0</v>
      </c>
      <c r="J8" s="5">
        <v>-1513166.0</v>
      </c>
      <c r="K8" s="5">
        <v>-1513166.0</v>
      </c>
      <c r="L8" s="5">
        <v>-1493447.0</v>
      </c>
    </row>
    <row r="9">
      <c r="A9" s="8" t="s">
        <v>18</v>
      </c>
      <c r="B9" s="9">
        <f t="shared" ref="B9:L9" si="5">B7+B8</f>
        <v>0</v>
      </c>
      <c r="C9" s="9">
        <f t="shared" si="5"/>
        <v>-121412198</v>
      </c>
      <c r="D9" s="9">
        <f t="shared" si="5"/>
        <v>115093947</v>
      </c>
      <c r="E9" s="9">
        <f t="shared" si="5"/>
        <v>115093947</v>
      </c>
      <c r="F9" s="9">
        <f t="shared" si="5"/>
        <v>115093947</v>
      </c>
      <c r="G9" s="9">
        <f t="shared" si="5"/>
        <v>115093947</v>
      </c>
      <c r="H9" s="9">
        <f t="shared" si="5"/>
        <v>115232909</v>
      </c>
      <c r="I9" s="9">
        <f t="shared" si="5"/>
        <v>115232909</v>
      </c>
      <c r="J9" s="9">
        <f t="shared" si="5"/>
        <v>117690046</v>
      </c>
      <c r="K9" s="9">
        <f t="shared" si="5"/>
        <v>117690046</v>
      </c>
      <c r="L9" s="9">
        <f t="shared" si="5"/>
        <v>117709765</v>
      </c>
    </row>
    <row r="10">
      <c r="A10" s="6" t="s">
        <v>19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-4.5037443E7</v>
      </c>
    </row>
    <row r="11">
      <c r="A11" s="6" t="s">
        <v>20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9">
        <f>10197</f>
        <v>10197</v>
      </c>
      <c r="I11" s="5">
        <v>622470.0</v>
      </c>
      <c r="J11" s="5">
        <v>0.0</v>
      </c>
      <c r="K11" s="5">
        <v>0.0</v>
      </c>
      <c r="L11" s="5">
        <v>4.5037443E7</v>
      </c>
    </row>
    <row r="12">
      <c r="A12" s="8" t="s">
        <v>21</v>
      </c>
      <c r="B12" s="9">
        <f t="shared" ref="B12:L12" si="6">B9+B10+B11</f>
        <v>0</v>
      </c>
      <c r="C12" s="9">
        <f t="shared" si="6"/>
        <v>-121412198</v>
      </c>
      <c r="D12" s="9">
        <f t="shared" si="6"/>
        <v>115093947</v>
      </c>
      <c r="E12" s="9">
        <f t="shared" si="6"/>
        <v>115093947</v>
      </c>
      <c r="F12" s="9">
        <f t="shared" si="6"/>
        <v>115093947</v>
      </c>
      <c r="G12" s="9">
        <f t="shared" si="6"/>
        <v>115093947</v>
      </c>
      <c r="H12" s="9">
        <f t="shared" si="6"/>
        <v>115243106</v>
      </c>
      <c r="I12" s="9">
        <f t="shared" si="6"/>
        <v>115855379</v>
      </c>
      <c r="J12" s="9">
        <f t="shared" si="6"/>
        <v>117690046</v>
      </c>
      <c r="K12" s="9">
        <f t="shared" si="6"/>
        <v>117690046</v>
      </c>
      <c r="L12" s="9">
        <f t="shared" si="6"/>
        <v>117709765</v>
      </c>
    </row>
    <row r="13">
      <c r="A13" s="6" t="s">
        <v>22</v>
      </c>
      <c r="B13" s="9">
        <f t="shared" ref="B13:L13" si="7">IF(B12&gt;=0,-B12*0.27,0)</f>
        <v>0</v>
      </c>
      <c r="C13" s="9">
        <f t="shared" si="7"/>
        <v>0</v>
      </c>
      <c r="D13" s="9">
        <f t="shared" si="7"/>
        <v>-31075365.69</v>
      </c>
      <c r="E13" s="9">
        <f t="shared" si="7"/>
        <v>-31075365.69</v>
      </c>
      <c r="F13" s="9">
        <f t="shared" si="7"/>
        <v>-31075365.69</v>
      </c>
      <c r="G13" s="9">
        <f t="shared" si="7"/>
        <v>-31075365.69</v>
      </c>
      <c r="H13" s="9">
        <f t="shared" si="7"/>
        <v>-31115638.62</v>
      </c>
      <c r="I13" s="9">
        <f t="shared" si="7"/>
        <v>-31280952.33</v>
      </c>
      <c r="J13" s="9">
        <f t="shared" si="7"/>
        <v>-31776312.42</v>
      </c>
      <c r="K13" s="9">
        <f t="shared" si="7"/>
        <v>-31776312.42</v>
      </c>
      <c r="L13" s="9">
        <f t="shared" si="7"/>
        <v>-31781636.55</v>
      </c>
    </row>
    <row r="14">
      <c r="A14" s="8" t="s">
        <v>23</v>
      </c>
      <c r="B14" s="9">
        <f t="shared" ref="B14:L14" si="8">B12+B13</f>
        <v>0</v>
      </c>
      <c r="C14" s="9">
        <f t="shared" si="8"/>
        <v>-121412198</v>
      </c>
      <c r="D14" s="9">
        <f t="shared" si="8"/>
        <v>84018581.31</v>
      </c>
      <c r="E14" s="9">
        <f t="shared" si="8"/>
        <v>84018581.31</v>
      </c>
      <c r="F14" s="9">
        <f t="shared" si="8"/>
        <v>84018581.31</v>
      </c>
      <c r="G14" s="9">
        <f t="shared" si="8"/>
        <v>84018581.31</v>
      </c>
      <c r="H14" s="9">
        <f t="shared" si="8"/>
        <v>84127467.38</v>
      </c>
      <c r="I14" s="9">
        <f t="shared" si="8"/>
        <v>84574426.67</v>
      </c>
      <c r="J14" s="9">
        <f t="shared" si="8"/>
        <v>85913733.58</v>
      </c>
      <c r="K14" s="9">
        <f t="shared" si="8"/>
        <v>85913733.58</v>
      </c>
      <c r="L14" s="9">
        <f t="shared" si="8"/>
        <v>85928128.45</v>
      </c>
    </row>
    <row r="15">
      <c r="A15" s="6" t="s">
        <v>17</v>
      </c>
      <c r="B15" s="5">
        <v>0.0</v>
      </c>
      <c r="C15" s="9">
        <f t="shared" ref="C15:L15" si="9">-C8</f>
        <v>4109265</v>
      </c>
      <c r="D15" s="9">
        <f t="shared" si="9"/>
        <v>4109265</v>
      </c>
      <c r="E15" s="9">
        <f t="shared" si="9"/>
        <v>4109265</v>
      </c>
      <c r="F15" s="9">
        <f t="shared" si="9"/>
        <v>4109265</v>
      </c>
      <c r="G15" s="9">
        <f t="shared" si="9"/>
        <v>4109265</v>
      </c>
      <c r="H15" s="9">
        <f t="shared" si="9"/>
        <v>3970303</v>
      </c>
      <c r="I15" s="9">
        <f t="shared" si="9"/>
        <v>3970303</v>
      </c>
      <c r="J15" s="9">
        <f t="shared" si="9"/>
        <v>1513166</v>
      </c>
      <c r="K15" s="9">
        <f t="shared" si="9"/>
        <v>1513166</v>
      </c>
      <c r="L15" s="9">
        <f t="shared" si="9"/>
        <v>1493447</v>
      </c>
    </row>
    <row r="16">
      <c r="A16" s="6" t="s">
        <v>19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9">
        <f>-L10</f>
        <v>45037443</v>
      </c>
    </row>
    <row r="17">
      <c r="A17" s="6" t="s">
        <v>24</v>
      </c>
      <c r="B17" s="5">
        <f>-78106100-1182217</f>
        <v>-79288317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10">
        <v>-33990.0</v>
      </c>
      <c r="I17" s="11">
        <v>-2074900.0</v>
      </c>
      <c r="J17" s="5">
        <v>0.0</v>
      </c>
      <c r="K17" s="5">
        <v>0.0</v>
      </c>
      <c r="L17" s="5">
        <v>0.0</v>
      </c>
    </row>
    <row r="18">
      <c r="A18" s="6" t="s">
        <v>25</v>
      </c>
      <c r="B18" s="5">
        <f>-42790457</f>
        <v>-42790457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4.2790457E7</v>
      </c>
    </row>
    <row r="19">
      <c r="A19" s="8" t="s">
        <v>26</v>
      </c>
      <c r="B19" s="9">
        <f t="shared" ref="B19:L19" si="10">B14+B15+B16+B17+B18</f>
        <v>-122078774</v>
      </c>
      <c r="C19" s="9">
        <f t="shared" si="10"/>
        <v>-117302933</v>
      </c>
      <c r="D19" s="9">
        <f t="shared" si="10"/>
        <v>88127846.31</v>
      </c>
      <c r="E19" s="9">
        <f t="shared" si="10"/>
        <v>88127846.31</v>
      </c>
      <c r="F19" s="9">
        <f t="shared" si="10"/>
        <v>88127846.31</v>
      </c>
      <c r="G19" s="9">
        <f t="shared" si="10"/>
        <v>88127846.31</v>
      </c>
      <c r="H19" s="9">
        <f t="shared" si="10"/>
        <v>88063780.38</v>
      </c>
      <c r="I19" s="9">
        <f t="shared" si="10"/>
        <v>86469829.67</v>
      </c>
      <c r="J19" s="9">
        <f t="shared" si="10"/>
        <v>87426899.58</v>
      </c>
      <c r="K19" s="9">
        <f t="shared" si="10"/>
        <v>87426899.58</v>
      </c>
      <c r="L19" s="9">
        <f t="shared" si="10"/>
        <v>175249475.5</v>
      </c>
    </row>
    <row r="20">
      <c r="A20" s="8" t="s">
        <v>27</v>
      </c>
      <c r="B20" s="9">
        <f>B19</f>
        <v>-122078774</v>
      </c>
      <c r="C20" s="9">
        <f t="shared" ref="C20:L20" si="11">B20+C19</f>
        <v>-239381707</v>
      </c>
      <c r="D20" s="9">
        <f t="shared" si="11"/>
        <v>-151253860.7</v>
      </c>
      <c r="E20" s="9">
        <f t="shared" si="11"/>
        <v>-63126014.38</v>
      </c>
      <c r="F20" s="9">
        <f t="shared" si="11"/>
        <v>25001831.93</v>
      </c>
      <c r="G20" s="9">
        <f t="shared" si="11"/>
        <v>113129678.2</v>
      </c>
      <c r="H20" s="9">
        <f t="shared" si="11"/>
        <v>201193458.6</v>
      </c>
      <c r="I20" s="9">
        <f t="shared" si="11"/>
        <v>287663288.3</v>
      </c>
      <c r="J20" s="9">
        <f t="shared" si="11"/>
        <v>375090187.9</v>
      </c>
      <c r="K20" s="9">
        <f t="shared" si="11"/>
        <v>462517087.5</v>
      </c>
      <c r="L20" s="9">
        <f t="shared" si="11"/>
        <v>637766562.9</v>
      </c>
    </row>
    <row r="23">
      <c r="B23" s="12" t="s">
        <v>28</v>
      </c>
      <c r="C23" s="13">
        <v>0.2</v>
      </c>
    </row>
    <row r="25">
      <c r="B25" s="12" t="s">
        <v>29</v>
      </c>
      <c r="C25" s="14">
        <f t="array" ref="C25">NPV(C23,B19,C19:L19)</f>
        <v>74575026.23</v>
      </c>
      <c r="F25" s="12" t="s">
        <v>30</v>
      </c>
      <c r="G25" s="12" t="s">
        <v>31</v>
      </c>
      <c r="H25" s="12" t="s">
        <v>32</v>
      </c>
      <c r="I25" s="12" t="s">
        <v>33</v>
      </c>
      <c r="J25" s="12" t="s">
        <v>35</v>
      </c>
    </row>
    <row r="26">
      <c r="F26" s="14">
        <f>C19/1.2</f>
        <v>-97752444.17</v>
      </c>
      <c r="G26" s="14">
        <f>D19/(1.2^2)</f>
        <v>61199893.27</v>
      </c>
      <c r="H26" s="14">
        <f>E19/(1.2^3)</f>
        <v>50999911.06</v>
      </c>
      <c r="I26" s="14">
        <f>F19/(1.2^4)</f>
        <v>42499925.88</v>
      </c>
      <c r="J26" s="14">
        <f>G19/(1.2^5)</f>
        <v>35416604.9</v>
      </c>
    </row>
    <row r="27">
      <c r="B27" s="12" t="s">
        <v>34</v>
      </c>
      <c r="C27" s="4">
        <f>IRR(B19:L19)</f>
        <v>0.2973856011</v>
      </c>
      <c r="F27" s="14">
        <f>B17+F26</f>
        <v>-177040761.2</v>
      </c>
      <c r="G27" s="14">
        <f t="shared" ref="G27:I27" si="12">F27+G26</f>
        <v>-115840867.9</v>
      </c>
      <c r="H27" s="14">
        <f t="shared" si="12"/>
        <v>-64840956.84</v>
      </c>
      <c r="I27" s="14">
        <f t="shared" si="12"/>
        <v>-22341030.95</v>
      </c>
      <c r="J27" s="14"/>
    </row>
    <row r="28">
      <c r="J28" s="15">
        <f>COUNT(F27:I27)-I27/J26</f>
        <v>4.63080668</v>
      </c>
    </row>
    <row r="29">
      <c r="B29" s="12" t="s">
        <v>36</v>
      </c>
      <c r="C29" s="4">
        <f>C25/-(B17+B18)</f>
        <v>0.610876271</v>
      </c>
    </row>
    <row r="31">
      <c r="B31" s="12" t="s">
        <v>37</v>
      </c>
      <c r="C31" s="16">
        <f>COUNT(F27:I27)-I27/J26</f>
        <v>4.63080668</v>
      </c>
    </row>
    <row r="32">
      <c r="F32" s="12" t="s">
        <v>38</v>
      </c>
      <c r="G32">
        <f>1-(1/(1.2)^10)</f>
        <v>0.8384944171</v>
      </c>
    </row>
    <row r="33">
      <c r="B33" s="12" t="s">
        <v>39</v>
      </c>
      <c r="C33" s="14">
        <f>(C25*0.2)/G32</f>
        <v>17787840.85</v>
      </c>
    </row>
  </sheetData>
  <drawing r:id="rId1"/>
</worksheet>
</file>