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seer\IdeaProjects\planetary_dynamics\"/>
    </mc:Choice>
  </mc:AlternateContent>
  <bookViews>
    <workbookView xWindow="0" yWindow="0" windowWidth="28800" windowHeight="12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1" l="1"/>
  <c r="AD2" i="1"/>
  <c r="AD4" i="1"/>
  <c r="AE4" i="1" s="1"/>
  <c r="AD5" i="1"/>
  <c r="AF4" i="1"/>
  <c r="AF2" i="1"/>
  <c r="AF3" i="1"/>
  <c r="AF5" i="1"/>
  <c r="AB2" i="1"/>
  <c r="AB3" i="1"/>
  <c r="AB4" i="1"/>
  <c r="AB5" i="1"/>
  <c r="AA2" i="1"/>
  <c r="AA3" i="1"/>
  <c r="AA4" i="1"/>
  <c r="AA5" i="1"/>
  <c r="Z2" i="1"/>
  <c r="Y2" i="1"/>
  <c r="T4" i="1" l="1"/>
  <c r="Z4" i="1" s="1"/>
  <c r="S4" i="1"/>
  <c r="X4" i="1" s="1"/>
  <c r="N4" i="1"/>
  <c r="O4" i="1" s="1"/>
  <c r="L4" i="1"/>
  <c r="AC4" i="1" l="1"/>
  <c r="AG4" i="1" s="1"/>
  <c r="Q4" i="1"/>
  <c r="L2" i="1"/>
  <c r="L3" i="1"/>
  <c r="L5" i="1"/>
  <c r="T5" i="1"/>
  <c r="Z5" i="1" s="1"/>
  <c r="X2" i="1"/>
  <c r="X3" i="1"/>
  <c r="S5" i="1"/>
  <c r="X5" i="1" s="1"/>
  <c r="N5" i="1"/>
  <c r="O5" i="1" s="1"/>
  <c r="B2" i="1"/>
  <c r="B3" i="1"/>
  <c r="B4" i="1"/>
  <c r="B5" i="1"/>
  <c r="B6" i="1"/>
  <c r="B7" i="1"/>
  <c r="B8" i="1"/>
  <c r="F4" i="1"/>
  <c r="G4" i="1" s="1"/>
  <c r="O3" i="1"/>
  <c r="O2" i="1"/>
  <c r="G8" i="1"/>
  <c r="F3" i="1"/>
  <c r="G3" i="1" s="1"/>
  <c r="G7" i="1"/>
  <c r="G5" i="1"/>
  <c r="G6" i="1"/>
  <c r="F2" i="1"/>
  <c r="G2" i="1" s="1"/>
  <c r="AH4" i="1" l="1"/>
  <c r="AI4" i="1" s="1"/>
  <c r="AC5" i="1"/>
  <c r="AE5" i="1" s="1"/>
  <c r="AG5" i="1" s="1"/>
  <c r="AC2" i="1"/>
  <c r="AE2" i="1" s="1"/>
  <c r="AG2" i="1" s="1"/>
  <c r="Q3" i="1"/>
  <c r="Q5" i="1"/>
  <c r="Q2" i="1"/>
  <c r="AH2" i="1" l="1"/>
  <c r="AI2" i="1" s="1"/>
  <c r="T3" i="1"/>
  <c r="Z3" i="1" s="1"/>
  <c r="AH5" i="1"/>
  <c r="AI5" i="1" s="1"/>
  <c r="AC3" i="1" l="1"/>
  <c r="AE3" i="1" s="1"/>
  <c r="AG3" i="1" s="1"/>
  <c r="AH3" i="1" l="1"/>
  <c r="AI3" i="1" s="1"/>
  <c r="AI9" i="1" s="1"/>
</calcChain>
</file>

<file path=xl/sharedStrings.xml><?xml version="1.0" encoding="utf-8"?>
<sst xmlns="http://schemas.openxmlformats.org/spreadsheetml/2006/main" count="48" uniqueCount="42">
  <si>
    <t>Albedo</t>
  </si>
  <si>
    <t>IR Trans</t>
  </si>
  <si>
    <t>Emissivity</t>
  </si>
  <si>
    <t>Temperature</t>
  </si>
  <si>
    <t>Mult</t>
  </si>
  <si>
    <t>Flux Density</t>
  </si>
  <si>
    <t>Avg Flux Density</t>
  </si>
  <si>
    <t>Greenhouse Fraction</t>
  </si>
  <si>
    <t>Planet</t>
  </si>
  <si>
    <t>Earth, Pre-industrial</t>
  </si>
  <si>
    <t>Earth, Modern</t>
  </si>
  <si>
    <t>Venus</t>
  </si>
  <si>
    <t>Mars</t>
  </si>
  <si>
    <t>Gravity</t>
  </si>
  <si>
    <t>atm_CO2</t>
  </si>
  <si>
    <t>n_CO2</t>
  </si>
  <si>
    <t>n_CH4</t>
  </si>
  <si>
    <t>atm_H2O</t>
  </si>
  <si>
    <t>n_H2O</t>
  </si>
  <si>
    <t>Gas</t>
  </si>
  <si>
    <t>CO2_e</t>
  </si>
  <si>
    <t>CO2</t>
  </si>
  <si>
    <t>H2O</t>
  </si>
  <si>
    <t>CH4</t>
  </si>
  <si>
    <t>Halflife</t>
  </si>
  <si>
    <t>N2O</t>
  </si>
  <si>
    <t>atm_N2O</t>
  </si>
  <si>
    <t>Inverse</t>
  </si>
  <si>
    <t>-</t>
  </si>
  <si>
    <t>GHF</t>
  </si>
  <si>
    <t>Former</t>
  </si>
  <si>
    <t>Pressure</t>
  </si>
  <si>
    <t>Pressure Factor</t>
  </si>
  <si>
    <t>Greenhouse Effect</t>
  </si>
  <si>
    <t>Calc Fraction</t>
  </si>
  <si>
    <t>Delta</t>
  </si>
  <si>
    <t>Calc Temp</t>
  </si>
  <si>
    <t>n_N20</t>
  </si>
  <si>
    <t>O3</t>
  </si>
  <si>
    <t>n_O3</t>
  </si>
  <si>
    <t>atm_O3</t>
  </si>
  <si>
    <t>Water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</si>
</sst>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2" borderId="1" xfId="1"/>
    <xf numFmtId="164" fontId="2" fillId="3" borderId="1" xfId="2" applyNumberFormat="1"/>
    <xf numFmtId="165" fontId="0" fillId="0" borderId="0" xfId="0" applyNumberFormat="1"/>
    <xf numFmtId="1" fontId="0" fillId="0" borderId="0" xfId="0" applyNumberFormat="1"/>
    <xf numFmtId="11" fontId="0" fillId="0" borderId="0" xfId="0" applyNumberFormat="1"/>
    <xf numFmtId="0" fontId="0" fillId="0" borderId="0" xfId="0" quotePrefix="1"/>
    <xf numFmtId="0" fontId="0" fillId="0" borderId="0" xfId="0" applyNumberFormat="1"/>
    <xf numFmtId="166" fontId="0" fillId="0" borderId="0" xfId="0" applyNumberFormat="1"/>
  </cellXfs>
  <cellStyles count="3">
    <cellStyle name="Calculation" xfId="2" builtinId="22"/>
    <cellStyle name="Input" xfId="1" builtinId="20"/>
    <cellStyle name="Normal" xfId="0" builtinId="0"/>
  </cellStyles>
  <dxfs count="29"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5" formatCode="0.00E+00"/>
    </dxf>
    <dxf>
      <numFmt numFmtId="166" formatCode="0.000000"/>
    </dxf>
    <dxf>
      <numFmt numFmtId="166" formatCode="0.000000"/>
    </dxf>
    <dxf>
      <numFmt numFmtId="15" formatCode="0.00E+00"/>
    </dxf>
    <dxf>
      <numFmt numFmtId="15" formatCode="0.00E+00"/>
    </dxf>
    <dxf>
      <numFmt numFmtId="2" formatCode="0.00"/>
    </dxf>
    <dxf>
      <numFmt numFmtId="2" formatCode="0.00"/>
    </dxf>
    <dxf>
      <numFmt numFmtId="165" formatCode="0.0"/>
    </dxf>
    <dxf>
      <numFmt numFmtId="1" formatCode="0"/>
    </dxf>
    <dxf>
      <numFmt numFmtId="164" formatCode="0.0000"/>
    </dxf>
    <dxf>
      <numFmt numFmtId="164" formatCode="0.000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164" formatCode="0.0000"/>
    </dxf>
    <dxf>
      <numFmt numFmtId="164" formatCode="0.00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989011228368238"/>
                  <c:y val="-0.15782407407407406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Sheet1!$AE$2:$AE$6</c:f>
              <c:numCache>
                <c:formatCode>0.000000</c:formatCode>
                <c:ptCount val="5"/>
                <c:pt idx="0">
                  <c:v>3.9764016309887874E-4</c:v>
                </c:pt>
                <c:pt idx="1">
                  <c:v>2.7286950482402516E-4</c:v>
                </c:pt>
                <c:pt idx="2">
                  <c:v>1.6203274193548388E-7</c:v>
                </c:pt>
                <c:pt idx="3">
                  <c:v>84716.441084464503</c:v>
                </c:pt>
              </c:numCache>
            </c:numRef>
          </c:xVal>
          <c:yVal>
            <c:numRef>
              <c:f>Sheet1!$AF$2:$AF$6</c:f>
              <c:numCache>
                <c:formatCode>0.000000</c:formatCode>
                <c:ptCount val="5"/>
                <c:pt idx="0">
                  <c:v>0.34591319360980177</c:v>
                </c:pt>
                <c:pt idx="1">
                  <c:v>0.33986492188770445</c:v>
                </c:pt>
                <c:pt idx="2">
                  <c:v>8.9615595634767842E-2</c:v>
                </c:pt>
                <c:pt idx="3">
                  <c:v>0.99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31544"/>
        <c:axId val="518123248"/>
      </c:scatterChart>
      <c:valAx>
        <c:axId val="633531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23248"/>
        <c:crosses val="autoZero"/>
        <c:crossBetween val="midCat"/>
      </c:valAx>
      <c:valAx>
        <c:axId val="518123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3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71437</xdr:colOff>
      <xdr:row>13</xdr:row>
      <xdr:rowOff>19050</xdr:rowOff>
    </xdr:from>
    <xdr:to>
      <xdr:col>31</xdr:col>
      <xdr:colOff>500062</xdr:colOff>
      <xdr:row>27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8" totalsRowShown="0" headerRowDxfId="28">
  <autoFilter ref="A1:G8"/>
  <tableColumns count="7">
    <tableColumn id="1" name="Albedo"/>
    <tableColumn id="7" name="Greenhouse Fraction" dataDxfId="27">
      <calculatedColumnFormula>1-Table1[[#This Row],[IR Trans]]</calculatedColumnFormula>
    </tableColumn>
    <tableColumn id="2" name="IR Trans" dataDxfId="26"/>
    <tableColumn id="3" name="Emissivity"/>
    <tableColumn id="5" name="Mult"/>
    <tableColumn id="6" name="Flux Density"/>
    <tableColumn id="4" name="Temperature" dataDxfId="25">
      <calculatedColumnFormula>POWER(Table1[Mult]*(1-Table1[Albedo])*Table1[[#This Row],[Flux Density]]/Table1[IR Trans]/0.00000005670374/Table1[Emissivity],0.25)-273.15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I1:AI5" totalsRowShown="0" headerRowDxfId="23">
  <autoFilter ref="I1:AI5"/>
  <tableColumns count="27">
    <tableColumn id="7" name="Planet"/>
    <tableColumn id="1" name="Albedo"/>
    <tableColumn id="2" name="Greenhouse Fraction" dataDxfId="22">
      <calculatedColumnFormula>1-C5</calculatedColumnFormula>
    </tableColumn>
    <tableColumn id="15" name="Inverse" dataDxfId="21">
      <calculatedColumnFormula>1/(1-Table2[[#This Row],[Greenhouse Fraction]])</calculatedColumnFormula>
    </tableColumn>
    <tableColumn id="3" name="Emissivity"/>
    <tableColumn id="4" name="Flux Density" dataDxfId="20"/>
    <tableColumn id="5" name="Avg Flux Density" dataDxfId="19">
      <calculatedColumnFormula>Table2[Flux Density]*0.25</calculatedColumnFormula>
    </tableColumn>
    <tableColumn id="28" name="Water Fraction" dataDxfId="18"/>
    <tableColumn id="6" name="Temperature" dataDxfId="17">
      <calculatedColumnFormula>POWER((1-Table2[Albedo])*Table2[[#This Row],[Avg Flux Density]]/(1-Table2[Greenhouse Fraction])/0.00000005670374/Table2[Emissivity],0.25)</calculatedColumnFormula>
    </tableColumn>
    <tableColumn id="8" name="Gravity"/>
    <tableColumn id="9" name="atm_CO2" dataDxfId="16"/>
    <tableColumn id="11" name="atm_H2O" dataDxfId="15">
      <calculatedColumnFormula>0.004</calculatedColumnFormula>
    </tableColumn>
    <tableColumn id="26" name="atm_N2O" dataDxfId="14"/>
    <tableColumn id="27" name="atm_O3" dataDxfId="13"/>
    <tableColumn id="14" name="Pressure" dataDxfId="12"/>
    <tableColumn id="10" name="n_CO2" dataDxfId="11">
      <calculatedColumnFormula>Table2[[#This Row],[atm_CO2]]/Table2[[#This Row],[Gravity]]</calculatedColumnFormula>
    </tableColumn>
    <tableColumn id="12" name="n_CH4" dataDxfId="10">
      <calculatedColumnFormula>1.7*0.000001</calculatedColumnFormula>
    </tableColumn>
    <tableColumn id="13" name="n_H2O" dataDxfId="9">
      <calculatedColumnFormula>Table2[[#This Row],[atm_H2O]]/Table2[[#This Row],[Gravity]]</calculatedColumnFormula>
    </tableColumn>
    <tableColumn id="24" name="n_N20" dataDxfId="8">
      <calculatedColumnFormula>Table2[[#This Row],[atm_N2O]]/Table2[[#This Row],[Gravity]]</calculatedColumnFormula>
    </tableColumn>
    <tableColumn id="25" name="n_O3" dataDxfId="7">
      <calculatedColumnFormula>Table2[[#This Row],[atm_O3]]/Table2[[#This Row],[Gravity]]</calculatedColumnFormula>
    </tableColumn>
    <tableColumn id="16" name="CO2_e" dataDxfId="6">
      <calculatedColumnFormula>Table2[[#This Row],[n_CO2]]+Table2[[#This Row],[n_CH4]]*$AL$3+Table2[[#This Row],[n_H2O]]*$AL$4+Table2[[#This Row],[n_N20]]*$AL$5+Table2[[#This Row],[n_O3]]*$AL$6</calculatedColumnFormula>
    </tableColumn>
    <tableColumn id="18" name="Pressure Factor" dataDxfId="0">
      <calculatedColumnFormula>POWER(Table2[[#This Row],[Pressure]],2)</calculatedColumnFormula>
    </tableColumn>
    <tableColumn id="19" name="Greenhouse Effect" dataDxfId="5">
      <calculatedColumnFormula>Table2[[#This Row],[CO2_e]]*Table2[[#This Row],[Pressure Factor]]</calculatedColumnFormula>
    </tableColumn>
    <tableColumn id="17" name="GHF" dataDxfId="4">
      <calculatedColumnFormula>Table2[[#This Row],[Greenhouse Fraction]]</calculatedColumnFormula>
    </tableColumn>
    <tableColumn id="20" name="Calc Fraction" dataDxfId="3">
      <calculatedColumnFormula>LN(Table2[[#This Row],[Greenhouse Effect]])*0.033379+0.610957</calculatedColumnFormula>
    </tableColumn>
    <tableColumn id="22" name="Calc Temp" dataDxfId="2">
      <calculatedColumnFormula>POWER((1-Table2[Albedo])*Table2[[#This Row],[Avg Flux Density]]/(1-Table2[Calc Fraction])/0.00000005670374/Table2[Emissivity],0.25)</calculatedColumnFormula>
    </tableColumn>
    <tableColumn id="23" name="Delta" dataDxfId="1">
      <calculatedColumnFormula>Table2[[#This Row],[Calc Temp]]-Table2[[#This Row],[Temperature]]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K1:AN6" totalsRowShown="0" headerRowDxfId="24">
  <autoFilter ref="AK1:AN6"/>
  <tableColumns count="4">
    <tableColumn id="1" name="Gas"/>
    <tableColumn id="2" name="CO2_e"/>
    <tableColumn id="3" name="Halflife"/>
    <tableColumn id="4" name="For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"/>
  <sheetViews>
    <sheetView tabSelected="1" topLeftCell="Q1" workbookViewId="0">
      <selection activeCell="AI3" sqref="AI3"/>
    </sheetView>
  </sheetViews>
  <sheetFormatPr defaultRowHeight="15" x14ac:dyDescent="0.25"/>
  <cols>
    <col min="1" max="1" width="9.5703125" customWidth="1"/>
    <col min="2" max="2" width="14.28515625" bestFit="1" customWidth="1"/>
    <col min="3" max="3" width="10" style="5" customWidth="1"/>
    <col min="4" max="6" width="12" customWidth="1"/>
    <col min="7" max="7" width="14.7109375" style="3" customWidth="1"/>
    <col min="9" max="9" width="19" customWidth="1"/>
    <col min="10" max="10" width="9.7109375" customWidth="1"/>
    <col min="11" max="11" width="14.28515625" style="5" bestFit="1" customWidth="1"/>
    <col min="12" max="12" width="14.28515625" style="5" customWidth="1"/>
    <col min="13" max="13" width="12.140625" customWidth="1"/>
    <col min="14" max="14" width="10" bestFit="1" customWidth="1"/>
    <col min="15" max="15" width="10.7109375" bestFit="1" customWidth="1"/>
    <col min="16" max="16" width="10.7109375" customWidth="1"/>
    <col min="17" max="17" width="14.85546875" style="3" customWidth="1"/>
    <col min="19" max="19" width="11.28515625" bestFit="1" customWidth="1"/>
    <col min="20" max="20" width="11.42578125" bestFit="1" customWidth="1"/>
    <col min="21" max="22" width="11.42578125" customWidth="1"/>
    <col min="23" max="23" width="11.28515625" customWidth="1"/>
    <col min="24" max="24" width="12.140625" bestFit="1" customWidth="1"/>
    <col min="25" max="26" width="9.28515625" bestFit="1" customWidth="1"/>
    <col min="27" max="28" width="9.28515625" customWidth="1"/>
    <col min="29" max="29" width="9.5703125" bestFit="1" customWidth="1"/>
    <col min="30" max="30" width="12.5703125" bestFit="1" customWidth="1"/>
    <col min="31" max="31" width="14.28515625" bestFit="1" customWidth="1"/>
    <col min="32" max="32" width="9.28515625" bestFit="1" customWidth="1"/>
    <col min="33" max="33" width="10.42578125" bestFit="1" customWidth="1"/>
    <col min="34" max="35" width="10.42578125" customWidth="1"/>
  </cols>
  <sheetData>
    <row r="1" spans="1:40" s="1" customFormat="1" ht="30" x14ac:dyDescent="0.25">
      <c r="A1" s="1" t="s">
        <v>0</v>
      </c>
      <c r="B1" s="4" t="s">
        <v>7</v>
      </c>
      <c r="C1" s="4" t="s">
        <v>1</v>
      </c>
      <c r="D1" s="1" t="s">
        <v>2</v>
      </c>
      <c r="E1" s="1" t="s">
        <v>4</v>
      </c>
      <c r="F1" s="1" t="s">
        <v>5</v>
      </c>
      <c r="G1" s="2" t="s">
        <v>3</v>
      </c>
      <c r="I1" s="1" t="s">
        <v>8</v>
      </c>
      <c r="J1" s="1" t="s">
        <v>0</v>
      </c>
      <c r="K1" s="4" t="s">
        <v>7</v>
      </c>
      <c r="L1" s="4" t="s">
        <v>27</v>
      </c>
      <c r="M1" s="1" t="s">
        <v>2</v>
      </c>
      <c r="N1" s="1" t="s">
        <v>5</v>
      </c>
      <c r="O1" s="1" t="s">
        <v>6</v>
      </c>
      <c r="P1" s="1" t="s">
        <v>41</v>
      </c>
      <c r="Q1" s="2" t="s">
        <v>3</v>
      </c>
      <c r="R1" s="1" t="s">
        <v>13</v>
      </c>
      <c r="S1" s="1" t="s">
        <v>14</v>
      </c>
      <c r="T1" s="1" t="s">
        <v>17</v>
      </c>
      <c r="U1" s="1" t="s">
        <v>26</v>
      </c>
      <c r="V1" s="1" t="s">
        <v>40</v>
      </c>
      <c r="W1" s="1" t="s">
        <v>31</v>
      </c>
      <c r="X1" s="1" t="s">
        <v>15</v>
      </c>
      <c r="Y1" s="1" t="s">
        <v>16</v>
      </c>
      <c r="Z1" s="1" t="s">
        <v>18</v>
      </c>
      <c r="AA1" s="1" t="s">
        <v>37</v>
      </c>
      <c r="AB1" s="1" t="s">
        <v>39</v>
      </c>
      <c r="AC1" s="1" t="s">
        <v>20</v>
      </c>
      <c r="AD1" s="1" t="s">
        <v>32</v>
      </c>
      <c r="AE1" s="1" t="s">
        <v>33</v>
      </c>
      <c r="AF1" s="1" t="s">
        <v>29</v>
      </c>
      <c r="AG1" s="1" t="s">
        <v>34</v>
      </c>
      <c r="AH1" s="1" t="s">
        <v>36</v>
      </c>
      <c r="AI1" s="1" t="s">
        <v>35</v>
      </c>
      <c r="AK1" s="1" t="s">
        <v>19</v>
      </c>
      <c r="AL1" s="1" t="s">
        <v>20</v>
      </c>
      <c r="AM1" s="1" t="s">
        <v>24</v>
      </c>
      <c r="AN1" s="1" t="s">
        <v>30</v>
      </c>
    </row>
    <row r="2" spans="1:40" x14ac:dyDescent="0.25">
      <c r="A2">
        <v>0.76</v>
      </c>
      <c r="B2" s="7">
        <f>1-Table1[[#This Row],[IR Trans]]</f>
        <v>0.98132411814823095</v>
      </c>
      <c r="C2" s="5">
        <v>1.8675881851769102E-2</v>
      </c>
      <c r="D2" s="6">
        <v>0.5</v>
      </c>
      <c r="E2">
        <v>0.25</v>
      </c>
      <c r="F2">
        <f>1361/POWER(0.723,2)</f>
        <v>2603.643570569071</v>
      </c>
      <c r="G2" s="3">
        <f>POWER(Table1[Mult]*(1-Table1[Albedo])*Table1[[#This Row],[Flux Density]]/Table1[IR Trans]/0.00000005670374/Table1[Emissivity],0.25)-273.15</f>
        <v>463.85000122146607</v>
      </c>
      <c r="I2" t="s">
        <v>10</v>
      </c>
      <c r="J2">
        <v>0.30599999999999999</v>
      </c>
      <c r="K2" s="5">
        <v>0.34591319360980177</v>
      </c>
      <c r="L2" s="5">
        <f>1/(1-Table2[[#This Row],[Greenhouse Fraction]])</f>
        <v>1.528849061363647</v>
      </c>
      <c r="M2">
        <v>0.93642999999999998</v>
      </c>
      <c r="N2" s="9">
        <v>1361</v>
      </c>
      <c r="O2" s="8">
        <f>Table2[Flux Density]*0.25</f>
        <v>340.25</v>
      </c>
      <c r="P2" s="3">
        <v>0.7</v>
      </c>
      <c r="Q2" s="3">
        <f>POWER((1-Table2[Albedo])*Table2[[#This Row],[Avg Flux Density]]/(1-Table2[Greenhouse Fraction])/0.00000005670374/Table2[Emissivity],0.25)</f>
        <v>287.14998507832769</v>
      </c>
      <c r="R2">
        <v>9.81</v>
      </c>
      <c r="S2" s="10">
        <v>4.1599999999999997E-4</v>
      </c>
      <c r="T2" s="10">
        <v>4.0000000000000001E-3</v>
      </c>
      <c r="U2" s="13">
        <v>3.2800000000000003E-7</v>
      </c>
      <c r="V2" s="13">
        <v>3.3700000000000001E-7</v>
      </c>
      <c r="W2" s="10">
        <v>1</v>
      </c>
      <c r="X2" s="13">
        <f>Table2[[#This Row],[atm_CO2]]/Table2[[#This Row],[Gravity]]</f>
        <v>4.2405708460754327E-5</v>
      </c>
      <c r="Y2" s="13">
        <f>1.7*0.000001</f>
        <v>1.6999999999999998E-6</v>
      </c>
      <c r="Z2" s="13">
        <f>Table2[[#This Row],[atm_H2O]]/Table2[[#This Row],[Gravity]]</f>
        <v>4.0774719673802244E-4</v>
      </c>
      <c r="AA2" s="13">
        <f>Table2[[#This Row],[atm_N2O]]/Table2[[#This Row],[Gravity]]</f>
        <v>3.3435270132517843E-8</v>
      </c>
      <c r="AB2" s="13">
        <f>Table2[[#This Row],[atm_O3]]/Table2[[#This Row],[Gravity]]</f>
        <v>3.4352701325178388E-8</v>
      </c>
      <c r="AC2" s="13">
        <f>Table2[[#This Row],[n_CO2]]+Table2[[#This Row],[n_CH4]]*$AL$3+Table2[[#This Row],[n_H2O]]*$AL$4+Table2[[#This Row],[n_N20]]*$AL$5+Table2[[#This Row],[n_O3]]*$AL$6</f>
        <v>3.9764016309887874E-4</v>
      </c>
      <c r="AD2" s="13">
        <f>POWER(Table2[[#This Row],[Pressure]],2)</f>
        <v>1</v>
      </c>
      <c r="AE2" s="13">
        <f>Table2[[#This Row],[CO2_e]]*Table2[[#This Row],[Pressure Factor]]</f>
        <v>3.9764016309887874E-4</v>
      </c>
      <c r="AF2" s="13">
        <f>Table2[[#This Row],[Greenhouse Fraction]]</f>
        <v>0.34591319360980177</v>
      </c>
      <c r="AG2" s="13">
        <f>LN(Table2[[#This Row],[Greenhouse Effect]])*0.033379+0.610957</f>
        <v>0.34960066253782562</v>
      </c>
      <c r="AH2" s="13">
        <f>POWER((1-Table2[Albedo])*Table2[[#This Row],[Avg Flux Density]]/(1-Table2[Calc Fraction])/0.00000005670374/Table2[Emissivity],0.25)</f>
        <v>287.5561251178155</v>
      </c>
      <c r="AI2" s="13">
        <f>Table2[[#This Row],[Calc Temp]]-Table2[[#This Row],[Temperature]]</f>
        <v>0.40614003948780919</v>
      </c>
      <c r="AK2" t="s">
        <v>21</v>
      </c>
      <c r="AL2">
        <v>1</v>
      </c>
    </row>
    <row r="3" spans="1:40" x14ac:dyDescent="0.25">
      <c r="A3">
        <v>0.76</v>
      </c>
      <c r="B3" s="7">
        <f>1-Table1[[#This Row],[IR Trans]]</f>
        <v>0.98963300582005742</v>
      </c>
      <c r="C3" s="5">
        <v>1.0366994179942555E-2</v>
      </c>
      <c r="D3" s="6">
        <v>0.9</v>
      </c>
      <c r="E3">
        <v>0.25</v>
      </c>
      <c r="F3">
        <f>1361/POWER(0.723,2)</f>
        <v>2603.643570569071</v>
      </c>
      <c r="G3" s="3">
        <f>POWER(Table1[Mult]*(1-Table1[Albedo])*Table1[[#This Row],[Flux Density]]/Table1[IR Trans]/0.00000005670374/Table1[Emissivity],0.25)-273.15</f>
        <v>464.00094746780462</v>
      </c>
      <c r="I3" t="s">
        <v>9</v>
      </c>
      <c r="J3">
        <v>0.30599999999999999</v>
      </c>
      <c r="K3" s="5">
        <v>0.33986492188770445</v>
      </c>
      <c r="L3" s="5">
        <f>1/(1-Table2[[#This Row],[Greenhouse Fraction]])</f>
        <v>1.5148414819275671</v>
      </c>
      <c r="M3">
        <v>0.93642999999999998</v>
      </c>
      <c r="N3" s="9">
        <v>1361</v>
      </c>
      <c r="O3" s="8">
        <f>Table2[Flux Density]*0.25</f>
        <v>340.25</v>
      </c>
      <c r="P3" s="3">
        <v>0.7</v>
      </c>
      <c r="Q3" s="3">
        <f>POWER((1-Table2[Albedo])*Table2[[#This Row],[Avg Flux Density]]/(1-Table2[Greenhouse Fraction])/0.00000005670374/Table2[Emissivity],0.25)</f>
        <v>286.48998363440541</v>
      </c>
      <c r="R3">
        <v>9.81</v>
      </c>
      <c r="S3" s="10">
        <v>2.7999999999999998E-4</v>
      </c>
      <c r="T3" s="10">
        <f>(1+0.07*(Table2[[#This Row],[Temperature]]-$Q$2))*$T$2</f>
        <v>3.8151995957017605E-3</v>
      </c>
      <c r="U3" s="13">
        <v>2.7000000000000001E-7</v>
      </c>
      <c r="V3" s="13">
        <v>2.3699999999999999E-7</v>
      </c>
      <c r="W3" s="10">
        <v>1</v>
      </c>
      <c r="X3" s="13">
        <f>Table2[[#This Row],[atm_CO2]]/Table2[[#This Row],[Gravity]]</f>
        <v>2.8542303771661565E-5</v>
      </c>
      <c r="Y3" s="13">
        <v>6.7999999999999995E-7</v>
      </c>
      <c r="Z3" s="13">
        <f>Table2[[#This Row],[atm_H2O]]/Table2[[#This Row],[Gravity]]</f>
        <v>3.8890923503585731E-4</v>
      </c>
      <c r="AA3" s="13">
        <f>Table2[[#This Row],[atm_N2O]]/Table2[[#This Row],[Gravity]]</f>
        <v>2.7522935779816512E-8</v>
      </c>
      <c r="AB3" s="13">
        <f>Table2[[#This Row],[atm_O3]]/Table2[[#This Row],[Gravity]]</f>
        <v>2.4159021406727826E-8</v>
      </c>
      <c r="AC3" s="13">
        <f>Table2[[#This Row],[n_CO2]]+Table2[[#This Row],[n_CH4]]*$AL$3+Table2[[#This Row],[n_H2O]]*$AL$4+Table2[[#This Row],[n_N20]]*$AL$5+Table2[[#This Row],[n_O3]]*$AL$6</f>
        <v>2.7286950482402516E-4</v>
      </c>
      <c r="AD3" s="13">
        <f>POWER(Table2[[#This Row],[Pressure]],2)</f>
        <v>1</v>
      </c>
      <c r="AE3" s="13">
        <f>Table2[[#This Row],[CO2_e]]*Table2[[#This Row],[Pressure Factor]]</f>
        <v>2.7286950482402516E-4</v>
      </c>
      <c r="AF3" s="13">
        <f>Table2[[#This Row],[Greenhouse Fraction]]</f>
        <v>0.33986492188770445</v>
      </c>
      <c r="AG3" s="13">
        <f>LN(Table2[[#This Row],[Greenhouse Effect]])*0.033379+0.610957</f>
        <v>0.33703167301683779</v>
      </c>
      <c r="AH3" s="13">
        <f>POWER((1-Table2[Albedo])*Table2[[#This Row],[Avg Flux Density]]/(1-Table2[Calc Fraction])/0.00000005670374/Table2[Emissivity],0.25)</f>
        <v>286.18340733864676</v>
      </c>
      <c r="AI3" s="13">
        <f>Table2[[#This Row],[Calc Temp]]-Table2[[#This Row],[Temperature]]</f>
        <v>-0.30657629575864576</v>
      </c>
      <c r="AK3" t="s">
        <v>23</v>
      </c>
      <c r="AL3">
        <v>90</v>
      </c>
      <c r="AM3">
        <v>12.4</v>
      </c>
    </row>
    <row r="4" spans="1:40" x14ac:dyDescent="0.25">
      <c r="A4">
        <v>0.76</v>
      </c>
      <c r="B4" s="7">
        <f>1-Table1[[#This Row],[IR Trans]]</f>
        <v>0.99017858618966659</v>
      </c>
      <c r="C4" s="5">
        <v>9.8214138103334559E-3</v>
      </c>
      <c r="D4" s="6">
        <v>0.95</v>
      </c>
      <c r="E4">
        <v>0.25</v>
      </c>
      <c r="F4">
        <f>1361/POWER(0.723,2)</f>
        <v>2603.643570569071</v>
      </c>
      <c r="G4" s="3">
        <f>POWER(Table1[Mult]*(1-Table1[Albedo])*Table1[[#This Row],[Flux Density]]/Table1[IR Trans]/0.00000005670374/Table1[Emissivity],0.25)-273.15</f>
        <v>463.99999232828281</v>
      </c>
      <c r="I4" t="s">
        <v>12</v>
      </c>
      <c r="J4">
        <v>0.25</v>
      </c>
      <c r="K4" s="5">
        <v>8.9615595634767842E-2</v>
      </c>
      <c r="L4" s="5">
        <f>1/(1-Table2[[#This Row],[Greenhouse Fraction]])</f>
        <v>1.0984370944900494</v>
      </c>
      <c r="M4">
        <v>0.95</v>
      </c>
      <c r="N4" s="9">
        <f>1361/POWER(1.524,2)</f>
        <v>585.98728308567718</v>
      </c>
      <c r="O4" s="8">
        <f>Table2[Flux Density]*0.25</f>
        <v>146.49682077141929</v>
      </c>
      <c r="P4" s="3">
        <v>0</v>
      </c>
      <c r="Q4" s="3">
        <f>POWER((1-Table2[Albedo])*Table2[[#This Row],[Avg Flux Density]]/(1-Table2[Greenhouse Fraction])/0.00000005670374/Table2[Emissivity],0.25)</f>
        <v>217.56164607580575</v>
      </c>
      <c r="R4">
        <v>3.72</v>
      </c>
      <c r="S4" s="10">
        <f>0.9597*0.00628</f>
        <v>6.0269160000000002E-3</v>
      </c>
      <c r="T4" s="10">
        <f>0.0003*0.006</f>
        <v>1.7999999999999999E-6</v>
      </c>
      <c r="U4" s="13">
        <v>0</v>
      </c>
      <c r="V4" s="13">
        <v>0</v>
      </c>
      <c r="W4" s="10">
        <v>0.01</v>
      </c>
      <c r="X4" s="13">
        <f>Table2[[#This Row],[atm_CO2]]/Table2[[#This Row],[Gravity]]</f>
        <v>1.6201387096774194E-3</v>
      </c>
      <c r="Y4" s="13">
        <v>0</v>
      </c>
      <c r="Z4" s="13">
        <f>Table2[[#This Row],[atm_H2O]]/Table2[[#This Row],[Gravity]]</f>
        <v>4.8387096774193539E-7</v>
      </c>
      <c r="AA4" s="13">
        <f>Table2[[#This Row],[atm_N2O]]/Table2[[#This Row],[Gravity]]</f>
        <v>0</v>
      </c>
      <c r="AB4" s="13">
        <f>Table2[[#This Row],[atm_O3]]/Table2[[#This Row],[Gravity]]</f>
        <v>0</v>
      </c>
      <c r="AC4" s="13">
        <f>Table2[[#This Row],[n_CO2]]+Table2[[#This Row],[n_CH4]]*$AL$3+Table2[[#This Row],[n_H2O]]*$AL$4+Table2[[#This Row],[n_N20]]*$AL$5+Table2[[#This Row],[n_O3]]*$AL$6</f>
        <v>1.6203274193548388E-3</v>
      </c>
      <c r="AD4" s="13">
        <f>POWER(Table2[[#This Row],[Pressure]],2)</f>
        <v>1E-4</v>
      </c>
      <c r="AE4" s="13">
        <f>Table2[[#This Row],[CO2_e]]*Table2[[#This Row],[Pressure Factor]]</f>
        <v>1.6203274193548388E-7</v>
      </c>
      <c r="AF4" s="13">
        <f>Table2[[#This Row],[Greenhouse Fraction]]</f>
        <v>8.9615595634767842E-2</v>
      </c>
      <c r="AG4" s="13">
        <f>LN(Table2[[#This Row],[Greenhouse Effect]])*0.033379+0.610957</f>
        <v>8.9060733274118897E-2</v>
      </c>
      <c r="AH4" s="13">
        <f>POWER((1-Table2[Albedo])*Table2[[#This Row],[Avg Flux Density]]/(1-Table2[Calc Fraction])/0.00000005670374/Table2[Emissivity],0.25)</f>
        <v>217.52850875358817</v>
      </c>
      <c r="AI4" s="13">
        <f>Table2[[#This Row],[Calc Temp]]-Table2[[#This Row],[Temperature]]</f>
        <v>-3.3137322217584142E-2</v>
      </c>
      <c r="AK4" t="s">
        <v>22</v>
      </c>
      <c r="AL4" s="12">
        <v>0.39</v>
      </c>
      <c r="AM4" s="11" t="s">
        <v>28</v>
      </c>
      <c r="AN4">
        <v>0.39</v>
      </c>
    </row>
    <row r="5" spans="1:40" x14ac:dyDescent="0.25">
      <c r="A5">
        <v>0.30599999999999999</v>
      </c>
      <c r="B5" s="5">
        <f>1-Table1[[#This Row],[IR Trans]]</f>
        <v>0.36382591015488264</v>
      </c>
      <c r="C5" s="5">
        <v>0.63617408984511736</v>
      </c>
      <c r="D5">
        <v>0.93642999999999998</v>
      </c>
      <c r="E5">
        <v>0.25</v>
      </c>
      <c r="F5">
        <v>1361</v>
      </c>
      <c r="G5" s="3">
        <f>POWER(Table1[Mult]*(1-Table1[Albedo])*Table1[[#This Row],[Flux Density]]/Table1[IR Trans]/0.00000005670374/Table1[Emissivity],0.25)-273.15</f>
        <v>16.00030252641875</v>
      </c>
      <c r="I5" t="s">
        <v>11</v>
      </c>
      <c r="J5">
        <v>0.76</v>
      </c>
      <c r="K5" s="5">
        <v>0.99</v>
      </c>
      <c r="L5" s="5">
        <f>1/(1-Table2[[#This Row],[Greenhouse Fraction]])</f>
        <v>99.999999999999915</v>
      </c>
      <c r="M5">
        <v>0.95</v>
      </c>
      <c r="N5" s="9">
        <f>1361/POWER(0.7233,2)</f>
        <v>2601.4842146009246</v>
      </c>
      <c r="O5" s="8">
        <f>Table2[Flux Density]*0.25</f>
        <v>650.37105365023115</v>
      </c>
      <c r="P5" s="3">
        <v>0</v>
      </c>
      <c r="Q5" s="3">
        <f>POWER((1-Table2[Albedo])*Table2[[#This Row],[Avg Flux Density]]/(1-Table2[Greenhouse Fraction])/0.00000005670374/Table2[Emissivity],0.25)</f>
        <v>733.68439818759759</v>
      </c>
      <c r="R5">
        <v>8.8699999999999992</v>
      </c>
      <c r="S5" s="10">
        <f>0.965*92</f>
        <v>88.78</v>
      </c>
      <c r="T5" s="10">
        <f>0.00002</f>
        <v>2.0000000000000002E-5</v>
      </c>
      <c r="U5" s="13">
        <v>0</v>
      </c>
      <c r="V5" s="13">
        <v>9.9999999999999995E-8</v>
      </c>
      <c r="W5" s="10">
        <v>92</v>
      </c>
      <c r="X5" s="13">
        <f>Table2[[#This Row],[atm_CO2]]/Table2[[#This Row],[Gravity]]</f>
        <v>10.009019165727171</v>
      </c>
      <c r="Y5" s="13">
        <v>0</v>
      </c>
      <c r="Z5" s="13">
        <f>Table2[[#This Row],[atm_H2O]]/Table2[[#This Row],[Gravity]]</f>
        <v>2.2547914317925598E-6</v>
      </c>
      <c r="AA5" s="13">
        <f>Table2[[#This Row],[atm_N2O]]/Table2[[#This Row],[Gravity]]</f>
        <v>0</v>
      </c>
      <c r="AB5" s="13">
        <f>Table2[[#This Row],[atm_O3]]/Table2[[#This Row],[Gravity]]</f>
        <v>1.1273957158962796E-8</v>
      </c>
      <c r="AC5" s="13">
        <f>Table2[[#This Row],[n_CO2]]+Table2[[#This Row],[n_CH4]]*$AL$3+Table2[[#This Row],[n_H2O]]*$AL$4+Table2[[#This Row],[n_N20]]*$AL$5+Table2[[#This Row],[n_O3]]*$AL$6</f>
        <v>10.009031319052989</v>
      </c>
      <c r="AD5" s="13">
        <f>POWER(Table2[[#This Row],[Pressure]],2)</f>
        <v>8464</v>
      </c>
      <c r="AE5" s="13">
        <f>Table2[[#This Row],[CO2_e]]*Table2[[#This Row],[Pressure Factor]]</f>
        <v>84716.441084464503</v>
      </c>
      <c r="AF5" s="13">
        <f>Table2[[#This Row],[Greenhouse Fraction]]</f>
        <v>0.99</v>
      </c>
      <c r="AG5" s="13">
        <f>LN(Table2[[#This Row],[Greenhouse Effect]])*0.033379+0.610957</f>
        <v>0.98971068168100085</v>
      </c>
      <c r="AH5" s="13">
        <f>POWER((1-Table2[Albedo])*Table2[[#This Row],[Avg Flux Density]]/(1-Table2[Calc Fraction])/0.00000005670374/Table2[Emissivity],0.25)</f>
        <v>728.4716133576444</v>
      </c>
      <c r="AI5" s="13">
        <f>Table2[[#This Row],[Calc Temp]]-Table2[[#This Row],[Temperature]]</f>
        <v>-5.2127848299531934</v>
      </c>
      <c r="AK5" t="s">
        <v>25</v>
      </c>
      <c r="AL5">
        <v>265</v>
      </c>
      <c r="AM5">
        <v>121</v>
      </c>
    </row>
    <row r="6" spans="1:40" x14ac:dyDescent="0.25">
      <c r="A6">
        <v>0.30599999999999999</v>
      </c>
      <c r="B6" s="5">
        <f>1-Table1[[#This Row],[IR Trans]]</f>
        <v>0.40426396376468376</v>
      </c>
      <c r="C6" s="5">
        <v>0.59573603623531624</v>
      </c>
      <c r="D6">
        <v>1</v>
      </c>
      <c r="E6">
        <v>0.25</v>
      </c>
      <c r="F6">
        <v>1361</v>
      </c>
      <c r="G6" s="3">
        <f>POWER(Table1[Mult]*(1-Table1[Albedo])*Table1[[#This Row],[Flux Density]]/Table1[IR Trans]/0.00000005670374/Table1[Emissivity],0.25)-273.15</f>
        <v>15.999873791345919</v>
      </c>
      <c r="AK6" t="s">
        <v>38</v>
      </c>
      <c r="AL6" s="10">
        <v>1000</v>
      </c>
    </row>
    <row r="7" spans="1:40" x14ac:dyDescent="0.25">
      <c r="A7">
        <v>0.30599999999999999</v>
      </c>
      <c r="B7" s="5">
        <f>1-Table1[[#This Row],[IR Trans]]</f>
        <v>0.373</v>
      </c>
      <c r="C7" s="5">
        <v>0.627</v>
      </c>
      <c r="D7">
        <v>0.93642999999999998</v>
      </c>
      <c r="E7">
        <v>0.25</v>
      </c>
      <c r="F7">
        <v>1361</v>
      </c>
      <c r="G7" s="3">
        <f>POWER(Table1[Mult]*(1-Table1[Albedo])*Table1[[#This Row],[Flux Density]]/Table1[IR Trans]/0.00000005670374/Table1[Emissivity],0.25)-273.15</f>
        <v>17.052239850718763</v>
      </c>
    </row>
    <row r="8" spans="1:40" x14ac:dyDescent="0.25">
      <c r="A8">
        <v>0.30599999999999999</v>
      </c>
      <c r="B8" s="5">
        <f>1-Table1[[#This Row],[IR Trans]]</f>
        <v>0.373</v>
      </c>
      <c r="C8" s="5">
        <v>0.627</v>
      </c>
      <c r="D8">
        <v>0.93642999999999998</v>
      </c>
      <c r="E8">
        <v>0.25</v>
      </c>
      <c r="F8">
        <v>1361</v>
      </c>
      <c r="G8" s="3">
        <f>POWER(Table1[Mult]*(1-Table1[Albedo])*Table1[[#This Row],[Flux Density]]/Table1[IR Trans]/0.00000005670374/Table1[Emissivity],0.25)-273.15</f>
        <v>17.052239850718763</v>
      </c>
      <c r="AI8">
        <v>0</v>
      </c>
    </row>
    <row r="9" spans="1:40" x14ac:dyDescent="0.25">
      <c r="AI9" s="13">
        <f>AVERAGE(AI2:AI3)</f>
        <v>4.9781871864581717E-2</v>
      </c>
    </row>
    <row r="10" spans="1:40" x14ac:dyDescent="0.25">
      <c r="T10" s="12"/>
      <c r="U10" s="12"/>
      <c r="V10" s="12"/>
    </row>
  </sheetData>
  <dataConsolidate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Farseer</dc:creator>
  <cp:lastModifiedBy>Farseer</cp:lastModifiedBy>
  <dcterms:created xsi:type="dcterms:W3CDTF">2021-10-01T18:52:26Z</dcterms:created>
  <dcterms:modified xsi:type="dcterms:W3CDTF">2021-10-13T22:11:58Z</dcterms:modified>
</cp:coreProperties>
</file>