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Rat\SynergyControl\ParameterCalculation\"/>
    </mc:Choice>
  </mc:AlternateContent>
  <bookViews>
    <workbookView xWindow="1890" yWindow="0" windowWidth="26910" windowHeight="12885" tabRatio="809" firstSheet="5" activeTab="5"/>
  </bookViews>
  <sheets>
    <sheet name="Pelvis" sheetId="3" r:id="rId1"/>
    <sheet name="Femur" sheetId="4" r:id="rId2"/>
    <sheet name="Tibia" sheetId="1" r:id="rId3"/>
    <sheet name="Foot" sheetId="2" r:id="rId4"/>
    <sheet name="MuscleGroupProperties" sheetId="11" r:id="rId5"/>
    <sheet name="Johnson2011Data" sheetId="5" r:id="rId6"/>
    <sheet name="Johnson2011Matlab" sheetId="16" r:id="rId7"/>
    <sheet name="Eng2008MuscleData" sheetId="12" r:id="rId8"/>
    <sheet name="Segment Masses" sheetId="19" r:id="rId9"/>
    <sheet name="Joints_Fischer02Paper" sheetId="18" r:id="rId10"/>
    <sheet name="AnimatlabOutput" sheetId="17" r:id="rId11"/>
    <sheet name="LengthTension" sheetId="7" r:id="rId12"/>
    <sheet name="Damping" sheetId="9" r:id="rId13"/>
    <sheet name="MuscleProperties" sheetId="8" r:id="rId14"/>
  </sheets>
  <definedNames>
    <definedName name="_xlnm._FilterDatabase" localSheetId="4" hidden="1">MuscleGroupProperties!$C$2:$D$36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9" l="1"/>
  <c r="B39" i="12"/>
  <c r="C17" i="19"/>
  <c r="B17" i="19"/>
  <c r="B45" i="16" l="1"/>
  <c r="C45" i="5"/>
  <c r="X47" i="5" l="1"/>
  <c r="X46" i="5"/>
  <c r="X45" i="5"/>
  <c r="AB3" i="5" l="1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2" i="5"/>
  <c r="U2" i="5" l="1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3" i="16"/>
  <c r="O4" i="16"/>
  <c r="O5" i="16"/>
  <c r="O6" i="16"/>
  <c r="O7" i="16"/>
  <c r="O8" i="16"/>
  <c r="O9" i="16"/>
  <c r="O2" i="16"/>
  <c r="Q41" i="12" l="1"/>
  <c r="P41" i="12"/>
  <c r="Q6" i="12"/>
  <c r="Q8" i="12"/>
  <c r="Q12" i="12"/>
  <c r="Q13" i="12"/>
  <c r="Q16" i="12"/>
  <c r="Q17" i="12"/>
  <c r="Q28" i="12"/>
  <c r="Q30" i="12"/>
  <c r="Q31" i="12"/>
  <c r="Q32" i="12"/>
  <c r="Q4" i="12"/>
  <c r="Q40" i="12" s="1"/>
  <c r="P3" i="12"/>
  <c r="P5" i="12"/>
  <c r="P9" i="12"/>
  <c r="P10" i="12"/>
  <c r="P11" i="12"/>
  <c r="P14" i="12"/>
  <c r="P15" i="12"/>
  <c r="P24" i="12"/>
  <c r="P25" i="12"/>
  <c r="P26" i="12"/>
  <c r="P27" i="12"/>
  <c r="P29" i="12"/>
  <c r="P33" i="12"/>
  <c r="P34" i="12"/>
  <c r="P35" i="12"/>
  <c r="P36" i="12"/>
  <c r="P37" i="12"/>
  <c r="P38" i="12"/>
  <c r="P2" i="12"/>
  <c r="P40" i="12" s="1"/>
  <c r="P39" i="12" l="1"/>
  <c r="Q39" i="12"/>
  <c r="K3" i="17"/>
  <c r="L3" i="17"/>
  <c r="M3" i="17" l="1"/>
  <c r="M27" i="18"/>
  <c r="M26" i="18"/>
  <c r="M25" i="18"/>
  <c r="L4" i="17" l="1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M26" i="17" l="1"/>
  <c r="M25" i="17"/>
  <c r="M9" i="17"/>
  <c r="M24" i="17"/>
  <c r="M8" i="17"/>
  <c r="M34" i="17"/>
  <c r="M18" i="17"/>
  <c r="M10" i="17"/>
  <c r="M40" i="17"/>
  <c r="M39" i="17"/>
  <c r="M31" i="17"/>
  <c r="M23" i="17"/>
  <c r="M15" i="17"/>
  <c r="M7" i="17"/>
  <c r="M38" i="17"/>
  <c r="M30" i="17"/>
  <c r="M22" i="17"/>
  <c r="M14" i="17"/>
  <c r="M6" i="17"/>
  <c r="M33" i="17"/>
  <c r="M17" i="17"/>
  <c r="M32" i="17"/>
  <c r="M16" i="17"/>
  <c r="M21" i="17"/>
  <c r="M28" i="17"/>
  <c r="M4" i="17"/>
  <c r="M37" i="17"/>
  <c r="M5" i="17"/>
  <c r="M20" i="17"/>
  <c r="M29" i="17"/>
  <c r="M13" i="17"/>
  <c r="M36" i="17"/>
  <c r="M12" i="17"/>
  <c r="M35" i="17"/>
  <c r="M27" i="17"/>
  <c r="M19" i="17"/>
  <c r="M11" i="17"/>
  <c r="C30" i="18"/>
  <c r="C31" i="18"/>
  <c r="C32" i="18"/>
  <c r="C33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21" i="18"/>
  <c r="E22" i="18"/>
  <c r="E23" i="18"/>
  <c r="E24" i="18"/>
  <c r="E25" i="18"/>
  <c r="E26" i="18"/>
  <c r="E27" i="18"/>
  <c r="E28" i="18"/>
  <c r="E29" i="18"/>
  <c r="E30" i="18"/>
  <c r="E31" i="18"/>
  <c r="E21" i="18"/>
  <c r="C22" i="18"/>
  <c r="C23" i="18"/>
  <c r="C24" i="18"/>
  <c r="C25" i="18"/>
  <c r="C26" i="18"/>
  <c r="C27" i="18"/>
  <c r="C28" i="18"/>
  <c r="C29" i="18"/>
  <c r="C21" i="18"/>
  <c r="C18" i="18"/>
  <c r="E18" i="18" s="1"/>
  <c r="C17" i="18"/>
  <c r="E17" i="18" s="1"/>
  <c r="C16" i="18"/>
  <c r="E16" i="18" s="1"/>
  <c r="C15" i="18"/>
  <c r="E15" i="18" s="1"/>
  <c r="C14" i="18"/>
  <c r="E14" i="18" s="1"/>
  <c r="C13" i="18"/>
  <c r="E13" i="18" s="1"/>
  <c r="M4" i="18"/>
  <c r="M5" i="18"/>
  <c r="M3" i="18"/>
  <c r="C10" i="18"/>
  <c r="N4" i="18" s="1"/>
  <c r="D10" i="18"/>
  <c r="N5" i="18" s="1"/>
  <c r="B10" i="18"/>
  <c r="N3" i="18" s="1"/>
  <c r="J4" i="18"/>
  <c r="J5" i="18"/>
  <c r="J3" i="18"/>
  <c r="I4" i="18"/>
  <c r="I5" i="18"/>
  <c r="I3" i="18"/>
  <c r="F13" i="18" l="1"/>
  <c r="F15" i="18"/>
  <c r="G15" i="18" s="1"/>
  <c r="F17" i="18"/>
  <c r="G17" i="18" s="1"/>
  <c r="G13" i="1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2" i="7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2" i="5"/>
  <c r="U4" i="5"/>
  <c r="U5" i="5"/>
  <c r="U6" i="5"/>
  <c r="U7" i="5"/>
  <c r="U12" i="5"/>
  <c r="U13" i="5"/>
  <c r="U15" i="5"/>
  <c r="U16" i="5"/>
  <c r="U17" i="5"/>
  <c r="U19" i="5"/>
  <c r="U23" i="5"/>
  <c r="U25" i="5"/>
  <c r="U30" i="5"/>
  <c r="U32" i="5"/>
  <c r="U33" i="5"/>
  <c r="U34" i="5"/>
  <c r="U35" i="5"/>
  <c r="U36" i="5"/>
  <c r="U38" i="5"/>
  <c r="I45" i="8"/>
  <c r="I44" i="8"/>
  <c r="I35" i="8"/>
  <c r="I36" i="8"/>
  <c r="I37" i="8"/>
  <c r="I38" i="8"/>
  <c r="I39" i="8"/>
  <c r="I40" i="8"/>
  <c r="I41" i="8"/>
  <c r="I42" i="8"/>
  <c r="I34" i="8"/>
  <c r="I28" i="8"/>
  <c r="I29" i="8"/>
  <c r="I30" i="8"/>
  <c r="I31" i="8"/>
  <c r="I32" i="8"/>
  <c r="I27" i="8"/>
  <c r="I24" i="8"/>
  <c r="I25" i="8"/>
  <c r="I23" i="8"/>
  <c r="I15" i="8"/>
  <c r="I16" i="8"/>
  <c r="I17" i="8"/>
  <c r="I18" i="8"/>
  <c r="I19" i="8"/>
  <c r="I20" i="8"/>
  <c r="I21" i="8"/>
  <c r="I14" i="8"/>
  <c r="K14" i="7"/>
  <c r="K15" i="7"/>
  <c r="K16" i="7"/>
  <c r="K17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3" i="7"/>
  <c r="K4" i="7"/>
  <c r="K5" i="7"/>
  <c r="K6" i="7"/>
  <c r="K7" i="7"/>
  <c r="K8" i="7"/>
  <c r="K9" i="7"/>
  <c r="K10" i="7"/>
  <c r="K11" i="7"/>
  <c r="K12" i="7"/>
  <c r="K13" i="7"/>
  <c r="K2" i="7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2" i="5"/>
  <c r="K3" i="5"/>
  <c r="U3" i="5" s="1"/>
  <c r="W3" i="5" s="1"/>
  <c r="K4" i="5"/>
  <c r="K5" i="5"/>
  <c r="K6" i="5"/>
  <c r="K7" i="5"/>
  <c r="K8" i="5"/>
  <c r="U8" i="5" s="1"/>
  <c r="K9" i="5"/>
  <c r="U9" i="5" s="1"/>
  <c r="K10" i="5"/>
  <c r="U10" i="5" s="1"/>
  <c r="K11" i="5"/>
  <c r="U11" i="5" s="1"/>
  <c r="K12" i="5"/>
  <c r="K13" i="5"/>
  <c r="K14" i="5"/>
  <c r="U14" i="5" s="1"/>
  <c r="W14" i="5" s="1"/>
  <c r="K15" i="5"/>
  <c r="K16" i="5"/>
  <c r="K17" i="5"/>
  <c r="K18" i="5"/>
  <c r="U18" i="5" s="1"/>
  <c r="K19" i="5"/>
  <c r="K20" i="5"/>
  <c r="U20" i="5" s="1"/>
  <c r="W20" i="5" s="1"/>
  <c r="K21" i="5"/>
  <c r="U21" i="5" s="1"/>
  <c r="K22" i="5"/>
  <c r="U22" i="5" s="1"/>
  <c r="K23" i="5"/>
  <c r="K24" i="5"/>
  <c r="U24" i="5" s="1"/>
  <c r="K25" i="5"/>
  <c r="K26" i="5"/>
  <c r="U26" i="5" s="1"/>
  <c r="K27" i="5"/>
  <c r="U27" i="5" s="1"/>
  <c r="K28" i="5"/>
  <c r="U28" i="5" s="1"/>
  <c r="K29" i="5"/>
  <c r="U29" i="5" s="1"/>
  <c r="K30" i="5"/>
  <c r="K31" i="5"/>
  <c r="U31" i="5" s="1"/>
  <c r="K32" i="5"/>
  <c r="K33" i="5"/>
  <c r="K34" i="5"/>
  <c r="K35" i="5"/>
  <c r="K36" i="5"/>
  <c r="K37" i="5"/>
  <c r="U37" i="5" s="1"/>
  <c r="K38" i="5"/>
  <c r="K39" i="5"/>
  <c r="U39" i="5" s="1"/>
  <c r="K40" i="5"/>
  <c r="U40" i="5" s="1"/>
  <c r="K41" i="5"/>
  <c r="U41" i="5" s="1"/>
  <c r="K42" i="5"/>
  <c r="U42" i="5" s="1"/>
  <c r="K43" i="5"/>
  <c r="U43" i="5" s="1"/>
  <c r="K44" i="5"/>
  <c r="U44" i="5" s="1"/>
  <c r="K2" i="5"/>
  <c r="X3" i="5" l="1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2" i="5"/>
  <c r="I4" i="8"/>
  <c r="I5" i="8"/>
  <c r="I6" i="8"/>
  <c r="I7" i="8"/>
  <c r="I8" i="8"/>
  <c r="I9" i="8"/>
  <c r="I10" i="8"/>
  <c r="I11" i="8"/>
  <c r="I12" i="8"/>
  <c r="I3" i="8"/>
  <c r="P30" i="4"/>
  <c r="O30" i="4"/>
  <c r="N30" i="4"/>
  <c r="O29" i="4"/>
  <c r="P29" i="4"/>
  <c r="N29" i="4"/>
  <c r="N31" i="4" s="1"/>
  <c r="O33" i="1"/>
  <c r="O35" i="1" s="1"/>
  <c r="P33" i="1"/>
  <c r="P36" i="1" s="1"/>
  <c r="N33" i="1"/>
  <c r="N36" i="1" s="1"/>
  <c r="S33" i="1"/>
  <c r="S35" i="1" s="1"/>
  <c r="T33" i="1"/>
  <c r="R33" i="1"/>
  <c r="R36" i="1" s="1"/>
  <c r="T35" i="1"/>
  <c r="T36" i="1"/>
  <c r="O32" i="4" l="1"/>
  <c r="P35" i="1"/>
  <c r="O36" i="1"/>
  <c r="P31" i="4"/>
  <c r="N35" i="1"/>
  <c r="S36" i="1"/>
  <c r="R35" i="1"/>
  <c r="N32" i="4"/>
  <c r="P32" i="4"/>
  <c r="O31" i="4"/>
  <c r="E34" i="3"/>
  <c r="E35" i="3" s="1"/>
  <c r="D34" i="3"/>
  <c r="D35" i="3" s="1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I18" i="7"/>
  <c r="D18" i="7" s="1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2" i="7"/>
  <c r="D46" i="9"/>
  <c r="D47" i="9"/>
  <c r="D48" i="9"/>
  <c r="B48" i="9"/>
  <c r="B47" i="9"/>
  <c r="B46" i="9"/>
  <c r="C4" i="9"/>
  <c r="G4" i="9" s="1"/>
  <c r="F4" i="9"/>
  <c r="C5" i="9"/>
  <c r="G5" i="9" s="1"/>
  <c r="C6" i="9"/>
  <c r="G6" i="9" s="1"/>
  <c r="C8" i="9"/>
  <c r="G8" i="9" s="1"/>
  <c r="F8" i="9"/>
  <c r="C12" i="9"/>
  <c r="G12" i="9" s="1"/>
  <c r="C13" i="9"/>
  <c r="G13" i="9" s="1"/>
  <c r="C14" i="9"/>
  <c r="G14" i="9" s="1"/>
  <c r="F14" i="9"/>
  <c r="C16" i="9"/>
  <c r="G16" i="9" s="1"/>
  <c r="C20" i="9"/>
  <c r="G20" i="9" s="1"/>
  <c r="F20" i="9"/>
  <c r="C21" i="9"/>
  <c r="G21" i="9" s="1"/>
  <c r="C22" i="9"/>
  <c r="G22" i="9" s="1"/>
  <c r="C24" i="9"/>
  <c r="G24" i="9" s="1"/>
  <c r="C28" i="9"/>
  <c r="G28" i="9" s="1"/>
  <c r="F28" i="9"/>
  <c r="C29" i="9"/>
  <c r="G29" i="9" s="1"/>
  <c r="C30" i="9"/>
  <c r="G30" i="9" s="1"/>
  <c r="F30" i="9"/>
  <c r="C32" i="9"/>
  <c r="G32" i="9" s="1"/>
  <c r="C36" i="9"/>
  <c r="G36" i="9" s="1"/>
  <c r="C37" i="9"/>
  <c r="G37" i="9" s="1"/>
  <c r="C38" i="9"/>
  <c r="G38" i="9" s="1"/>
  <c r="F38" i="9"/>
  <c r="C40" i="9"/>
  <c r="G40" i="9" s="1"/>
  <c r="C44" i="9"/>
  <c r="G44" i="9" s="1"/>
  <c r="C2" i="9"/>
  <c r="G2" i="9" s="1"/>
  <c r="C3" i="9"/>
  <c r="G3" i="9" s="1"/>
  <c r="C7" i="9"/>
  <c r="G7" i="9" s="1"/>
  <c r="C9" i="9"/>
  <c r="G9" i="9" s="1"/>
  <c r="C10" i="9"/>
  <c r="G10" i="9" s="1"/>
  <c r="C11" i="9"/>
  <c r="G11" i="9" s="1"/>
  <c r="C15" i="9"/>
  <c r="G15" i="9" s="1"/>
  <c r="C17" i="9"/>
  <c r="G17" i="9" s="1"/>
  <c r="C18" i="9"/>
  <c r="G18" i="9" s="1"/>
  <c r="C19" i="9"/>
  <c r="G19" i="9" s="1"/>
  <c r="C23" i="9"/>
  <c r="G23" i="9" s="1"/>
  <c r="C25" i="9"/>
  <c r="G25" i="9" s="1"/>
  <c r="C26" i="9"/>
  <c r="G26" i="9" s="1"/>
  <c r="C27" i="9"/>
  <c r="G27" i="9" s="1"/>
  <c r="C31" i="9"/>
  <c r="G31" i="9" s="1"/>
  <c r="C33" i="9"/>
  <c r="G33" i="9" s="1"/>
  <c r="C34" i="9"/>
  <c r="G34" i="9" s="1"/>
  <c r="C35" i="9"/>
  <c r="G35" i="9" s="1"/>
  <c r="C39" i="9"/>
  <c r="G39" i="9" s="1"/>
  <c r="C41" i="9"/>
  <c r="G41" i="9" s="1"/>
  <c r="C42" i="9"/>
  <c r="G42" i="9" s="1"/>
  <c r="C43" i="9"/>
  <c r="G43" i="9" s="1"/>
  <c r="F39" i="9" l="1"/>
  <c r="F35" i="9"/>
  <c r="F3" i="9"/>
  <c r="F32" i="9"/>
  <c r="F12" i="9"/>
  <c r="F7" i="9"/>
  <c r="F41" i="9"/>
  <c r="F40" i="9"/>
  <c r="F22" i="9"/>
  <c r="F23" i="9"/>
  <c r="F19" i="9"/>
  <c r="F36" i="9"/>
  <c r="F16" i="9"/>
  <c r="F25" i="9"/>
  <c r="F9" i="9"/>
  <c r="F44" i="9"/>
  <c r="F24" i="9"/>
  <c r="F6" i="9"/>
  <c r="F18" i="9"/>
  <c r="F2" i="9"/>
  <c r="C46" i="9"/>
  <c r="F15" i="9"/>
  <c r="C47" i="9"/>
  <c r="F43" i="9"/>
  <c r="F27" i="9"/>
  <c r="F11" i="9"/>
  <c r="C48" i="9"/>
  <c r="F34" i="9"/>
  <c r="F33" i="9"/>
  <c r="F17" i="9"/>
  <c r="F31" i="9"/>
  <c r="F42" i="9"/>
  <c r="F26" i="9"/>
  <c r="F10" i="9"/>
  <c r="F37" i="9"/>
  <c r="F29" i="9"/>
  <c r="F21" i="9"/>
  <c r="F13" i="9"/>
  <c r="F5" i="9"/>
  <c r="N18" i="7"/>
  <c r="K18" i="7"/>
  <c r="F48" i="9" l="1"/>
  <c r="F47" i="9"/>
  <c r="F46" i="9"/>
</calcChain>
</file>

<file path=xl/sharedStrings.xml><?xml version="1.0" encoding="utf-8"?>
<sst xmlns="http://schemas.openxmlformats.org/spreadsheetml/2006/main" count="1935" uniqueCount="633">
  <si>
    <t>Biceps femoris posterior</t>
  </si>
  <si>
    <t>Insertion</t>
  </si>
  <si>
    <t>Semitendinosus</t>
  </si>
  <si>
    <t>Semimembranosus</t>
  </si>
  <si>
    <t>Gracilis posticus</t>
  </si>
  <si>
    <t>Gracilis anticus</t>
  </si>
  <si>
    <t>Rectus femoris</t>
  </si>
  <si>
    <t>Via</t>
  </si>
  <si>
    <t>Vastus lateralis</t>
  </si>
  <si>
    <t>Vastus intermedius</t>
  </si>
  <si>
    <t>Vastus medialis</t>
  </si>
  <si>
    <t>Soleus</t>
  </si>
  <si>
    <t>Origin</t>
  </si>
  <si>
    <t>Tibialis anterior</t>
  </si>
  <si>
    <t>Extensor digitorum longus</t>
  </si>
  <si>
    <t>Tibialis posterior</t>
  </si>
  <si>
    <t>Flexor digitalis longus</t>
  </si>
  <si>
    <t>Flexor hallicus longus</t>
  </si>
  <si>
    <t>Peronei</t>
  </si>
  <si>
    <t>Popliteus</t>
  </si>
  <si>
    <t>Plantaris</t>
  </si>
  <si>
    <t>Medial gastrocnemius</t>
  </si>
  <si>
    <t>Lateral gastrocnemius</t>
  </si>
  <si>
    <t>Biceps femoris anterior</t>
  </si>
  <si>
    <t>Caudofemoralis</t>
  </si>
  <si>
    <t>Semitendinosus accessory</t>
  </si>
  <si>
    <t>Semitendinosus primary</t>
  </si>
  <si>
    <t>Quadratus femoris</t>
  </si>
  <si>
    <t>Tensor fascia latae</t>
  </si>
  <si>
    <t>Gluteus maximus</t>
  </si>
  <si>
    <t>Gluteus medius</t>
  </si>
  <si>
    <t>Gluteus minimus</t>
  </si>
  <si>
    <t>Piriformis</t>
  </si>
  <si>
    <t>Adductor longus</t>
  </si>
  <si>
    <t>Adductor magnus</t>
  </si>
  <si>
    <t>Adductor brevis</t>
  </si>
  <si>
    <t>Pectineus</t>
  </si>
  <si>
    <t>Illiopsoas</t>
  </si>
  <si>
    <t>Obturator externus</t>
  </si>
  <si>
    <t>Obturator internus</t>
  </si>
  <si>
    <t>Gemellus superior</t>
  </si>
  <si>
    <t>Gemellus inferior</t>
  </si>
  <si>
    <t>Abbreviation</t>
  </si>
  <si>
    <t>Muscle</t>
  </si>
  <si>
    <t>PerL</t>
  </si>
  <si>
    <t>PerQa</t>
  </si>
  <si>
    <t>PerQi</t>
  </si>
  <si>
    <t>Pir</t>
  </si>
  <si>
    <t>piriformis</t>
  </si>
  <si>
    <t>Pla</t>
  </si>
  <si>
    <t>plantaris</t>
  </si>
  <si>
    <t>Pop</t>
  </si>
  <si>
    <t>popliteus</t>
  </si>
  <si>
    <t>QF</t>
  </si>
  <si>
    <t>SM</t>
  </si>
  <si>
    <t>semimembranosus</t>
  </si>
  <si>
    <t>STa</t>
  </si>
  <si>
    <t>STp</t>
  </si>
  <si>
    <t>Sol</t>
  </si>
  <si>
    <t>soleus</t>
  </si>
  <si>
    <t>TFL</t>
  </si>
  <si>
    <t>TA</t>
  </si>
  <si>
    <t>TP</t>
  </si>
  <si>
    <t>RF</t>
  </si>
  <si>
    <t>VI</t>
  </si>
  <si>
    <t>VL</t>
  </si>
  <si>
    <t>VM</t>
  </si>
  <si>
    <t>Muscle Name</t>
  </si>
  <si>
    <t>Mass (mg)</t>
  </si>
  <si>
    <t>l0 (mm)</t>
  </si>
  <si>
    <t>θ0 (deg)</t>
  </si>
  <si>
    <t>P0 (g) Physiology</t>
  </si>
  <si>
    <t>lts (mm)</t>
  </si>
  <si>
    <t>peroneus longus</t>
  </si>
  <si>
    <t>peroneus digiti quarti</t>
  </si>
  <si>
    <t>peroneus digiti quinti</t>
  </si>
  <si>
    <t>quadratus femoris</t>
  </si>
  <si>
    <t>semitendinosus accessory</t>
  </si>
  <si>
    <t>semitendinosus principal</t>
  </si>
  <si>
    <t>tensor fascia latae</t>
  </si>
  <si>
    <t>tibialis anterior</t>
  </si>
  <si>
    <t>tibialis posterior</t>
  </si>
  <si>
    <t>rectus femoris</t>
  </si>
  <si>
    <t>vastus intermedius</t>
  </si>
  <si>
    <t>vastus lateralis</t>
  </si>
  <si>
    <t>vastus medialis</t>
  </si>
  <si>
    <t>AB</t>
  </si>
  <si>
    <t>AL</t>
  </si>
  <si>
    <t>AM</t>
  </si>
  <si>
    <t>BFa</t>
  </si>
  <si>
    <t>BFp</t>
  </si>
  <si>
    <t>CF</t>
  </si>
  <si>
    <t>caudofemoralis</t>
  </si>
  <si>
    <t>EDL</t>
  </si>
  <si>
    <t>EHL</t>
  </si>
  <si>
    <t>FDL</t>
  </si>
  <si>
    <t>FHL</t>
  </si>
  <si>
    <t>GI</t>
  </si>
  <si>
    <t>GS</t>
  </si>
  <si>
    <t>GMa</t>
  </si>
  <si>
    <t>GMe</t>
  </si>
  <si>
    <t>GMi</t>
  </si>
  <si>
    <t>GA</t>
  </si>
  <si>
    <t>GP</t>
  </si>
  <si>
    <t>IP</t>
  </si>
  <si>
    <t>iliacus</t>
  </si>
  <si>
    <t>LG</t>
  </si>
  <si>
    <t>MG</t>
  </si>
  <si>
    <t>OE</t>
  </si>
  <si>
    <t>OI</t>
  </si>
  <si>
    <t>Pec</t>
  </si>
  <si>
    <t>pectineus</t>
  </si>
  <si>
    <t>PerB</t>
  </si>
  <si>
    <t>adductor brevis</t>
  </si>
  <si>
    <t>adductor longus</t>
  </si>
  <si>
    <t>adductor magnus</t>
  </si>
  <si>
    <t>biceps femoris anterior</t>
  </si>
  <si>
    <t>biceps femoris posterior</t>
  </si>
  <si>
    <t>extensor digitorum longus</t>
  </si>
  <si>
    <t>extensor hallucis longus</t>
  </si>
  <si>
    <t>flexor digitorum longus</t>
  </si>
  <si>
    <t>flexor hallucis longus</t>
  </si>
  <si>
    <t>gemellus inferior</t>
  </si>
  <si>
    <t>gemellus superior</t>
  </si>
  <si>
    <t>gluteus maximus</t>
  </si>
  <si>
    <t>gluteus medius</t>
  </si>
  <si>
    <t>gluteus minimus</t>
  </si>
  <si>
    <t>psoas major</t>
  </si>
  <si>
    <t>lateral gastrocnemius</t>
  </si>
  <si>
    <t>medial gastrocnemius</t>
  </si>
  <si>
    <t>obturator externus</t>
  </si>
  <si>
    <t>obturator internus</t>
  </si>
  <si>
    <t>peroneus brevis</t>
  </si>
  <si>
    <t>Hip Ext</t>
  </si>
  <si>
    <t>Hip Flx</t>
  </si>
  <si>
    <t>Knee Flx</t>
  </si>
  <si>
    <t>Ankle Flx</t>
  </si>
  <si>
    <t>Ankle Ext</t>
  </si>
  <si>
    <t>Knee Ext</t>
  </si>
  <si>
    <t>Kpe</t>
  </si>
  <si>
    <t>Kse</t>
  </si>
  <si>
    <t>Amp</t>
  </si>
  <si>
    <t>Steep</t>
  </si>
  <si>
    <t>Xoff</t>
  </si>
  <si>
    <t>Yoff</t>
  </si>
  <si>
    <t>113.533 Ns/m</t>
  </si>
  <si>
    <t>9.186 mN/m</t>
  </si>
  <si>
    <t>23.884 KN/m</t>
  </si>
  <si>
    <t>-50 mV</t>
  </si>
  <si>
    <t>25.318 N</t>
  </si>
  <si>
    <t>-58.19 mN</t>
  </si>
  <si>
    <t>34.975 Ns/m</t>
  </si>
  <si>
    <t>3.558 mN/m</t>
  </si>
  <si>
    <t>9.251 KN/m</t>
  </si>
  <si>
    <t>8.744 N</t>
  </si>
  <si>
    <t>-20.096 N</t>
  </si>
  <si>
    <t>143.685 Ns/m</t>
  </si>
  <si>
    <t>18.414 mN/m</t>
  </si>
  <si>
    <t>77.338 KN/m</t>
  </si>
  <si>
    <t>39.514 N</t>
  </si>
  <si>
    <t>-90.818 mN</t>
  </si>
  <si>
    <t>68.237 Ns/m</t>
  </si>
  <si>
    <t>.147 MN/m</t>
  </si>
  <si>
    <t>44.354 N</t>
  </si>
  <si>
    <t>-102 mN</t>
  </si>
  <si>
    <t>134.993 Ns/m</t>
  </si>
  <si>
    <t>65.274 mN/m</t>
  </si>
  <si>
    <t>.587 MN/m</t>
  </si>
  <si>
    <t>67.497 N</t>
  </si>
  <si>
    <t>36.123 Ns/m</t>
  </si>
  <si>
    <t>10.688 mN/m</t>
  </si>
  <si>
    <t>96.19 KN/m</t>
  </si>
  <si>
    <t>14.449 N</t>
  </si>
  <si>
    <t>-33.21 mN</t>
  </si>
  <si>
    <t>-155 mN</t>
  </si>
  <si>
    <t>B (linear damping)</t>
  </si>
  <si>
    <t>Min</t>
  </si>
  <si>
    <t>Max</t>
  </si>
  <si>
    <t>Avg</t>
  </si>
  <si>
    <t>58.7 kN/m</t>
  </si>
  <si>
    <t>1.336 mN/m</t>
  </si>
  <si>
    <t>6.138 mN/m</t>
  </si>
  <si>
    <t>29.404 mN/m</t>
  </si>
  <si>
    <t>4.9 mN/m</t>
  </si>
  <si>
    <t>1.02067 mN/m</t>
  </si>
  <si>
    <t>1.779 mN/m</t>
  </si>
  <si>
    <t>4.6255 mN/m</t>
  </si>
  <si>
    <t>2.654 KN/m</t>
  </si>
  <si>
    <t>24.5 KN/m</t>
  </si>
  <si>
    <t>25.78 KN/m</t>
  </si>
  <si>
    <t>12.0238 KN/m</t>
  </si>
  <si>
    <t>Connection</t>
  </si>
  <si>
    <t>x (mm)</t>
  </si>
  <si>
    <t>+/-</t>
  </si>
  <si>
    <t>y (mm)</t>
  </si>
  <si>
    <t>z (mm)</t>
  </si>
  <si>
    <t>x' (mm)</t>
  </si>
  <si>
    <t>y' (mm)</t>
  </si>
  <si>
    <t>z' (mm)</t>
  </si>
  <si>
    <t>(from existing model)</t>
  </si>
  <si>
    <t>Maximum Force F (N)</t>
  </si>
  <si>
    <t>Maximum Isometric Force P0 (g)</t>
  </si>
  <si>
    <t>Knee Flexor</t>
  </si>
  <si>
    <t>Knee Extensor</t>
  </si>
  <si>
    <t>Hip extensor</t>
  </si>
  <si>
    <t>Hip Flexor</t>
  </si>
  <si>
    <t>Hip Rotator</t>
  </si>
  <si>
    <t>Hip adductors</t>
  </si>
  <si>
    <t>Hip adductor</t>
  </si>
  <si>
    <t>Ankle dorsiflexor</t>
  </si>
  <si>
    <t>Ankle plantarflexor</t>
  </si>
  <si>
    <t>Adductor tertius</t>
  </si>
  <si>
    <t>Psoas</t>
  </si>
  <si>
    <t>Gluteus superficialis</t>
  </si>
  <si>
    <t>Biceps femoris</t>
  </si>
  <si>
    <t>Semimembronosus</t>
  </si>
  <si>
    <t>Muscle X</t>
  </si>
  <si>
    <t>Gracilis Cranial</t>
  </si>
  <si>
    <t>Gracilis Caudal</t>
  </si>
  <si>
    <t>Gastrocnemius</t>
  </si>
  <si>
    <t>Charles 2016 (mouse)</t>
  </si>
  <si>
    <t>Johnson 2008 (Sprague-Dawley)</t>
  </si>
  <si>
    <t>Eng. 2008 (Rattus norvegicus)</t>
  </si>
  <si>
    <t>Flexor digitorum longus</t>
  </si>
  <si>
    <t>Flexor hallucis longus</t>
  </si>
  <si>
    <t>Peroneus brevis</t>
  </si>
  <si>
    <t>Peroneus longus</t>
  </si>
  <si>
    <t>Extensor hallucis longus</t>
  </si>
  <si>
    <t>Extensor Hallucis Longus</t>
  </si>
  <si>
    <t>Illiacus</t>
  </si>
  <si>
    <t>Psoas Major</t>
  </si>
  <si>
    <t>Psoas Minor</t>
  </si>
  <si>
    <t>Peroneous Brevis</t>
  </si>
  <si>
    <t>Peroneous Tertius</t>
  </si>
  <si>
    <t>Ankle Everter</t>
  </si>
  <si>
    <t>Gemellus</t>
  </si>
  <si>
    <t>Gracilis (posterior)</t>
  </si>
  <si>
    <t>Gracilis (anterior)</t>
  </si>
  <si>
    <t>Biceps femoris (anterior)</t>
  </si>
  <si>
    <t>Biceps femoris (posterior)</t>
  </si>
  <si>
    <t>Patellar Tendon</t>
  </si>
  <si>
    <t>Peroneus digiti quarti</t>
  </si>
  <si>
    <t>Peroneus digiti quinti</t>
  </si>
  <si>
    <t>Sagittal Functional Group</t>
  </si>
  <si>
    <t>Functional Group</t>
  </si>
  <si>
    <t>Functional Group 1</t>
  </si>
  <si>
    <t>Functional Group 2</t>
  </si>
  <si>
    <t>Gastrocnemius (lateral)</t>
  </si>
  <si>
    <t>Gastrocnemius (medial)</t>
  </si>
  <si>
    <t>Soleus*,†</t>
  </si>
  <si>
    <t>Plantaris*,†</t>
  </si>
  <si>
    <t>Plantarflexors†</t>
  </si>
  <si>
    <t>Dorsiflexors</t>
  </si>
  <si>
    <t>Muscle length (cm)</t>
  </si>
  <si>
    <t>Fiber length (cm)</t>
  </si>
  <si>
    <t>Pennation angle (deg)</t>
  </si>
  <si>
    <t>PCSA (cm2)</t>
  </si>
  <si>
    <t>Lf/Lm</t>
  </si>
  <si>
    <t>Gracilis cranial head</t>
  </si>
  <si>
    <t>Gracilis caudal head</t>
  </si>
  <si>
    <t>–1.1</t>
  </si>
  <si>
    <t>–0.28</t>
  </si>
  <si>
    <t>Flexor hallucis longis</t>
  </si>
  <si>
    <t>±</t>
  </si>
  <si>
    <t>Johnson Fiber Length (mm)</t>
  </si>
  <si>
    <t>Vastus medalis</t>
  </si>
  <si>
    <t>Gastrocnemius MH</t>
  </si>
  <si>
    <t>Gastrocnemius LH</t>
  </si>
  <si>
    <t>Hip flexors</t>
  </si>
  <si>
    <t>Hip extensors</t>
  </si>
  <si>
    <t>Hip abductors</t>
  </si>
  <si>
    <t>Knee flexors</t>
  </si>
  <si>
    <t>Knee extensors</t>
  </si>
  <si>
    <t>Johnson Fiber Length l0 (cm)</t>
  </si>
  <si>
    <t>Eng Muscle Length (cm)</t>
  </si>
  <si>
    <t>Eng 2008 Lf/Lm</t>
  </si>
  <si>
    <t>Johnson Muscle Name</t>
  </si>
  <si>
    <t>Eng Muscle Name</t>
  </si>
  <si>
    <t>Supp. Lf/Lm</t>
  </si>
  <si>
    <t>All Muscle Lengths (cm)</t>
  </si>
  <si>
    <t>Femur coord sys:</t>
  </si>
  <si>
    <t>Pelvis coord sys:</t>
  </si>
  <si>
    <t>Tibia coord sys:</t>
  </si>
  <si>
    <t>Foot coord sys:</t>
  </si>
  <si>
    <t>Change?</t>
  </si>
  <si>
    <t>OK</t>
  </si>
  <si>
    <t>2nd insertion?</t>
  </si>
  <si>
    <t>Major Changes\Wrapping</t>
  </si>
  <si>
    <t>Joints</t>
  </si>
  <si>
    <t>hip</t>
  </si>
  <si>
    <t>hip, knee</t>
  </si>
  <si>
    <t>Joint range</t>
  </si>
  <si>
    <t>Recommend How</t>
  </si>
  <si>
    <t>Note</t>
  </si>
  <si>
    <t>Less than 78 degrees (Greater than 12 degrees opensim model) causes muscle wrapping</t>
  </si>
  <si>
    <t>Move connection out and down</t>
  </si>
  <si>
    <t>Minor Tibial change, wrap around tibia</t>
  </si>
  <si>
    <t>Insertion lateral shift wider</t>
  </si>
  <si>
    <t>Very similar origin to BFA, Less than 78 degrees (Greater than 12 degrees opensim model) causes muscle wrapping</t>
  </si>
  <si>
    <t>Should attach with obturator internus?</t>
  </si>
  <si>
    <t>Minor insertion change</t>
  </si>
  <si>
    <t>Attach at bone</t>
  </si>
  <si>
    <t>Minor origin and insertion changes</t>
  </si>
  <si>
    <t>Raise to top of bone for origin. Should attach with obturator internus?</t>
  </si>
  <si>
    <t>Need Additional Sources</t>
  </si>
  <si>
    <t>Appears to have opposite action than humans, and wrapping characteristics could make a huge impact</t>
  </si>
  <si>
    <t>Check</t>
  </si>
  <si>
    <t>In humans there are 2 and together they fan across the entire width of the body.</t>
  </si>
  <si>
    <t>Function</t>
  </si>
  <si>
    <t>Insertion change</t>
  </si>
  <si>
    <t>Minor origin change</t>
  </si>
  <si>
    <t>move from spine to pelvis</t>
  </si>
  <si>
    <t>attach more to the inside</t>
  </si>
  <si>
    <t>1/2?</t>
  </si>
  <si>
    <t>hip, knee?</t>
  </si>
  <si>
    <t>Origin and insertion changes?</t>
  </si>
  <si>
    <t>knee</t>
  </si>
  <si>
    <t>knee, ankle</t>
  </si>
  <si>
    <t>insertion</t>
  </si>
  <si>
    <t>perhaps move perpendicular to tibia to account for muscle wrapping</t>
  </si>
  <si>
    <t>ok</t>
  </si>
  <si>
    <t>ankle</t>
  </si>
  <si>
    <t>move more to inside of foot</t>
  </si>
  <si>
    <t>via?</t>
  </si>
  <si>
    <t>Maybe move via closer to rotation axis or remove? More of a toe flexor than ankle extensor</t>
  </si>
  <si>
    <t>Mod Coords</t>
  </si>
  <si>
    <t>Orig Coords:</t>
  </si>
  <si>
    <t>via</t>
  </si>
  <si>
    <t>ins</t>
  </si>
  <si>
    <t>orig</t>
  </si>
  <si>
    <t>error</t>
  </si>
  <si>
    <t>major error1</t>
  </si>
  <si>
    <t>major error2</t>
  </si>
  <si>
    <t>Adductor Magnus</t>
  </si>
  <si>
    <t>TuberosityOfTibia</t>
  </si>
  <si>
    <t>moved</t>
  </si>
  <si>
    <t>to</t>
  </si>
  <si>
    <t>tibia</t>
  </si>
  <si>
    <t>Biceps Femoris Anterior</t>
  </si>
  <si>
    <t>Orig coords</t>
  </si>
  <si>
    <t>Mods Coords:</t>
  </si>
  <si>
    <t>femur</t>
  </si>
  <si>
    <t>Extensor Digitorum Longus</t>
  </si>
  <si>
    <t>tuberosity</t>
  </si>
  <si>
    <t>TBA</t>
  </si>
  <si>
    <t>Flexor Via 1</t>
  </si>
  <si>
    <t>Flexor Via 2</t>
  </si>
  <si>
    <t>flx</t>
  </si>
  <si>
    <t>digit</t>
  </si>
  <si>
    <t>HeelIns</t>
  </si>
  <si>
    <t>heel</t>
  </si>
  <si>
    <t>Medial Gastrocnemius</t>
  </si>
  <si>
    <t>Lateral Gastrocnemius</t>
  </si>
  <si>
    <t>Calc PCSA (cm2)</t>
  </si>
  <si>
    <t>99</t>
  </si>
  <si>
    <t>348</t>
  </si>
  <si>
    <t>91</t>
  </si>
  <si>
    <t>14</t>
  </si>
  <si>
    <t>2</t>
  </si>
  <si>
    <t>53</t>
  </si>
  <si>
    <t>1</t>
  </si>
  <si>
    <t>33</t>
  </si>
  <si>
    <t>182</t>
  </si>
  <si>
    <t>25</t>
  </si>
  <si>
    <t>32</t>
  </si>
  <si>
    <t>43</t>
  </si>
  <si>
    <t>77</t>
  </si>
  <si>
    <t>126</t>
  </si>
  <si>
    <t>161</t>
  </si>
  <si>
    <t>56</t>
  </si>
  <si>
    <t>13</t>
  </si>
  <si>
    <t>11</t>
  </si>
  <si>
    <t>17</t>
  </si>
  <si>
    <t xml:space="preserve"> 16</t>
  </si>
  <si>
    <t>4</t>
  </si>
  <si>
    <t>3</t>
  </si>
  <si>
    <t xml:space="preserve"> 60</t>
  </si>
  <si>
    <t>27</t>
  </si>
  <si>
    <t>5</t>
  </si>
  <si>
    <t>320</t>
  </si>
  <si>
    <t>101</t>
  </si>
  <si>
    <t>15</t>
  </si>
  <si>
    <t>60</t>
  </si>
  <si>
    <t>67</t>
  </si>
  <si>
    <t>12</t>
  </si>
  <si>
    <t>170</t>
  </si>
  <si>
    <t>26</t>
  </si>
  <si>
    <t>1.7</t>
  </si>
  <si>
    <t>3.2</t>
  </si>
  <si>
    <t>1.0</t>
  </si>
  <si>
    <t>0.8</t>
  </si>
  <si>
    <t>0.5</t>
  </si>
  <si>
    <t>0.2</t>
  </si>
  <si>
    <t>1.1</t>
  </si>
  <si>
    <t>4.7</t>
  </si>
  <si>
    <t>2.7</t>
  </si>
  <si>
    <t>0.3</t>
  </si>
  <si>
    <t>4.9</t>
  </si>
  <si>
    <t>4.1</t>
  </si>
  <si>
    <t>0.9</t>
  </si>
  <si>
    <t>3.3</t>
  </si>
  <si>
    <t>0.4</t>
  </si>
  <si>
    <t>0.7</t>
  </si>
  <si>
    <t xml:space="preserve"> 0.3</t>
  </si>
  <si>
    <t>1.9</t>
  </si>
  <si>
    <t>1.6</t>
  </si>
  <si>
    <t>1.5</t>
  </si>
  <si>
    <t>0.6</t>
  </si>
  <si>
    <t>6.4</t>
  </si>
  <si>
    <t>10.4</t>
  </si>
  <si>
    <t>5.1</t>
  </si>
  <si>
    <t>1.4</t>
  </si>
  <si>
    <t>1.3</t>
  </si>
  <si>
    <t>0</t>
  </si>
  <si>
    <t>7</t>
  </si>
  <si>
    <t>10</t>
  </si>
  <si>
    <t>9</t>
  </si>
  <si>
    <t>6</t>
  </si>
  <si>
    <t>8</t>
  </si>
  <si>
    <t>80</t>
  </si>
  <si>
    <t>24</t>
  </si>
  <si>
    <t>23</t>
  </si>
  <si>
    <t>83</t>
  </si>
  <si>
    <t>217</t>
  </si>
  <si>
    <t>38</t>
  </si>
  <si>
    <t>276</t>
  </si>
  <si>
    <t>233</t>
  </si>
  <si>
    <t>61</t>
  </si>
  <si>
    <t>35</t>
  </si>
  <si>
    <t>84</t>
  </si>
  <si>
    <t>157</t>
  </si>
  <si>
    <t>116</t>
  </si>
  <si>
    <t>92</t>
  </si>
  <si>
    <t>20</t>
  </si>
  <si>
    <t xml:space="preserve"> 32</t>
  </si>
  <si>
    <t>123</t>
  </si>
  <si>
    <t>18</t>
  </si>
  <si>
    <t>69</t>
  </si>
  <si>
    <t>148</t>
  </si>
  <si>
    <t xml:space="preserve"> 30</t>
  </si>
  <si>
    <t xml:space="preserve"> 81</t>
  </si>
  <si>
    <t xml:space="preserve"> 83</t>
  </si>
  <si>
    <t>86</t>
  </si>
  <si>
    <t>79</t>
  </si>
  <si>
    <t>73</t>
  </si>
  <si>
    <t/>
  </si>
  <si>
    <t>65</t>
  </si>
  <si>
    <t>494</t>
  </si>
  <si>
    <t>30</t>
  </si>
  <si>
    <t>40</t>
  </si>
  <si>
    <t>122</t>
  </si>
  <si>
    <t>22</t>
  </si>
  <si>
    <t xml:space="preserve"> 13</t>
  </si>
  <si>
    <t>29</t>
  </si>
  <si>
    <t xml:space="preserve"> 45</t>
  </si>
  <si>
    <t>51</t>
  </si>
  <si>
    <t>71</t>
  </si>
  <si>
    <t>87</t>
  </si>
  <si>
    <t>21</t>
  </si>
  <si>
    <t>31</t>
  </si>
  <si>
    <t>75</t>
  </si>
  <si>
    <t>50</t>
  </si>
  <si>
    <t>64</t>
  </si>
  <si>
    <t>16</t>
  </si>
  <si>
    <t xml:space="preserve"> 36</t>
  </si>
  <si>
    <t xml:space="preserve"> 19</t>
  </si>
  <si>
    <t>57</t>
  </si>
  <si>
    <t>95</t>
  </si>
  <si>
    <t>193</t>
  </si>
  <si>
    <t xml:space="preserve"> 22</t>
  </si>
  <si>
    <t>19</t>
  </si>
  <si>
    <t>34</t>
  </si>
  <si>
    <t xml:space="preserve"> 1</t>
  </si>
  <si>
    <t>1.2</t>
  </si>
  <si>
    <t>0.0</t>
  </si>
  <si>
    <t>0.1</t>
  </si>
  <si>
    <t>4.0</t>
  </si>
  <si>
    <t>Fo (N)</t>
  </si>
  <si>
    <t>v_musc</t>
  </si>
  <si>
    <t>'lh_adductorlongus'</t>
  </si>
  <si>
    <t>'lh_illiopsoas'</t>
  </si>
  <si>
    <t>'lh_gluteusmaximus'</t>
  </si>
  <si>
    <t>'lh_pectineus'</t>
  </si>
  <si>
    <t>'lh_gluteusminimus'</t>
  </si>
  <si>
    <t>'lh_tensorfascialatae'</t>
  </si>
  <si>
    <t>'lh_obturatorexternus'</t>
  </si>
  <si>
    <t>'lh_piriformis'</t>
  </si>
  <si>
    <t>'lh_bicepsfemorisposterior'</t>
  </si>
  <si>
    <t>'lh_rectusfemoris'</t>
  </si>
  <si>
    <t>'lh_gemellussuperior'</t>
  </si>
  <si>
    <t>'lh_semitendinosusaccessory'</t>
  </si>
  <si>
    <t>'lh_caudofemoralis'</t>
  </si>
  <si>
    <t>'lh_vastuslateralis'</t>
  </si>
  <si>
    <t>'lh_medialgastrocnemius'</t>
  </si>
  <si>
    <t>'lh_vastusintermedius'</t>
  </si>
  <si>
    <t>'lh_peroneuslongus'</t>
  </si>
  <si>
    <t>'lh_tibialisanterior'</t>
  </si>
  <si>
    <t>'lh_soleus'</t>
  </si>
  <si>
    <t>'lh_tibialisposterior'</t>
  </si>
  <si>
    <t>'lh_popliteus'</t>
  </si>
  <si>
    <t>'lh_plantaris'</t>
  </si>
  <si>
    <t>'lh_vastusmedialis'</t>
  </si>
  <si>
    <t>'lh_lateralgastrocnemius'</t>
  </si>
  <si>
    <t>'lh_adductormagnus'</t>
  </si>
  <si>
    <t>'lh_semimembranosus'</t>
  </si>
  <si>
    <t>'lh_adductorbrevis'</t>
  </si>
  <si>
    <t>'lh_bicepsfemorisanterior'</t>
  </si>
  <si>
    <t>'lh_gemellusinferior'</t>
  </si>
  <si>
    <t>'lh_obturatorinternus'</t>
  </si>
  <si>
    <t>'lh_gluteusmedius'</t>
  </si>
  <si>
    <t>x_w calc (cm)</t>
  </si>
  <si>
    <t>vmax fiber (mm/s)</t>
  </si>
  <si>
    <t>v_musc (mm/s)</t>
  </si>
  <si>
    <t>B_fiber</t>
  </si>
  <si>
    <t>B_musc</t>
  </si>
  <si>
    <t>vmax (mm/s) phys</t>
  </si>
  <si>
    <t>Kse Supp</t>
  </si>
  <si>
    <t>illiopsoas</t>
  </si>
  <si>
    <t>Muscle Length (cm)</t>
  </si>
  <si>
    <t>vmax_fiber (mm/s)</t>
  </si>
  <si>
    <t>P0 (g)</t>
  </si>
  <si>
    <t>gracilis anterior</t>
  </si>
  <si>
    <t>gracilis posterior</t>
  </si>
  <si>
    <t>'Muscle name'</t>
  </si>
  <si>
    <t>'Maximum force'</t>
  </si>
  <si>
    <t>'Yoffset (mN)'</t>
  </si>
  <si>
    <t>'lh_gracilisanterior'</t>
  </si>
  <si>
    <t>'lh_semitendinosusprincipal'</t>
  </si>
  <si>
    <t>'lh_flexorhallucislongus'</t>
  </si>
  <si>
    <t>'lh_extensordigitorumlongus'</t>
  </si>
  <si>
    <t>'lh_flexordigitorumlongus'</t>
  </si>
  <si>
    <t>'lh_gracilisposterior'</t>
  </si>
  <si>
    <t>'lh_quadratusfemoris'</t>
  </si>
  <si>
    <t>V_max Muscle'</t>
  </si>
  <si>
    <t>Optimal Muscle Length (cm)</t>
  </si>
  <si>
    <t>Mean</t>
  </si>
  <si>
    <t>Range</t>
  </si>
  <si>
    <t>Touch Down</t>
  </si>
  <si>
    <t>Lift Off</t>
  </si>
  <si>
    <t>Amplitude</t>
  </si>
  <si>
    <t>Hip</t>
  </si>
  <si>
    <t>Knee</t>
  </si>
  <si>
    <t>Ankle</t>
  </si>
  <si>
    <t>Symmetrical Gait</t>
  </si>
  <si>
    <t>28-54</t>
  </si>
  <si>
    <t>61-93</t>
  </si>
  <si>
    <t>70-88</t>
  </si>
  <si>
    <t>93-109</t>
  </si>
  <si>
    <t>45-78</t>
  </si>
  <si>
    <t>53-74</t>
  </si>
  <si>
    <t>13-34</t>
  </si>
  <si>
    <t>75-121</t>
  </si>
  <si>
    <t>22-48</t>
  </si>
  <si>
    <t>Fischer</t>
  </si>
  <si>
    <t>Av Max</t>
  </si>
  <si>
    <t>Av Min</t>
  </si>
  <si>
    <t>Abs Min</t>
  </si>
  <si>
    <t>Abs Max</t>
  </si>
  <si>
    <t>Lower Limit</t>
  </si>
  <si>
    <t>Upper Limit</t>
  </si>
  <si>
    <t>Sim Range</t>
  </si>
  <si>
    <t>Paper Range</t>
  </si>
  <si>
    <t>Data Points</t>
  </si>
  <si>
    <t>KneeAnim</t>
  </si>
  <si>
    <t>HipAnim</t>
  </si>
  <si>
    <t>AnkleAnim</t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</si>
  <si>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</si>
  <si>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</si>
  <si>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</si>
  <si>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</si>
  <si>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</si>
  <si>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</si>
  <si>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</si>
  <si>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</si>
  <si>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</si>
  <si>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</si>
  <si>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</si>
  <si>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</si>
  <si>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</si>
  <si>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</si>
  <si>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</si>
  <si>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</si>
  <si>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</si>
  <si>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</si>
  <si>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</si>
  <si>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</si>
  <si>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</si>
  <si>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Ankle Coeffs</t>
  </si>
  <si>
    <t>Knee Coeffs</t>
  </si>
  <si>
    <t>Hip Coeffs</t>
  </si>
  <si>
    <t>a8</t>
  </si>
  <si>
    <t>b8</t>
  </si>
  <si>
    <t>c8</t>
  </si>
  <si>
    <t>vmax (mm/s) arch</t>
  </si>
  <si>
    <t>P0 (g) arch</t>
  </si>
  <si>
    <t>v_fiber (mm/s)</t>
  </si>
  <si>
    <t>From Fischer 2002</t>
  </si>
  <si>
    <t>Animatlab Ranges</t>
  </si>
  <si>
    <t>Animatlab</t>
  </si>
  <si>
    <t>Rad</t>
  </si>
  <si>
    <t>Mid</t>
  </si>
  <si>
    <t>Lmax (cm)</t>
  </si>
  <si>
    <t>Lmin (cm)</t>
  </si>
  <si>
    <t>Johnson Opt Muscle length</t>
  </si>
  <si>
    <t>LwidthCalc</t>
  </si>
  <si>
    <t>LowerLim</t>
  </si>
  <si>
    <t>UpperLim</t>
  </si>
  <si>
    <t>MinMax Possible w FullMuscleLeg20180815</t>
  </si>
  <si>
    <t>Stimulus-Tension Curve</t>
  </si>
  <si>
    <t>L_w Standard Walking (m)</t>
  </si>
  <si>
    <t>Kpe' (N/m)</t>
  </si>
  <si>
    <t>Kse' (N/m)</t>
  </si>
  <si>
    <t>Maximum force' (N)</t>
  </si>
  <si>
    <t>B' (Ns/m)</t>
  </si>
  <si>
    <t>Length-Tension Curve</t>
  </si>
  <si>
    <t>approx from Fischer02</t>
  </si>
  <si>
    <t>Three Steps (Fischer approx)</t>
  </si>
  <si>
    <t>Three Steps (Alex simulated)</t>
  </si>
  <si>
    <t xml:space="preserve"> </t>
  </si>
  <si>
    <t>Biart</t>
  </si>
  <si>
    <t>sum</t>
  </si>
  <si>
    <t>avg</t>
  </si>
  <si>
    <t>Three Steps (Real time)</t>
  </si>
  <si>
    <t>Total:</t>
  </si>
  <si>
    <t>Tibia</t>
  </si>
  <si>
    <t>Eng</t>
  </si>
  <si>
    <t>Knee Extensors</t>
  </si>
  <si>
    <t>Knee Flexors</t>
  </si>
  <si>
    <t>Femur</t>
  </si>
  <si>
    <t>Pelvis</t>
  </si>
  <si>
    <t>Foot</t>
  </si>
  <si>
    <t>Sum</t>
  </si>
  <si>
    <t>Total Leg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</si>
</sst>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CCCFF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5D5D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2"/>
    <xf numFmtId="0" fontId="4" fillId="9" borderId="0" applyNumberFormat="0" applyBorder="0" applyAlignment="0" applyProtection="0"/>
    <xf numFmtId="0" fontId="5" fillId="10" borderId="15" applyNumberFormat="0" applyAlignment="0" applyProtection="0"/>
    <xf numFmtId="0" fontId="8" fillId="20" borderId="0" applyNumberFormat="0" applyBorder="0" applyAlignment="0" applyProtection="0"/>
    <xf numFmtId="0" fontId="1" fillId="21" borderId="24" applyNumberFormat="0" applyFont="0" applyAlignment="0" applyProtection="0"/>
    <xf numFmtId="0" fontId="1" fillId="22" borderId="0" applyNumberFormat="0" applyBorder="0" applyAlignment="0" applyProtection="0"/>
    <xf numFmtId="164" fontId="6" fillId="23" borderId="15" applyAlignment="0"/>
  </cellStyleXfs>
  <cellXfs count="233">
    <xf numFmtId="0" fontId="0" fillId="0" borderId="0" xfId="0"/>
    <xf numFmtId="0" fontId="2" fillId="2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1" xfId="0" applyFont="1" applyBorder="1"/>
    <xf numFmtId="0" fontId="0" fillId="0" borderId="0" xfId="0"/>
    <xf numFmtId="0" fontId="1" fillId="8" borderId="2" xfId="7"/>
    <xf numFmtId="0" fontId="1" fillId="7" borderId="2" xfId="6" applyBorder="1"/>
    <xf numFmtId="0" fontId="1" fillId="6" borderId="2" xfId="5" applyBorder="1"/>
    <xf numFmtId="0" fontId="1" fillId="4" borderId="2" xfId="3" applyBorder="1"/>
    <xf numFmtId="0" fontId="1" fillId="3" borderId="2" xfId="2" applyBorder="1"/>
    <xf numFmtId="0" fontId="1" fillId="5" borderId="2" xfId="4" applyBorder="1"/>
    <xf numFmtId="0" fontId="1" fillId="4" borderId="2" xfId="3" quotePrefix="1" applyBorder="1"/>
    <xf numFmtId="0" fontId="1" fillId="3" borderId="2" xfId="2" quotePrefix="1" applyBorder="1"/>
    <xf numFmtId="0" fontId="1" fillId="5" borderId="2" xfId="4" quotePrefix="1" applyBorder="1"/>
    <xf numFmtId="0" fontId="1" fillId="7" borderId="2" xfId="6" quotePrefix="1" applyBorder="1"/>
    <xf numFmtId="0" fontId="1" fillId="6" borderId="2" xfId="5" quotePrefix="1" applyBorder="1"/>
    <xf numFmtId="0" fontId="1" fillId="4" borderId="4" xfId="3" applyBorder="1"/>
    <xf numFmtId="0" fontId="1" fillId="3" borderId="4" xfId="2" applyBorder="1"/>
    <xf numFmtId="0" fontId="1" fillId="5" borderId="4" xfId="4" applyBorder="1"/>
    <xf numFmtId="0" fontId="1" fillId="8" borderId="4" xfId="7" applyBorder="1"/>
    <xf numFmtId="0" fontId="1" fillId="7" borderId="4" xfId="6" applyBorder="1"/>
    <xf numFmtId="0" fontId="1" fillId="6" borderId="4" xfId="5" applyBorder="1"/>
    <xf numFmtId="0" fontId="1" fillId="4" borderId="5" xfId="3" applyBorder="1"/>
    <xf numFmtId="0" fontId="0" fillId="0" borderId="6" xfId="0" applyBorder="1"/>
    <xf numFmtId="0" fontId="1" fillId="8" borderId="7" xfId="7" applyBorder="1"/>
    <xf numFmtId="0" fontId="0" fillId="0" borderId="9" xfId="0" applyBorder="1"/>
    <xf numFmtId="0" fontId="3" fillId="0" borderId="1" xfId="0" quotePrefix="1" applyFont="1" applyBorder="1"/>
    <xf numFmtId="0" fontId="3" fillId="4" borderId="3" xfId="3" applyFont="1" applyBorder="1"/>
    <xf numFmtId="0" fontId="3" fillId="4" borderId="11" xfId="3" applyFont="1" applyBorder="1"/>
    <xf numFmtId="0" fontId="3" fillId="4" borderId="12" xfId="3" applyFont="1" applyBorder="1"/>
    <xf numFmtId="0" fontId="3" fillId="4" borderId="3" xfId="3" quotePrefix="1" applyFont="1" applyBorder="1"/>
    <xf numFmtId="0" fontId="3" fillId="0" borderId="10" xfId="0" applyFont="1" applyBorder="1"/>
    <xf numFmtId="0" fontId="3" fillId="0" borderId="13" xfId="0" applyFont="1" applyBorder="1"/>
    <xf numFmtId="0" fontId="3" fillId="0" borderId="14" xfId="0" applyFont="1" applyBorder="1"/>
    <xf numFmtId="0" fontId="3" fillId="3" borderId="3" xfId="2" applyFont="1" applyBorder="1"/>
    <xf numFmtId="0" fontId="3" fillId="3" borderId="11" xfId="2" applyFont="1" applyBorder="1"/>
    <xf numFmtId="0" fontId="3" fillId="3" borderId="12" xfId="2" applyFont="1" applyBorder="1"/>
    <xf numFmtId="0" fontId="3" fillId="3" borderId="3" xfId="2" quotePrefix="1" applyFont="1" applyBorder="1"/>
    <xf numFmtId="0" fontId="1" fillId="4" borderId="10" xfId="3" applyBorder="1"/>
    <xf numFmtId="0" fontId="1" fillId="4" borderId="13" xfId="3" applyBorder="1"/>
    <xf numFmtId="0" fontId="1" fillId="4" borderId="14" xfId="3" applyBorder="1"/>
    <xf numFmtId="0" fontId="1" fillId="4" borderId="10" xfId="3" quotePrefix="1" applyBorder="1"/>
    <xf numFmtId="0" fontId="3" fillId="5" borderId="3" xfId="4" applyFont="1" applyBorder="1"/>
    <xf numFmtId="0" fontId="3" fillId="5" borderId="11" xfId="4" applyFont="1" applyBorder="1"/>
    <xf numFmtId="0" fontId="3" fillId="5" borderId="12" xfId="4" applyFont="1" applyBorder="1"/>
    <xf numFmtId="0" fontId="3" fillId="5" borderId="3" xfId="4" quotePrefix="1" applyFont="1" applyBorder="1"/>
    <xf numFmtId="0" fontId="3" fillId="8" borderId="3" xfId="7" applyFont="1" applyBorder="1"/>
    <xf numFmtId="0" fontId="3" fillId="8" borderId="11" xfId="7" applyFont="1" applyBorder="1"/>
    <xf numFmtId="0" fontId="3" fillId="8" borderId="12" xfId="7" applyFont="1" applyBorder="1"/>
    <xf numFmtId="0" fontId="3" fillId="8" borderId="3" xfId="7" quotePrefix="1" applyFont="1" applyBorder="1"/>
    <xf numFmtId="0" fontId="3" fillId="7" borderId="3" xfId="6" applyFont="1" applyBorder="1"/>
    <xf numFmtId="0" fontId="3" fillId="7" borderId="11" xfId="6" applyFont="1" applyBorder="1"/>
    <xf numFmtId="0" fontId="3" fillId="7" borderId="12" xfId="6" applyFont="1" applyBorder="1"/>
    <xf numFmtId="0" fontId="3" fillId="7" borderId="3" xfId="6" quotePrefix="1" applyFont="1" applyBorder="1"/>
    <xf numFmtId="0" fontId="1" fillId="3" borderId="10" xfId="2" applyBorder="1"/>
    <xf numFmtId="0" fontId="1" fillId="3" borderId="13" xfId="2" applyBorder="1"/>
    <xf numFmtId="0" fontId="1" fillId="3" borderId="10" xfId="2" quotePrefix="1" applyBorder="1"/>
    <xf numFmtId="0" fontId="1" fillId="5" borderId="10" xfId="4" applyBorder="1"/>
    <xf numFmtId="0" fontId="1" fillId="5" borderId="13" xfId="4" applyBorder="1"/>
    <xf numFmtId="0" fontId="1" fillId="5" borderId="10" xfId="4" quotePrefix="1" applyBorder="1"/>
    <xf numFmtId="0" fontId="1" fillId="8" borderId="10" xfId="7" applyBorder="1"/>
    <xf numFmtId="0" fontId="1" fillId="8" borderId="13" xfId="7" applyBorder="1"/>
    <xf numFmtId="0" fontId="1" fillId="8" borderId="10" xfId="7" quotePrefix="1" applyBorder="1"/>
    <xf numFmtId="0" fontId="1" fillId="7" borderId="10" xfId="6" applyBorder="1"/>
    <xf numFmtId="0" fontId="1" fillId="7" borderId="13" xfId="6" applyBorder="1"/>
    <xf numFmtId="0" fontId="1" fillId="7" borderId="10" xfId="6" quotePrefix="1" applyBorder="1"/>
    <xf numFmtId="0" fontId="3" fillId="6" borderId="3" xfId="5" applyFont="1" applyBorder="1"/>
    <xf numFmtId="0" fontId="3" fillId="6" borderId="11" xfId="5" applyFont="1" applyBorder="1"/>
    <xf numFmtId="0" fontId="3" fillId="6" borderId="12" xfId="5" applyFont="1" applyBorder="1"/>
    <xf numFmtId="0" fontId="3" fillId="6" borderId="3" xfId="5" quotePrefix="1" applyFont="1" applyBorder="1"/>
    <xf numFmtId="0" fontId="3" fillId="0" borderId="0" xfId="0" applyFont="1"/>
    <xf numFmtId="0" fontId="3" fillId="0" borderId="0" xfId="0" applyFont="1" applyBorder="1"/>
    <xf numFmtId="0" fontId="0" fillId="0" borderId="0" xfId="0" applyBorder="1"/>
    <xf numFmtId="0" fontId="0" fillId="11" borderId="0" xfId="0" applyFill="1" applyBorder="1"/>
    <xf numFmtId="0" fontId="0" fillId="15" borderId="0" xfId="0" applyFill="1" applyBorder="1"/>
    <xf numFmtId="0" fontId="7" fillId="19" borderId="0" xfId="1" applyFont="1" applyFill="1" applyBorder="1"/>
    <xf numFmtId="0" fontId="7" fillId="11" borderId="0" xfId="0" applyFont="1" applyFill="1" applyBorder="1"/>
    <xf numFmtId="0" fontId="7" fillId="18" borderId="0" xfId="8" applyFont="1" applyFill="1" applyBorder="1"/>
    <xf numFmtId="0" fontId="0" fillId="12" borderId="0" xfId="0" applyFill="1" applyBorder="1"/>
    <xf numFmtId="0" fontId="6" fillId="13" borderId="0" xfId="7" applyFont="1" applyFill="1" applyBorder="1"/>
    <xf numFmtId="0" fontId="0" fillId="16" borderId="0" xfId="0" applyFont="1" applyFill="1" applyBorder="1"/>
    <xf numFmtId="0" fontId="7" fillId="17" borderId="0" xfId="0" applyFont="1" applyFill="1" applyBorder="1"/>
    <xf numFmtId="0" fontId="7" fillId="14" borderId="0" xfId="9" applyFont="1" applyFill="1" applyBorder="1"/>
    <xf numFmtId="0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4" fillId="9" borderId="0" xfId="8"/>
    <xf numFmtId="0" fontId="8" fillId="20" borderId="0" xfId="10"/>
    <xf numFmtId="0" fontId="0" fillId="8" borderId="2" xfId="7" applyFont="1"/>
    <xf numFmtId="0" fontId="2" fillId="2" borderId="0" xfId="1" applyBorder="1"/>
    <xf numFmtId="0" fontId="4" fillId="9" borderId="0" xfId="8" applyBorder="1"/>
    <xf numFmtId="0" fontId="4" fillId="9" borderId="9" xfId="8" applyBorder="1"/>
    <xf numFmtId="0" fontId="8" fillId="20" borderId="0" xfId="10" applyBorder="1"/>
    <xf numFmtId="0" fontId="3" fillId="0" borderId="17" xfId="0" applyFont="1" applyBorder="1"/>
    <xf numFmtId="0" fontId="2" fillId="2" borderId="6" xfId="1" applyBorder="1"/>
    <xf numFmtId="0" fontId="1" fillId="8" borderId="5" xfId="7" applyBorder="1"/>
    <xf numFmtId="0" fontId="4" fillId="9" borderId="6" xfId="8" applyBorder="1"/>
    <xf numFmtId="0" fontId="8" fillId="20" borderId="6" xfId="10" applyBorder="1"/>
    <xf numFmtId="0" fontId="1" fillId="8" borderId="12" xfId="7" applyBorder="1"/>
    <xf numFmtId="0" fontId="4" fillId="9" borderId="18" xfId="8" applyBorder="1"/>
    <xf numFmtId="0" fontId="3" fillId="0" borderId="19" xfId="0" applyFont="1" applyBorder="1"/>
    <xf numFmtId="0" fontId="2" fillId="2" borderId="9" xfId="1" applyBorder="1"/>
    <xf numFmtId="0" fontId="1" fillId="8" borderId="8" xfId="7" applyBorder="1"/>
    <xf numFmtId="0" fontId="8" fillId="20" borderId="9" xfId="10" applyBorder="1"/>
    <xf numFmtId="0" fontId="1" fillId="8" borderId="20" xfId="7" applyBorder="1"/>
    <xf numFmtId="0" fontId="1" fillId="8" borderId="21" xfId="7" applyBorder="1"/>
    <xf numFmtId="0" fontId="1" fillId="8" borderId="22" xfId="7" applyBorder="1"/>
    <xf numFmtId="0" fontId="4" fillId="9" borderId="8" xfId="8" applyBorder="1"/>
    <xf numFmtId="0" fontId="4" fillId="9" borderId="2" xfId="8" applyBorder="1"/>
    <xf numFmtId="0" fontId="4" fillId="9" borderId="5" xfId="8" applyBorder="1"/>
    <xf numFmtId="0" fontId="3" fillId="0" borderId="19" xfId="0" quotePrefix="1" applyFont="1" applyBorder="1"/>
    <xf numFmtId="0" fontId="1" fillId="8" borderId="0" xfId="7" applyBorder="1"/>
    <xf numFmtId="0" fontId="1" fillId="8" borderId="6" xfId="7" applyBorder="1"/>
    <xf numFmtId="0" fontId="1" fillId="8" borderId="9" xfId="7" applyBorder="1"/>
    <xf numFmtId="0" fontId="3" fillId="0" borderId="0" xfId="0" quotePrefix="1" applyFont="1" applyBorder="1"/>
    <xf numFmtId="0" fontId="3" fillId="0" borderId="9" xfId="0" quotePrefix="1" applyFont="1" applyBorder="1"/>
    <xf numFmtId="0" fontId="3" fillId="0" borderId="9" xfId="0" applyFont="1" applyBorder="1"/>
    <xf numFmtId="0" fontId="0" fillId="0" borderId="0" xfId="0" applyFont="1" applyBorder="1"/>
    <xf numFmtId="0" fontId="0" fillId="0" borderId="9" xfId="0" applyFont="1" applyBorder="1"/>
    <xf numFmtId="0" fontId="0" fillId="8" borderId="2" xfId="7" applyFont="1" applyAlignment="1">
      <alignment horizontal="right"/>
    </xf>
    <xf numFmtId="0" fontId="0" fillId="8" borderId="8" xfId="7" applyFont="1" applyBorder="1" applyAlignment="1">
      <alignment horizontal="right"/>
    </xf>
    <xf numFmtId="0" fontId="4" fillId="9" borderId="0" xfId="8" applyAlignment="1">
      <alignment horizontal="right"/>
    </xf>
    <xf numFmtId="0" fontId="4" fillId="9" borderId="9" xfId="8" applyBorder="1" applyAlignment="1">
      <alignment horizontal="right"/>
    </xf>
    <xf numFmtId="0" fontId="0" fillId="8" borderId="7" xfId="7" applyFont="1" applyBorder="1"/>
    <xf numFmtId="0" fontId="1" fillId="8" borderId="23" xfId="7" applyBorder="1"/>
    <xf numFmtId="0" fontId="0" fillId="0" borderId="0" xfId="0" quotePrefix="1" applyFont="1" applyBorder="1"/>
    <xf numFmtId="0" fontId="0" fillId="0" borderId="9" xfId="0" quotePrefix="1" applyFont="1" applyBorder="1"/>
    <xf numFmtId="2" fontId="1" fillId="4" borderId="2" xfId="3" quotePrefix="1" applyNumberFormat="1" applyBorder="1" applyAlignment="1">
      <alignment horizontal="right"/>
    </xf>
    <xf numFmtId="0" fontId="3" fillId="0" borderId="16" xfId="0" applyFont="1" applyBorder="1" applyAlignment="1">
      <alignment horizontal="left"/>
    </xf>
    <xf numFmtId="0" fontId="3" fillId="0" borderId="16" xfId="0" applyFont="1" applyBorder="1" applyAlignment="1">
      <alignment horizontal="right"/>
    </xf>
    <xf numFmtId="0" fontId="3" fillId="0" borderId="16" xfId="0" applyNumberFormat="1" applyFont="1" applyBorder="1" applyAlignment="1"/>
    <xf numFmtId="0" fontId="3" fillId="0" borderId="16" xfId="0" applyFont="1" applyBorder="1" applyAlignment="1"/>
    <xf numFmtId="164" fontId="0" fillId="0" borderId="0" xfId="0" applyNumberFormat="1"/>
    <xf numFmtId="0" fontId="4" fillId="9" borderId="0" xfId="8" applyNumberFormat="1"/>
    <xf numFmtId="0" fontId="4" fillId="9" borderId="0" xfId="8" applyAlignment="1">
      <alignment horizontal="left"/>
    </xf>
    <xf numFmtId="2" fontId="4" fillId="9" borderId="0" xfId="8" applyNumberFormat="1"/>
    <xf numFmtId="2" fontId="1" fillId="5" borderId="4" xfId="4" applyNumberFormat="1" applyBorder="1"/>
    <xf numFmtId="2" fontId="1" fillId="5" borderId="13" xfId="4" applyNumberFormat="1" applyBorder="1"/>
    <xf numFmtId="2" fontId="1" fillId="7" borderId="4" xfId="6" applyNumberFormat="1" applyBorder="1"/>
    <xf numFmtId="2" fontId="1" fillId="7" borderId="13" xfId="6" applyNumberFormat="1" applyBorder="1"/>
    <xf numFmtId="0" fontId="1" fillId="3" borderId="5" xfId="2" applyBorder="1"/>
    <xf numFmtId="0" fontId="1" fillId="3" borderId="14" xfId="2" applyBorder="1"/>
    <xf numFmtId="0" fontId="1" fillId="5" borderId="5" xfId="4" applyBorder="1"/>
    <xf numFmtId="0" fontId="1" fillId="5" borderId="14" xfId="4" applyBorder="1"/>
    <xf numFmtId="0" fontId="1" fillId="7" borderId="5" xfId="6" applyBorder="1"/>
    <xf numFmtId="0" fontId="1" fillId="7" borderId="14" xfId="6" applyBorder="1"/>
    <xf numFmtId="0" fontId="1" fillId="6" borderId="5" xfId="5" applyBorder="1"/>
    <xf numFmtId="0" fontId="1" fillId="8" borderId="2" xfId="7" applyBorder="1"/>
    <xf numFmtId="0" fontId="1" fillId="8" borderId="2" xfId="7" quotePrefix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4" fontId="1" fillId="4" borderId="5" xfId="3" applyNumberFormat="1" applyBorder="1"/>
    <xf numFmtId="164" fontId="1" fillId="3" borderId="5" xfId="2" applyNumberFormat="1" applyBorder="1"/>
    <xf numFmtId="164" fontId="1" fillId="5" borderId="5" xfId="4" applyNumberFormat="1" applyBorder="1"/>
    <xf numFmtId="164" fontId="1" fillId="7" borderId="5" xfId="6" applyNumberFormat="1" applyBorder="1"/>
    <xf numFmtId="164" fontId="1" fillId="6" borderId="5" xfId="5" applyNumberFormat="1" applyBorder="1"/>
    <xf numFmtId="164" fontId="1" fillId="4" borderId="14" xfId="3" applyNumberFormat="1" applyBorder="1"/>
    <xf numFmtId="2" fontId="1" fillId="4" borderId="10" xfId="3" quotePrefix="1" applyNumberFormat="1" applyBorder="1" applyAlignment="1">
      <alignment horizontal="right"/>
    </xf>
    <xf numFmtId="164" fontId="1" fillId="3" borderId="14" xfId="2" applyNumberFormat="1" applyBorder="1"/>
    <xf numFmtId="164" fontId="1" fillId="5" borderId="14" xfId="4" applyNumberFormat="1" applyBorder="1"/>
    <xf numFmtId="0" fontId="1" fillId="8" borderId="14" xfId="7" applyBorder="1"/>
    <xf numFmtId="164" fontId="1" fillId="7" borderId="14" xfId="6" applyNumberFormat="1" applyBorder="1"/>
    <xf numFmtId="2" fontId="1" fillId="4" borderId="4" xfId="3" applyNumberFormat="1" applyBorder="1"/>
    <xf numFmtId="2" fontId="1" fillId="4" borderId="13" xfId="3" applyNumberFormat="1" applyBorder="1"/>
    <xf numFmtId="2" fontId="1" fillId="3" borderId="4" xfId="2" applyNumberFormat="1" applyBorder="1"/>
    <xf numFmtId="2" fontId="1" fillId="3" borderId="13" xfId="2" applyNumberFormat="1" applyBorder="1"/>
    <xf numFmtId="2" fontId="1" fillId="8" borderId="4" xfId="7" applyNumberFormat="1" applyBorder="1"/>
    <xf numFmtId="2" fontId="1" fillId="8" borderId="13" xfId="7" applyNumberFormat="1" applyBorder="1"/>
    <xf numFmtId="2" fontId="1" fillId="6" borderId="4" xfId="5" applyNumberFormat="1" applyBorder="1"/>
    <xf numFmtId="2" fontId="1" fillId="3" borderId="2" xfId="2" quotePrefix="1" applyNumberFormat="1" applyBorder="1"/>
    <xf numFmtId="2" fontId="1" fillId="6" borderId="2" xfId="5" quotePrefix="1" applyNumberFormat="1" applyBorder="1"/>
    <xf numFmtId="2" fontId="1" fillId="7" borderId="2" xfId="6" quotePrefix="1" applyNumberFormat="1" applyBorder="1"/>
    <xf numFmtId="2" fontId="1" fillId="8" borderId="2" xfId="7" quotePrefix="1" applyNumberFormat="1" applyBorder="1"/>
    <xf numFmtId="2" fontId="1" fillId="5" borderId="2" xfId="4" quotePrefix="1" applyNumberFormat="1" applyBorder="1"/>
    <xf numFmtId="165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165" fontId="0" fillId="0" borderId="9" xfId="0" applyNumberFormat="1" applyBorder="1"/>
    <xf numFmtId="0" fontId="1" fillId="22" borderId="0" xfId="12"/>
    <xf numFmtId="0" fontId="3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3" fillId="0" borderId="1" xfId="0" applyNumberFormat="1" applyFont="1" applyBorder="1" applyAlignment="1">
      <alignment wrapText="1"/>
    </xf>
    <xf numFmtId="0" fontId="2" fillId="21" borderId="24" xfId="11" applyFont="1"/>
    <xf numFmtId="0" fontId="10" fillId="21" borderId="24" xfId="11" applyFont="1"/>
    <xf numFmtId="0" fontId="3" fillId="0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2" fillId="21" borderId="25" xfId="11" applyFont="1" applyBorder="1"/>
    <xf numFmtId="0" fontId="0" fillId="24" borderId="2" xfId="0" applyFill="1" applyBorder="1"/>
    <xf numFmtId="0" fontId="0" fillId="24" borderId="7" xfId="0" applyFill="1" applyBorder="1"/>
    <xf numFmtId="0" fontId="0" fillId="24" borderId="8" xfId="0" applyFill="1" applyBorder="1"/>
    <xf numFmtId="0" fontId="0" fillId="25" borderId="2" xfId="0" applyFill="1" applyBorder="1"/>
    <xf numFmtId="0" fontId="0" fillId="26" borderId="2" xfId="0" applyFill="1" applyBorder="1"/>
    <xf numFmtId="165" fontId="3" fillId="0" borderId="2" xfId="0" applyNumberFormat="1" applyFont="1" applyBorder="1" applyAlignment="1">
      <alignment horizontal="left"/>
    </xf>
    <xf numFmtId="0" fontId="3" fillId="0" borderId="2" xfId="0" applyNumberFormat="1" applyFont="1" applyBorder="1" applyAlignment="1">
      <alignment horizontal="left"/>
    </xf>
    <xf numFmtId="2" fontId="0" fillId="0" borderId="2" xfId="0" applyNumberFormat="1" applyBorder="1" applyAlignment="1">
      <alignment horizontal="left"/>
    </xf>
    <xf numFmtId="0" fontId="0" fillId="0" borderId="4" xfId="0" applyBorder="1" applyAlignment="1">
      <alignment horizontal="right"/>
    </xf>
    <xf numFmtId="2" fontId="3" fillId="0" borderId="5" xfId="0" applyNumberFormat="1" applyFont="1" applyBorder="1" applyAlignment="1">
      <alignment horizontal="left"/>
    </xf>
    <xf numFmtId="2" fontId="3" fillId="0" borderId="4" xfId="0" applyNumberFormat="1" applyFont="1" applyBorder="1" applyAlignment="1">
      <alignment horizontal="left"/>
    </xf>
    <xf numFmtId="2" fontId="0" fillId="0" borderId="4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2" fontId="0" fillId="0" borderId="26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right"/>
    </xf>
    <xf numFmtId="2" fontId="3" fillId="0" borderId="12" xfId="0" applyNumberFormat="1" applyFont="1" applyBorder="1" applyAlignment="1">
      <alignment horizontal="left"/>
    </xf>
    <xf numFmtId="165" fontId="3" fillId="0" borderId="3" xfId="0" applyNumberFormat="1" applyFont="1" applyBorder="1" applyAlignment="1">
      <alignment horizontal="left"/>
    </xf>
    <xf numFmtId="0" fontId="3" fillId="0" borderId="3" xfId="0" applyNumberFormat="1" applyFont="1" applyBorder="1" applyAlignment="1">
      <alignment horizontal="left"/>
    </xf>
    <xf numFmtId="2" fontId="3" fillId="0" borderId="11" xfId="0" applyNumberFormat="1" applyFont="1" applyBorder="1" applyAlignment="1">
      <alignment horizontal="left"/>
    </xf>
    <xf numFmtId="2" fontId="0" fillId="0" borderId="12" xfId="0" applyNumberFormat="1" applyBorder="1" applyAlignment="1">
      <alignment horizontal="left"/>
    </xf>
    <xf numFmtId="2" fontId="0" fillId="0" borderId="11" xfId="0" applyNumberFormat="1" applyBorder="1" applyAlignment="1">
      <alignment horizontal="left"/>
    </xf>
    <xf numFmtId="2" fontId="0" fillId="0" borderId="17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0" fontId="3" fillId="0" borderId="16" xfId="0" applyFont="1" applyBorder="1" applyAlignment="1">
      <alignment horizontal="right" wrapText="1"/>
    </xf>
    <xf numFmtId="0" fontId="3" fillId="0" borderId="27" xfId="0" quotePrefix="1" applyFont="1" applyBorder="1" applyAlignment="1">
      <alignment horizontal="right" wrapText="1"/>
    </xf>
    <xf numFmtId="0" fontId="3" fillId="0" borderId="16" xfId="0" quotePrefix="1" applyFont="1" applyBorder="1" applyAlignment="1">
      <alignment horizontal="right" wrapText="1"/>
    </xf>
    <xf numFmtId="0" fontId="3" fillId="0" borderId="27" xfId="0" applyFont="1" applyBorder="1" applyAlignment="1">
      <alignment horizontal="right"/>
    </xf>
    <xf numFmtId="0" fontId="3" fillId="0" borderId="16" xfId="0" quotePrefix="1" applyFont="1" applyBorder="1" applyAlignment="1">
      <alignment horizontal="right"/>
    </xf>
    <xf numFmtId="0" fontId="3" fillId="0" borderId="27" xfId="0" applyFont="1" applyBorder="1" applyAlignment="1">
      <alignment horizontal="right" wrapText="1"/>
    </xf>
    <xf numFmtId="0" fontId="3" fillId="0" borderId="16" xfId="0" applyFont="1" applyBorder="1"/>
    <xf numFmtId="0" fontId="3" fillId="0" borderId="16" xfId="0" applyFont="1" applyBorder="1" applyAlignment="1">
      <alignment wrapText="1"/>
    </xf>
    <xf numFmtId="0" fontId="2" fillId="2" borderId="2" xfId="1" applyBorder="1"/>
    <xf numFmtId="0" fontId="2" fillId="21" borderId="24" xfId="11" applyFont="1" applyAlignment="1">
      <alignment horizontal="center"/>
    </xf>
    <xf numFmtId="0" fontId="2" fillId="21" borderId="24" xfId="11" applyFont="1" applyAlignment="1">
      <alignment horizontal="center" vertical="center"/>
    </xf>
    <xf numFmtId="0" fontId="3" fillId="25" borderId="2" xfId="0" applyFont="1" applyFill="1" applyBorder="1" applyAlignment="1">
      <alignment horizontal="center"/>
    </xf>
    <xf numFmtId="0" fontId="2" fillId="2" borderId="2" xfId="1" applyBorder="1" applyAlignment="1">
      <alignment horizontal="center"/>
    </xf>
    <xf numFmtId="0" fontId="3" fillId="26" borderId="2" xfId="0" applyFont="1" applyFill="1" applyBorder="1" applyAlignment="1">
      <alignment horizontal="center"/>
    </xf>
    <xf numFmtId="0" fontId="3" fillId="0" borderId="27" xfId="0" applyFont="1" applyBorder="1" applyAlignment="1">
      <alignment horizontal="right" wrapText="1"/>
    </xf>
    <xf numFmtId="0" fontId="3" fillId="0" borderId="16" xfId="0" applyFont="1" applyBorder="1" applyAlignment="1">
      <alignment horizontal="right" wrapText="1"/>
    </xf>
    <xf numFmtId="0" fontId="3" fillId="0" borderId="28" xfId="0" applyFont="1" applyBorder="1" applyAlignment="1">
      <alignment horizontal="right" wrapText="1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</cellXfs>
  <cellStyles count="14">
    <cellStyle name="20% - Accent1" xfId="2" builtinId="30"/>
    <cellStyle name="20% - Accent2" xfId="3" builtinId="34"/>
    <cellStyle name="20% - Accent3" xfId="12" builtinId="38"/>
    <cellStyle name="20% - Accent4" xfId="4" builtinId="42"/>
    <cellStyle name="20% - Accent5" xfId="5" builtinId="46"/>
    <cellStyle name="20% - Accent6" xfId="6" builtinId="50"/>
    <cellStyle name="Bad" xfId="8" builtinId="27"/>
    <cellStyle name="Checked" xfId="13"/>
    <cellStyle name="Good" xfId="1" builtinId="26"/>
    <cellStyle name="Input" xfId="9" builtinId="20"/>
    <cellStyle name="Neutral" xfId="10" builtinId="28"/>
    <cellStyle name="Normal" xfId="0" builtinId="0"/>
    <cellStyle name="Note" xfId="11" builtinId="10"/>
    <cellStyle name="Purple" xfId="7"/>
  </cellStyles>
  <dxfs count="0"/>
  <tableStyles count="0" defaultTableStyle="TableStyleMedium2" defaultPivotStyle="PivotStyleLight16"/>
  <colors>
    <mruColors>
      <color rgb="FFFF5D5D"/>
      <color rgb="FFCC3300"/>
      <color rgb="FFCC00FF"/>
      <color rgb="FF88EFFA"/>
      <color rgb="FF0000D0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 v Calc Kse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50174978127731E-2"/>
                  <c:y val="0.35134295713035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Johnson2011Data!$K$3:$K$44</c:f>
              <c:numCache>
                <c:formatCode>0.00</c:formatCode>
                <c:ptCount val="42"/>
                <c:pt idx="0" formatCode="0.000">
                  <c:v>1.0388000000000002</c:v>
                </c:pt>
                <c:pt idx="1">
                  <c:v>3.0184000000000006</c:v>
                </c:pt>
                <c:pt idx="2">
                  <c:v>3.3908000000000005</c:v>
                </c:pt>
                <c:pt idx="3">
                  <c:v>12.485200000000003</c:v>
                </c:pt>
                <c:pt idx="4">
                  <c:v>2.0580000000000003</c:v>
                </c:pt>
                <c:pt idx="5">
                  <c:v>2.2050000000000005</c:v>
                </c:pt>
                <c:pt idx="6">
                  <c:v>0.24500000000000002</c:v>
                </c:pt>
                <c:pt idx="7">
                  <c:v>11.015200000000002</c:v>
                </c:pt>
                <c:pt idx="8">
                  <c:v>0.44100000000000006</c:v>
                </c:pt>
                <c:pt idx="9">
                  <c:v>2.8518000000000003</c:v>
                </c:pt>
                <c:pt idx="10">
                  <c:v>0.37240000000000006</c:v>
                </c:pt>
                <c:pt idx="11">
                  <c:v>9.231600000000002</c:v>
                </c:pt>
                <c:pt idx="12">
                  <c:v>18.737600000000004</c:v>
                </c:pt>
                <c:pt idx="13">
                  <c:v>7.3892000000000007</c:v>
                </c:pt>
                <c:pt idx="14">
                  <c:v>1.5484000000000002</c:v>
                </c:pt>
                <c:pt idx="15">
                  <c:v>2.3520000000000003</c:v>
                </c:pt>
                <c:pt idx="16">
                  <c:v>10.221400000000001</c:v>
                </c:pt>
                <c:pt idx="17">
                  <c:v>11.279800000000002</c:v>
                </c:pt>
                <c:pt idx="18">
                  <c:v>18.257400000000004</c:v>
                </c:pt>
                <c:pt idx="19">
                  <c:v>11.642400000000002</c:v>
                </c:pt>
                <c:pt idx="20">
                  <c:v>7.1736000000000013</c:v>
                </c:pt>
                <c:pt idx="21">
                  <c:v>3.0086000000000004</c:v>
                </c:pt>
                <c:pt idx="22">
                  <c:v>4.9294000000000011</c:v>
                </c:pt>
                <c:pt idx="23">
                  <c:v>2.3814000000000002</c:v>
                </c:pt>
                <c:pt idx="24">
                  <c:v>3.9592000000000005</c:v>
                </c:pt>
                <c:pt idx="25">
                  <c:v>0.8428000000000001</c:v>
                </c:pt>
                <c:pt idx="26">
                  <c:v>0.54880000000000007</c:v>
                </c:pt>
                <c:pt idx="27">
                  <c:v>11.142600000000002</c:v>
                </c:pt>
                <c:pt idx="28">
                  <c:v>5.6056000000000008</c:v>
                </c:pt>
                <c:pt idx="29">
                  <c:v>2.9204000000000003</c:v>
                </c:pt>
                <c:pt idx="30">
                  <c:v>2.9988000000000006</c:v>
                </c:pt>
                <c:pt idx="31">
                  <c:v>10.221400000000001</c:v>
                </c:pt>
                <c:pt idx="32">
                  <c:v>1.3916000000000002</c:v>
                </c:pt>
                <c:pt idx="33">
                  <c:v>4.5374000000000008</c:v>
                </c:pt>
                <c:pt idx="34">
                  <c:v>1.4210000000000003</c:v>
                </c:pt>
                <c:pt idx="35">
                  <c:v>3.8906000000000005</c:v>
                </c:pt>
                <c:pt idx="36">
                  <c:v>8.6044000000000018</c:v>
                </c:pt>
                <c:pt idx="37">
                  <c:v>3.5378000000000007</c:v>
                </c:pt>
                <c:pt idx="38">
                  <c:v>16.473800000000001</c:v>
                </c:pt>
                <c:pt idx="39">
                  <c:v>2.5480000000000005</c:v>
                </c:pt>
                <c:pt idx="40">
                  <c:v>14.866600000000002</c:v>
                </c:pt>
                <c:pt idx="41">
                  <c:v>6.0760000000000005</c:v>
                </c:pt>
              </c:numCache>
            </c:numRef>
          </c:xVal>
          <c:yVal>
            <c:numRef>
              <c:f>Johnson2011Data!$U$3:$U$44</c:f>
              <c:numCache>
                <c:formatCode>0.00</c:formatCode>
                <c:ptCount val="42"/>
                <c:pt idx="0">
                  <c:v>8613.5986733001664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9141.7910447761205</c:v>
                </c:pt>
                <c:pt idx="6">
                  <c:v>672.1905179982441</c:v>
                </c:pt>
                <c:pt idx="7">
                  <c:v>47243.094870475215</c:v>
                </c:pt>
                <c:pt idx="8">
                  <c:v>1696.4148330512387</c:v>
                </c:pt>
                <c:pt idx="9">
                  <c:v>#N/A</c:v>
                </c:pt>
                <c:pt idx="10">
                  <c:v>#N/A</c:v>
                </c:pt>
                <c:pt idx="11">
                  <c:v>71763.059701492544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97512.437810945281</c:v>
                </c:pt>
                <c:pt idx="16">
                  <c:v>#N/A</c:v>
                </c:pt>
                <c:pt idx="17">
                  <c:v>102655.62431743722</c:v>
                </c:pt>
                <c:pt idx="18">
                  <c:v>72473.007303906023</c:v>
                </c:pt>
                <c:pt idx="19">
                  <c:v>47738.231917336401</c:v>
                </c:pt>
                <c:pt idx="20">
                  <c:v>#N/A</c:v>
                </c:pt>
                <c:pt idx="21">
                  <c:v>40093.283582089556</c:v>
                </c:pt>
                <c:pt idx="22">
                  <c:v>#N/A</c:v>
                </c:pt>
                <c:pt idx="23">
                  <c:v>8627.0105781770762</c:v>
                </c:pt>
                <c:pt idx="24">
                  <c:v>11632.389234927725</c:v>
                </c:pt>
                <c:pt idx="25">
                  <c:v>3455.7979334098741</c:v>
                </c:pt>
                <c:pt idx="26">
                  <c:v>1044.7761194029852</c:v>
                </c:pt>
                <c:pt idx="27">
                  <c:v>#N/A</c:v>
                </c:pt>
                <c:pt idx="28">
                  <c:v>31218.534194698157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5581.3040062843684</c:v>
                </c:pt>
                <c:pt idx="35">
                  <c:v>#N/A</c:v>
                </c:pt>
                <c:pt idx="36">
                  <c:v>26979.806848112381</c:v>
                </c:pt>
                <c:pt idx="37">
                  <c:v>10645.76311988445</c:v>
                </c:pt>
                <c:pt idx="38">
                  <c:v>93135.459068294891</c:v>
                </c:pt>
                <c:pt idx="39">
                  <c:v>14405.246494798736</c:v>
                </c:pt>
                <c:pt idx="40">
                  <c:v>84049.072817729539</c:v>
                </c:pt>
                <c:pt idx="41">
                  <c:v>34350.972410673901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E-4085-8EFF-A39CF64E8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20120"/>
        <c:axId val="410970208"/>
      </c:scatterChart>
      <c:valAx>
        <c:axId val="41102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Force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70208"/>
        <c:crosses val="autoZero"/>
        <c:crossBetween val="midCat"/>
      </c:valAx>
      <c:valAx>
        <c:axId val="4109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Kse (kN/m)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20120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Muscle</a:t>
            </a:r>
            <a:r>
              <a:rPr lang="en-US" baseline="0"/>
              <a:t> Mass v Calc Kse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Johnson2011Data!$C$2:$C$44</c:f>
              <c:numCache>
                <c:formatCode>0</c:formatCode>
                <c:ptCount val="43"/>
                <c:pt idx="0">
                  <c:v>1087</c:v>
                </c:pt>
                <c:pt idx="1">
                  <c:v>94</c:v>
                </c:pt>
                <c:pt idx="2">
                  <c:v>280</c:v>
                </c:pt>
                <c:pt idx="3">
                  <c:v>470</c:v>
                </c:pt>
                <c:pt idx="4">
                  <c:v>1655</c:v>
                </c:pt>
                <c:pt idx="5">
                  <c:v>275</c:v>
                </c:pt>
                <c:pt idx="6">
                  <c:v>146</c:v>
                </c:pt>
                <c:pt idx="7">
                  <c:v>13</c:v>
                </c:pt>
                <c:pt idx="8">
                  <c:v>470</c:v>
                </c:pt>
                <c:pt idx="9">
                  <c:v>22</c:v>
                </c:pt>
                <c:pt idx="10">
                  <c:v>55</c:v>
                </c:pt>
                <c:pt idx="11">
                  <c:v>12</c:v>
                </c:pt>
                <c:pt idx="12">
                  <c:v>793</c:v>
                </c:pt>
                <c:pt idx="13">
                  <c:v>1444</c:v>
                </c:pt>
                <c:pt idx="14">
                  <c:v>378</c:v>
                </c:pt>
                <c:pt idx="15">
                  <c:v>168</c:v>
                </c:pt>
                <c:pt idx="16">
                  <c:v>246</c:v>
                </c:pt>
                <c:pt idx="17">
                  <c:v>999</c:v>
                </c:pt>
                <c:pt idx="18">
                  <c:v>1179</c:v>
                </c:pt>
                <c:pt idx="19">
                  <c:v>805</c:v>
                </c:pt>
                <c:pt idx="20">
                  <c:v>720</c:v>
                </c:pt>
                <c:pt idx="21">
                  <c:v>194</c:v>
                </c:pt>
                <c:pt idx="22">
                  <c:v>54</c:v>
                </c:pt>
                <c:pt idx="23">
                  <c:v>233</c:v>
                </c:pt>
                <c:pt idx="24">
                  <c:v>88</c:v>
                </c:pt>
                <c:pt idx="25">
                  <c:v>131</c:v>
                </c:pt>
                <c:pt idx="26">
                  <c:v>31</c:v>
                </c:pt>
                <c:pt idx="27">
                  <c:v>21</c:v>
                </c:pt>
                <c:pt idx="28">
                  <c:v>478</c:v>
                </c:pt>
                <c:pt idx="29">
                  <c:v>308</c:v>
                </c:pt>
                <c:pt idx="30">
                  <c:v>90</c:v>
                </c:pt>
                <c:pt idx="31">
                  <c:v>155</c:v>
                </c:pt>
                <c:pt idx="32">
                  <c:v>1291</c:v>
                </c:pt>
                <c:pt idx="33">
                  <c:v>177</c:v>
                </c:pt>
                <c:pt idx="34">
                  <c:v>707</c:v>
                </c:pt>
                <c:pt idx="35">
                  <c:v>155</c:v>
                </c:pt>
                <c:pt idx="36">
                  <c:v>362</c:v>
                </c:pt>
                <c:pt idx="37">
                  <c:v>542</c:v>
                </c:pt>
                <c:pt idx="38">
                  <c:v>85</c:v>
                </c:pt>
                <c:pt idx="39">
                  <c:v>900</c:v>
                </c:pt>
                <c:pt idx="40">
                  <c:v>181</c:v>
                </c:pt>
                <c:pt idx="41">
                  <c:v>1113</c:v>
                </c:pt>
                <c:pt idx="42">
                  <c:v>396</c:v>
                </c:pt>
              </c:numCache>
            </c:numRef>
          </c:xVal>
          <c:yVal>
            <c:numRef>
              <c:f>Johnson2011Data!$U$2:$U$44</c:f>
              <c:numCache>
                <c:formatCode>0.00</c:formatCode>
                <c:ptCount val="43"/>
                <c:pt idx="0">
                  <c:v>#N/A</c:v>
                </c:pt>
                <c:pt idx="1">
                  <c:v>8613.5986733001664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9141.7910447761205</c:v>
                </c:pt>
                <c:pt idx="7">
                  <c:v>672.1905179982441</c:v>
                </c:pt>
                <c:pt idx="8">
                  <c:v>47243.094870475215</c:v>
                </c:pt>
                <c:pt idx="9">
                  <c:v>1696.4148330512387</c:v>
                </c:pt>
                <c:pt idx="10">
                  <c:v>#N/A</c:v>
                </c:pt>
                <c:pt idx="11">
                  <c:v>#N/A</c:v>
                </c:pt>
                <c:pt idx="12">
                  <c:v>71763.059701492544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97512.437810945281</c:v>
                </c:pt>
                <c:pt idx="17">
                  <c:v>#N/A</c:v>
                </c:pt>
                <c:pt idx="18">
                  <c:v>102655.62431743722</c:v>
                </c:pt>
                <c:pt idx="19">
                  <c:v>72473.007303906023</c:v>
                </c:pt>
                <c:pt idx="20">
                  <c:v>47738.231917336401</c:v>
                </c:pt>
                <c:pt idx="21">
                  <c:v>#N/A</c:v>
                </c:pt>
                <c:pt idx="22">
                  <c:v>40093.283582089556</c:v>
                </c:pt>
                <c:pt idx="23">
                  <c:v>#N/A</c:v>
                </c:pt>
                <c:pt idx="24">
                  <c:v>8627.0105781770762</c:v>
                </c:pt>
                <c:pt idx="25">
                  <c:v>11632.389234927725</c:v>
                </c:pt>
                <c:pt idx="26">
                  <c:v>3455.7979334098741</c:v>
                </c:pt>
                <c:pt idx="27">
                  <c:v>1044.7761194029852</c:v>
                </c:pt>
                <c:pt idx="28">
                  <c:v>#N/A</c:v>
                </c:pt>
                <c:pt idx="29">
                  <c:v>31218.534194698157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5581.3040062843684</c:v>
                </c:pt>
                <c:pt idx="36">
                  <c:v>#N/A</c:v>
                </c:pt>
                <c:pt idx="37">
                  <c:v>26979.806848112381</c:v>
                </c:pt>
                <c:pt idx="38">
                  <c:v>10645.76311988445</c:v>
                </c:pt>
                <c:pt idx="39">
                  <c:v>93135.459068294891</c:v>
                </c:pt>
                <c:pt idx="40">
                  <c:v>14405.246494798736</c:v>
                </c:pt>
                <c:pt idx="41">
                  <c:v>84049.072817729539</c:v>
                </c:pt>
                <c:pt idx="42">
                  <c:v>34350.972410673901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B-45A3-85A7-772E26ACE076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6069335083114605E-2"/>
                  <c:y val="0.40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Johnson2011Data!$C$2:$C$44</c:f>
              <c:numCache>
                <c:formatCode>0</c:formatCode>
                <c:ptCount val="43"/>
                <c:pt idx="0">
                  <c:v>1087</c:v>
                </c:pt>
                <c:pt idx="1">
                  <c:v>94</c:v>
                </c:pt>
                <c:pt idx="2">
                  <c:v>280</c:v>
                </c:pt>
                <c:pt idx="3">
                  <c:v>470</c:v>
                </c:pt>
                <c:pt idx="4">
                  <c:v>1655</c:v>
                </c:pt>
                <c:pt idx="5">
                  <c:v>275</c:v>
                </c:pt>
                <c:pt idx="6">
                  <c:v>146</c:v>
                </c:pt>
                <c:pt idx="7">
                  <c:v>13</c:v>
                </c:pt>
                <c:pt idx="8">
                  <c:v>470</c:v>
                </c:pt>
                <c:pt idx="9">
                  <c:v>22</c:v>
                </c:pt>
                <c:pt idx="10">
                  <c:v>55</c:v>
                </c:pt>
                <c:pt idx="11">
                  <c:v>12</c:v>
                </c:pt>
                <c:pt idx="12">
                  <c:v>793</c:v>
                </c:pt>
                <c:pt idx="13">
                  <c:v>1444</c:v>
                </c:pt>
                <c:pt idx="14">
                  <c:v>378</c:v>
                </c:pt>
                <c:pt idx="15">
                  <c:v>168</c:v>
                </c:pt>
                <c:pt idx="16">
                  <c:v>246</c:v>
                </c:pt>
                <c:pt idx="17">
                  <c:v>999</c:v>
                </c:pt>
                <c:pt idx="18">
                  <c:v>1179</c:v>
                </c:pt>
                <c:pt idx="19">
                  <c:v>805</c:v>
                </c:pt>
                <c:pt idx="20">
                  <c:v>720</c:v>
                </c:pt>
                <c:pt idx="21">
                  <c:v>194</c:v>
                </c:pt>
                <c:pt idx="22">
                  <c:v>54</c:v>
                </c:pt>
                <c:pt idx="23">
                  <c:v>233</c:v>
                </c:pt>
                <c:pt idx="24">
                  <c:v>88</c:v>
                </c:pt>
                <c:pt idx="25">
                  <c:v>131</c:v>
                </c:pt>
                <c:pt idx="26">
                  <c:v>31</c:v>
                </c:pt>
                <c:pt idx="27">
                  <c:v>21</c:v>
                </c:pt>
                <c:pt idx="28">
                  <c:v>478</c:v>
                </c:pt>
                <c:pt idx="29">
                  <c:v>308</c:v>
                </c:pt>
                <c:pt idx="30">
                  <c:v>90</c:v>
                </c:pt>
                <c:pt idx="31">
                  <c:v>155</c:v>
                </c:pt>
                <c:pt idx="32">
                  <c:v>1291</c:v>
                </c:pt>
                <c:pt idx="33">
                  <c:v>177</c:v>
                </c:pt>
                <c:pt idx="34">
                  <c:v>707</c:v>
                </c:pt>
                <c:pt idx="35">
                  <c:v>155</c:v>
                </c:pt>
                <c:pt idx="36">
                  <c:v>362</c:v>
                </c:pt>
                <c:pt idx="37">
                  <c:v>542</c:v>
                </c:pt>
                <c:pt idx="38">
                  <c:v>85</c:v>
                </c:pt>
                <c:pt idx="39">
                  <c:v>900</c:v>
                </c:pt>
                <c:pt idx="40">
                  <c:v>181</c:v>
                </c:pt>
                <c:pt idx="41">
                  <c:v>1113</c:v>
                </c:pt>
                <c:pt idx="42">
                  <c:v>396</c:v>
                </c:pt>
              </c:numCache>
            </c:numRef>
          </c:xVal>
          <c:yVal>
            <c:numRef>
              <c:f>Johnson2011Data!$U$2:$U$44</c:f>
              <c:numCache>
                <c:formatCode>0.00</c:formatCode>
                <c:ptCount val="43"/>
                <c:pt idx="0">
                  <c:v>#N/A</c:v>
                </c:pt>
                <c:pt idx="1">
                  <c:v>8613.5986733001664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9141.7910447761205</c:v>
                </c:pt>
                <c:pt idx="7">
                  <c:v>672.1905179982441</c:v>
                </c:pt>
                <c:pt idx="8">
                  <c:v>47243.094870475215</c:v>
                </c:pt>
                <c:pt idx="9">
                  <c:v>1696.4148330512387</c:v>
                </c:pt>
                <c:pt idx="10">
                  <c:v>#N/A</c:v>
                </c:pt>
                <c:pt idx="11">
                  <c:v>#N/A</c:v>
                </c:pt>
                <c:pt idx="12">
                  <c:v>71763.059701492544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97512.437810945281</c:v>
                </c:pt>
                <c:pt idx="17">
                  <c:v>#N/A</c:v>
                </c:pt>
                <c:pt idx="18">
                  <c:v>102655.62431743722</c:v>
                </c:pt>
                <c:pt idx="19">
                  <c:v>72473.007303906023</c:v>
                </c:pt>
                <c:pt idx="20">
                  <c:v>47738.231917336401</c:v>
                </c:pt>
                <c:pt idx="21">
                  <c:v>#N/A</c:v>
                </c:pt>
                <c:pt idx="22">
                  <c:v>40093.283582089556</c:v>
                </c:pt>
                <c:pt idx="23">
                  <c:v>#N/A</c:v>
                </c:pt>
                <c:pt idx="24">
                  <c:v>8627.0105781770762</c:v>
                </c:pt>
                <c:pt idx="25">
                  <c:v>11632.389234927725</c:v>
                </c:pt>
                <c:pt idx="26">
                  <c:v>3455.7979334098741</c:v>
                </c:pt>
                <c:pt idx="27">
                  <c:v>1044.7761194029852</c:v>
                </c:pt>
                <c:pt idx="28">
                  <c:v>#N/A</c:v>
                </c:pt>
                <c:pt idx="29">
                  <c:v>31218.534194698157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5581.3040062843684</c:v>
                </c:pt>
                <c:pt idx="36">
                  <c:v>#N/A</c:v>
                </c:pt>
                <c:pt idx="37">
                  <c:v>26979.806848112381</c:v>
                </c:pt>
                <c:pt idx="38">
                  <c:v>10645.76311988445</c:v>
                </c:pt>
                <c:pt idx="39">
                  <c:v>93135.459068294891</c:v>
                </c:pt>
                <c:pt idx="40">
                  <c:v>14405.246494798736</c:v>
                </c:pt>
                <c:pt idx="41">
                  <c:v>84049.072817729539</c:v>
                </c:pt>
                <c:pt idx="42">
                  <c:v>34350.972410673901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B-45A3-85A7-772E26ACE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85632"/>
        <c:axId val="411386016"/>
      </c:scatterChart>
      <c:valAx>
        <c:axId val="411385632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(mg)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86016"/>
        <c:crosses val="autoZero"/>
        <c:crossBetween val="midCat"/>
      </c:valAx>
      <c:valAx>
        <c:axId val="411386016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Kse (kN/m)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85632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 v Calc Kse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50174978127731E-2"/>
                  <c:y val="0.35134295713035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Johnson2011Data!$K$3:$K$44</c:f>
              <c:numCache>
                <c:formatCode>0.00</c:formatCode>
                <c:ptCount val="42"/>
                <c:pt idx="0" formatCode="0.000">
                  <c:v>1.0388000000000002</c:v>
                </c:pt>
                <c:pt idx="1">
                  <c:v>3.0184000000000006</c:v>
                </c:pt>
                <c:pt idx="2">
                  <c:v>3.3908000000000005</c:v>
                </c:pt>
                <c:pt idx="3">
                  <c:v>12.485200000000003</c:v>
                </c:pt>
                <c:pt idx="4">
                  <c:v>2.0580000000000003</c:v>
                </c:pt>
                <c:pt idx="5">
                  <c:v>2.2050000000000005</c:v>
                </c:pt>
                <c:pt idx="6">
                  <c:v>0.24500000000000002</c:v>
                </c:pt>
                <c:pt idx="7">
                  <c:v>11.015200000000002</c:v>
                </c:pt>
                <c:pt idx="8">
                  <c:v>0.44100000000000006</c:v>
                </c:pt>
                <c:pt idx="9">
                  <c:v>2.8518000000000003</c:v>
                </c:pt>
                <c:pt idx="10">
                  <c:v>0.37240000000000006</c:v>
                </c:pt>
                <c:pt idx="11">
                  <c:v>9.231600000000002</c:v>
                </c:pt>
                <c:pt idx="12">
                  <c:v>18.737600000000004</c:v>
                </c:pt>
                <c:pt idx="13">
                  <c:v>7.3892000000000007</c:v>
                </c:pt>
                <c:pt idx="14">
                  <c:v>1.5484000000000002</c:v>
                </c:pt>
                <c:pt idx="15">
                  <c:v>2.3520000000000003</c:v>
                </c:pt>
                <c:pt idx="16">
                  <c:v>10.221400000000001</c:v>
                </c:pt>
                <c:pt idx="17">
                  <c:v>11.279800000000002</c:v>
                </c:pt>
                <c:pt idx="18">
                  <c:v>18.257400000000004</c:v>
                </c:pt>
                <c:pt idx="19">
                  <c:v>11.642400000000002</c:v>
                </c:pt>
                <c:pt idx="20">
                  <c:v>7.1736000000000013</c:v>
                </c:pt>
                <c:pt idx="21">
                  <c:v>3.0086000000000004</c:v>
                </c:pt>
                <c:pt idx="22">
                  <c:v>4.9294000000000011</c:v>
                </c:pt>
                <c:pt idx="23">
                  <c:v>2.3814000000000002</c:v>
                </c:pt>
                <c:pt idx="24">
                  <c:v>3.9592000000000005</c:v>
                </c:pt>
                <c:pt idx="25">
                  <c:v>0.8428000000000001</c:v>
                </c:pt>
                <c:pt idx="26">
                  <c:v>0.54880000000000007</c:v>
                </c:pt>
                <c:pt idx="27">
                  <c:v>11.142600000000002</c:v>
                </c:pt>
                <c:pt idx="28">
                  <c:v>5.6056000000000008</c:v>
                </c:pt>
                <c:pt idx="29">
                  <c:v>2.9204000000000003</c:v>
                </c:pt>
                <c:pt idx="30">
                  <c:v>2.9988000000000006</c:v>
                </c:pt>
                <c:pt idx="31">
                  <c:v>10.221400000000001</c:v>
                </c:pt>
                <c:pt idx="32">
                  <c:v>1.3916000000000002</c:v>
                </c:pt>
                <c:pt idx="33">
                  <c:v>4.5374000000000008</c:v>
                </c:pt>
                <c:pt idx="34">
                  <c:v>1.4210000000000003</c:v>
                </c:pt>
                <c:pt idx="35">
                  <c:v>3.8906000000000005</c:v>
                </c:pt>
                <c:pt idx="36">
                  <c:v>8.6044000000000018</c:v>
                </c:pt>
                <c:pt idx="37">
                  <c:v>3.5378000000000007</c:v>
                </c:pt>
                <c:pt idx="38">
                  <c:v>16.473800000000001</c:v>
                </c:pt>
                <c:pt idx="39">
                  <c:v>2.5480000000000005</c:v>
                </c:pt>
                <c:pt idx="40">
                  <c:v>14.866600000000002</c:v>
                </c:pt>
                <c:pt idx="41">
                  <c:v>6.0760000000000005</c:v>
                </c:pt>
              </c:numCache>
            </c:numRef>
          </c:xVal>
          <c:yVal>
            <c:numRef>
              <c:f>Johnson2011Data!$U$3:$U$44</c:f>
              <c:numCache>
                <c:formatCode>0.00</c:formatCode>
                <c:ptCount val="42"/>
                <c:pt idx="0">
                  <c:v>8613.5986733001664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9141.7910447761205</c:v>
                </c:pt>
                <c:pt idx="6">
                  <c:v>672.1905179982441</c:v>
                </c:pt>
                <c:pt idx="7">
                  <c:v>47243.094870475215</c:v>
                </c:pt>
                <c:pt idx="8">
                  <c:v>1696.4148330512387</c:v>
                </c:pt>
                <c:pt idx="9">
                  <c:v>#N/A</c:v>
                </c:pt>
                <c:pt idx="10">
                  <c:v>#N/A</c:v>
                </c:pt>
                <c:pt idx="11">
                  <c:v>71763.059701492544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97512.437810945281</c:v>
                </c:pt>
                <c:pt idx="16">
                  <c:v>#N/A</c:v>
                </c:pt>
                <c:pt idx="17">
                  <c:v>102655.62431743722</c:v>
                </c:pt>
                <c:pt idx="18">
                  <c:v>72473.007303906023</c:v>
                </c:pt>
                <c:pt idx="19">
                  <c:v>47738.231917336401</c:v>
                </c:pt>
                <c:pt idx="20">
                  <c:v>#N/A</c:v>
                </c:pt>
                <c:pt idx="21">
                  <c:v>40093.283582089556</c:v>
                </c:pt>
                <c:pt idx="22">
                  <c:v>#N/A</c:v>
                </c:pt>
                <c:pt idx="23">
                  <c:v>8627.0105781770762</c:v>
                </c:pt>
                <c:pt idx="24">
                  <c:v>11632.389234927725</c:v>
                </c:pt>
                <c:pt idx="25">
                  <c:v>3455.7979334098741</c:v>
                </c:pt>
                <c:pt idx="26">
                  <c:v>1044.7761194029852</c:v>
                </c:pt>
                <c:pt idx="27">
                  <c:v>#N/A</c:v>
                </c:pt>
                <c:pt idx="28">
                  <c:v>31218.534194698157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5581.3040062843684</c:v>
                </c:pt>
                <c:pt idx="35">
                  <c:v>#N/A</c:v>
                </c:pt>
                <c:pt idx="36">
                  <c:v>26979.806848112381</c:v>
                </c:pt>
                <c:pt idx="37">
                  <c:v>10645.76311988445</c:v>
                </c:pt>
                <c:pt idx="38">
                  <c:v>93135.459068294891</c:v>
                </c:pt>
                <c:pt idx="39">
                  <c:v>14405.246494798736</c:v>
                </c:pt>
                <c:pt idx="40">
                  <c:v>84049.072817729539</c:v>
                </c:pt>
                <c:pt idx="41">
                  <c:v>34350.972410673901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E-4E5D-B0E8-7CCA9C940FFC}"/>
            </c:ext>
          </c:extLst>
        </c:ser>
        <c:ser>
          <c:idx val="1"/>
          <c:order val="1"/>
          <c:tx>
            <c:strRef>
              <c:f>Johnson2011Data!$V$1</c:f>
              <c:strCache>
                <c:ptCount val="1"/>
                <c:pt idx="0">
                  <c:v>Kse Supp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Johnson2011Data!$K$2:$K$44</c:f>
              <c:numCache>
                <c:formatCode>0.000</c:formatCode>
                <c:ptCount val="43"/>
                <c:pt idx="0" formatCode="0.00">
                  <c:v>12.210800000000003</c:v>
                </c:pt>
                <c:pt idx="1">
                  <c:v>1.0388000000000002</c:v>
                </c:pt>
                <c:pt idx="2" formatCode="0.00">
                  <c:v>3.0184000000000006</c:v>
                </c:pt>
                <c:pt idx="3" formatCode="0.00">
                  <c:v>3.3908000000000005</c:v>
                </c:pt>
                <c:pt idx="4" formatCode="0.00">
                  <c:v>12.485200000000003</c:v>
                </c:pt>
                <c:pt idx="5" formatCode="0.00">
                  <c:v>2.0580000000000003</c:v>
                </c:pt>
                <c:pt idx="6" formatCode="0.00">
                  <c:v>2.2050000000000005</c:v>
                </c:pt>
                <c:pt idx="7" formatCode="0.00">
                  <c:v>0.24500000000000002</c:v>
                </c:pt>
                <c:pt idx="8" formatCode="0.00">
                  <c:v>11.015200000000002</c:v>
                </c:pt>
                <c:pt idx="9" formatCode="0.00">
                  <c:v>0.44100000000000006</c:v>
                </c:pt>
                <c:pt idx="10" formatCode="0.00">
                  <c:v>2.8518000000000003</c:v>
                </c:pt>
                <c:pt idx="11" formatCode="0.00">
                  <c:v>0.37240000000000006</c:v>
                </c:pt>
                <c:pt idx="12" formatCode="0.00">
                  <c:v>9.231600000000002</c:v>
                </c:pt>
                <c:pt idx="13" formatCode="0.00">
                  <c:v>18.737600000000004</c:v>
                </c:pt>
                <c:pt idx="14" formatCode="0.00">
                  <c:v>7.3892000000000007</c:v>
                </c:pt>
                <c:pt idx="15" formatCode="0.00">
                  <c:v>1.5484000000000002</c:v>
                </c:pt>
                <c:pt idx="16" formatCode="0.00">
                  <c:v>2.3520000000000003</c:v>
                </c:pt>
                <c:pt idx="17" formatCode="0.00">
                  <c:v>10.221400000000001</c:v>
                </c:pt>
                <c:pt idx="18" formatCode="0.00">
                  <c:v>11.279800000000002</c:v>
                </c:pt>
                <c:pt idx="19" formatCode="0.00">
                  <c:v>18.257400000000004</c:v>
                </c:pt>
                <c:pt idx="20" formatCode="0.00">
                  <c:v>11.642400000000002</c:v>
                </c:pt>
                <c:pt idx="21" formatCode="0.00">
                  <c:v>7.1736000000000013</c:v>
                </c:pt>
                <c:pt idx="22" formatCode="0.00">
                  <c:v>3.0086000000000004</c:v>
                </c:pt>
                <c:pt idx="23" formatCode="0.00">
                  <c:v>4.9294000000000011</c:v>
                </c:pt>
                <c:pt idx="24" formatCode="0.00">
                  <c:v>2.3814000000000002</c:v>
                </c:pt>
                <c:pt idx="25" formatCode="0.00">
                  <c:v>3.9592000000000005</c:v>
                </c:pt>
                <c:pt idx="26" formatCode="0.00">
                  <c:v>0.8428000000000001</c:v>
                </c:pt>
                <c:pt idx="27" formatCode="0.00">
                  <c:v>0.54880000000000007</c:v>
                </c:pt>
                <c:pt idx="28" formatCode="0.00">
                  <c:v>11.142600000000002</c:v>
                </c:pt>
                <c:pt idx="29" formatCode="0.00">
                  <c:v>5.6056000000000008</c:v>
                </c:pt>
                <c:pt idx="30" formatCode="0.00">
                  <c:v>2.9204000000000003</c:v>
                </c:pt>
                <c:pt idx="31" formatCode="0.00">
                  <c:v>2.9988000000000006</c:v>
                </c:pt>
                <c:pt idx="32" formatCode="0.00">
                  <c:v>10.221400000000001</c:v>
                </c:pt>
                <c:pt idx="33" formatCode="0.00">
                  <c:v>1.3916000000000002</c:v>
                </c:pt>
                <c:pt idx="34" formatCode="0.00">
                  <c:v>4.5374000000000008</c:v>
                </c:pt>
                <c:pt idx="35" formatCode="0.00">
                  <c:v>1.4210000000000003</c:v>
                </c:pt>
                <c:pt idx="36" formatCode="0.00">
                  <c:v>3.8906000000000005</c:v>
                </c:pt>
                <c:pt idx="37" formatCode="0.00">
                  <c:v>8.6044000000000018</c:v>
                </c:pt>
                <c:pt idx="38" formatCode="0.00">
                  <c:v>3.5378000000000007</c:v>
                </c:pt>
                <c:pt idx="39" formatCode="0.00">
                  <c:v>16.473800000000001</c:v>
                </c:pt>
                <c:pt idx="40" formatCode="0.00">
                  <c:v>2.5480000000000005</c:v>
                </c:pt>
                <c:pt idx="41" formatCode="0.00">
                  <c:v>14.866600000000002</c:v>
                </c:pt>
                <c:pt idx="42" formatCode="0.00">
                  <c:v>6.0760000000000005</c:v>
                </c:pt>
              </c:numCache>
            </c:numRef>
          </c:xVal>
          <c:yVal>
            <c:numRef>
              <c:f>Johnson2011Data!$V$2:$V$44</c:f>
              <c:numCache>
                <c:formatCode>0.00</c:formatCode>
                <c:ptCount val="43"/>
                <c:pt idx="0">
                  <c:v>92040.885999999999</c:v>
                </c:pt>
                <c:pt idx="1">
                  <c:v>#N/A</c:v>
                </c:pt>
                <c:pt idx="2">
                  <c:v>28870.54</c:v>
                </c:pt>
                <c:pt idx="3">
                  <c:v>43743.360000000001</c:v>
                </c:pt>
                <c:pt idx="4">
                  <c:v>136502.79</c:v>
                </c:pt>
                <c:pt idx="5">
                  <c:v>28479.15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11257.99</c:v>
                </c:pt>
                <c:pt idx="11">
                  <c:v>7892.0360000000001</c:v>
                </c:pt>
                <c:pt idx="12">
                  <c:v>#N/A</c:v>
                </c:pt>
                <c:pt idx="13">
                  <c:v>119986.13200000001</c:v>
                </c:pt>
                <c:pt idx="14">
                  <c:v>36541.784</c:v>
                </c:pt>
                <c:pt idx="15">
                  <c:v>20103.404000000002</c:v>
                </c:pt>
                <c:pt idx="16">
                  <c:v>#N/A</c:v>
                </c:pt>
                <c:pt idx="17">
                  <c:v>85152.422000000006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22138.632000000001</c:v>
                </c:pt>
                <c:pt idx="22">
                  <c:v>#N/A</c:v>
                </c:pt>
                <c:pt idx="23">
                  <c:v>25191.474000000002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44369.584000000003</c:v>
                </c:pt>
                <c:pt idx="29">
                  <c:v>#N/A</c:v>
                </c:pt>
                <c:pt idx="30">
                  <c:v>13997.720000000001</c:v>
                </c:pt>
                <c:pt idx="31">
                  <c:v>19085.79</c:v>
                </c:pt>
                <c:pt idx="32">
                  <c:v>108009.598</c:v>
                </c:pt>
                <c:pt idx="33">
                  <c:v>20807.905999999999</c:v>
                </c:pt>
                <c:pt idx="34">
                  <c:v>62295.245999999999</c:v>
                </c:pt>
                <c:pt idx="35">
                  <c:v>#N/A</c:v>
                </c:pt>
                <c:pt idx="36">
                  <c:v>35289.336000000003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E5D-B0E8-7CCA9C94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69568"/>
        <c:axId val="192771920"/>
      </c:scatterChart>
      <c:valAx>
        <c:axId val="19276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Force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1920"/>
        <c:crosses val="autoZero"/>
        <c:crossBetween val="midCat"/>
      </c:valAx>
      <c:valAx>
        <c:axId val="1927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Kse (kN/m)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9568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Muscle</a:t>
            </a:r>
            <a:r>
              <a:rPr lang="en-US" baseline="0"/>
              <a:t> Mass v Calc Kse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Johnson2011Data!$C$2:$C$44</c:f>
              <c:numCache>
                <c:formatCode>0</c:formatCode>
                <c:ptCount val="43"/>
                <c:pt idx="0">
                  <c:v>1087</c:v>
                </c:pt>
                <c:pt idx="1">
                  <c:v>94</c:v>
                </c:pt>
                <c:pt idx="2">
                  <c:v>280</c:v>
                </c:pt>
                <c:pt idx="3">
                  <c:v>470</c:v>
                </c:pt>
                <c:pt idx="4">
                  <c:v>1655</c:v>
                </c:pt>
                <c:pt idx="5">
                  <c:v>275</c:v>
                </c:pt>
                <c:pt idx="6">
                  <c:v>146</c:v>
                </c:pt>
                <c:pt idx="7">
                  <c:v>13</c:v>
                </c:pt>
                <c:pt idx="8">
                  <c:v>470</c:v>
                </c:pt>
                <c:pt idx="9">
                  <c:v>22</c:v>
                </c:pt>
                <c:pt idx="10">
                  <c:v>55</c:v>
                </c:pt>
                <c:pt idx="11">
                  <c:v>12</c:v>
                </c:pt>
                <c:pt idx="12">
                  <c:v>793</c:v>
                </c:pt>
                <c:pt idx="13">
                  <c:v>1444</c:v>
                </c:pt>
                <c:pt idx="14">
                  <c:v>378</c:v>
                </c:pt>
                <c:pt idx="15">
                  <c:v>168</c:v>
                </c:pt>
                <c:pt idx="16">
                  <c:v>246</c:v>
                </c:pt>
                <c:pt idx="17">
                  <c:v>999</c:v>
                </c:pt>
                <c:pt idx="18">
                  <c:v>1179</c:v>
                </c:pt>
                <c:pt idx="19">
                  <c:v>805</c:v>
                </c:pt>
                <c:pt idx="20">
                  <c:v>720</c:v>
                </c:pt>
                <c:pt idx="21">
                  <c:v>194</c:v>
                </c:pt>
                <c:pt idx="22">
                  <c:v>54</c:v>
                </c:pt>
                <c:pt idx="23">
                  <c:v>233</c:v>
                </c:pt>
                <c:pt idx="24">
                  <c:v>88</c:v>
                </c:pt>
                <c:pt idx="25">
                  <c:v>131</c:v>
                </c:pt>
                <c:pt idx="26">
                  <c:v>31</c:v>
                </c:pt>
                <c:pt idx="27">
                  <c:v>21</c:v>
                </c:pt>
                <c:pt idx="28">
                  <c:v>478</c:v>
                </c:pt>
                <c:pt idx="29">
                  <c:v>308</c:v>
                </c:pt>
                <c:pt idx="30">
                  <c:v>90</c:v>
                </c:pt>
                <c:pt idx="31">
                  <c:v>155</c:v>
                </c:pt>
                <c:pt idx="32">
                  <c:v>1291</c:v>
                </c:pt>
                <c:pt idx="33">
                  <c:v>177</c:v>
                </c:pt>
                <c:pt idx="34">
                  <c:v>707</c:v>
                </c:pt>
                <c:pt idx="35">
                  <c:v>155</c:v>
                </c:pt>
                <c:pt idx="36">
                  <c:v>362</c:v>
                </c:pt>
                <c:pt idx="37">
                  <c:v>542</c:v>
                </c:pt>
                <c:pt idx="38">
                  <c:v>85</c:v>
                </c:pt>
                <c:pt idx="39">
                  <c:v>900</c:v>
                </c:pt>
                <c:pt idx="40">
                  <c:v>181</c:v>
                </c:pt>
                <c:pt idx="41">
                  <c:v>1113</c:v>
                </c:pt>
                <c:pt idx="42">
                  <c:v>396</c:v>
                </c:pt>
              </c:numCache>
            </c:numRef>
          </c:xVal>
          <c:yVal>
            <c:numRef>
              <c:f>Johnson2011Data!$U$2:$U$44</c:f>
              <c:numCache>
                <c:formatCode>0.00</c:formatCode>
                <c:ptCount val="43"/>
                <c:pt idx="0">
                  <c:v>#N/A</c:v>
                </c:pt>
                <c:pt idx="1">
                  <c:v>8613.5986733001664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9141.7910447761205</c:v>
                </c:pt>
                <c:pt idx="7">
                  <c:v>672.1905179982441</c:v>
                </c:pt>
                <c:pt idx="8">
                  <c:v>47243.094870475215</c:v>
                </c:pt>
                <c:pt idx="9">
                  <c:v>1696.4148330512387</c:v>
                </c:pt>
                <c:pt idx="10">
                  <c:v>#N/A</c:v>
                </c:pt>
                <c:pt idx="11">
                  <c:v>#N/A</c:v>
                </c:pt>
                <c:pt idx="12">
                  <c:v>71763.059701492544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97512.437810945281</c:v>
                </c:pt>
                <c:pt idx="17">
                  <c:v>#N/A</c:v>
                </c:pt>
                <c:pt idx="18">
                  <c:v>102655.62431743722</c:v>
                </c:pt>
                <c:pt idx="19">
                  <c:v>72473.007303906023</c:v>
                </c:pt>
                <c:pt idx="20">
                  <c:v>47738.231917336401</c:v>
                </c:pt>
                <c:pt idx="21">
                  <c:v>#N/A</c:v>
                </c:pt>
                <c:pt idx="22">
                  <c:v>40093.283582089556</c:v>
                </c:pt>
                <c:pt idx="23">
                  <c:v>#N/A</c:v>
                </c:pt>
                <c:pt idx="24">
                  <c:v>8627.0105781770762</c:v>
                </c:pt>
                <c:pt idx="25">
                  <c:v>11632.389234927725</c:v>
                </c:pt>
                <c:pt idx="26">
                  <c:v>3455.7979334098741</c:v>
                </c:pt>
                <c:pt idx="27">
                  <c:v>1044.7761194029852</c:v>
                </c:pt>
                <c:pt idx="28">
                  <c:v>#N/A</c:v>
                </c:pt>
                <c:pt idx="29">
                  <c:v>31218.534194698157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5581.3040062843684</c:v>
                </c:pt>
                <c:pt idx="36">
                  <c:v>#N/A</c:v>
                </c:pt>
                <c:pt idx="37">
                  <c:v>26979.806848112381</c:v>
                </c:pt>
                <c:pt idx="38">
                  <c:v>10645.76311988445</c:v>
                </c:pt>
                <c:pt idx="39">
                  <c:v>93135.459068294891</c:v>
                </c:pt>
                <c:pt idx="40">
                  <c:v>14405.246494798736</c:v>
                </c:pt>
                <c:pt idx="41">
                  <c:v>84049.072817729539</c:v>
                </c:pt>
                <c:pt idx="42">
                  <c:v>34350.972410673901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2-47CB-B9B4-2C549740BE6A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6069335083114605E-2"/>
                  <c:y val="0.40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Johnson2011Data!$C$2:$C$44</c:f>
              <c:numCache>
                <c:formatCode>0</c:formatCode>
                <c:ptCount val="43"/>
                <c:pt idx="0">
                  <c:v>1087</c:v>
                </c:pt>
                <c:pt idx="1">
                  <c:v>94</c:v>
                </c:pt>
                <c:pt idx="2">
                  <c:v>280</c:v>
                </c:pt>
                <c:pt idx="3">
                  <c:v>470</c:v>
                </c:pt>
                <c:pt idx="4">
                  <c:v>1655</c:v>
                </c:pt>
                <c:pt idx="5">
                  <c:v>275</c:v>
                </c:pt>
                <c:pt idx="6">
                  <c:v>146</c:v>
                </c:pt>
                <c:pt idx="7">
                  <c:v>13</c:v>
                </c:pt>
                <c:pt idx="8">
                  <c:v>470</c:v>
                </c:pt>
                <c:pt idx="9">
                  <c:v>22</c:v>
                </c:pt>
                <c:pt idx="10">
                  <c:v>55</c:v>
                </c:pt>
                <c:pt idx="11">
                  <c:v>12</c:v>
                </c:pt>
                <c:pt idx="12">
                  <c:v>793</c:v>
                </c:pt>
                <c:pt idx="13">
                  <c:v>1444</c:v>
                </c:pt>
                <c:pt idx="14">
                  <c:v>378</c:v>
                </c:pt>
                <c:pt idx="15">
                  <c:v>168</c:v>
                </c:pt>
                <c:pt idx="16">
                  <c:v>246</c:v>
                </c:pt>
                <c:pt idx="17">
                  <c:v>999</c:v>
                </c:pt>
                <c:pt idx="18">
                  <c:v>1179</c:v>
                </c:pt>
                <c:pt idx="19">
                  <c:v>805</c:v>
                </c:pt>
                <c:pt idx="20">
                  <c:v>720</c:v>
                </c:pt>
                <c:pt idx="21">
                  <c:v>194</c:v>
                </c:pt>
                <c:pt idx="22">
                  <c:v>54</c:v>
                </c:pt>
                <c:pt idx="23">
                  <c:v>233</c:v>
                </c:pt>
                <c:pt idx="24">
                  <c:v>88</c:v>
                </c:pt>
                <c:pt idx="25">
                  <c:v>131</c:v>
                </c:pt>
                <c:pt idx="26">
                  <c:v>31</c:v>
                </c:pt>
                <c:pt idx="27">
                  <c:v>21</c:v>
                </c:pt>
                <c:pt idx="28">
                  <c:v>478</c:v>
                </c:pt>
                <c:pt idx="29">
                  <c:v>308</c:v>
                </c:pt>
                <c:pt idx="30">
                  <c:v>90</c:v>
                </c:pt>
                <c:pt idx="31">
                  <c:v>155</c:v>
                </c:pt>
                <c:pt idx="32">
                  <c:v>1291</c:v>
                </c:pt>
                <c:pt idx="33">
                  <c:v>177</c:v>
                </c:pt>
                <c:pt idx="34">
                  <c:v>707</c:v>
                </c:pt>
                <c:pt idx="35">
                  <c:v>155</c:v>
                </c:pt>
                <c:pt idx="36">
                  <c:v>362</c:v>
                </c:pt>
                <c:pt idx="37">
                  <c:v>542</c:v>
                </c:pt>
                <c:pt idx="38">
                  <c:v>85</c:v>
                </c:pt>
                <c:pt idx="39">
                  <c:v>900</c:v>
                </c:pt>
                <c:pt idx="40">
                  <c:v>181</c:v>
                </c:pt>
                <c:pt idx="41">
                  <c:v>1113</c:v>
                </c:pt>
                <c:pt idx="42">
                  <c:v>396</c:v>
                </c:pt>
              </c:numCache>
            </c:numRef>
          </c:xVal>
          <c:yVal>
            <c:numRef>
              <c:f>Johnson2011Data!$U$2:$U$44</c:f>
              <c:numCache>
                <c:formatCode>0.00</c:formatCode>
                <c:ptCount val="43"/>
                <c:pt idx="0">
                  <c:v>#N/A</c:v>
                </c:pt>
                <c:pt idx="1">
                  <c:v>8613.5986733001664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9141.7910447761205</c:v>
                </c:pt>
                <c:pt idx="7">
                  <c:v>672.1905179982441</c:v>
                </c:pt>
                <c:pt idx="8">
                  <c:v>47243.094870475215</c:v>
                </c:pt>
                <c:pt idx="9">
                  <c:v>1696.4148330512387</c:v>
                </c:pt>
                <c:pt idx="10">
                  <c:v>#N/A</c:v>
                </c:pt>
                <c:pt idx="11">
                  <c:v>#N/A</c:v>
                </c:pt>
                <c:pt idx="12">
                  <c:v>71763.059701492544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97512.437810945281</c:v>
                </c:pt>
                <c:pt idx="17">
                  <c:v>#N/A</c:v>
                </c:pt>
                <c:pt idx="18">
                  <c:v>102655.62431743722</c:v>
                </c:pt>
                <c:pt idx="19">
                  <c:v>72473.007303906023</c:v>
                </c:pt>
                <c:pt idx="20">
                  <c:v>47738.231917336401</c:v>
                </c:pt>
                <c:pt idx="21">
                  <c:v>#N/A</c:v>
                </c:pt>
                <c:pt idx="22">
                  <c:v>40093.283582089556</c:v>
                </c:pt>
                <c:pt idx="23">
                  <c:v>#N/A</c:v>
                </c:pt>
                <c:pt idx="24">
                  <c:v>8627.0105781770762</c:v>
                </c:pt>
                <c:pt idx="25">
                  <c:v>11632.389234927725</c:v>
                </c:pt>
                <c:pt idx="26">
                  <c:v>3455.7979334098741</c:v>
                </c:pt>
                <c:pt idx="27">
                  <c:v>1044.7761194029852</c:v>
                </c:pt>
                <c:pt idx="28">
                  <c:v>#N/A</c:v>
                </c:pt>
                <c:pt idx="29">
                  <c:v>31218.534194698157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5581.3040062843684</c:v>
                </c:pt>
                <c:pt idx="36">
                  <c:v>#N/A</c:v>
                </c:pt>
                <c:pt idx="37">
                  <c:v>26979.806848112381</c:v>
                </c:pt>
                <c:pt idx="38">
                  <c:v>10645.76311988445</c:v>
                </c:pt>
                <c:pt idx="39">
                  <c:v>93135.459068294891</c:v>
                </c:pt>
                <c:pt idx="40">
                  <c:v>14405.246494798736</c:v>
                </c:pt>
                <c:pt idx="41">
                  <c:v>84049.072817729539</c:v>
                </c:pt>
                <c:pt idx="42">
                  <c:v>34350.972410673901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2-47CB-B9B4-2C549740BE6A}"/>
            </c:ext>
          </c:extLst>
        </c:ser>
        <c:ser>
          <c:idx val="2"/>
          <c:order val="2"/>
          <c:tx>
            <c:strRef>
              <c:f>Johnson2011Data!$V$1</c:f>
              <c:strCache>
                <c:ptCount val="1"/>
                <c:pt idx="0">
                  <c:v>Kse Supp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bg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292-47CB-B9B4-2C549740BE6A}"/>
              </c:ext>
            </c:extLst>
          </c:dPt>
          <c:xVal>
            <c:numRef>
              <c:f>Johnson2011Data!$C$2:$C$44</c:f>
              <c:numCache>
                <c:formatCode>0</c:formatCode>
                <c:ptCount val="43"/>
                <c:pt idx="0">
                  <c:v>1087</c:v>
                </c:pt>
                <c:pt idx="1">
                  <c:v>94</c:v>
                </c:pt>
                <c:pt idx="2">
                  <c:v>280</c:v>
                </c:pt>
                <c:pt idx="3">
                  <c:v>470</c:v>
                </c:pt>
                <c:pt idx="4">
                  <c:v>1655</c:v>
                </c:pt>
                <c:pt idx="5">
                  <c:v>275</c:v>
                </c:pt>
                <c:pt idx="6">
                  <c:v>146</c:v>
                </c:pt>
                <c:pt idx="7">
                  <c:v>13</c:v>
                </c:pt>
                <c:pt idx="8">
                  <c:v>470</c:v>
                </c:pt>
                <c:pt idx="9">
                  <c:v>22</c:v>
                </c:pt>
                <c:pt idx="10">
                  <c:v>55</c:v>
                </c:pt>
                <c:pt idx="11">
                  <c:v>12</c:v>
                </c:pt>
                <c:pt idx="12">
                  <c:v>793</c:v>
                </c:pt>
                <c:pt idx="13">
                  <c:v>1444</c:v>
                </c:pt>
                <c:pt idx="14">
                  <c:v>378</c:v>
                </c:pt>
                <c:pt idx="15">
                  <c:v>168</c:v>
                </c:pt>
                <c:pt idx="16">
                  <c:v>246</c:v>
                </c:pt>
                <c:pt idx="17">
                  <c:v>999</c:v>
                </c:pt>
                <c:pt idx="18">
                  <c:v>1179</c:v>
                </c:pt>
                <c:pt idx="19">
                  <c:v>805</c:v>
                </c:pt>
                <c:pt idx="20">
                  <c:v>720</c:v>
                </c:pt>
                <c:pt idx="21">
                  <c:v>194</c:v>
                </c:pt>
                <c:pt idx="22">
                  <c:v>54</c:v>
                </c:pt>
                <c:pt idx="23">
                  <c:v>233</c:v>
                </c:pt>
                <c:pt idx="24">
                  <c:v>88</c:v>
                </c:pt>
                <c:pt idx="25">
                  <c:v>131</c:v>
                </c:pt>
                <c:pt idx="26">
                  <c:v>31</c:v>
                </c:pt>
                <c:pt idx="27">
                  <c:v>21</c:v>
                </c:pt>
                <c:pt idx="28">
                  <c:v>478</c:v>
                </c:pt>
                <c:pt idx="29">
                  <c:v>308</c:v>
                </c:pt>
                <c:pt idx="30">
                  <c:v>90</c:v>
                </c:pt>
                <c:pt idx="31">
                  <c:v>155</c:v>
                </c:pt>
                <c:pt idx="32">
                  <c:v>1291</c:v>
                </c:pt>
                <c:pt idx="33">
                  <c:v>177</c:v>
                </c:pt>
                <c:pt idx="34">
                  <c:v>707</c:v>
                </c:pt>
                <c:pt idx="35">
                  <c:v>155</c:v>
                </c:pt>
                <c:pt idx="36">
                  <c:v>362</c:v>
                </c:pt>
                <c:pt idx="37">
                  <c:v>542</c:v>
                </c:pt>
                <c:pt idx="38">
                  <c:v>85</c:v>
                </c:pt>
                <c:pt idx="39">
                  <c:v>900</c:v>
                </c:pt>
                <c:pt idx="40">
                  <c:v>181</c:v>
                </c:pt>
                <c:pt idx="41">
                  <c:v>1113</c:v>
                </c:pt>
                <c:pt idx="42">
                  <c:v>396</c:v>
                </c:pt>
              </c:numCache>
            </c:numRef>
          </c:xVal>
          <c:yVal>
            <c:numRef>
              <c:f>Johnson2011Data!$V$2:$V$44</c:f>
              <c:numCache>
                <c:formatCode>0.00</c:formatCode>
                <c:ptCount val="43"/>
                <c:pt idx="0">
                  <c:v>92040.885999999999</c:v>
                </c:pt>
                <c:pt idx="1">
                  <c:v>#N/A</c:v>
                </c:pt>
                <c:pt idx="2">
                  <c:v>28870.54</c:v>
                </c:pt>
                <c:pt idx="3">
                  <c:v>43743.360000000001</c:v>
                </c:pt>
                <c:pt idx="4">
                  <c:v>136502.79</c:v>
                </c:pt>
                <c:pt idx="5">
                  <c:v>28479.15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11257.99</c:v>
                </c:pt>
                <c:pt idx="11">
                  <c:v>7892.0360000000001</c:v>
                </c:pt>
                <c:pt idx="12">
                  <c:v>#N/A</c:v>
                </c:pt>
                <c:pt idx="13">
                  <c:v>119986.13200000001</c:v>
                </c:pt>
                <c:pt idx="14">
                  <c:v>36541.784</c:v>
                </c:pt>
                <c:pt idx="15">
                  <c:v>20103.404000000002</c:v>
                </c:pt>
                <c:pt idx="16">
                  <c:v>#N/A</c:v>
                </c:pt>
                <c:pt idx="17">
                  <c:v>85152.422000000006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22138.632000000001</c:v>
                </c:pt>
                <c:pt idx="22">
                  <c:v>#N/A</c:v>
                </c:pt>
                <c:pt idx="23">
                  <c:v>25191.474000000002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44369.584000000003</c:v>
                </c:pt>
                <c:pt idx="29">
                  <c:v>#N/A</c:v>
                </c:pt>
                <c:pt idx="30">
                  <c:v>13997.720000000001</c:v>
                </c:pt>
                <c:pt idx="31">
                  <c:v>19085.79</c:v>
                </c:pt>
                <c:pt idx="32">
                  <c:v>108009.598</c:v>
                </c:pt>
                <c:pt idx="33">
                  <c:v>20807.905999999999</c:v>
                </c:pt>
                <c:pt idx="34">
                  <c:v>62295.245999999999</c:v>
                </c:pt>
                <c:pt idx="35">
                  <c:v>#N/A</c:v>
                </c:pt>
                <c:pt idx="36">
                  <c:v>35289.336000000003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92-47CB-B9B4-2C549740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72704"/>
        <c:axId val="192773096"/>
      </c:scatterChart>
      <c:valAx>
        <c:axId val="192772704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(mg)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3096"/>
        <c:crosses val="autoZero"/>
        <c:crossBetween val="midCat"/>
      </c:valAx>
      <c:valAx>
        <c:axId val="192773096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Kse (kN/m)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270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Fiber Length</a:t>
            </a:r>
            <a:r>
              <a:rPr lang="en-US" baseline="0"/>
              <a:t> Similarities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EngData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Eng2008MuscleData!$E$2:$E$30</c:f>
                <c:numCache>
                  <c:formatCode>General</c:formatCode>
                  <c:ptCount val="29"/>
                  <c:pt idx="0">
                    <c:v>7.0000000000000007E-2</c:v>
                  </c:pt>
                  <c:pt idx="1">
                    <c:v>0.08</c:v>
                  </c:pt>
                  <c:pt idx="2">
                    <c:v>0.08</c:v>
                  </c:pt>
                  <c:pt idx="3">
                    <c:v>0.04</c:v>
                  </c:pt>
                  <c:pt idx="4">
                    <c:v>0.06</c:v>
                  </c:pt>
                  <c:pt idx="5">
                    <c:v>0.13</c:v>
                  </c:pt>
                  <c:pt idx="6">
                    <c:v>0.1</c:v>
                  </c:pt>
                  <c:pt idx="7">
                    <c:v>7.0000000000000007E-2</c:v>
                  </c:pt>
                  <c:pt idx="8">
                    <c:v>0.06</c:v>
                  </c:pt>
                  <c:pt idx="9">
                    <c:v>0.03</c:v>
                  </c:pt>
                  <c:pt idx="10">
                    <c:v>0.14000000000000001</c:v>
                  </c:pt>
                  <c:pt idx="11">
                    <c:v>0.13</c:v>
                  </c:pt>
                  <c:pt idx="12">
                    <c:v>0.11</c:v>
                  </c:pt>
                  <c:pt idx="13">
                    <c:v>0.11</c:v>
                  </c:pt>
                  <c:pt idx="14">
                    <c:v>0.08</c:v>
                  </c:pt>
                  <c:pt idx="15">
                    <c:v>0.13</c:v>
                  </c:pt>
                  <c:pt idx="16">
                    <c:v>0.25</c:v>
                  </c:pt>
                  <c:pt idx="17">
                    <c:v>0.39</c:v>
                  </c:pt>
                  <c:pt idx="18">
                    <c:v>0.4</c:v>
                  </c:pt>
                  <c:pt idx="19">
                    <c:v>0.6</c:v>
                  </c:pt>
                  <c:pt idx="20">
                    <c:v>0.2</c:v>
                  </c:pt>
                  <c:pt idx="21">
                    <c:v>0.37</c:v>
                  </c:pt>
                  <c:pt idx="22">
                    <c:v>0.08</c:v>
                  </c:pt>
                  <c:pt idx="23">
                    <c:v>0.02</c:v>
                  </c:pt>
                  <c:pt idx="24">
                    <c:v>0.08</c:v>
                  </c:pt>
                  <c:pt idx="25">
                    <c:v>0.15</c:v>
                  </c:pt>
                  <c:pt idx="26">
                    <c:v>7.0000000000000007E-2</c:v>
                  </c:pt>
                  <c:pt idx="27">
                    <c:v>0.23</c:v>
                  </c:pt>
                  <c:pt idx="28">
                    <c:v>0.1</c:v>
                  </c:pt>
                </c:numCache>
              </c:numRef>
            </c:plus>
            <c:minus>
              <c:numRef>
                <c:f>Eng2008MuscleData!$E$2:$E$30</c:f>
                <c:numCache>
                  <c:formatCode>General</c:formatCode>
                  <c:ptCount val="29"/>
                  <c:pt idx="0">
                    <c:v>7.0000000000000007E-2</c:v>
                  </c:pt>
                  <c:pt idx="1">
                    <c:v>0.08</c:v>
                  </c:pt>
                  <c:pt idx="2">
                    <c:v>0.08</c:v>
                  </c:pt>
                  <c:pt idx="3">
                    <c:v>0.04</c:v>
                  </c:pt>
                  <c:pt idx="4">
                    <c:v>0.06</c:v>
                  </c:pt>
                  <c:pt idx="5">
                    <c:v>0.13</c:v>
                  </c:pt>
                  <c:pt idx="6">
                    <c:v>0.1</c:v>
                  </c:pt>
                  <c:pt idx="7">
                    <c:v>7.0000000000000007E-2</c:v>
                  </c:pt>
                  <c:pt idx="8">
                    <c:v>0.06</c:v>
                  </c:pt>
                  <c:pt idx="9">
                    <c:v>0.03</c:v>
                  </c:pt>
                  <c:pt idx="10">
                    <c:v>0.14000000000000001</c:v>
                  </c:pt>
                  <c:pt idx="11">
                    <c:v>0.13</c:v>
                  </c:pt>
                  <c:pt idx="12">
                    <c:v>0.11</c:v>
                  </c:pt>
                  <c:pt idx="13">
                    <c:v>0.11</c:v>
                  </c:pt>
                  <c:pt idx="14">
                    <c:v>0.08</c:v>
                  </c:pt>
                  <c:pt idx="15">
                    <c:v>0.13</c:v>
                  </c:pt>
                  <c:pt idx="16">
                    <c:v>0.25</c:v>
                  </c:pt>
                  <c:pt idx="17">
                    <c:v>0.39</c:v>
                  </c:pt>
                  <c:pt idx="18">
                    <c:v>0.4</c:v>
                  </c:pt>
                  <c:pt idx="19">
                    <c:v>0.6</c:v>
                  </c:pt>
                  <c:pt idx="20">
                    <c:v>0.2</c:v>
                  </c:pt>
                  <c:pt idx="21">
                    <c:v>0.37</c:v>
                  </c:pt>
                  <c:pt idx="22">
                    <c:v>0.08</c:v>
                  </c:pt>
                  <c:pt idx="23">
                    <c:v>0.02</c:v>
                  </c:pt>
                  <c:pt idx="24">
                    <c:v>0.08</c:v>
                  </c:pt>
                  <c:pt idx="25">
                    <c:v>0.15</c:v>
                  </c:pt>
                  <c:pt idx="26">
                    <c:v>7.0000000000000007E-2</c:v>
                  </c:pt>
                  <c:pt idx="27">
                    <c:v>0.23</c:v>
                  </c:pt>
                  <c:pt idx="28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Eng2008MuscleData!$D$2:$D$30</c:f>
              <c:numCache>
                <c:formatCode>General</c:formatCode>
                <c:ptCount val="29"/>
                <c:pt idx="0">
                  <c:v>1.1599999999999999</c:v>
                </c:pt>
                <c:pt idx="1">
                  <c:v>1.07</c:v>
                </c:pt>
                <c:pt idx="2">
                  <c:v>2.21</c:v>
                </c:pt>
                <c:pt idx="3">
                  <c:v>1.98</c:v>
                </c:pt>
                <c:pt idx="4">
                  <c:v>3.4</c:v>
                </c:pt>
                <c:pt idx="5">
                  <c:v>1.39</c:v>
                </c:pt>
                <c:pt idx="6">
                  <c:v>1.34</c:v>
                </c:pt>
                <c:pt idx="7">
                  <c:v>1.18</c:v>
                </c:pt>
                <c:pt idx="8">
                  <c:v>0.97</c:v>
                </c:pt>
                <c:pt idx="9">
                  <c:v>0.89</c:v>
                </c:pt>
                <c:pt idx="10">
                  <c:v>1.56</c:v>
                </c:pt>
                <c:pt idx="11">
                  <c:v>1.61</c:v>
                </c:pt>
                <c:pt idx="12">
                  <c:v>2.4300000000000002</c:v>
                </c:pt>
                <c:pt idx="13">
                  <c:v>1.92</c:v>
                </c:pt>
                <c:pt idx="14">
                  <c:v>2.64</c:v>
                </c:pt>
                <c:pt idx="15">
                  <c:v>2.57</c:v>
                </c:pt>
                <c:pt idx="16">
                  <c:v>2.1800000000000002</c:v>
                </c:pt>
                <c:pt idx="17">
                  <c:v>1.28</c:v>
                </c:pt>
                <c:pt idx="18">
                  <c:v>3.19</c:v>
                </c:pt>
                <c:pt idx="19">
                  <c:v>1.76</c:v>
                </c:pt>
                <c:pt idx="20">
                  <c:v>1.49</c:v>
                </c:pt>
                <c:pt idx="21">
                  <c:v>2.72</c:v>
                </c:pt>
                <c:pt idx="22">
                  <c:v>3.5</c:v>
                </c:pt>
                <c:pt idx="23">
                  <c:v>0.82</c:v>
                </c:pt>
                <c:pt idx="24">
                  <c:v>0.89</c:v>
                </c:pt>
                <c:pt idx="25">
                  <c:v>1.19</c:v>
                </c:pt>
                <c:pt idx="26">
                  <c:v>1.37</c:v>
                </c:pt>
                <c:pt idx="27">
                  <c:v>2.36</c:v>
                </c:pt>
                <c:pt idx="28">
                  <c:v>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E-412A-948E-7E4721486237}"/>
            </c:ext>
          </c:extLst>
        </c:ser>
        <c:ser>
          <c:idx val="1"/>
          <c:order val="1"/>
          <c:tx>
            <c:v>JohnsonData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Eng2008MuscleData!$J$2:$J$30</c:f>
              <c:numCache>
                <c:formatCode>0.00</c:formatCode>
                <c:ptCount val="29"/>
                <c:pt idx="0">
                  <c:v>2.2800000000000002</c:v>
                </c:pt>
                <c:pt idx="1">
                  <c:v>1.6600000000000001</c:v>
                </c:pt>
                <c:pt idx="2">
                  <c:v>2.84</c:v>
                </c:pt>
                <c:pt idx="3">
                  <c:v>0</c:v>
                </c:pt>
                <c:pt idx="4">
                  <c:v>3.7600000000000002</c:v>
                </c:pt>
                <c:pt idx="6">
                  <c:v>1.3699999999999999</c:v>
                </c:pt>
                <c:pt idx="7">
                  <c:v>1.21</c:v>
                </c:pt>
                <c:pt idx="8">
                  <c:v>0.9</c:v>
                </c:pt>
                <c:pt idx="9">
                  <c:v>1.08</c:v>
                </c:pt>
                <c:pt idx="10">
                  <c:v>1.25</c:v>
                </c:pt>
                <c:pt idx="11">
                  <c:v>1.46</c:v>
                </c:pt>
                <c:pt idx="12">
                  <c:v>1.9899999999999998</c:v>
                </c:pt>
                <c:pt idx="13">
                  <c:v>1.1800000000000002</c:v>
                </c:pt>
                <c:pt idx="14">
                  <c:v>2.93</c:v>
                </c:pt>
                <c:pt idx="15">
                  <c:v>3.0300000000000002</c:v>
                </c:pt>
                <c:pt idx="22">
                  <c:v>0</c:v>
                </c:pt>
                <c:pt idx="23">
                  <c:v>0.86</c:v>
                </c:pt>
                <c:pt idx="24">
                  <c:v>0.76</c:v>
                </c:pt>
                <c:pt idx="26">
                  <c:v>1.25</c:v>
                </c:pt>
                <c:pt idx="27">
                  <c:v>2.38</c:v>
                </c:pt>
                <c:pt idx="28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E-412A-948E-7E4721486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8656"/>
        <c:axId val="411149048"/>
      </c:scatterChart>
      <c:valAx>
        <c:axId val="4111486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048"/>
        <c:crosses val="autoZero"/>
        <c:crossBetween val="midCat"/>
      </c:valAx>
      <c:valAx>
        <c:axId val="4111490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</xdr:colOff>
      <xdr:row>45</xdr:row>
      <xdr:rowOff>9525</xdr:rowOff>
    </xdr:from>
    <xdr:to>
      <xdr:col>12</xdr:col>
      <xdr:colOff>330993</xdr:colOff>
      <xdr:row>59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433387</xdr:colOff>
      <xdr:row>45</xdr:row>
      <xdr:rowOff>21430</xdr:rowOff>
    </xdr:from>
    <xdr:to>
      <xdr:col>22</xdr:col>
      <xdr:colOff>11905</xdr:colOff>
      <xdr:row>59</xdr:row>
      <xdr:rowOff>97630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107156</xdr:colOff>
      <xdr:row>60</xdr:row>
      <xdr:rowOff>23812</xdr:rowOff>
    </xdr:from>
    <xdr:to>
      <xdr:col>12</xdr:col>
      <xdr:colOff>416718</xdr:colOff>
      <xdr:row>74</xdr:row>
      <xdr:rowOff>100012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1059657</xdr:colOff>
      <xdr:row>60</xdr:row>
      <xdr:rowOff>59531</xdr:rowOff>
    </xdr:from>
    <xdr:to>
      <xdr:col>19</xdr:col>
      <xdr:colOff>190501</xdr:colOff>
      <xdr:row>74</xdr:row>
      <xdr:rowOff>135731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84667</xdr:rowOff>
    </xdr:from>
    <xdr:to>
      <xdr:col>10</xdr:col>
      <xdr:colOff>533400</xdr:colOff>
      <xdr:row>54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pane xSplit="1" topLeftCell="B1" activePane="topRight" state="frozen"/>
      <selection pane="topRight" activeCell="A29" sqref="A29"/>
    </sheetView>
  </sheetViews>
  <sheetFormatPr defaultColWidth="8.85546875" defaultRowHeight="15" x14ac:dyDescent="0.25"/>
  <cols>
    <col min="1" max="1" width="25" customWidth="1"/>
    <col min="2" max="2" width="7.140625" customWidth="1"/>
    <col min="8" max="8" width="8.85546875" style="26"/>
    <col min="9" max="9" width="11.85546875" customWidth="1"/>
    <col min="12" max="12" width="8.85546875" style="26"/>
    <col min="13" max="13" width="16.85546875" customWidth="1"/>
    <col min="16" max="16" width="8.85546875" style="26"/>
    <col min="17" max="17" width="14" customWidth="1"/>
    <col min="18" max="19" width="8.85546875" style="5"/>
    <col min="20" max="20" width="8.85546875" style="26"/>
    <col min="21" max="21" width="8.85546875" style="5"/>
    <col min="22" max="22" width="9.28515625" style="5" bestFit="1" customWidth="1"/>
    <col min="23" max="23" width="9.28515625" style="5" customWidth="1"/>
    <col min="24" max="24" width="23.85546875" bestFit="1" customWidth="1"/>
    <col min="25" max="25" width="18.42578125" customWidth="1"/>
  </cols>
  <sheetData>
    <row r="1" spans="1:26" s="4" customFormat="1" x14ac:dyDescent="0.25">
      <c r="A1" s="4" t="s">
        <v>43</v>
      </c>
      <c r="B1" s="4" t="s">
        <v>191</v>
      </c>
      <c r="C1" s="4" t="s">
        <v>192</v>
      </c>
      <c r="D1" s="27" t="s">
        <v>193</v>
      </c>
      <c r="E1" s="4" t="s">
        <v>194</v>
      </c>
      <c r="F1" s="27" t="s">
        <v>193</v>
      </c>
      <c r="G1" s="4" t="s">
        <v>195</v>
      </c>
      <c r="H1" s="111" t="s">
        <v>193</v>
      </c>
      <c r="I1" s="4" t="s">
        <v>339</v>
      </c>
      <c r="J1" s="4" t="s">
        <v>192</v>
      </c>
      <c r="K1" s="4" t="s">
        <v>194</v>
      </c>
      <c r="L1" s="101" t="s">
        <v>195</v>
      </c>
      <c r="M1" s="4" t="s">
        <v>281</v>
      </c>
      <c r="N1" s="4" t="s">
        <v>196</v>
      </c>
      <c r="O1" s="4" t="s">
        <v>197</v>
      </c>
      <c r="P1" s="101" t="s">
        <v>198</v>
      </c>
      <c r="Q1" s="4" t="s">
        <v>340</v>
      </c>
      <c r="R1" s="4" t="s">
        <v>196</v>
      </c>
      <c r="S1" s="4" t="s">
        <v>197</v>
      </c>
      <c r="T1" s="101" t="s">
        <v>198</v>
      </c>
      <c r="U1" s="4" t="s">
        <v>288</v>
      </c>
      <c r="W1" s="4" t="s">
        <v>308</v>
      </c>
      <c r="X1" s="4" t="s">
        <v>284</v>
      </c>
      <c r="Y1" s="4" t="s">
        <v>293</v>
      </c>
      <c r="Z1" s="4" t="s">
        <v>292</v>
      </c>
    </row>
    <row r="2" spans="1:26" s="1" customFormat="1" x14ac:dyDescent="0.25">
      <c r="A2" s="1" t="s">
        <v>35</v>
      </c>
      <c r="B2" s="1" t="s">
        <v>12</v>
      </c>
      <c r="C2" s="1">
        <v>-10.86</v>
      </c>
      <c r="D2" s="1">
        <v>3.72</v>
      </c>
      <c r="E2" s="1">
        <v>-5.88</v>
      </c>
      <c r="F2" s="1">
        <v>0.49</v>
      </c>
      <c r="G2" s="1">
        <v>-6.67</v>
      </c>
      <c r="H2" s="102">
        <v>0.56999999999999995</v>
      </c>
      <c r="J2" s="1">
        <v>-10.86</v>
      </c>
      <c r="K2" s="1">
        <v>-5.88</v>
      </c>
      <c r="L2" s="102">
        <v>-6.67</v>
      </c>
      <c r="N2" s="1">
        <v>17.5258</v>
      </c>
      <c r="O2" s="1">
        <v>-4.7077</v>
      </c>
      <c r="P2" s="102">
        <v>8.9429999999999996</v>
      </c>
      <c r="R2" s="1">
        <v>17.501000000000001</v>
      </c>
      <c r="S2" s="1">
        <v>-3.0870000000000002</v>
      </c>
      <c r="T2" s="102">
        <v>12.02</v>
      </c>
      <c r="U2" s="1">
        <v>1</v>
      </c>
      <c r="V2" s="1" t="s">
        <v>289</v>
      </c>
      <c r="X2" s="1" t="s">
        <v>285</v>
      </c>
    </row>
    <row r="3" spans="1:26" s="1" customFormat="1" x14ac:dyDescent="0.25">
      <c r="A3" s="1" t="s">
        <v>33</v>
      </c>
      <c r="B3" s="1" t="s">
        <v>12</v>
      </c>
      <c r="C3" s="1">
        <v>-4.1100000000000003</v>
      </c>
      <c r="D3" s="1">
        <v>3.99</v>
      </c>
      <c r="E3" s="1">
        <v>-4.97</v>
      </c>
      <c r="F3" s="1">
        <v>0.86</v>
      </c>
      <c r="G3" s="1">
        <v>-5.33</v>
      </c>
      <c r="H3" s="102">
        <v>2.97</v>
      </c>
      <c r="J3" s="1">
        <v>-4.1100000000000003</v>
      </c>
      <c r="K3" s="1">
        <v>-4.97</v>
      </c>
      <c r="L3" s="102">
        <v>-5.33</v>
      </c>
      <c r="N3" s="1">
        <v>10.842000000000001</v>
      </c>
      <c r="O3" s="1">
        <v>-5.9383999999999997</v>
      </c>
      <c r="P3" s="102">
        <v>7.5289999999999999</v>
      </c>
      <c r="R3" s="1">
        <v>6.7779999999999996</v>
      </c>
      <c r="S3" s="1">
        <v>-7.4859999999999998</v>
      </c>
      <c r="T3" s="102">
        <v>6.7309999999999999</v>
      </c>
      <c r="U3" s="1">
        <v>1</v>
      </c>
      <c r="V3" s="1" t="s">
        <v>289</v>
      </c>
      <c r="X3" s="1" t="s">
        <v>285</v>
      </c>
    </row>
    <row r="4" spans="1:26" s="6" customFormat="1" x14ac:dyDescent="0.25">
      <c r="A4" s="6" t="s">
        <v>34</v>
      </c>
      <c r="B4" s="6" t="s">
        <v>12</v>
      </c>
      <c r="C4" s="6">
        <v>-5.97</v>
      </c>
      <c r="D4" s="6">
        <v>4.13</v>
      </c>
      <c r="E4" s="6">
        <v>-5.27</v>
      </c>
      <c r="F4" s="6">
        <v>2.09</v>
      </c>
      <c r="G4" s="6">
        <v>-5.67</v>
      </c>
      <c r="H4" s="103">
        <v>0.16</v>
      </c>
      <c r="I4" s="25"/>
      <c r="J4" s="6">
        <v>-5.97</v>
      </c>
      <c r="K4" s="6">
        <v>-5.27</v>
      </c>
      <c r="L4" s="103">
        <v>-5.67</v>
      </c>
      <c r="M4" s="25"/>
      <c r="N4" s="6">
        <v>12.6843</v>
      </c>
      <c r="O4" s="6">
        <v>-5.6416000000000004</v>
      </c>
      <c r="P4" s="103">
        <v>7.9572000000000003</v>
      </c>
      <c r="Q4" s="25"/>
      <c r="R4" s="25">
        <v>17.954000000000001</v>
      </c>
      <c r="S4" s="25">
        <v>-2.6280000000000001</v>
      </c>
      <c r="T4" s="125">
        <v>13.281000000000001</v>
      </c>
      <c r="U4" s="25">
        <v>1</v>
      </c>
      <c r="V4" s="6" t="s">
        <v>289</v>
      </c>
      <c r="X4" s="6" t="s">
        <v>286</v>
      </c>
    </row>
    <row r="5" spans="1:26" s="87" customFormat="1" x14ac:dyDescent="0.25">
      <c r="A5" s="87" t="s">
        <v>23</v>
      </c>
      <c r="B5" s="87" t="s">
        <v>12</v>
      </c>
      <c r="C5" s="87">
        <v>-6.77</v>
      </c>
      <c r="D5" s="87">
        <v>2.65</v>
      </c>
      <c r="E5" s="87">
        <v>8.75</v>
      </c>
      <c r="F5" s="87">
        <v>0.19</v>
      </c>
      <c r="G5" s="87">
        <v>-6</v>
      </c>
      <c r="H5" s="92">
        <v>0.84</v>
      </c>
      <c r="J5" s="87">
        <v>-6.77</v>
      </c>
      <c r="K5" s="87">
        <v>8.75</v>
      </c>
      <c r="L5" s="92">
        <v>-6</v>
      </c>
      <c r="N5" s="87">
        <v>13.6456</v>
      </c>
      <c r="O5" s="87">
        <v>-1.2083999999999999</v>
      </c>
      <c r="P5" s="92">
        <v>-5.3368000000000002</v>
      </c>
      <c r="R5" s="87">
        <v>13.936</v>
      </c>
      <c r="S5" s="87">
        <v>-0.57099999999999995</v>
      </c>
      <c r="T5" s="92">
        <v>-6.0060000000000002</v>
      </c>
      <c r="U5" s="87">
        <v>1</v>
      </c>
      <c r="V5" s="87" t="s">
        <v>289</v>
      </c>
      <c r="X5" s="87" t="s">
        <v>287</v>
      </c>
      <c r="Y5" s="87" t="s">
        <v>294</v>
      </c>
      <c r="Z5" s="87" t="s">
        <v>295</v>
      </c>
    </row>
    <row r="6" spans="1:26" s="87" customFormat="1" x14ac:dyDescent="0.25">
      <c r="A6" s="87" t="s">
        <v>23</v>
      </c>
      <c r="B6" s="87" t="s">
        <v>7</v>
      </c>
      <c r="H6" s="92"/>
      <c r="L6" s="92"/>
      <c r="P6" s="92"/>
      <c r="R6" s="87">
        <v>12.763</v>
      </c>
      <c r="S6" s="87">
        <v>-6.0709999999999997</v>
      </c>
      <c r="T6" s="92">
        <v>-2.8</v>
      </c>
    </row>
    <row r="7" spans="1:26" s="87" customFormat="1" x14ac:dyDescent="0.25">
      <c r="A7" s="87" t="s">
        <v>23</v>
      </c>
      <c r="B7" s="87" t="s">
        <v>7</v>
      </c>
      <c r="H7" s="92"/>
      <c r="L7" s="92"/>
      <c r="P7" s="92"/>
      <c r="R7" s="87">
        <v>13.132999999999999</v>
      </c>
      <c r="S7" s="87">
        <v>-7.6520000000000001</v>
      </c>
      <c r="T7" s="92">
        <v>-0.17699999999999999</v>
      </c>
    </row>
    <row r="8" spans="1:26" s="88" customFormat="1" x14ac:dyDescent="0.25">
      <c r="A8" s="88" t="s">
        <v>0</v>
      </c>
      <c r="B8" s="88" t="s">
        <v>12</v>
      </c>
      <c r="C8" s="88">
        <v>-13.65</v>
      </c>
      <c r="D8" s="88">
        <v>1.93</v>
      </c>
      <c r="E8" s="88">
        <v>2.38</v>
      </c>
      <c r="F8" s="88">
        <v>0.93</v>
      </c>
      <c r="G8" s="88">
        <v>-2.33</v>
      </c>
      <c r="H8" s="104">
        <v>0.95</v>
      </c>
      <c r="J8" s="88">
        <v>-13.65</v>
      </c>
      <c r="K8" s="88">
        <v>2.38</v>
      </c>
      <c r="L8" s="104">
        <v>-2.33</v>
      </c>
      <c r="N8" s="88">
        <v>20.577500000000001</v>
      </c>
      <c r="O8" s="88">
        <v>-6.3563999999999998</v>
      </c>
      <c r="P8" s="104">
        <v>-0.1573</v>
      </c>
      <c r="R8" s="88">
        <v>22.456</v>
      </c>
      <c r="S8" s="88">
        <v>-5.7320000000000002</v>
      </c>
      <c r="T8" s="104">
        <v>-0.36199999999999999</v>
      </c>
      <c r="U8" s="88">
        <v>2</v>
      </c>
      <c r="V8" s="88" t="s">
        <v>290</v>
      </c>
      <c r="X8" s="88" t="s">
        <v>296</v>
      </c>
      <c r="Z8" s="88" t="s">
        <v>297</v>
      </c>
    </row>
    <row r="9" spans="1:26" s="87" customFormat="1" x14ac:dyDescent="0.25">
      <c r="A9" s="87" t="s">
        <v>24</v>
      </c>
      <c r="B9" s="87" t="s">
        <v>12</v>
      </c>
      <c r="C9" s="87">
        <v>-8.1</v>
      </c>
      <c r="D9" s="87">
        <v>0.78</v>
      </c>
      <c r="E9" s="87">
        <v>10.15</v>
      </c>
      <c r="F9" s="87">
        <v>0.39</v>
      </c>
      <c r="G9" s="87">
        <v>-6.88</v>
      </c>
      <c r="H9" s="92">
        <v>0.1</v>
      </c>
      <c r="J9" s="87">
        <v>-8.1</v>
      </c>
      <c r="K9" s="87">
        <v>10.15</v>
      </c>
      <c r="L9" s="92">
        <v>-6.88</v>
      </c>
      <c r="N9" s="87">
        <v>14.959300000000001</v>
      </c>
      <c r="O9" s="87">
        <v>8.3900000000000002E-2</v>
      </c>
      <c r="P9" s="92">
        <v>-6.3891999999999998</v>
      </c>
      <c r="R9" s="87">
        <v>14.959</v>
      </c>
      <c r="S9" s="87">
        <v>-0.61399999999999999</v>
      </c>
      <c r="T9" s="92">
        <v>-5.4240000000000004</v>
      </c>
      <c r="U9" s="87">
        <v>1</v>
      </c>
      <c r="V9" s="87" t="s">
        <v>289</v>
      </c>
      <c r="X9" s="87" t="s">
        <v>287</v>
      </c>
      <c r="Y9" s="87" t="s">
        <v>298</v>
      </c>
      <c r="Z9" s="87" t="s">
        <v>295</v>
      </c>
    </row>
    <row r="10" spans="1:26" s="87" customFormat="1" x14ac:dyDescent="0.25">
      <c r="A10" s="87" t="s">
        <v>24</v>
      </c>
      <c r="B10" s="87" t="s">
        <v>7</v>
      </c>
      <c r="H10" s="92"/>
      <c r="L10" s="92"/>
      <c r="P10" s="92"/>
      <c r="R10" s="87">
        <v>13.959</v>
      </c>
      <c r="S10" s="87">
        <v>-5.5819999999999999</v>
      </c>
      <c r="T10" s="92">
        <v>-2.7</v>
      </c>
    </row>
    <row r="11" spans="1:26" s="87" customFormat="1" x14ac:dyDescent="0.25">
      <c r="A11" s="87" t="s">
        <v>24</v>
      </c>
      <c r="B11" s="87" t="s">
        <v>7</v>
      </c>
      <c r="H11" s="92"/>
      <c r="L11" s="92"/>
      <c r="P11" s="92"/>
      <c r="R11" s="87">
        <v>13.521000000000001</v>
      </c>
      <c r="S11" s="87">
        <v>-7.9809999999999999</v>
      </c>
      <c r="T11" s="92">
        <v>-0.25900000000000001</v>
      </c>
    </row>
    <row r="12" spans="1:26" s="88" customFormat="1" x14ac:dyDescent="0.25">
      <c r="A12" s="88" t="s">
        <v>41</v>
      </c>
      <c r="B12" s="88" t="s">
        <v>12</v>
      </c>
      <c r="C12" s="88">
        <v>-6.2</v>
      </c>
      <c r="D12" s="88">
        <v>5.8</v>
      </c>
      <c r="E12" s="88">
        <v>2.4500000000000002</v>
      </c>
      <c r="F12" s="88">
        <v>1.04</v>
      </c>
      <c r="G12" s="88">
        <v>-1.41</v>
      </c>
      <c r="H12" s="104">
        <v>0.17</v>
      </c>
      <c r="J12" s="88">
        <v>-6.2</v>
      </c>
      <c r="K12" s="88">
        <v>2.4500000000000002</v>
      </c>
      <c r="L12" s="104">
        <v>-1.41</v>
      </c>
      <c r="N12" s="88">
        <v>13.1683</v>
      </c>
      <c r="O12" s="88">
        <v>-7.4531000000000001</v>
      </c>
      <c r="P12" s="104">
        <v>-0.66149999999999998</v>
      </c>
      <c r="R12" s="88">
        <v>18.827000000000002</v>
      </c>
      <c r="S12" s="88">
        <v>-4.8499999999999996</v>
      </c>
      <c r="T12" s="104">
        <v>-2.4</v>
      </c>
      <c r="U12" s="88">
        <v>1</v>
      </c>
      <c r="V12" s="88" t="s">
        <v>289</v>
      </c>
      <c r="X12" s="88" t="s">
        <v>300</v>
      </c>
      <c r="Z12" s="88" t="s">
        <v>299</v>
      </c>
    </row>
    <row r="13" spans="1:26" s="88" customFormat="1" x14ac:dyDescent="0.25">
      <c r="A13" s="88" t="s">
        <v>40</v>
      </c>
      <c r="B13" s="88" t="s">
        <v>12</v>
      </c>
      <c r="C13" s="88">
        <v>2.75</v>
      </c>
      <c r="D13" s="88">
        <v>4.3600000000000003</v>
      </c>
      <c r="E13" s="88">
        <v>1.35</v>
      </c>
      <c r="F13" s="88">
        <v>0.77</v>
      </c>
      <c r="G13" s="88">
        <v>-2.2599999999999998</v>
      </c>
      <c r="H13" s="104">
        <v>0.33</v>
      </c>
      <c r="J13" s="88">
        <v>2.75</v>
      </c>
      <c r="K13" s="88">
        <v>1.35</v>
      </c>
      <c r="L13" s="104">
        <v>-2.2599999999999998</v>
      </c>
      <c r="N13" s="88">
        <v>4.1798999999999999</v>
      </c>
      <c r="O13" s="88">
        <v>-7.2473000000000001</v>
      </c>
      <c r="P13" s="104">
        <v>0.43469999999999998</v>
      </c>
      <c r="R13" s="88">
        <v>3.766</v>
      </c>
      <c r="S13" s="88">
        <v>-7.2469999999999999</v>
      </c>
      <c r="T13" s="104">
        <v>-1</v>
      </c>
      <c r="U13" s="88">
        <v>1</v>
      </c>
      <c r="V13" s="88" t="s">
        <v>289</v>
      </c>
      <c r="X13" s="88" t="s">
        <v>302</v>
      </c>
      <c r="Z13" s="88" t="s">
        <v>303</v>
      </c>
    </row>
    <row r="14" spans="1:26" s="6" customFormat="1" x14ac:dyDescent="0.25">
      <c r="A14" s="6" t="s">
        <v>29</v>
      </c>
      <c r="B14" s="6" t="s">
        <v>12</v>
      </c>
      <c r="C14" s="6">
        <v>16.14</v>
      </c>
      <c r="D14" s="6">
        <v>9.65</v>
      </c>
      <c r="E14" s="6">
        <v>9.5299999999999994</v>
      </c>
      <c r="F14" s="6">
        <v>3.39</v>
      </c>
      <c r="G14" s="6">
        <v>-3.13</v>
      </c>
      <c r="H14" s="103">
        <v>6.42</v>
      </c>
      <c r="I14" s="25"/>
      <c r="J14" s="6">
        <v>16.14</v>
      </c>
      <c r="K14" s="6">
        <v>9.5299999999999994</v>
      </c>
      <c r="L14" s="103">
        <v>-3.13</v>
      </c>
      <c r="M14" s="25"/>
      <c r="N14" s="6">
        <v>-9.1304999999999996</v>
      </c>
      <c r="O14" s="6">
        <v>-4.4554</v>
      </c>
      <c r="P14" s="103">
        <v>-7.4393000000000002</v>
      </c>
      <c r="Q14" s="25"/>
      <c r="R14" s="25">
        <v>-7.391</v>
      </c>
      <c r="S14" s="25">
        <v>-9.7309999999999999</v>
      </c>
      <c r="T14" s="125">
        <v>-2.2770000000000001</v>
      </c>
      <c r="U14" s="25">
        <v>1</v>
      </c>
      <c r="V14" s="6" t="s">
        <v>289</v>
      </c>
      <c r="X14" s="6" t="s">
        <v>304</v>
      </c>
      <c r="Y14" s="6" t="s">
        <v>305</v>
      </c>
    </row>
    <row r="15" spans="1:26" s="6" customFormat="1" x14ac:dyDescent="0.25">
      <c r="A15" s="6" t="s">
        <v>30</v>
      </c>
      <c r="B15" s="6" t="s">
        <v>12</v>
      </c>
      <c r="C15" s="6">
        <v>17.88</v>
      </c>
      <c r="D15" s="6">
        <v>8.24</v>
      </c>
      <c r="E15" s="6">
        <v>10.44</v>
      </c>
      <c r="F15" s="6">
        <v>0.21</v>
      </c>
      <c r="G15" s="6">
        <v>-1.52</v>
      </c>
      <c r="H15" s="103">
        <v>7.04</v>
      </c>
      <c r="I15" s="25"/>
      <c r="J15" s="6">
        <v>17.88</v>
      </c>
      <c r="K15" s="6">
        <v>10.44</v>
      </c>
      <c r="L15" s="103">
        <v>-1.52</v>
      </c>
      <c r="M15" s="25"/>
      <c r="N15" s="6">
        <v>-10.798</v>
      </c>
      <c r="O15" s="6">
        <v>-5.7843999999999998</v>
      </c>
      <c r="P15" s="103">
        <v>-8.8180999999999994</v>
      </c>
      <c r="Q15" s="25"/>
      <c r="R15" s="25">
        <v>-18.603999999999999</v>
      </c>
      <c r="S15" s="25">
        <v>-14</v>
      </c>
      <c r="T15" s="125">
        <v>-4.2279999999999998</v>
      </c>
      <c r="U15" s="25">
        <v>1</v>
      </c>
      <c r="V15" s="6" t="s">
        <v>289</v>
      </c>
      <c r="X15" s="6" t="s">
        <v>304</v>
      </c>
    </row>
    <row r="16" spans="1:26" s="6" customFormat="1" x14ac:dyDescent="0.25">
      <c r="A16" s="6" t="s">
        <v>31</v>
      </c>
      <c r="B16" s="6" t="s">
        <v>12</v>
      </c>
      <c r="C16" s="6">
        <v>13.46</v>
      </c>
      <c r="D16" s="6">
        <v>7.48</v>
      </c>
      <c r="E16" s="6">
        <v>1</v>
      </c>
      <c r="F16" s="6">
        <v>1.3</v>
      </c>
      <c r="G16" s="6">
        <v>0.5</v>
      </c>
      <c r="H16" s="103">
        <v>0.66</v>
      </c>
      <c r="I16" s="25"/>
      <c r="J16" s="6">
        <v>13.46</v>
      </c>
      <c r="K16" s="6">
        <v>1</v>
      </c>
      <c r="L16" s="103">
        <v>0.5</v>
      </c>
      <c r="M16" s="25"/>
      <c r="N16" s="6">
        <v>-6.4237000000000002</v>
      </c>
      <c r="O16" s="6">
        <v>-10.329700000000001</v>
      </c>
      <c r="P16" s="103">
        <v>-0.27789999999999998</v>
      </c>
      <c r="Q16" s="25"/>
      <c r="R16" s="25">
        <v>-10.696</v>
      </c>
      <c r="S16" s="25">
        <v>-10.156000000000001</v>
      </c>
      <c r="T16" s="125">
        <v>-1.7709999999999999</v>
      </c>
      <c r="U16" s="25">
        <v>1</v>
      </c>
      <c r="V16" s="6" t="s">
        <v>289</v>
      </c>
      <c r="X16" s="6" t="s">
        <v>304</v>
      </c>
    </row>
    <row r="17" spans="1:26" s="1" customFormat="1" x14ac:dyDescent="0.25">
      <c r="A17" s="1" t="s">
        <v>5</v>
      </c>
      <c r="B17" s="1" t="s">
        <v>12</v>
      </c>
      <c r="C17" s="1">
        <v>-6.36</v>
      </c>
      <c r="D17" s="1">
        <v>2.4500000000000002</v>
      </c>
      <c r="E17" s="1">
        <v>-5.97</v>
      </c>
      <c r="F17" s="1">
        <v>0.4</v>
      </c>
      <c r="G17" s="1">
        <v>-6.09</v>
      </c>
      <c r="H17" s="102">
        <v>0.78</v>
      </c>
      <c r="J17" s="1">
        <v>-6.36</v>
      </c>
      <c r="K17" s="1">
        <v>-5.97</v>
      </c>
      <c r="L17" s="102">
        <v>-6.09</v>
      </c>
      <c r="N17" s="1">
        <v>13.0497</v>
      </c>
      <c r="O17" s="1">
        <v>-5.4320000000000004</v>
      </c>
      <c r="P17" s="102">
        <v>8.7578999999999994</v>
      </c>
      <c r="R17" s="1">
        <v>19.282</v>
      </c>
      <c r="S17" s="1">
        <v>-2.5</v>
      </c>
      <c r="T17" s="102">
        <v>13.353999999999999</v>
      </c>
      <c r="U17" s="1">
        <v>2</v>
      </c>
      <c r="V17" s="1" t="s">
        <v>290</v>
      </c>
      <c r="X17" s="1" t="s">
        <v>285</v>
      </c>
    </row>
    <row r="18" spans="1:26" s="1" customFormat="1" x14ac:dyDescent="0.25">
      <c r="A18" s="1" t="s">
        <v>4</v>
      </c>
      <c r="B18" s="1" t="s">
        <v>12</v>
      </c>
      <c r="C18" s="1">
        <v>-15.47</v>
      </c>
      <c r="D18" s="1">
        <v>0</v>
      </c>
      <c r="E18" s="1">
        <v>-5.44</v>
      </c>
      <c r="F18" s="1">
        <v>0.84</v>
      </c>
      <c r="G18" s="1">
        <v>-6.31</v>
      </c>
      <c r="H18" s="102">
        <v>2.48</v>
      </c>
      <c r="J18" s="1">
        <v>-15.47</v>
      </c>
      <c r="K18" s="1">
        <v>-5.44</v>
      </c>
      <c r="L18" s="102">
        <v>-6.31</v>
      </c>
      <c r="N18" s="1">
        <v>22.1511</v>
      </c>
      <c r="O18" s="1">
        <v>-4.7763</v>
      </c>
      <c r="P18" s="102">
        <v>8.5221</v>
      </c>
      <c r="R18" s="1">
        <v>20.52</v>
      </c>
      <c r="S18" s="1">
        <v>-4.7729999999999997</v>
      </c>
      <c r="T18" s="102">
        <v>8.5830000000000002</v>
      </c>
      <c r="U18" s="1">
        <v>2</v>
      </c>
      <c r="V18" s="1" t="s">
        <v>290</v>
      </c>
      <c r="X18" s="1" t="s">
        <v>285</v>
      </c>
    </row>
    <row r="19" spans="1:26" s="6" customFormat="1" x14ac:dyDescent="0.25">
      <c r="A19" s="6" t="s">
        <v>37</v>
      </c>
      <c r="B19" s="6" t="s">
        <v>12</v>
      </c>
      <c r="C19" s="6">
        <v>38.86</v>
      </c>
      <c r="D19" s="6">
        <v>13.03</v>
      </c>
      <c r="E19" s="6">
        <v>4.0599999999999996</v>
      </c>
      <c r="F19" s="6">
        <v>0.35</v>
      </c>
      <c r="G19" s="6">
        <v>2.86</v>
      </c>
      <c r="H19" s="103">
        <v>1.93</v>
      </c>
      <c r="I19" s="25"/>
      <c r="J19" s="6">
        <v>38.86</v>
      </c>
      <c r="K19" s="6">
        <v>4.0599999999999996</v>
      </c>
      <c r="L19" s="103">
        <v>2.86</v>
      </c>
      <c r="M19" s="25"/>
      <c r="N19" s="6">
        <v>-31.6784</v>
      </c>
      <c r="O19" s="6">
        <v>-12.5031</v>
      </c>
      <c r="P19" s="103">
        <v>-4.4688999999999997</v>
      </c>
      <c r="Q19" s="25"/>
      <c r="R19" s="25">
        <v>-3</v>
      </c>
      <c r="S19" s="25">
        <v>-9.0690000000000008</v>
      </c>
      <c r="T19" s="125">
        <v>2.2240000000000002</v>
      </c>
      <c r="U19" s="25">
        <v>1</v>
      </c>
      <c r="V19" s="89" t="s">
        <v>289</v>
      </c>
      <c r="W19" s="89"/>
      <c r="X19" s="6" t="s">
        <v>306</v>
      </c>
      <c r="Y19" s="6" t="s">
        <v>307</v>
      </c>
    </row>
    <row r="20" spans="1:26" s="1" customFormat="1" x14ac:dyDescent="0.25">
      <c r="A20" s="1" t="s">
        <v>38</v>
      </c>
      <c r="B20" s="1" t="s">
        <v>12</v>
      </c>
      <c r="C20" s="1">
        <v>-8.8699999999999992</v>
      </c>
      <c r="D20" s="1">
        <v>1.19</v>
      </c>
      <c r="E20" s="1">
        <v>-2.4900000000000002</v>
      </c>
      <c r="F20" s="1">
        <v>2.48</v>
      </c>
      <c r="G20" s="1">
        <v>-3.11</v>
      </c>
      <c r="H20" s="102">
        <v>0.6</v>
      </c>
      <c r="J20" s="1">
        <v>-8.8699999999999992</v>
      </c>
      <c r="K20" s="1">
        <v>-2.4900000000000002</v>
      </c>
      <c r="L20" s="102">
        <v>-3.11</v>
      </c>
      <c r="N20" s="1">
        <v>15.7117</v>
      </c>
      <c r="O20" s="1">
        <v>-7.1848000000000001</v>
      </c>
      <c r="P20" s="102">
        <v>4.6188000000000002</v>
      </c>
      <c r="R20" s="1">
        <v>15.776999999999999</v>
      </c>
      <c r="S20" s="1">
        <v>-6.5</v>
      </c>
      <c r="T20" s="102">
        <v>4.6189999999999998</v>
      </c>
      <c r="U20" s="1">
        <v>1</v>
      </c>
      <c r="V20" s="1" t="s">
        <v>289</v>
      </c>
      <c r="X20" s="1" t="s">
        <v>285</v>
      </c>
    </row>
    <row r="21" spans="1:26" s="88" customFormat="1" x14ac:dyDescent="0.25">
      <c r="A21" s="88" t="s">
        <v>39</v>
      </c>
      <c r="B21" s="88" t="s">
        <v>12</v>
      </c>
      <c r="C21" s="88">
        <v>-6.76</v>
      </c>
      <c r="D21" s="88">
        <v>3.23</v>
      </c>
      <c r="E21" s="88">
        <v>4.92</v>
      </c>
      <c r="F21" s="88">
        <v>0.34</v>
      </c>
      <c r="G21" s="88">
        <v>-2.72</v>
      </c>
      <c r="H21" s="104">
        <v>1.57</v>
      </c>
      <c r="J21" s="88">
        <v>-6.76</v>
      </c>
      <c r="K21" s="88">
        <v>4.92</v>
      </c>
      <c r="L21" s="104">
        <v>-2.72</v>
      </c>
      <c r="N21" s="88">
        <v>13.709899999999999</v>
      </c>
      <c r="O21" s="88">
        <v>-5.4621000000000004</v>
      </c>
      <c r="P21" s="104">
        <v>-2.6295000000000002</v>
      </c>
      <c r="R21" s="88">
        <v>19.884</v>
      </c>
      <c r="S21" s="88">
        <v>-6.8</v>
      </c>
      <c r="T21" s="104">
        <v>3.25</v>
      </c>
      <c r="U21" s="88">
        <v>1</v>
      </c>
      <c r="V21" s="88" t="s">
        <v>289</v>
      </c>
      <c r="X21" s="88" t="s">
        <v>300</v>
      </c>
      <c r="Z21" s="88" t="s">
        <v>301</v>
      </c>
    </row>
    <row r="22" spans="1:26" s="1" customFormat="1" x14ac:dyDescent="0.25">
      <c r="A22" s="1" t="s">
        <v>36</v>
      </c>
      <c r="B22" s="1" t="s">
        <v>12</v>
      </c>
      <c r="C22" s="1">
        <v>1.52</v>
      </c>
      <c r="D22" s="1">
        <v>1.98</v>
      </c>
      <c r="E22" s="1">
        <v>-3.29</v>
      </c>
      <c r="F22" s="1">
        <v>2.17</v>
      </c>
      <c r="G22" s="1">
        <v>-3.07</v>
      </c>
      <c r="H22" s="102">
        <v>1.1000000000000001</v>
      </c>
      <c r="J22" s="1">
        <v>1.52</v>
      </c>
      <c r="K22" s="1">
        <v>-3.29</v>
      </c>
      <c r="L22" s="102">
        <v>-3.07</v>
      </c>
      <c r="N22" s="1">
        <v>5.3212000000000002</v>
      </c>
      <c r="O22" s="1">
        <v>-7.7881</v>
      </c>
      <c r="P22" s="102">
        <v>5.1360999999999999</v>
      </c>
      <c r="R22" s="1">
        <v>17.827999999999999</v>
      </c>
      <c r="S22" s="1">
        <v>-1.5</v>
      </c>
      <c r="T22" s="102">
        <v>14</v>
      </c>
      <c r="U22" s="90">
        <v>1</v>
      </c>
      <c r="V22" s="90" t="s">
        <v>289</v>
      </c>
      <c r="W22" s="90"/>
      <c r="X22" s="90" t="s">
        <v>285</v>
      </c>
    </row>
    <row r="23" spans="1:26" s="1" customFormat="1" x14ac:dyDescent="0.25">
      <c r="A23" s="1" t="s">
        <v>32</v>
      </c>
      <c r="B23" s="1" t="s">
        <v>12</v>
      </c>
      <c r="C23" s="1">
        <v>11.58</v>
      </c>
      <c r="D23" s="1">
        <v>10.050000000000001</v>
      </c>
      <c r="E23" s="1">
        <v>4.3</v>
      </c>
      <c r="F23" s="1">
        <v>0.06</v>
      </c>
      <c r="G23" s="1">
        <v>-0.74</v>
      </c>
      <c r="H23" s="102">
        <v>4.82</v>
      </c>
      <c r="J23" s="1">
        <v>11.58</v>
      </c>
      <c r="K23" s="1">
        <v>4.3</v>
      </c>
      <c r="L23" s="102">
        <v>-0.74</v>
      </c>
      <c r="N23" s="1">
        <v>-4.5502000000000002</v>
      </c>
      <c r="O23" s="1">
        <v>-8.1211000000000002</v>
      </c>
      <c r="P23" s="102">
        <v>-3.03</v>
      </c>
      <c r="R23" s="1">
        <v>-12.592000000000001</v>
      </c>
      <c r="S23" s="1">
        <v>-10.422000000000001</v>
      </c>
      <c r="T23" s="102">
        <v>-3.056</v>
      </c>
      <c r="U23" s="90">
        <v>1</v>
      </c>
      <c r="V23" s="90" t="s">
        <v>289</v>
      </c>
      <c r="W23" s="90"/>
      <c r="X23" s="90" t="s">
        <v>285</v>
      </c>
    </row>
    <row r="24" spans="1:26" s="1" customFormat="1" x14ac:dyDescent="0.25">
      <c r="A24" s="1" t="s">
        <v>27</v>
      </c>
      <c r="B24" s="1" t="s">
        <v>12</v>
      </c>
      <c r="C24" s="1">
        <v>-10.61</v>
      </c>
      <c r="D24" s="1">
        <v>0.38</v>
      </c>
      <c r="E24" s="1">
        <v>0.12</v>
      </c>
      <c r="F24" s="1">
        <v>3.66</v>
      </c>
      <c r="G24" s="1">
        <v>-1.77</v>
      </c>
      <c r="H24" s="102">
        <v>1.81</v>
      </c>
      <c r="J24" s="1">
        <v>-10.61</v>
      </c>
      <c r="K24" s="1">
        <v>0.12</v>
      </c>
      <c r="L24" s="102">
        <v>-1.77</v>
      </c>
      <c r="N24" s="1">
        <v>17.532599999999999</v>
      </c>
      <c r="O24" s="1">
        <v>-7.6483999999999996</v>
      </c>
      <c r="P24" s="102">
        <v>1.7719</v>
      </c>
      <c r="R24" s="1">
        <v>20.123000000000001</v>
      </c>
      <c r="S24" s="1">
        <v>-6</v>
      </c>
      <c r="T24" s="102">
        <v>6</v>
      </c>
      <c r="U24" s="90">
        <v>1</v>
      </c>
      <c r="V24" s="90" t="s">
        <v>289</v>
      </c>
      <c r="W24" s="90"/>
      <c r="X24" s="90" t="s">
        <v>285</v>
      </c>
    </row>
    <row r="25" spans="1:26" s="87" customFormat="1" x14ac:dyDescent="0.25">
      <c r="A25" s="87" t="s">
        <v>6</v>
      </c>
      <c r="B25" s="87" t="s">
        <v>12</v>
      </c>
      <c r="C25" s="87">
        <v>4.99</v>
      </c>
      <c r="D25" s="87">
        <v>1.38</v>
      </c>
      <c r="E25" s="87">
        <v>7.0000000000000007E-2</v>
      </c>
      <c r="F25" s="87">
        <v>0.8</v>
      </c>
      <c r="G25" s="87">
        <v>1.93</v>
      </c>
      <c r="H25" s="92">
        <v>1.23</v>
      </c>
      <c r="J25" s="87">
        <v>4.99</v>
      </c>
      <c r="K25" s="87">
        <v>7.0000000000000007E-2</v>
      </c>
      <c r="L25" s="92">
        <v>1.93</v>
      </c>
      <c r="N25" s="87">
        <v>2.0813999999999999</v>
      </c>
      <c r="O25" s="87">
        <v>-11.697800000000001</v>
      </c>
      <c r="P25" s="92">
        <v>0.38750000000000001</v>
      </c>
      <c r="R25" s="87">
        <v>2.081</v>
      </c>
      <c r="S25" s="87">
        <v>-12</v>
      </c>
      <c r="T25" s="92">
        <v>1</v>
      </c>
      <c r="U25" s="87">
        <v>2</v>
      </c>
      <c r="V25" s="87" t="s">
        <v>290</v>
      </c>
      <c r="X25" s="87" t="s">
        <v>309</v>
      </c>
    </row>
    <row r="26" spans="1:26" s="88" customFormat="1" x14ac:dyDescent="0.25">
      <c r="A26" s="88" t="s">
        <v>3</v>
      </c>
      <c r="B26" s="88" t="s">
        <v>12</v>
      </c>
      <c r="C26" s="88">
        <v>-14.39</v>
      </c>
      <c r="D26" s="88">
        <v>0.8</v>
      </c>
      <c r="E26" s="88">
        <v>-0.69</v>
      </c>
      <c r="F26" s="88">
        <v>3.87</v>
      </c>
      <c r="G26" s="88">
        <v>-3.35</v>
      </c>
      <c r="H26" s="104">
        <v>1.94</v>
      </c>
      <c r="J26" s="88">
        <v>-14.39</v>
      </c>
      <c r="K26" s="88">
        <v>-0.69</v>
      </c>
      <c r="L26" s="104">
        <v>-3.35</v>
      </c>
      <c r="N26" s="88">
        <v>21.2409</v>
      </c>
      <c r="O26" s="88">
        <v>-6.2538</v>
      </c>
      <c r="P26" s="104">
        <v>3.0926</v>
      </c>
      <c r="R26" s="88">
        <v>21.908999999999999</v>
      </c>
      <c r="S26" s="88">
        <v>-6</v>
      </c>
      <c r="T26" s="104">
        <v>3.7320000000000002</v>
      </c>
      <c r="U26" s="88">
        <v>2</v>
      </c>
      <c r="V26" s="88" t="s">
        <v>290</v>
      </c>
      <c r="X26" s="88" t="s">
        <v>310</v>
      </c>
      <c r="Z26" s="88" t="s">
        <v>311</v>
      </c>
    </row>
    <row r="27" spans="1:26" s="88" customFormat="1" x14ac:dyDescent="0.25">
      <c r="A27" s="88" t="s">
        <v>25</v>
      </c>
      <c r="B27" s="88" t="s">
        <v>12</v>
      </c>
      <c r="C27" s="88">
        <v>-10.09</v>
      </c>
      <c r="D27" s="88">
        <v>3.59</v>
      </c>
      <c r="E27" s="88">
        <v>8.81</v>
      </c>
      <c r="F27" s="88">
        <v>2.42</v>
      </c>
      <c r="G27" s="88">
        <v>-5.59</v>
      </c>
      <c r="H27" s="104">
        <v>0.57999999999999996</v>
      </c>
      <c r="J27" s="88">
        <v>-10.09</v>
      </c>
      <c r="K27" s="88">
        <v>8.81</v>
      </c>
      <c r="L27" s="104">
        <v>-5.59</v>
      </c>
      <c r="N27" s="88">
        <v>16.978999999999999</v>
      </c>
      <c r="O27" s="88">
        <v>-1.4769000000000001</v>
      </c>
      <c r="P27" s="104">
        <v>-5.4382000000000001</v>
      </c>
      <c r="R27" s="88">
        <v>16.978999999999999</v>
      </c>
      <c r="S27" s="88">
        <v>-1.4770000000000001</v>
      </c>
      <c r="T27" s="88">
        <v>-5.4379999999999997</v>
      </c>
      <c r="U27" s="88">
        <v>2</v>
      </c>
      <c r="V27" s="88" t="s">
        <v>290</v>
      </c>
      <c r="X27" s="88" t="s">
        <v>300</v>
      </c>
      <c r="Z27" s="88" t="s">
        <v>312</v>
      </c>
    </row>
    <row r="28" spans="1:26" s="88" customFormat="1" x14ac:dyDescent="0.25">
      <c r="A28" s="88" t="s">
        <v>25</v>
      </c>
      <c r="B28" s="88" t="s">
        <v>7</v>
      </c>
      <c r="H28" s="104"/>
      <c r="L28" s="104"/>
      <c r="P28" s="104"/>
      <c r="R28" s="88">
        <v>16.8</v>
      </c>
      <c r="S28" s="88">
        <v>-4.8319999999999999</v>
      </c>
      <c r="T28" s="104">
        <v>-2.5</v>
      </c>
    </row>
    <row r="29" spans="1:26" s="88" customFormat="1" x14ac:dyDescent="0.25">
      <c r="A29" s="88" t="s">
        <v>26</v>
      </c>
      <c r="B29" s="88" t="s">
        <v>12</v>
      </c>
      <c r="C29" s="88">
        <v>-15.19</v>
      </c>
      <c r="D29" s="88">
        <v>0.18</v>
      </c>
      <c r="E29" s="88">
        <v>1.17</v>
      </c>
      <c r="F29" s="88">
        <v>0.71</v>
      </c>
      <c r="G29" s="88">
        <v>-0.98</v>
      </c>
      <c r="H29" s="104">
        <v>2.08</v>
      </c>
      <c r="J29" s="88">
        <v>-15.19</v>
      </c>
      <c r="K29" s="88">
        <v>1.17</v>
      </c>
      <c r="L29" s="104">
        <v>-0.98</v>
      </c>
      <c r="N29" s="88">
        <v>22.151499999999999</v>
      </c>
      <c r="O29" s="88">
        <v>-7.9508999999999999</v>
      </c>
      <c r="P29" s="104">
        <v>0.64170000000000005</v>
      </c>
      <c r="R29" s="88">
        <v>22.152000000000001</v>
      </c>
      <c r="S29" s="88">
        <v>-5.93</v>
      </c>
      <c r="T29" s="104">
        <v>0.64200000000000002</v>
      </c>
      <c r="U29" s="88">
        <v>2</v>
      </c>
      <c r="V29" s="88" t="s">
        <v>290</v>
      </c>
      <c r="X29" s="88" t="s">
        <v>300</v>
      </c>
      <c r="Z29" s="88" t="s">
        <v>312</v>
      </c>
    </row>
    <row r="30" spans="1:26" s="6" customFormat="1" x14ac:dyDescent="0.25">
      <c r="A30" s="6" t="s">
        <v>28</v>
      </c>
      <c r="B30" s="6" t="s">
        <v>12</v>
      </c>
      <c r="C30" s="6">
        <v>21.65</v>
      </c>
      <c r="D30" s="6">
        <v>2.38</v>
      </c>
      <c r="E30" s="6">
        <v>0.61</v>
      </c>
      <c r="F30" s="6">
        <v>1.49</v>
      </c>
      <c r="G30" s="6">
        <v>2.67</v>
      </c>
      <c r="H30" s="103">
        <v>3.29</v>
      </c>
      <c r="I30" s="25"/>
      <c r="J30" s="6">
        <v>21.65</v>
      </c>
      <c r="K30" s="6">
        <v>0.61</v>
      </c>
      <c r="L30" s="103">
        <v>2.67</v>
      </c>
      <c r="M30" s="25"/>
      <c r="N30" s="6">
        <v>-14.531599999999999</v>
      </c>
      <c r="O30" s="6">
        <v>-12.779199999999999</v>
      </c>
      <c r="P30" s="103">
        <v>-0.72299999999999998</v>
      </c>
      <c r="Q30" s="25"/>
      <c r="R30" s="25">
        <v>-9.5939999999999994</v>
      </c>
      <c r="S30" s="25">
        <v>-9.968</v>
      </c>
      <c r="T30" s="125">
        <v>-0.53300000000000003</v>
      </c>
      <c r="U30" s="124" t="s">
        <v>313</v>
      </c>
      <c r="V30" s="89" t="s">
        <v>314</v>
      </c>
      <c r="X30" s="89" t="s">
        <v>315</v>
      </c>
    </row>
    <row r="34" spans="1:5" x14ac:dyDescent="0.25">
      <c r="A34" t="s">
        <v>291</v>
      </c>
      <c r="B34">
        <v>0.7</v>
      </c>
      <c r="C34">
        <v>1.9</v>
      </c>
      <c r="D34">
        <f>B34*180/3.14</f>
        <v>40.127388535031841</v>
      </c>
      <c r="E34" s="5">
        <f>C34*180/3.14</f>
        <v>108.91719745222929</v>
      </c>
    </row>
    <row r="35" spans="1:5" x14ac:dyDescent="0.25">
      <c r="D35">
        <f>90-D34</f>
        <v>49.872611464968159</v>
      </c>
      <c r="E35">
        <f>90-E34</f>
        <v>-18.917197452229289</v>
      </c>
    </row>
  </sheetData>
  <sortState ref="A1:P24">
    <sortCondition ref="A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2"/>
  <sheetViews>
    <sheetView topLeftCell="K1" workbookViewId="0">
      <selection activeCell="AG16" sqref="AG16"/>
    </sheetView>
  </sheetViews>
  <sheetFormatPr defaultRowHeight="15" x14ac:dyDescent="0.25"/>
  <cols>
    <col min="1" max="1" width="21.140625" style="5" customWidth="1"/>
    <col min="3" max="3" width="10.42578125" customWidth="1"/>
    <col min="5" max="5" width="7" customWidth="1"/>
    <col min="6" max="6" width="7.28515625" customWidth="1"/>
    <col min="7" max="7" width="6.5703125" customWidth="1"/>
    <col min="8" max="8" width="6.42578125" style="26" customWidth="1"/>
    <col min="10" max="10" width="9.140625" style="26"/>
    <col min="13" max="13" width="12.7109375" customWidth="1"/>
    <col min="14" max="14" width="10.5703125" customWidth="1"/>
    <col min="16" max="16" width="4" customWidth="1"/>
    <col min="18" max="18" width="4.42578125" customWidth="1"/>
    <col min="20" max="20" width="4.5703125" customWidth="1"/>
    <col min="23" max="23" width="3.85546875" style="5" customWidth="1"/>
    <col min="24" max="24" width="9.140625" style="5"/>
    <col min="25" max="25" width="4.140625" style="5" customWidth="1"/>
    <col min="26" max="26" width="9.140625" style="5"/>
    <col min="27" max="27" width="3.5703125" style="5" customWidth="1"/>
    <col min="28" max="28" width="9.140625" style="5"/>
    <col min="32" max="32" width="4.28515625" customWidth="1"/>
    <col min="34" max="34" width="4.140625" customWidth="1"/>
    <col min="36" max="36" width="4.7109375" customWidth="1"/>
  </cols>
  <sheetData>
    <row r="1" spans="1:37" x14ac:dyDescent="0.25">
      <c r="A1" s="186" t="s">
        <v>596</v>
      </c>
      <c r="B1" s="185"/>
      <c r="C1" s="223" t="s">
        <v>537</v>
      </c>
      <c r="D1" s="223"/>
      <c r="E1" s="223" t="s">
        <v>538</v>
      </c>
      <c r="F1" s="223"/>
      <c r="G1" s="223" t="s">
        <v>539</v>
      </c>
      <c r="H1" s="223"/>
      <c r="P1" s="225" t="s">
        <v>616</v>
      </c>
      <c r="Q1" s="225"/>
      <c r="R1" s="225"/>
      <c r="S1" s="225"/>
      <c r="T1" s="225"/>
      <c r="U1" s="225"/>
      <c r="V1" s="71"/>
      <c r="W1" s="227" t="s">
        <v>617</v>
      </c>
      <c r="X1" s="227"/>
      <c r="Y1" s="227"/>
      <c r="Z1" s="227"/>
      <c r="AA1" s="227"/>
      <c r="AB1" s="227"/>
      <c r="AF1" s="226" t="s">
        <v>622</v>
      </c>
      <c r="AG1" s="226"/>
      <c r="AH1" s="226"/>
      <c r="AI1" s="226"/>
      <c r="AJ1" s="226"/>
      <c r="AK1" s="226"/>
    </row>
    <row r="2" spans="1:37" x14ac:dyDescent="0.25">
      <c r="A2" s="185"/>
      <c r="B2" s="185"/>
      <c r="C2" s="185" t="s">
        <v>535</v>
      </c>
      <c r="D2" s="185" t="s">
        <v>536</v>
      </c>
      <c r="E2" s="185" t="s">
        <v>535</v>
      </c>
      <c r="F2" s="185" t="s">
        <v>536</v>
      </c>
      <c r="G2" s="185" t="s">
        <v>535</v>
      </c>
      <c r="H2" s="189" t="s">
        <v>536</v>
      </c>
      <c r="I2" t="s">
        <v>554</v>
      </c>
      <c r="J2" s="26" t="s">
        <v>555</v>
      </c>
      <c r="K2" t="s">
        <v>557</v>
      </c>
      <c r="L2" t="s">
        <v>556</v>
      </c>
      <c r="M2" t="s">
        <v>561</v>
      </c>
      <c r="N2" t="s">
        <v>560</v>
      </c>
      <c r="P2" s="225" t="s">
        <v>589</v>
      </c>
      <c r="Q2" s="225"/>
      <c r="R2" s="225" t="s">
        <v>588</v>
      </c>
      <c r="S2" s="225"/>
      <c r="T2" s="225" t="s">
        <v>587</v>
      </c>
      <c r="U2" s="225"/>
      <c r="V2" s="71"/>
      <c r="W2" s="227" t="s">
        <v>589</v>
      </c>
      <c r="X2" s="227"/>
      <c r="Y2" s="227" t="s">
        <v>588</v>
      </c>
      <c r="Z2" s="227"/>
      <c r="AA2" s="227" t="s">
        <v>587</v>
      </c>
      <c r="AB2" s="227"/>
      <c r="AD2" t="s">
        <v>540</v>
      </c>
      <c r="AF2" s="226" t="s">
        <v>589</v>
      </c>
      <c r="AG2" s="226"/>
      <c r="AH2" s="226" t="s">
        <v>588</v>
      </c>
      <c r="AI2" s="226"/>
      <c r="AJ2" s="226" t="s">
        <v>587</v>
      </c>
      <c r="AK2" s="226"/>
    </row>
    <row r="3" spans="1:37" x14ac:dyDescent="0.25">
      <c r="A3" s="224" t="s">
        <v>543</v>
      </c>
      <c r="B3" s="185" t="s">
        <v>540</v>
      </c>
      <c r="C3" s="185">
        <v>43</v>
      </c>
      <c r="D3" s="185" t="s">
        <v>544</v>
      </c>
      <c r="E3" s="185">
        <v>102</v>
      </c>
      <c r="F3" s="185" t="s">
        <v>547</v>
      </c>
      <c r="G3" s="185">
        <v>60</v>
      </c>
      <c r="H3" s="189" t="s">
        <v>548</v>
      </c>
      <c r="I3" s="176">
        <f>MAX(C3,E3,G3)</f>
        <v>102</v>
      </c>
      <c r="J3" s="180">
        <f>MIN(C3,E3,G3)</f>
        <v>43</v>
      </c>
      <c r="K3" s="176">
        <v>109</v>
      </c>
      <c r="L3" s="176">
        <v>28</v>
      </c>
      <c r="M3" s="176">
        <f>K3-L3</f>
        <v>81</v>
      </c>
      <c r="N3" s="176">
        <f>B10</f>
        <v>81</v>
      </c>
      <c r="O3" s="5"/>
      <c r="P3" s="193" t="s">
        <v>566</v>
      </c>
      <c r="Q3" s="193">
        <v>0.82179999999999997</v>
      </c>
      <c r="R3" s="193" t="s">
        <v>566</v>
      </c>
      <c r="S3" s="193">
        <v>0.72660000000000002</v>
      </c>
      <c r="T3" s="193" t="s">
        <v>566</v>
      </c>
      <c r="U3" s="193">
        <v>0.99619999999999997</v>
      </c>
      <c r="W3" s="194" t="s">
        <v>566</v>
      </c>
      <c r="X3" s="194">
        <v>0.63890000000000002</v>
      </c>
      <c r="Y3" s="194" t="s">
        <v>566</v>
      </c>
      <c r="Z3" s="194">
        <v>0.49309999999999998</v>
      </c>
      <c r="AA3" s="194" t="s">
        <v>566</v>
      </c>
      <c r="AB3" s="194">
        <v>1.141</v>
      </c>
      <c r="AC3" s="5" t="s">
        <v>566</v>
      </c>
      <c r="AD3" s="5">
        <v>0.69510000000000005</v>
      </c>
      <c r="AE3" s="5"/>
      <c r="AF3" s="222" t="s">
        <v>566</v>
      </c>
      <c r="AG3" s="222">
        <v>1.175</v>
      </c>
      <c r="AH3" s="222" t="s">
        <v>566</v>
      </c>
      <c r="AI3" s="222">
        <v>0.57420000000000004</v>
      </c>
      <c r="AJ3" s="222" t="s">
        <v>566</v>
      </c>
      <c r="AK3" s="222">
        <v>3.2869999999999999</v>
      </c>
    </row>
    <row r="4" spans="1:37" x14ac:dyDescent="0.25">
      <c r="A4" s="224"/>
      <c r="B4" s="185" t="s">
        <v>541</v>
      </c>
      <c r="C4" s="185">
        <v>79</v>
      </c>
      <c r="D4" s="185" t="s">
        <v>545</v>
      </c>
      <c r="E4" s="185">
        <v>63</v>
      </c>
      <c r="F4" s="185" t="s">
        <v>549</v>
      </c>
      <c r="G4" s="185">
        <v>24</v>
      </c>
      <c r="H4" s="189" t="s">
        <v>550</v>
      </c>
      <c r="I4" s="176">
        <f t="shared" ref="I4:I5" si="0">MAX(C4,E4,G4)</f>
        <v>79</v>
      </c>
      <c r="J4" s="180">
        <f t="shared" ref="J4:J5" si="1">MIN(C4,E4,G4)</f>
        <v>24</v>
      </c>
      <c r="K4" s="176">
        <v>93</v>
      </c>
      <c r="L4" s="176">
        <v>13</v>
      </c>
      <c r="M4" s="176">
        <f t="shared" ref="M4:M5" si="2">K4-L4</f>
        <v>80</v>
      </c>
      <c r="N4" s="176">
        <f>C10</f>
        <v>80</v>
      </c>
      <c r="P4" s="193" t="s">
        <v>567</v>
      </c>
      <c r="Q4" s="193">
        <v>0.2205</v>
      </c>
      <c r="R4" s="193" t="s">
        <v>567</v>
      </c>
      <c r="S4" s="193">
        <v>0.36349999999999999</v>
      </c>
      <c r="T4" s="193" t="s">
        <v>567</v>
      </c>
      <c r="U4" s="193">
        <v>0.2195</v>
      </c>
      <c r="W4" s="194" t="s">
        <v>567</v>
      </c>
      <c r="X4" s="194">
        <v>0.20019999999999999</v>
      </c>
      <c r="Y4" s="194" t="s">
        <v>567</v>
      </c>
      <c r="Z4" s="194">
        <v>0.20899999999999999</v>
      </c>
      <c r="AA4" s="194" t="s">
        <v>567</v>
      </c>
      <c r="AB4" s="194">
        <v>0.15529999999999999</v>
      </c>
      <c r="AC4" s="5" t="s">
        <v>567</v>
      </c>
      <c r="AD4" s="5">
        <v>0.2447</v>
      </c>
      <c r="AE4" s="5"/>
      <c r="AF4" s="222" t="s">
        <v>567</v>
      </c>
      <c r="AG4" s="222">
        <v>3.3809999999999998</v>
      </c>
      <c r="AH4" s="222" t="s">
        <v>567</v>
      </c>
      <c r="AI4" s="222">
        <v>2.952</v>
      </c>
      <c r="AJ4" s="222" t="s">
        <v>567</v>
      </c>
      <c r="AK4" s="222">
        <v>3.141</v>
      </c>
    </row>
    <row r="5" spans="1:37" x14ac:dyDescent="0.25">
      <c r="A5" s="224"/>
      <c r="B5" s="185" t="s">
        <v>542</v>
      </c>
      <c r="C5" s="185">
        <v>81</v>
      </c>
      <c r="D5" s="185" t="s">
        <v>546</v>
      </c>
      <c r="E5" s="185">
        <v>99</v>
      </c>
      <c r="F5" s="185" t="s">
        <v>551</v>
      </c>
      <c r="G5" s="185">
        <v>36</v>
      </c>
      <c r="H5" s="189" t="s">
        <v>552</v>
      </c>
      <c r="I5" s="176">
        <f t="shared" si="0"/>
        <v>99</v>
      </c>
      <c r="J5" s="180">
        <f t="shared" si="1"/>
        <v>36</v>
      </c>
      <c r="K5" s="176">
        <v>121</v>
      </c>
      <c r="L5" s="176">
        <v>22</v>
      </c>
      <c r="M5" s="176">
        <f t="shared" si="2"/>
        <v>99</v>
      </c>
      <c r="N5" s="176">
        <f>D10</f>
        <v>99</v>
      </c>
      <c r="P5" s="193" t="s">
        <v>568</v>
      </c>
      <c r="Q5" s="193">
        <v>-2.6869999999999998</v>
      </c>
      <c r="R5" s="193" t="s">
        <v>568</v>
      </c>
      <c r="S5" s="193">
        <v>2.794</v>
      </c>
      <c r="T5" s="193" t="s">
        <v>568</v>
      </c>
      <c r="U5" s="193">
        <v>3.274</v>
      </c>
      <c r="W5" s="194" t="s">
        <v>568</v>
      </c>
      <c r="X5" s="194">
        <v>-2.5379999999999998</v>
      </c>
      <c r="Y5" s="194" t="s">
        <v>568</v>
      </c>
      <c r="Z5" s="194">
        <v>-2.524</v>
      </c>
      <c r="AA5" s="194" t="s">
        <v>568</v>
      </c>
      <c r="AB5" s="194">
        <v>-1.845</v>
      </c>
      <c r="AC5" s="5" t="s">
        <v>568</v>
      </c>
      <c r="AD5" s="5">
        <v>3.5059999999999998</v>
      </c>
      <c r="AE5" s="5"/>
      <c r="AF5" s="222" t="s">
        <v>568</v>
      </c>
      <c r="AG5" s="222">
        <v>3.262</v>
      </c>
      <c r="AH5" s="222" t="s">
        <v>568</v>
      </c>
      <c r="AI5" s="222">
        <v>-2.7690000000000001</v>
      </c>
      <c r="AJ5" s="222" t="s">
        <v>568</v>
      </c>
      <c r="AK5" s="222">
        <v>-2.645</v>
      </c>
    </row>
    <row r="6" spans="1:37" x14ac:dyDescent="0.25">
      <c r="B6" s="5"/>
      <c r="C6" s="5"/>
      <c r="D6" s="5"/>
      <c r="E6" s="5"/>
      <c r="F6" s="5"/>
      <c r="G6" s="5"/>
      <c r="P6" s="193" t="s">
        <v>569</v>
      </c>
      <c r="Q6" s="193">
        <v>0.5131</v>
      </c>
      <c r="R6" s="193" t="s">
        <v>569</v>
      </c>
      <c r="S6" s="193">
        <v>0.59030000000000005</v>
      </c>
      <c r="T6" s="193" t="s">
        <v>569</v>
      </c>
      <c r="U6" s="193">
        <v>0.28489999999999999</v>
      </c>
      <c r="W6" s="194" t="s">
        <v>569</v>
      </c>
      <c r="X6" s="194">
        <v>0.50339999999999996</v>
      </c>
      <c r="Y6" s="194" t="s">
        <v>569</v>
      </c>
      <c r="Z6" s="194">
        <v>0.19950000000000001</v>
      </c>
      <c r="AA6" s="194" t="s">
        <v>569</v>
      </c>
      <c r="AB6" s="194">
        <v>0.43669999999999998</v>
      </c>
      <c r="AC6" s="5" t="s">
        <v>569</v>
      </c>
      <c r="AD6" s="5">
        <v>0.57210000000000005</v>
      </c>
      <c r="AE6" s="5"/>
      <c r="AF6" s="222" t="s">
        <v>569</v>
      </c>
      <c r="AG6" s="222">
        <v>0.57279999999999998</v>
      </c>
      <c r="AH6" s="222" t="s">
        <v>569</v>
      </c>
      <c r="AI6" s="222">
        <v>1.125</v>
      </c>
      <c r="AJ6" s="222" t="s">
        <v>569</v>
      </c>
      <c r="AK6" s="222">
        <v>2.5960000000000001</v>
      </c>
    </row>
    <row r="7" spans="1:37" x14ac:dyDescent="0.25">
      <c r="A7" s="179" t="s">
        <v>597</v>
      </c>
      <c r="B7" s="5" t="s">
        <v>540</v>
      </c>
      <c r="C7" s="5" t="s">
        <v>541</v>
      </c>
      <c r="D7" s="5" t="s">
        <v>542</v>
      </c>
      <c r="E7" s="5"/>
      <c r="F7" s="5"/>
      <c r="G7" s="5"/>
      <c r="P7" s="193" t="s">
        <v>570</v>
      </c>
      <c r="Q7" s="193">
        <v>1.8440000000000001</v>
      </c>
      <c r="R7" s="193" t="s">
        <v>570</v>
      </c>
      <c r="S7" s="193">
        <v>0.69710000000000005</v>
      </c>
      <c r="T7" s="193" t="s">
        <v>570</v>
      </c>
      <c r="U7" s="193">
        <v>0.54430000000000001</v>
      </c>
      <c r="W7" s="194" t="s">
        <v>570</v>
      </c>
      <c r="X7" s="194">
        <v>1.8580000000000001</v>
      </c>
      <c r="Y7" s="194" t="s">
        <v>570</v>
      </c>
      <c r="Z7" s="194">
        <v>0.58220000000000005</v>
      </c>
      <c r="AA7" s="194" t="s">
        <v>570</v>
      </c>
      <c r="AB7" s="194">
        <v>0.35089999999999999</v>
      </c>
      <c r="AC7" s="5" t="s">
        <v>570</v>
      </c>
      <c r="AD7" s="5">
        <v>1.879</v>
      </c>
      <c r="AE7" s="5"/>
      <c r="AF7" s="222" t="s">
        <v>570</v>
      </c>
      <c r="AG7" s="222">
        <v>21.59</v>
      </c>
      <c r="AH7" s="222" t="s">
        <v>570</v>
      </c>
      <c r="AI7" s="222">
        <v>7.2240000000000002</v>
      </c>
      <c r="AJ7" s="222" t="s">
        <v>570</v>
      </c>
      <c r="AK7" s="222">
        <v>3.738</v>
      </c>
    </row>
    <row r="8" spans="1:37" x14ac:dyDescent="0.25">
      <c r="A8" s="179" t="s">
        <v>559</v>
      </c>
      <c r="B8" s="5">
        <v>11</v>
      </c>
      <c r="C8" s="5">
        <v>3</v>
      </c>
      <c r="D8" s="5">
        <v>5</v>
      </c>
      <c r="E8" s="5"/>
      <c r="F8" s="5"/>
      <c r="G8" s="5"/>
      <c r="P8" s="193" t="s">
        <v>571</v>
      </c>
      <c r="Q8" s="193">
        <v>-0.89449999999999996</v>
      </c>
      <c r="R8" s="193" t="s">
        <v>571</v>
      </c>
      <c r="S8" s="193">
        <v>-2.1030000000000002</v>
      </c>
      <c r="T8" s="193" t="s">
        <v>571</v>
      </c>
      <c r="U8" s="193">
        <v>-1.9350000000000001</v>
      </c>
      <c r="W8" s="194" t="s">
        <v>571</v>
      </c>
      <c r="X8" s="194">
        <v>-1.1879999999999999</v>
      </c>
      <c r="Y8" s="194" t="s">
        <v>571</v>
      </c>
      <c r="Z8" s="194">
        <v>-1.07</v>
      </c>
      <c r="AA8" s="194" t="s">
        <v>571</v>
      </c>
      <c r="AB8" s="194">
        <v>0.71730000000000005</v>
      </c>
      <c r="AC8" s="5" t="s">
        <v>571</v>
      </c>
      <c r="AD8" s="5">
        <v>-1.298</v>
      </c>
      <c r="AE8" s="5"/>
      <c r="AF8" s="222" t="s">
        <v>571</v>
      </c>
      <c r="AG8" s="222">
        <v>-1.296</v>
      </c>
      <c r="AH8" s="222" t="s">
        <v>571</v>
      </c>
      <c r="AI8" s="222">
        <v>-1.35</v>
      </c>
      <c r="AJ8" s="222" t="s">
        <v>571</v>
      </c>
      <c r="AK8" s="222">
        <v>0.29010000000000002</v>
      </c>
    </row>
    <row r="9" spans="1:37" x14ac:dyDescent="0.25">
      <c r="A9" s="179" t="s">
        <v>558</v>
      </c>
      <c r="B9" s="5">
        <v>-70</v>
      </c>
      <c r="C9" s="5">
        <v>-77</v>
      </c>
      <c r="D9" s="5">
        <v>-94</v>
      </c>
      <c r="E9" s="5"/>
      <c r="F9" s="5"/>
      <c r="G9" s="5"/>
      <c r="P9" s="193" t="s">
        <v>572</v>
      </c>
      <c r="Q9" s="193">
        <v>0.3</v>
      </c>
      <c r="R9" s="193" t="s">
        <v>572</v>
      </c>
      <c r="S9" s="193">
        <v>0.38369999999999999</v>
      </c>
      <c r="T9" s="193" t="s">
        <v>572</v>
      </c>
      <c r="U9" s="193">
        <v>0.249</v>
      </c>
      <c r="W9" s="194" t="s">
        <v>572</v>
      </c>
      <c r="X9" s="194">
        <v>0.16420000000000001</v>
      </c>
      <c r="Y9" s="194" t="s">
        <v>572</v>
      </c>
      <c r="Z9" s="194">
        <v>0.19470000000000001</v>
      </c>
      <c r="AA9" s="194" t="s">
        <v>572</v>
      </c>
      <c r="AB9" s="194">
        <v>0.27129999999999999</v>
      </c>
      <c r="AC9" s="5" t="s">
        <v>572</v>
      </c>
      <c r="AD9" s="5">
        <v>0.24660000000000001</v>
      </c>
      <c r="AE9" s="5"/>
      <c r="AF9" s="222" t="s">
        <v>572</v>
      </c>
      <c r="AG9" s="222">
        <v>0.70899999999999996</v>
      </c>
      <c r="AH9" s="222" t="s">
        <v>572</v>
      </c>
      <c r="AI9" s="222">
        <v>0.19470000000000001</v>
      </c>
      <c r="AJ9" s="222" t="s">
        <v>572</v>
      </c>
      <c r="AK9" s="222">
        <v>0.27100000000000002</v>
      </c>
    </row>
    <row r="10" spans="1:37" x14ac:dyDescent="0.25">
      <c r="A10" s="5" t="s">
        <v>536</v>
      </c>
      <c r="B10">
        <f>B8-B9</f>
        <v>81</v>
      </c>
      <c r="C10" s="5">
        <f t="shared" ref="C10:D10" si="3">C8-C9</f>
        <v>80</v>
      </c>
      <c r="D10" s="5">
        <f t="shared" si="3"/>
        <v>99</v>
      </c>
      <c r="P10" s="193" t="s">
        <v>573</v>
      </c>
      <c r="Q10" s="193">
        <v>0.39169999999999999</v>
      </c>
      <c r="R10" s="193" t="s">
        <v>573</v>
      </c>
      <c r="S10" s="193">
        <v>3.7639999999999998</v>
      </c>
      <c r="T10" s="193" t="s">
        <v>573</v>
      </c>
      <c r="U10" s="193">
        <v>3.766</v>
      </c>
      <c r="W10" s="194" t="s">
        <v>573</v>
      </c>
      <c r="X10" s="194">
        <v>0.48209999999999997</v>
      </c>
      <c r="Y10" s="194" t="s">
        <v>573</v>
      </c>
      <c r="Z10" s="194">
        <v>3.7679999999999998</v>
      </c>
      <c r="AA10" s="194" t="s">
        <v>573</v>
      </c>
      <c r="AB10" s="194">
        <v>3.7679999999999998</v>
      </c>
      <c r="AC10" s="5" t="s">
        <v>573</v>
      </c>
      <c r="AD10" s="5">
        <v>0.54679999999999995</v>
      </c>
      <c r="AE10" s="5"/>
      <c r="AF10" s="222" t="s">
        <v>573</v>
      </c>
      <c r="AG10" s="222">
        <v>4.75</v>
      </c>
      <c r="AH10" s="222" t="s">
        <v>573</v>
      </c>
      <c r="AI10" s="222">
        <v>43.31</v>
      </c>
      <c r="AJ10" s="222" t="s">
        <v>573</v>
      </c>
      <c r="AK10" s="222">
        <v>43.31</v>
      </c>
    </row>
    <row r="11" spans="1:37" s="5" customFormat="1" x14ac:dyDescent="0.25">
      <c r="H11" s="26"/>
      <c r="J11" s="26"/>
      <c r="P11" s="193" t="s">
        <v>574</v>
      </c>
      <c r="Q11" s="193">
        <v>-0.41549999999999998</v>
      </c>
      <c r="R11" s="193" t="s">
        <v>574</v>
      </c>
      <c r="S11" s="193">
        <v>2.032</v>
      </c>
      <c r="T11" s="193" t="s">
        <v>574</v>
      </c>
      <c r="U11" s="193">
        <v>1.9419999999999999</v>
      </c>
      <c r="W11" s="194" t="s">
        <v>574</v>
      </c>
      <c r="X11" s="194">
        <v>-0.75890000000000002</v>
      </c>
      <c r="Y11" s="194" t="s">
        <v>574</v>
      </c>
      <c r="Z11" s="194">
        <v>2.1160000000000001</v>
      </c>
      <c r="AA11" s="194" t="s">
        <v>574</v>
      </c>
      <c r="AB11" s="194">
        <v>1.288</v>
      </c>
      <c r="AC11" s="5" t="s">
        <v>574</v>
      </c>
      <c r="AD11" s="5">
        <v>-1.1240000000000001</v>
      </c>
      <c r="AF11" s="222" t="s">
        <v>574</v>
      </c>
      <c r="AG11" s="222">
        <v>-0.46600000000000003</v>
      </c>
      <c r="AH11" s="222" t="s">
        <v>574</v>
      </c>
      <c r="AI11" s="222">
        <v>2.1160000000000001</v>
      </c>
      <c r="AJ11" s="222" t="s">
        <v>574</v>
      </c>
      <c r="AK11" s="222">
        <v>1.288</v>
      </c>
    </row>
    <row r="12" spans="1:37" x14ac:dyDescent="0.25">
      <c r="A12" s="190"/>
      <c r="B12" s="190" t="s">
        <v>553</v>
      </c>
      <c r="C12" s="190" t="s">
        <v>598</v>
      </c>
      <c r="D12" s="192" t="s">
        <v>536</v>
      </c>
      <c r="E12" s="191" t="s">
        <v>599</v>
      </c>
      <c r="F12" s="190" t="s">
        <v>141</v>
      </c>
      <c r="G12" s="190" t="s">
        <v>600</v>
      </c>
      <c r="P12" s="193" t="s">
        <v>575</v>
      </c>
      <c r="Q12" s="193">
        <v>5.7619999999999998E-2</v>
      </c>
      <c r="R12" s="193" t="s">
        <v>575</v>
      </c>
      <c r="S12" s="193">
        <v>0.18390000000000001</v>
      </c>
      <c r="T12" s="193" t="s">
        <v>575</v>
      </c>
      <c r="U12" s="193">
        <v>0.69369999999999998</v>
      </c>
      <c r="W12" s="194" t="s">
        <v>575</v>
      </c>
      <c r="X12" s="194">
        <v>8.0500000000000002E-2</v>
      </c>
      <c r="Y12" s="194" t="s">
        <v>575</v>
      </c>
      <c r="Z12" s="194">
        <v>0.1605</v>
      </c>
      <c r="AA12" s="194" t="s">
        <v>575</v>
      </c>
      <c r="AB12" s="194">
        <v>5.8700000000000002E-2</v>
      </c>
      <c r="AC12" s="5" t="s">
        <v>575</v>
      </c>
      <c r="AD12" s="5">
        <v>7.9979999999999996E-2</v>
      </c>
      <c r="AE12" s="5"/>
      <c r="AF12" s="222" t="s">
        <v>575</v>
      </c>
      <c r="AG12" s="222">
        <v>7.9969999999999999E-2</v>
      </c>
      <c r="AH12" s="222" t="s">
        <v>575</v>
      </c>
      <c r="AI12" s="222">
        <v>0.15809999999999999</v>
      </c>
      <c r="AJ12" s="222" t="s">
        <v>575</v>
      </c>
      <c r="AK12" s="222">
        <v>6.0879999999999997E-2</v>
      </c>
    </row>
    <row r="13" spans="1:37" x14ac:dyDescent="0.25">
      <c r="A13" s="190" t="s">
        <v>540</v>
      </c>
      <c r="B13" s="190">
        <v>109</v>
      </c>
      <c r="C13" s="190">
        <f>B8</f>
        <v>11</v>
      </c>
      <c r="D13" s="192">
        <v>98</v>
      </c>
      <c r="E13" s="191">
        <f>C13*(3.14159/180)</f>
        <v>0.19198605555555553</v>
      </c>
      <c r="F13" s="190">
        <f>(E13-E14)/2</f>
        <v>0.70685774999999984</v>
      </c>
      <c r="G13" s="190">
        <f>E13-F13</f>
        <v>-0.51487169444444425</v>
      </c>
      <c r="P13" s="193" t="s">
        <v>576</v>
      </c>
      <c r="Q13" s="193">
        <v>3.7829999999999999</v>
      </c>
      <c r="R13" s="193" t="s">
        <v>576</v>
      </c>
      <c r="S13" s="193">
        <v>1.877</v>
      </c>
      <c r="T13" s="193" t="s">
        <v>576</v>
      </c>
      <c r="U13" s="193">
        <v>2.3919999999999999</v>
      </c>
      <c r="W13" s="194" t="s">
        <v>576</v>
      </c>
      <c r="X13" s="194">
        <v>3.7690000000000001</v>
      </c>
      <c r="Y13" s="194" t="s">
        <v>576</v>
      </c>
      <c r="Z13" s="194">
        <v>1.875</v>
      </c>
      <c r="AA13" s="194" t="s">
        <v>576</v>
      </c>
      <c r="AB13" s="194">
        <v>0.72460000000000002</v>
      </c>
      <c r="AC13" s="5" t="s">
        <v>576</v>
      </c>
      <c r="AD13" s="5">
        <v>3.77</v>
      </c>
      <c r="AE13" s="5"/>
      <c r="AF13" s="222" t="s">
        <v>576</v>
      </c>
      <c r="AG13" s="222">
        <v>43.33</v>
      </c>
      <c r="AH13" s="222" t="s">
        <v>576</v>
      </c>
      <c r="AI13" s="222">
        <v>21.52</v>
      </c>
      <c r="AJ13" s="222" t="s">
        <v>576</v>
      </c>
      <c r="AK13" s="222">
        <v>8.8650000000000002</v>
      </c>
    </row>
    <row r="14" spans="1:37" x14ac:dyDescent="0.25">
      <c r="A14" s="190"/>
      <c r="B14" s="190">
        <v>28</v>
      </c>
      <c r="C14" s="190">
        <f>B9</f>
        <v>-70</v>
      </c>
      <c r="D14" s="192"/>
      <c r="E14" s="191">
        <f t="shared" ref="E14:E18" si="4">C14*(3.14159/180)</f>
        <v>-1.2217294444444442</v>
      </c>
      <c r="F14" s="190"/>
      <c r="G14" s="190"/>
      <c r="P14" s="193" t="s">
        <v>577</v>
      </c>
      <c r="Q14" s="193">
        <v>2.2949999999999999</v>
      </c>
      <c r="R14" s="193" t="s">
        <v>577</v>
      </c>
      <c r="S14" s="193">
        <v>1.2010000000000001</v>
      </c>
      <c r="T14" s="193" t="s">
        <v>577</v>
      </c>
      <c r="U14" s="193">
        <v>-3.1549999999999998</v>
      </c>
      <c r="W14" s="194" t="s">
        <v>577</v>
      </c>
      <c r="X14" s="194">
        <v>2.0670000000000002</v>
      </c>
      <c r="Y14" s="194" t="s">
        <v>577</v>
      </c>
      <c r="Z14" s="194">
        <v>0.27829999999999999</v>
      </c>
      <c r="AA14" s="194" t="s">
        <v>577</v>
      </c>
      <c r="AB14" s="194">
        <v>2.3260000000000001</v>
      </c>
      <c r="AC14" s="5" t="s">
        <v>577</v>
      </c>
      <c r="AD14" s="5">
        <v>2.0699999999999998</v>
      </c>
      <c r="AE14" s="5"/>
      <c r="AF14" s="222" t="s">
        <v>577</v>
      </c>
      <c r="AG14" s="222">
        <v>2.0699999999999998</v>
      </c>
      <c r="AH14" s="222" t="s">
        <v>577</v>
      </c>
      <c r="AI14" s="222">
        <v>0.27460000000000001</v>
      </c>
      <c r="AJ14" s="222" t="s">
        <v>577</v>
      </c>
      <c r="AK14" s="222">
        <v>1.62</v>
      </c>
    </row>
    <row r="15" spans="1:37" x14ac:dyDescent="0.25">
      <c r="A15" s="190" t="s">
        <v>541</v>
      </c>
      <c r="B15" s="190">
        <v>93</v>
      </c>
      <c r="C15" s="190">
        <f>C8</f>
        <v>3</v>
      </c>
      <c r="D15" s="192">
        <v>90</v>
      </c>
      <c r="E15" s="191">
        <f t="shared" si="4"/>
        <v>5.2359833333333328E-2</v>
      </c>
      <c r="F15" s="190">
        <f>(E15-E16)/2</f>
        <v>0.69813111111111104</v>
      </c>
      <c r="G15" s="190">
        <f>E15-F15</f>
        <v>-0.64577127777777776</v>
      </c>
      <c r="P15" s="193" t="s">
        <v>578</v>
      </c>
      <c r="Q15" s="193">
        <v>0.14219999999999999</v>
      </c>
      <c r="R15" s="193" t="s">
        <v>578</v>
      </c>
      <c r="S15" s="193">
        <v>0.26700000000000002</v>
      </c>
      <c r="T15" s="193" t="s">
        <v>578</v>
      </c>
      <c r="U15" s="193">
        <v>0.22720000000000001</v>
      </c>
      <c r="W15" s="194" t="s">
        <v>578</v>
      </c>
      <c r="X15" s="194">
        <v>2.5680000000000001E-2</v>
      </c>
      <c r="Y15" s="194" t="s">
        <v>578</v>
      </c>
      <c r="Z15" s="194">
        <v>8.6419999999999997E-2</v>
      </c>
      <c r="AA15" s="194" t="s">
        <v>578</v>
      </c>
      <c r="AB15" s="194">
        <v>8.0729999999999996E-2</v>
      </c>
      <c r="AC15" s="5" t="s">
        <v>578</v>
      </c>
      <c r="AD15" s="5">
        <v>4.5999999999999999E-2</v>
      </c>
      <c r="AE15" s="5"/>
      <c r="AF15" s="222" t="s">
        <v>578</v>
      </c>
      <c r="AG15" s="222">
        <v>2.8930000000000001E-2</v>
      </c>
      <c r="AH15" s="222" t="s">
        <v>578</v>
      </c>
      <c r="AI15" s="222">
        <v>0.93110000000000004</v>
      </c>
      <c r="AJ15" s="222" t="s">
        <v>578</v>
      </c>
      <c r="AK15" s="222">
        <v>8.183E-2</v>
      </c>
    </row>
    <row r="16" spans="1:37" x14ac:dyDescent="0.25">
      <c r="A16" s="190"/>
      <c r="B16" s="190">
        <v>13</v>
      </c>
      <c r="C16" s="190">
        <f>C9</f>
        <v>-77</v>
      </c>
      <c r="D16" s="192"/>
      <c r="E16" s="191">
        <f t="shared" si="4"/>
        <v>-1.3439023888888888</v>
      </c>
      <c r="F16" s="190"/>
      <c r="G16" s="190"/>
      <c r="P16" s="193" t="s">
        <v>579</v>
      </c>
      <c r="Q16" s="193">
        <v>3.202</v>
      </c>
      <c r="R16" s="193" t="s">
        <v>579</v>
      </c>
      <c r="S16" s="193">
        <v>0.94679999999999997</v>
      </c>
      <c r="T16" s="193" t="s">
        <v>579</v>
      </c>
      <c r="U16" s="193">
        <v>1.571</v>
      </c>
      <c r="W16" s="194" t="s">
        <v>579</v>
      </c>
      <c r="X16" s="194">
        <v>1.2290000000000001</v>
      </c>
      <c r="Y16" s="194" t="s">
        <v>579</v>
      </c>
      <c r="Z16" s="194">
        <v>0.75880000000000003</v>
      </c>
      <c r="AA16" s="194" t="s">
        <v>579</v>
      </c>
      <c r="AB16" s="194">
        <v>1.84</v>
      </c>
      <c r="AC16" s="5" t="s">
        <v>579</v>
      </c>
      <c r="AD16" s="5">
        <v>1.0029999999999999</v>
      </c>
      <c r="AE16" s="5"/>
      <c r="AF16" s="222" t="s">
        <v>579</v>
      </c>
      <c r="AG16" s="222">
        <v>12.75</v>
      </c>
      <c r="AH16" s="222" t="s">
        <v>579</v>
      </c>
      <c r="AI16" s="222">
        <v>7.6379999999999999</v>
      </c>
      <c r="AJ16" s="222" t="s">
        <v>579</v>
      </c>
      <c r="AK16" s="222">
        <v>21.19</v>
      </c>
    </row>
    <row r="17" spans="1:37" x14ac:dyDescent="0.25">
      <c r="A17" s="190" t="s">
        <v>542</v>
      </c>
      <c r="B17" s="190">
        <v>121</v>
      </c>
      <c r="C17" s="190">
        <f>D8</f>
        <v>5</v>
      </c>
      <c r="D17" s="192">
        <v>116</v>
      </c>
      <c r="E17" s="191">
        <f t="shared" si="4"/>
        <v>8.7266388888888879E-2</v>
      </c>
      <c r="F17" s="190">
        <f>(E17-E18)/2</f>
        <v>0.86393724999999988</v>
      </c>
      <c r="G17" s="190">
        <f>E17-F17</f>
        <v>-0.77667086111111105</v>
      </c>
      <c r="P17" s="193" t="s">
        <v>580</v>
      </c>
      <c r="Q17" s="193">
        <v>-4.6980000000000004</v>
      </c>
      <c r="R17" s="193" t="s">
        <v>580</v>
      </c>
      <c r="S17" s="193">
        <v>-0.26919999999999999</v>
      </c>
      <c r="T17" s="193" t="s">
        <v>580</v>
      </c>
      <c r="U17" s="193">
        <v>-4.8319999999999999</v>
      </c>
      <c r="W17" s="194" t="s">
        <v>580</v>
      </c>
      <c r="X17" s="194">
        <v>-1.2350000000000001</v>
      </c>
      <c r="Y17" s="194" t="s">
        <v>580</v>
      </c>
      <c r="Z17" s="194">
        <v>1.2869999999999999</v>
      </c>
      <c r="AA17" s="194" t="s">
        <v>580</v>
      </c>
      <c r="AB17" s="194">
        <v>0.2031</v>
      </c>
      <c r="AC17" s="5" t="s">
        <v>580</v>
      </c>
      <c r="AD17" s="5">
        <v>-0.22059999999999999</v>
      </c>
      <c r="AE17" s="5"/>
      <c r="AF17" s="222" t="s">
        <v>580</v>
      </c>
      <c r="AG17" s="222">
        <v>-0.7399</v>
      </c>
      <c r="AH17" s="222" t="s">
        <v>580</v>
      </c>
      <c r="AI17" s="222">
        <v>1.6259999999999999</v>
      </c>
      <c r="AJ17" s="222" t="s">
        <v>580</v>
      </c>
      <c r="AK17" s="222">
        <v>0.17019999999999999</v>
      </c>
    </row>
    <row r="18" spans="1:37" x14ac:dyDescent="0.25">
      <c r="A18" s="190"/>
      <c r="B18" s="190">
        <v>22</v>
      </c>
      <c r="C18" s="190">
        <f>D9</f>
        <v>-94</v>
      </c>
      <c r="D18" s="192"/>
      <c r="E18" s="191">
        <f t="shared" si="4"/>
        <v>-1.6406081111111108</v>
      </c>
      <c r="F18" s="190"/>
      <c r="G18" s="190"/>
      <c r="P18" s="193" t="s">
        <v>581</v>
      </c>
      <c r="Q18" s="193">
        <v>0.1739</v>
      </c>
      <c r="R18" s="193" t="s">
        <v>581</v>
      </c>
      <c r="S18" s="193">
        <v>6.055E-2</v>
      </c>
      <c r="T18" s="193" t="s">
        <v>581</v>
      </c>
      <c r="U18" s="193">
        <v>0.61680000000000001</v>
      </c>
      <c r="W18" s="194" t="s">
        <v>581</v>
      </c>
      <c r="X18" s="194">
        <v>-7.5120000000000006E-2</v>
      </c>
      <c r="Y18" s="194" t="s">
        <v>581</v>
      </c>
      <c r="Z18" s="194">
        <v>2.06E-2</v>
      </c>
      <c r="AA18" s="194" t="s">
        <v>581</v>
      </c>
      <c r="AB18" s="194">
        <v>6.0089999999999998E-2</v>
      </c>
      <c r="AC18" s="5"/>
      <c r="AD18" s="5"/>
      <c r="AE18" s="5"/>
      <c r="AF18" s="222"/>
      <c r="AG18" s="222"/>
      <c r="AH18" s="222" t="s">
        <v>581</v>
      </c>
      <c r="AI18" s="222">
        <v>2.06E-2</v>
      </c>
      <c r="AJ18" s="222" t="s">
        <v>581</v>
      </c>
      <c r="AK18" s="222">
        <v>6.0249999999999998E-2</v>
      </c>
    </row>
    <row r="19" spans="1:37" s="5" customFormat="1" x14ac:dyDescent="0.25">
      <c r="C19" s="73"/>
      <c r="H19" s="26"/>
      <c r="J19" s="26"/>
      <c r="P19" s="193" t="s">
        <v>582</v>
      </c>
      <c r="Q19" s="193">
        <v>3.2730000000000001</v>
      </c>
      <c r="R19" s="193" t="s">
        <v>582</v>
      </c>
      <c r="S19" s="193">
        <v>5.4770000000000003</v>
      </c>
      <c r="T19" s="193" t="s">
        <v>582</v>
      </c>
      <c r="U19" s="193">
        <v>2.5179999999999998</v>
      </c>
      <c r="W19" s="194" t="s">
        <v>582</v>
      </c>
      <c r="X19" s="194">
        <v>1.9970000000000001</v>
      </c>
      <c r="Y19" s="194" t="s">
        <v>582</v>
      </c>
      <c r="Z19" s="194">
        <v>7.5350000000000001</v>
      </c>
      <c r="AA19" s="194" t="s">
        <v>582</v>
      </c>
      <c r="AB19" s="194">
        <v>5.6470000000000002</v>
      </c>
      <c r="AF19" s="222"/>
      <c r="AG19" s="222"/>
      <c r="AH19" s="222" t="s">
        <v>582</v>
      </c>
      <c r="AI19" s="222">
        <v>86.6</v>
      </c>
      <c r="AJ19" s="222" t="s">
        <v>582</v>
      </c>
      <c r="AK19" s="222">
        <v>64.91</v>
      </c>
    </row>
    <row r="20" spans="1:37" x14ac:dyDescent="0.25">
      <c r="A20" s="5" t="s">
        <v>562</v>
      </c>
      <c r="B20" t="s">
        <v>540</v>
      </c>
      <c r="C20" s="181" t="s">
        <v>564</v>
      </c>
      <c r="D20" t="s">
        <v>541</v>
      </c>
      <c r="E20" s="181" t="s">
        <v>563</v>
      </c>
      <c r="F20" s="5" t="s">
        <v>542</v>
      </c>
      <c r="G20" s="181" t="s">
        <v>565</v>
      </c>
      <c r="P20" s="193" t="s">
        <v>583</v>
      </c>
      <c r="Q20" s="193">
        <v>-1.879</v>
      </c>
      <c r="R20" s="193" t="s">
        <v>583</v>
      </c>
      <c r="S20" s="193">
        <v>-0.86850000000000005</v>
      </c>
      <c r="T20" s="193" t="s">
        <v>583</v>
      </c>
      <c r="U20" s="193">
        <v>-0.71189999999999998</v>
      </c>
      <c r="W20" s="194" t="s">
        <v>583</v>
      </c>
      <c r="X20" s="194">
        <v>1.254</v>
      </c>
      <c r="Y20" s="194" t="s">
        <v>583</v>
      </c>
      <c r="Z20" s="194">
        <v>2.37</v>
      </c>
      <c r="AA20" s="194" t="s">
        <v>583</v>
      </c>
      <c r="AB20" s="194">
        <v>-2.7480000000000002</v>
      </c>
      <c r="AC20" s="5"/>
      <c r="AD20" s="5"/>
      <c r="AE20" s="5"/>
      <c r="AF20" s="222"/>
      <c r="AG20" s="222"/>
      <c r="AH20" s="222" t="s">
        <v>583</v>
      </c>
      <c r="AI20" s="222">
        <v>2.371</v>
      </c>
      <c r="AJ20" s="222" t="s">
        <v>583</v>
      </c>
      <c r="AK20" s="222">
        <v>-2.7469999999999999</v>
      </c>
    </row>
    <row r="21" spans="1:37" x14ac:dyDescent="0.25">
      <c r="A21" s="5" t="s">
        <v>615</v>
      </c>
      <c r="B21" s="5">
        <v>50</v>
      </c>
      <c r="C21" s="181">
        <f>B21-98</f>
        <v>-48</v>
      </c>
      <c r="D21" s="5">
        <v>85</v>
      </c>
      <c r="E21" s="181">
        <f>D21-90</f>
        <v>-5</v>
      </c>
      <c r="F21" s="5">
        <v>86</v>
      </c>
      <c r="G21" s="181">
        <f>F21-116</f>
        <v>-30</v>
      </c>
      <c r="P21" s="193"/>
      <c r="Q21" s="193"/>
      <c r="R21" s="193" t="s">
        <v>584</v>
      </c>
      <c r="S21" s="193">
        <v>0.2054</v>
      </c>
      <c r="T21" s="193" t="s">
        <v>584</v>
      </c>
      <c r="U21" s="193">
        <v>0.14119999999999999</v>
      </c>
      <c r="W21" s="194" t="s">
        <v>584</v>
      </c>
      <c r="X21" s="194">
        <v>1.465E-2</v>
      </c>
      <c r="Y21" s="194" t="s">
        <v>584</v>
      </c>
      <c r="Z21" s="194">
        <v>1.519E-2</v>
      </c>
      <c r="AA21" s="194" t="s">
        <v>584</v>
      </c>
      <c r="AB21" s="194">
        <v>4.9379999999999997E-3</v>
      </c>
      <c r="AC21" s="5"/>
      <c r="AD21" s="5"/>
      <c r="AE21" s="5"/>
      <c r="AF21" s="222"/>
      <c r="AG21" s="222"/>
      <c r="AH21" s="222" t="s">
        <v>584</v>
      </c>
      <c r="AI21" s="222">
        <v>1.519E-2</v>
      </c>
      <c r="AJ21" s="222" t="s">
        <v>584</v>
      </c>
      <c r="AK21" s="222">
        <v>4.3299999999999996E-3</v>
      </c>
    </row>
    <row r="22" spans="1:37" x14ac:dyDescent="0.25">
      <c r="B22" s="5">
        <v>53</v>
      </c>
      <c r="C22" s="181">
        <f t="shared" ref="C22:C33" si="5">B22-98</f>
        <v>-45</v>
      </c>
      <c r="D22" s="5">
        <v>75</v>
      </c>
      <c r="E22" s="181">
        <f t="shared" ref="E22:E31" si="6">D22-90</f>
        <v>-15</v>
      </c>
      <c r="F22" s="5">
        <v>75</v>
      </c>
      <c r="G22" s="181">
        <f t="shared" ref="G22:G33" si="7">F22-116</f>
        <v>-41</v>
      </c>
      <c r="P22" s="193"/>
      <c r="Q22" s="193"/>
      <c r="R22" s="193" t="s">
        <v>585</v>
      </c>
      <c r="S22" s="193">
        <v>3.8420000000000001</v>
      </c>
      <c r="T22" s="193" t="s">
        <v>585</v>
      </c>
      <c r="U22" s="193">
        <v>3.2330000000000001</v>
      </c>
      <c r="W22" s="194" t="s">
        <v>585</v>
      </c>
      <c r="X22" s="194">
        <v>7.5369999999999999</v>
      </c>
      <c r="Y22" s="194" t="s">
        <v>585</v>
      </c>
      <c r="Z22" s="194">
        <v>5.6509999999999998</v>
      </c>
      <c r="AA22" s="194" t="s">
        <v>585</v>
      </c>
      <c r="AB22" s="194">
        <v>2.2629999999999999</v>
      </c>
      <c r="AC22" s="5"/>
      <c r="AD22" s="5"/>
      <c r="AE22" s="5"/>
      <c r="AF22" s="222"/>
      <c r="AG22" s="222"/>
      <c r="AH22" s="222" t="s">
        <v>585</v>
      </c>
      <c r="AI22" s="222">
        <v>64.959999999999994</v>
      </c>
      <c r="AJ22" s="222" t="s">
        <v>585</v>
      </c>
      <c r="AK22" s="222">
        <v>26.75</v>
      </c>
    </row>
    <row r="23" spans="1:37" x14ac:dyDescent="0.25">
      <c r="B23" s="5">
        <v>64</v>
      </c>
      <c r="C23" s="181">
        <f t="shared" si="5"/>
        <v>-34</v>
      </c>
      <c r="D23" s="5">
        <v>65</v>
      </c>
      <c r="E23" s="181">
        <f t="shared" si="6"/>
        <v>-25</v>
      </c>
      <c r="F23" s="5">
        <v>72</v>
      </c>
      <c r="G23" s="181">
        <f t="shared" si="7"/>
        <v>-44</v>
      </c>
      <c r="P23" s="193"/>
      <c r="Q23" s="193"/>
      <c r="R23" s="193" t="s">
        <v>586</v>
      </c>
      <c r="S23" s="193">
        <v>4.8159999999999998</v>
      </c>
      <c r="T23" s="193" t="s">
        <v>586</v>
      </c>
      <c r="U23" s="193">
        <v>-1.4950000000000001</v>
      </c>
      <c r="W23" s="194" t="s">
        <v>586</v>
      </c>
      <c r="X23" s="194">
        <v>2.774</v>
      </c>
      <c r="Y23" s="194" t="s">
        <v>586</v>
      </c>
      <c r="Z23" s="194">
        <v>-0.38519999999999999</v>
      </c>
      <c r="AA23" s="194" t="s">
        <v>586</v>
      </c>
      <c r="AB23" s="194">
        <v>-1.667</v>
      </c>
      <c r="AC23" s="5"/>
      <c r="AD23" s="5"/>
      <c r="AE23" s="5"/>
      <c r="AF23" s="222"/>
      <c r="AG23" s="222"/>
      <c r="AH23" s="222" t="s">
        <v>586</v>
      </c>
      <c r="AI23" s="222">
        <v>-0.3866</v>
      </c>
      <c r="AJ23" s="222" t="s">
        <v>586</v>
      </c>
      <c r="AK23" s="222">
        <v>-1.5840000000000001</v>
      </c>
    </row>
    <row r="24" spans="1:37" x14ac:dyDescent="0.25">
      <c r="B24" s="5">
        <v>83</v>
      </c>
      <c r="C24" s="181">
        <f t="shared" si="5"/>
        <v>-15</v>
      </c>
      <c r="D24" s="5">
        <v>62</v>
      </c>
      <c r="E24" s="181">
        <f t="shared" si="6"/>
        <v>-28</v>
      </c>
      <c r="F24" s="5">
        <v>76</v>
      </c>
      <c r="G24" s="181">
        <f t="shared" si="7"/>
        <v>-40</v>
      </c>
      <c r="P24" s="193"/>
      <c r="Q24" s="193"/>
      <c r="R24" s="193" t="s">
        <v>590</v>
      </c>
      <c r="S24" s="193">
        <v>1.7229999999999999E-2</v>
      </c>
      <c r="T24" s="193" t="s">
        <v>590</v>
      </c>
      <c r="U24" s="193">
        <v>6.3619999999999996E-2</v>
      </c>
      <c r="W24" s="194" t="s">
        <v>590</v>
      </c>
      <c r="X24" s="194">
        <v>1.3169999999999999E-2</v>
      </c>
      <c r="Y24" s="194" t="s">
        <v>590</v>
      </c>
      <c r="Z24" s="194">
        <v>3.3470000000000001E-3</v>
      </c>
      <c r="AA24" s="194" t="s">
        <v>590</v>
      </c>
      <c r="AB24" s="194">
        <v>2.4490000000000001E-2</v>
      </c>
      <c r="AC24" s="5"/>
      <c r="AE24" s="5"/>
      <c r="AF24" s="222"/>
      <c r="AG24" s="222"/>
      <c r="AH24" s="222" t="s">
        <v>590</v>
      </c>
      <c r="AI24" s="222">
        <v>6.3239999999999998E-3</v>
      </c>
      <c r="AJ24" s="222" t="s">
        <v>590</v>
      </c>
      <c r="AK24" s="222">
        <v>2.436E-2</v>
      </c>
    </row>
    <row r="25" spans="1:37" x14ac:dyDescent="0.25">
      <c r="B25" s="5">
        <v>95</v>
      </c>
      <c r="C25" s="181">
        <f t="shared" si="5"/>
        <v>-3</v>
      </c>
      <c r="D25" s="5">
        <v>68</v>
      </c>
      <c r="E25" s="181">
        <f t="shared" si="6"/>
        <v>-22</v>
      </c>
      <c r="F25" s="5">
        <v>88</v>
      </c>
      <c r="G25" s="181">
        <f t="shared" si="7"/>
        <v>-28</v>
      </c>
      <c r="M25">
        <f>98*(3.14159/180)</f>
        <v>1.7104212222222221</v>
      </c>
      <c r="P25" s="193"/>
      <c r="Q25" s="193"/>
      <c r="R25" s="193" t="s">
        <v>591</v>
      </c>
      <c r="S25" s="193">
        <v>3.125</v>
      </c>
      <c r="T25" s="193" t="s">
        <v>591</v>
      </c>
      <c r="U25" s="193">
        <v>7.3479999999999999</v>
      </c>
      <c r="W25" s="194" t="s">
        <v>591</v>
      </c>
      <c r="X25" s="194">
        <v>5.65</v>
      </c>
      <c r="Y25" s="194" t="s">
        <v>591</v>
      </c>
      <c r="Z25" s="194">
        <v>2.2829999999999999</v>
      </c>
      <c r="AA25" s="194" t="s">
        <v>591</v>
      </c>
      <c r="AB25" s="194">
        <v>7.5549999999999997</v>
      </c>
      <c r="AC25" s="5"/>
      <c r="AE25" s="5"/>
      <c r="AF25" s="222"/>
      <c r="AG25" s="222"/>
      <c r="AH25" s="222" t="s">
        <v>591</v>
      </c>
      <c r="AI25" s="222">
        <v>24.85</v>
      </c>
      <c r="AJ25" s="222" t="s">
        <v>591</v>
      </c>
      <c r="AK25" s="222">
        <v>86.83</v>
      </c>
    </row>
    <row r="26" spans="1:37" x14ac:dyDescent="0.25">
      <c r="B26" s="5">
        <v>104</v>
      </c>
      <c r="C26" s="181">
        <f t="shared" si="5"/>
        <v>6</v>
      </c>
      <c r="D26" s="5">
        <v>71</v>
      </c>
      <c r="E26" s="181">
        <f t="shared" si="6"/>
        <v>-19</v>
      </c>
      <c r="F26" s="5">
        <v>110</v>
      </c>
      <c r="G26" s="181">
        <f t="shared" si="7"/>
        <v>-6</v>
      </c>
      <c r="L26" s="5"/>
      <c r="M26" s="5">
        <f>90*(3.14159/180)</f>
        <v>1.5707949999999999</v>
      </c>
      <c r="N26" s="5"/>
      <c r="O26" s="5"/>
      <c r="P26" s="193"/>
      <c r="Q26" s="193"/>
      <c r="R26" s="193" t="s">
        <v>592</v>
      </c>
      <c r="S26" s="193">
        <v>-1.2350000000000001</v>
      </c>
      <c r="T26" s="193" t="s">
        <v>592</v>
      </c>
      <c r="U26" s="193">
        <v>4.0220000000000002</v>
      </c>
      <c r="W26" s="194" t="s">
        <v>592</v>
      </c>
      <c r="X26" s="194">
        <v>0.14990000000000001</v>
      </c>
      <c r="Y26" s="194" t="s">
        <v>592</v>
      </c>
      <c r="Z26" s="194">
        <v>-0.96530000000000005</v>
      </c>
      <c r="AA26" s="194" t="s">
        <v>592</v>
      </c>
      <c r="AB26" s="194">
        <v>0.92300000000000004</v>
      </c>
      <c r="AC26" s="5"/>
      <c r="AE26" s="5"/>
      <c r="AF26" s="222"/>
      <c r="AG26" s="222"/>
      <c r="AH26" s="222" t="s">
        <v>592</v>
      </c>
      <c r="AI26" s="222">
        <v>-0.40110000000000001</v>
      </c>
      <c r="AJ26" s="222" t="s">
        <v>592</v>
      </c>
      <c r="AK26" s="222">
        <v>0.92210000000000003</v>
      </c>
    </row>
    <row r="27" spans="1:37" x14ac:dyDescent="0.25">
      <c r="B27" s="5">
        <v>95</v>
      </c>
      <c r="C27" s="181">
        <f t="shared" si="5"/>
        <v>-3</v>
      </c>
      <c r="D27" s="5">
        <v>58</v>
      </c>
      <c r="E27" s="181">
        <f t="shared" si="6"/>
        <v>-32</v>
      </c>
      <c r="F27" s="5">
        <v>92</v>
      </c>
      <c r="G27" s="181">
        <f t="shared" si="7"/>
        <v>-24</v>
      </c>
      <c r="L27" s="5"/>
      <c r="M27" s="5">
        <f>116*(3.14159/180)</f>
        <v>2.0245802222222222</v>
      </c>
      <c r="N27" s="5"/>
      <c r="O27" s="5"/>
      <c r="P27" s="5"/>
      <c r="Q27" s="5"/>
      <c r="R27" s="5"/>
      <c r="S27" s="5"/>
    </row>
    <row r="28" spans="1:37" x14ac:dyDescent="0.25">
      <c r="B28" s="5">
        <v>84</v>
      </c>
      <c r="C28" s="181">
        <f t="shared" si="5"/>
        <v>-14</v>
      </c>
      <c r="D28" s="5">
        <v>45</v>
      </c>
      <c r="E28" s="181">
        <f t="shared" si="6"/>
        <v>-45</v>
      </c>
      <c r="F28" s="5">
        <v>70</v>
      </c>
      <c r="G28" s="181">
        <f t="shared" si="7"/>
        <v>-46</v>
      </c>
      <c r="L28" s="5"/>
      <c r="M28" s="5"/>
      <c r="N28" s="5"/>
      <c r="O28" s="5"/>
      <c r="P28" s="5"/>
      <c r="Q28" s="5"/>
      <c r="R28" s="5"/>
      <c r="T28" s="5"/>
      <c r="V28" s="5"/>
    </row>
    <row r="29" spans="1:37" x14ac:dyDescent="0.25">
      <c r="B29" s="5">
        <v>72</v>
      </c>
      <c r="C29" s="181">
        <f t="shared" si="5"/>
        <v>-26</v>
      </c>
      <c r="D29" s="5">
        <v>58</v>
      </c>
      <c r="E29" s="181">
        <f t="shared" si="6"/>
        <v>-32</v>
      </c>
      <c r="F29" s="5">
        <v>52</v>
      </c>
      <c r="G29" s="181">
        <f t="shared" si="7"/>
        <v>-64</v>
      </c>
      <c r="L29" s="5"/>
      <c r="M29" s="5"/>
      <c r="N29" s="5"/>
      <c r="O29" s="5"/>
      <c r="P29" s="5"/>
      <c r="Q29" s="5"/>
      <c r="R29" s="5"/>
      <c r="T29" s="5"/>
      <c r="V29" s="5"/>
    </row>
    <row r="30" spans="1:37" x14ac:dyDescent="0.25">
      <c r="B30" s="5">
        <v>50</v>
      </c>
      <c r="C30" s="181">
        <f t="shared" si="5"/>
        <v>-48</v>
      </c>
      <c r="D30" s="5">
        <v>78</v>
      </c>
      <c r="E30" s="181">
        <f t="shared" si="6"/>
        <v>-12</v>
      </c>
      <c r="F30" s="5">
        <v>41</v>
      </c>
      <c r="G30" s="181">
        <f t="shared" si="7"/>
        <v>-75</v>
      </c>
      <c r="L30" s="5"/>
      <c r="M30" s="5"/>
      <c r="N30" s="5"/>
      <c r="O30" s="5"/>
      <c r="P30" s="5"/>
      <c r="Q30" s="5"/>
      <c r="R30" s="5"/>
      <c r="T30" s="5"/>
      <c r="V30" s="5"/>
    </row>
    <row r="31" spans="1:37" x14ac:dyDescent="0.25">
      <c r="B31" s="5">
        <v>45</v>
      </c>
      <c r="C31" s="181">
        <f t="shared" si="5"/>
        <v>-53</v>
      </c>
      <c r="D31" s="5">
        <v>85</v>
      </c>
      <c r="E31" s="181">
        <f t="shared" si="6"/>
        <v>-5</v>
      </c>
      <c r="F31" s="5">
        <v>43</v>
      </c>
      <c r="G31" s="181">
        <f t="shared" si="7"/>
        <v>-73</v>
      </c>
      <c r="L31" s="5"/>
      <c r="M31" s="5"/>
      <c r="N31" s="5"/>
      <c r="O31" s="5"/>
      <c r="P31" s="5"/>
      <c r="Q31" s="5"/>
      <c r="R31" s="5"/>
      <c r="T31" s="5"/>
      <c r="V31" s="5"/>
    </row>
    <row r="32" spans="1:37" x14ac:dyDescent="0.25">
      <c r="B32" s="5">
        <v>42</v>
      </c>
      <c r="C32" s="181">
        <f t="shared" si="5"/>
        <v>-56</v>
      </c>
      <c r="F32" s="5">
        <v>64</v>
      </c>
      <c r="G32" s="181">
        <f t="shared" si="7"/>
        <v>-52</v>
      </c>
      <c r="L32" s="5"/>
      <c r="M32" s="5"/>
      <c r="N32" s="5"/>
      <c r="O32" s="5"/>
      <c r="P32" s="5"/>
      <c r="Q32" s="5"/>
      <c r="R32" s="5"/>
      <c r="T32" s="5"/>
      <c r="V32" s="5"/>
    </row>
    <row r="33" spans="2:22" x14ac:dyDescent="0.25">
      <c r="B33" s="5">
        <v>45</v>
      </c>
      <c r="C33" s="181">
        <f t="shared" si="5"/>
        <v>-53</v>
      </c>
      <c r="F33" s="5">
        <v>84</v>
      </c>
      <c r="G33" s="181">
        <f t="shared" si="7"/>
        <v>-32</v>
      </c>
      <c r="L33" s="5"/>
      <c r="M33" s="5"/>
      <c r="N33" s="5"/>
      <c r="O33" s="5"/>
      <c r="P33" s="5"/>
      <c r="Q33" s="5"/>
      <c r="R33" s="5"/>
      <c r="T33" s="5"/>
      <c r="V33" s="5"/>
    </row>
    <row r="34" spans="2:22" x14ac:dyDescent="0.25">
      <c r="L34" s="5"/>
      <c r="M34" s="5"/>
      <c r="N34" s="5"/>
      <c r="O34" s="5"/>
      <c r="P34" s="5"/>
      <c r="Q34" s="5"/>
      <c r="R34" s="5"/>
      <c r="T34" s="5"/>
      <c r="V34" s="5"/>
    </row>
    <row r="35" spans="2:22" x14ac:dyDescent="0.25">
      <c r="L35" s="5"/>
      <c r="M35" s="5"/>
      <c r="N35" s="5"/>
      <c r="O35" s="5"/>
      <c r="P35" s="5"/>
      <c r="Q35" s="5"/>
      <c r="R35" s="5"/>
      <c r="T35" s="5"/>
      <c r="V35" s="5"/>
    </row>
    <row r="36" spans="2:22" x14ac:dyDescent="0.25">
      <c r="L36" s="5"/>
      <c r="M36" s="5"/>
      <c r="N36" s="5"/>
      <c r="O36" s="5"/>
      <c r="P36" s="5"/>
      <c r="Q36" s="5"/>
      <c r="R36" s="5"/>
      <c r="T36" s="5"/>
      <c r="V36" s="5"/>
    </row>
    <row r="37" spans="2:22" x14ac:dyDescent="0.25">
      <c r="L37" s="5"/>
      <c r="M37" s="5"/>
      <c r="N37" s="5"/>
      <c r="O37" s="5"/>
      <c r="P37" s="5"/>
      <c r="Q37" s="5"/>
      <c r="R37" s="5"/>
      <c r="T37" s="5"/>
      <c r="V37" s="5"/>
    </row>
    <row r="38" spans="2:22" x14ac:dyDescent="0.25">
      <c r="L38" s="5"/>
      <c r="M38" s="5"/>
      <c r="N38" s="5"/>
      <c r="O38" s="5"/>
      <c r="P38" s="5"/>
      <c r="Q38" s="5"/>
      <c r="R38" s="5"/>
      <c r="T38" s="5"/>
      <c r="V38" s="5"/>
    </row>
    <row r="39" spans="2:22" x14ac:dyDescent="0.25">
      <c r="L39" s="5"/>
      <c r="M39" s="5"/>
      <c r="N39" s="5"/>
      <c r="O39" s="5"/>
      <c r="P39" s="5"/>
      <c r="Q39" s="5"/>
      <c r="R39" s="5"/>
      <c r="T39" s="5"/>
      <c r="V39" s="5"/>
    </row>
    <row r="40" spans="2:22" x14ac:dyDescent="0.25">
      <c r="L40" s="5"/>
      <c r="M40" s="5"/>
      <c r="N40" s="5"/>
      <c r="O40" s="5"/>
      <c r="P40" s="5"/>
      <c r="Q40" s="5"/>
      <c r="R40" s="5"/>
      <c r="T40" s="5"/>
      <c r="V40" s="5"/>
    </row>
    <row r="41" spans="2:22" x14ac:dyDescent="0.25">
      <c r="L41" s="5"/>
      <c r="M41" s="5"/>
      <c r="N41" s="5"/>
      <c r="O41" s="5"/>
      <c r="P41" s="5"/>
      <c r="Q41" s="5"/>
      <c r="R41" s="5"/>
      <c r="T41" s="5"/>
      <c r="V41" s="5"/>
    </row>
    <row r="42" spans="2:22" x14ac:dyDescent="0.25">
      <c r="L42" s="5"/>
      <c r="M42" s="5"/>
      <c r="N42" s="5"/>
      <c r="O42" s="5"/>
      <c r="P42" s="5"/>
      <c r="Q42" s="5"/>
      <c r="R42" s="5"/>
      <c r="T42" s="5"/>
      <c r="V42" s="5"/>
    </row>
    <row r="43" spans="2:22" x14ac:dyDescent="0.25">
      <c r="L43" s="5"/>
      <c r="M43" s="5"/>
      <c r="N43" s="5"/>
      <c r="O43" s="5"/>
      <c r="P43" s="5"/>
      <c r="Q43" s="5"/>
      <c r="R43" s="5"/>
      <c r="T43" s="5"/>
      <c r="V43" s="5"/>
    </row>
    <row r="44" spans="2:22" x14ac:dyDescent="0.25">
      <c r="L44" s="5"/>
      <c r="M44" s="5"/>
      <c r="N44" s="5"/>
      <c r="O44" s="5"/>
      <c r="P44" s="5"/>
      <c r="Q44" s="5"/>
      <c r="R44" s="5"/>
      <c r="T44" s="5"/>
      <c r="V44" s="5"/>
    </row>
    <row r="45" spans="2:22" x14ac:dyDescent="0.25">
      <c r="L45" s="5"/>
      <c r="M45" s="5"/>
      <c r="N45" s="5"/>
      <c r="O45" s="5"/>
      <c r="P45" s="5"/>
      <c r="Q45" s="5"/>
      <c r="R45" s="5"/>
      <c r="T45" s="5"/>
      <c r="V45" s="5"/>
    </row>
    <row r="46" spans="2:22" x14ac:dyDescent="0.25">
      <c r="L46" s="5"/>
      <c r="M46" s="5"/>
      <c r="N46" s="5"/>
      <c r="O46" s="5"/>
      <c r="P46" s="5"/>
      <c r="Q46" s="5"/>
      <c r="R46" s="5"/>
    </row>
    <row r="47" spans="2:22" x14ac:dyDescent="0.25">
      <c r="L47" s="5"/>
      <c r="M47" s="5"/>
      <c r="N47" s="5"/>
      <c r="O47" s="5"/>
      <c r="P47" s="5"/>
      <c r="Q47" s="5"/>
      <c r="R47" s="5"/>
    </row>
    <row r="48" spans="2:22" x14ac:dyDescent="0.25">
      <c r="L48" s="5"/>
      <c r="M48" s="5"/>
      <c r="N48" s="5"/>
      <c r="O48" s="5"/>
      <c r="P48" s="5"/>
      <c r="Q48" s="5"/>
      <c r="R48" s="5"/>
    </row>
    <row r="49" spans="12:18" x14ac:dyDescent="0.25">
      <c r="L49" s="5"/>
      <c r="M49" s="5"/>
      <c r="N49" s="5"/>
      <c r="O49" s="5"/>
      <c r="P49" s="5"/>
      <c r="Q49" s="5"/>
      <c r="R49" s="5"/>
    </row>
    <row r="50" spans="12:18" x14ac:dyDescent="0.25">
      <c r="L50" s="5"/>
      <c r="M50" s="5"/>
      <c r="N50" s="5"/>
      <c r="O50" s="5"/>
      <c r="P50" s="5"/>
      <c r="Q50" s="5"/>
      <c r="R50" s="5"/>
    </row>
    <row r="51" spans="12:18" x14ac:dyDescent="0.25">
      <c r="L51" s="5"/>
      <c r="M51" s="5"/>
      <c r="N51" s="5"/>
      <c r="O51" s="5"/>
      <c r="P51" s="5"/>
      <c r="Q51" s="5"/>
      <c r="R51" s="5"/>
    </row>
    <row r="52" spans="12:18" x14ac:dyDescent="0.25">
      <c r="L52" s="5"/>
      <c r="M52" s="5"/>
      <c r="N52" s="5"/>
      <c r="O52" s="5"/>
      <c r="P52" s="5"/>
      <c r="Q52" s="5"/>
      <c r="R52" s="5"/>
    </row>
  </sheetData>
  <mergeCells count="16">
    <mergeCell ref="AF1:AK1"/>
    <mergeCell ref="AF2:AG2"/>
    <mergeCell ref="AH2:AI2"/>
    <mergeCell ref="AJ2:AK2"/>
    <mergeCell ref="W1:AB1"/>
    <mergeCell ref="W2:X2"/>
    <mergeCell ref="Y2:Z2"/>
    <mergeCell ref="AA2:AB2"/>
    <mergeCell ref="C1:D1"/>
    <mergeCell ref="E1:F1"/>
    <mergeCell ref="G1:H1"/>
    <mergeCell ref="A3:A5"/>
    <mergeCell ref="T2:U2"/>
    <mergeCell ref="P1:U1"/>
    <mergeCell ref="R2:S2"/>
    <mergeCell ref="P2:Q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zoomScaleNormal="100" workbookViewId="0">
      <pane ySplit="1" topLeftCell="A2" activePane="bottomLeft" state="frozen"/>
      <selection pane="bottomLeft" activeCell="C21" sqref="C21"/>
    </sheetView>
  </sheetViews>
  <sheetFormatPr defaultRowHeight="15" x14ac:dyDescent="0.25"/>
  <cols>
    <col min="1" max="1" width="28.7109375" customWidth="1"/>
    <col min="2" max="2" width="7.5703125" style="24" customWidth="1"/>
    <col min="3" max="3" width="8.7109375" style="26" customWidth="1"/>
    <col min="4" max="4" width="7.42578125" style="73" customWidth="1"/>
    <col min="5" max="5" width="11.85546875" customWidth="1"/>
    <col min="6" max="6" width="10.5703125" style="24" customWidth="1"/>
    <col min="7" max="7" width="11.5703125" style="73" customWidth="1"/>
    <col min="8" max="8" width="10.7109375" style="24" customWidth="1"/>
    <col min="9" max="9" width="14.85546875" style="73" customWidth="1"/>
    <col min="10" max="10" width="14.140625" style="204" customWidth="1"/>
    <col min="11" max="11" width="11" style="24" bestFit="1" customWidth="1"/>
    <col min="12" max="12" width="11" bestFit="1" customWidth="1"/>
    <col min="13" max="13" width="13.140625" style="73" customWidth="1"/>
    <col min="14" max="14" width="11.5703125" style="24" customWidth="1"/>
    <col min="15" max="15" width="12.5703125" style="5" bestFit="1" customWidth="1"/>
    <col min="16" max="16" width="12.28515625" bestFit="1" customWidth="1"/>
    <col min="17" max="17" width="10.140625" customWidth="1"/>
  </cols>
  <sheetData>
    <row r="1" spans="1:17" s="221" customFormat="1" ht="29.25" customHeight="1" thickBot="1" x14ac:dyDescent="0.3">
      <c r="A1" s="221" t="s">
        <v>618</v>
      </c>
      <c r="B1" s="228"/>
      <c r="C1" s="229"/>
      <c r="D1" s="229"/>
      <c r="E1" s="230"/>
      <c r="F1" s="219" t="s">
        <v>609</v>
      </c>
      <c r="G1" s="216" t="s">
        <v>533</v>
      </c>
      <c r="H1" s="228" t="s">
        <v>607</v>
      </c>
      <c r="I1" s="230"/>
      <c r="J1" s="219" t="s">
        <v>603</v>
      </c>
      <c r="K1" s="228" t="s">
        <v>614</v>
      </c>
      <c r="L1" s="229"/>
      <c r="M1" s="230"/>
      <c r="N1" s="228" t="s">
        <v>608</v>
      </c>
      <c r="O1" s="229"/>
      <c r="P1" s="229"/>
      <c r="Q1" s="229"/>
    </row>
    <row r="2" spans="1:17" s="220" customFormat="1" ht="30.75" thickBot="1" x14ac:dyDescent="0.3">
      <c r="A2" s="214" t="s">
        <v>523</v>
      </c>
      <c r="B2" s="215" t="s">
        <v>613</v>
      </c>
      <c r="C2" s="216" t="s">
        <v>610</v>
      </c>
      <c r="D2" s="216" t="s">
        <v>611</v>
      </c>
      <c r="E2" s="216" t="s">
        <v>612</v>
      </c>
      <c r="F2" s="217"/>
      <c r="G2" s="218"/>
      <c r="H2" s="219" t="s">
        <v>601</v>
      </c>
      <c r="I2" s="214" t="s">
        <v>602</v>
      </c>
      <c r="J2" s="217"/>
      <c r="K2" s="217" t="s">
        <v>605</v>
      </c>
      <c r="L2" s="130" t="s">
        <v>606</v>
      </c>
      <c r="M2" s="130" t="s">
        <v>604</v>
      </c>
      <c r="N2" s="219" t="s">
        <v>524</v>
      </c>
      <c r="O2" s="130" t="s">
        <v>142</v>
      </c>
      <c r="P2" s="214" t="s">
        <v>143</v>
      </c>
      <c r="Q2" s="214" t="s">
        <v>525</v>
      </c>
    </row>
    <row r="3" spans="1:17" s="5" customFormat="1" x14ac:dyDescent="0.25">
      <c r="A3" s="205" t="s">
        <v>505</v>
      </c>
      <c r="B3" s="206">
        <v>22.556896551724101</v>
      </c>
      <c r="C3" s="207">
        <v>877.86603146556001</v>
      </c>
      <c r="D3" s="208">
        <v>92040.885999999999</v>
      </c>
      <c r="E3" s="209">
        <v>12.210800000000001</v>
      </c>
      <c r="F3" s="210">
        <v>2.5637626942334801E-2</v>
      </c>
      <c r="G3" s="211">
        <v>541.33333333333303</v>
      </c>
      <c r="H3" s="210">
        <v>3.1460271101501203</v>
      </c>
      <c r="I3" s="211">
        <v>1.8561601083307198</v>
      </c>
      <c r="J3" s="212">
        <v>3.04</v>
      </c>
      <c r="K3" s="210">
        <f>I3</f>
        <v>1.8561601083307198</v>
      </c>
      <c r="L3" s="213">
        <f>H3</f>
        <v>3.1460271101501203</v>
      </c>
      <c r="M3" s="211">
        <f>ABS(K3-L3)/SQRT(0.3)</f>
        <v>2.3549641769268095</v>
      </c>
      <c r="N3" s="210">
        <v>12.210800000000001</v>
      </c>
      <c r="O3" s="213">
        <v>121.465</v>
      </c>
      <c r="P3" s="213">
        <v>-50</v>
      </c>
      <c r="Q3" s="213">
        <v>-28.08484</v>
      </c>
    </row>
    <row r="4" spans="1:17" s="5" customFormat="1" x14ac:dyDescent="0.25">
      <c r="A4" s="198" t="s">
        <v>479</v>
      </c>
      <c r="B4" s="199">
        <v>7.3721290322580701</v>
      </c>
      <c r="C4" s="195">
        <v>409.04566434805702</v>
      </c>
      <c r="D4" s="196">
        <v>8613.59867330017</v>
      </c>
      <c r="E4" s="200">
        <v>1.0387999999999999</v>
      </c>
      <c r="F4" s="202">
        <v>4.8567832827686201E-3</v>
      </c>
      <c r="G4" s="201">
        <v>140.90909090909099</v>
      </c>
      <c r="H4" s="202">
        <v>1.7077782909219099</v>
      </c>
      <c r="I4" s="201">
        <v>1.3609402617761102</v>
      </c>
      <c r="J4" s="203">
        <v>2.5151515151515151</v>
      </c>
      <c r="K4" s="202">
        <f t="shared" ref="K4:K40" si="0">I4</f>
        <v>1.3609402617761102</v>
      </c>
      <c r="L4" s="197">
        <f t="shared" ref="L4:L40" si="1">H4</f>
        <v>1.7077782909219099</v>
      </c>
      <c r="M4" s="201">
        <f t="shared" ref="M4:M40" si="2">ABS(K4-L4)/SQRT(0.3)</f>
        <v>0.63323670787929598</v>
      </c>
      <c r="N4" s="202">
        <v>1.0387999999999999</v>
      </c>
      <c r="O4" s="197">
        <v>121.465</v>
      </c>
      <c r="P4" s="197">
        <v>-50</v>
      </c>
      <c r="Q4" s="197">
        <v>-2.38924</v>
      </c>
    </row>
    <row r="5" spans="1:17" s="5" customFormat="1" x14ac:dyDescent="0.25">
      <c r="A5" s="198" t="s">
        <v>503</v>
      </c>
      <c r="B5" s="199">
        <v>4.4142608695652203</v>
      </c>
      <c r="C5" s="195">
        <v>246.88256938042599</v>
      </c>
      <c r="D5" s="196">
        <v>28870.54</v>
      </c>
      <c r="E5" s="200">
        <v>3.0184000000000002</v>
      </c>
      <c r="F5" s="202">
        <v>2.2512501689585102E-2</v>
      </c>
      <c r="G5" s="201">
        <v>683.78378378378397</v>
      </c>
      <c r="H5" s="202">
        <v>3.81133023132801</v>
      </c>
      <c r="I5" s="201">
        <v>2.6672455948820599</v>
      </c>
      <c r="J5" s="203">
        <v>3.8378378378378377</v>
      </c>
      <c r="K5" s="202">
        <f t="shared" si="0"/>
        <v>2.6672455948820599</v>
      </c>
      <c r="L5" s="197">
        <f t="shared" si="1"/>
        <v>3.81133023132801</v>
      </c>
      <c r="M5" s="201">
        <f t="shared" si="2"/>
        <v>2.0888032102551466</v>
      </c>
      <c r="N5" s="202">
        <v>3.0184000000000002</v>
      </c>
      <c r="O5" s="197">
        <v>121.465</v>
      </c>
      <c r="P5" s="197">
        <v>-50</v>
      </c>
      <c r="Q5" s="197">
        <v>-6.9423199999999996</v>
      </c>
    </row>
    <row r="6" spans="1:17" s="5" customFormat="1" x14ac:dyDescent="0.25">
      <c r="A6" s="198" t="s">
        <v>506</v>
      </c>
      <c r="B6" s="199">
        <v>3.2178980169971698</v>
      </c>
      <c r="C6" s="195">
        <v>436.13647731036002</v>
      </c>
      <c r="D6" s="196">
        <v>43743.360000000001</v>
      </c>
      <c r="E6" s="200">
        <v>3.3908</v>
      </c>
      <c r="F6" s="202">
        <v>1.43359922863718E-2</v>
      </c>
      <c r="G6" s="201">
        <v>1053.7313432835799</v>
      </c>
      <c r="H6" s="202">
        <v>5.7255107879612304</v>
      </c>
      <c r="I6" s="201">
        <v>5.0784944873109099</v>
      </c>
      <c r="J6" s="203">
        <v>5.9253731343283578</v>
      </c>
      <c r="K6" s="202">
        <f t="shared" si="0"/>
        <v>5.0784944873109099</v>
      </c>
      <c r="L6" s="197">
        <f t="shared" si="1"/>
        <v>5.7255107879612304</v>
      </c>
      <c r="M6" s="201">
        <f t="shared" si="2"/>
        <v>1.1812847431324167</v>
      </c>
      <c r="N6" s="202">
        <v>3.3908</v>
      </c>
      <c r="O6" s="197">
        <v>121.465</v>
      </c>
      <c r="P6" s="197">
        <v>-50</v>
      </c>
      <c r="Q6" s="197">
        <v>-7.7988400000000002</v>
      </c>
    </row>
    <row r="7" spans="1:17" s="5" customFormat="1" x14ac:dyDescent="0.25">
      <c r="A7" s="198" t="s">
        <v>487</v>
      </c>
      <c r="B7" s="199">
        <v>12.5038624813154</v>
      </c>
      <c r="C7" s="195">
        <v>825.48208327977898</v>
      </c>
      <c r="D7" s="196">
        <v>136502.79</v>
      </c>
      <c r="E7" s="200">
        <v>12.485200000000001</v>
      </c>
      <c r="F7" s="202">
        <v>2.7780857855939499E-2</v>
      </c>
      <c r="G7" s="201">
        <v>998.50746268656701</v>
      </c>
      <c r="H7" s="202">
        <v>4.3229546363281601</v>
      </c>
      <c r="I7" s="201">
        <v>4.1296055404067502</v>
      </c>
      <c r="J7" s="203">
        <v>5.6119402985074629</v>
      </c>
      <c r="K7" s="202">
        <f t="shared" si="0"/>
        <v>4.1296055404067502</v>
      </c>
      <c r="L7" s="197">
        <f t="shared" si="1"/>
        <v>4.3229546363281601</v>
      </c>
      <c r="M7" s="201">
        <f t="shared" si="2"/>
        <v>0.35300553769795445</v>
      </c>
      <c r="N7" s="202">
        <v>12.485200000000001</v>
      </c>
      <c r="O7" s="197">
        <v>121.465</v>
      </c>
      <c r="P7" s="197">
        <v>-50</v>
      </c>
      <c r="Q7" s="197">
        <v>-28.715959999999999</v>
      </c>
    </row>
    <row r="8" spans="1:17" s="5" customFormat="1" x14ac:dyDescent="0.25">
      <c r="A8" s="198" t="s">
        <v>491</v>
      </c>
      <c r="B8" s="199">
        <v>2.0427555555555599</v>
      </c>
      <c r="C8" s="195">
        <v>258.10665640650399</v>
      </c>
      <c r="D8" s="196">
        <v>28479.15</v>
      </c>
      <c r="E8" s="200">
        <v>2.0579999999999998</v>
      </c>
      <c r="F8" s="202">
        <v>1.4689392046425101E-2</v>
      </c>
      <c r="G8" s="201">
        <v>1007.4626865671599</v>
      </c>
      <c r="H8" s="202">
        <v>4.6313165265532001</v>
      </c>
      <c r="I8" s="201">
        <v>4.1099208026555996</v>
      </c>
      <c r="J8" s="203">
        <v>5.656716417910447</v>
      </c>
      <c r="K8" s="202">
        <f t="shared" si="0"/>
        <v>4.1099208026555996</v>
      </c>
      <c r="L8" s="197">
        <f t="shared" si="1"/>
        <v>4.6313165265532001</v>
      </c>
      <c r="M8" s="201">
        <f t="shared" si="2"/>
        <v>0.95193399788483757</v>
      </c>
      <c r="N8" s="202">
        <v>2.0579999999999998</v>
      </c>
      <c r="O8" s="197">
        <v>121.465</v>
      </c>
      <c r="P8" s="197">
        <v>-50</v>
      </c>
      <c r="Q8" s="197">
        <v>-4.7333999999999996</v>
      </c>
    </row>
    <row r="9" spans="1:17" s="5" customFormat="1" x14ac:dyDescent="0.25">
      <c r="A9" s="198" t="s">
        <v>529</v>
      </c>
      <c r="B9" s="199">
        <v>4.3555555555555596</v>
      </c>
      <c r="C9" s="195">
        <v>287.73057208025</v>
      </c>
      <c r="D9" s="196">
        <v>9141.7910447761205</v>
      </c>
      <c r="E9" s="200">
        <v>2.2050000000000001</v>
      </c>
      <c r="F9" s="202">
        <v>1.4431794207998999E-2</v>
      </c>
      <c r="G9" s="201">
        <v>506.25</v>
      </c>
      <c r="H9" s="202">
        <v>6.8797408371296598</v>
      </c>
      <c r="I9" s="201">
        <v>6.0516865735894498</v>
      </c>
      <c r="J9" s="203">
        <v>2.8541666666666665</v>
      </c>
      <c r="K9" s="202">
        <f t="shared" si="0"/>
        <v>6.0516865735894498</v>
      </c>
      <c r="L9" s="197">
        <f t="shared" si="1"/>
        <v>6.8797408371296598</v>
      </c>
      <c r="M9" s="201">
        <f t="shared" si="2"/>
        <v>1.5118133299310021</v>
      </c>
      <c r="N9" s="202">
        <v>2.2050000000000001</v>
      </c>
      <c r="O9" s="197">
        <v>121.465</v>
      </c>
      <c r="P9" s="197">
        <v>-50</v>
      </c>
      <c r="Q9" s="197">
        <v>-5.0715000000000003</v>
      </c>
    </row>
    <row r="10" spans="1:17" s="5" customFormat="1" x14ac:dyDescent="0.25">
      <c r="A10" s="198" t="s">
        <v>530</v>
      </c>
      <c r="B10" s="199">
        <v>20.653500000000001</v>
      </c>
      <c r="C10" s="195">
        <v>3882.9165126102198</v>
      </c>
      <c r="D10" s="196">
        <v>47243.094870475201</v>
      </c>
      <c r="E10" s="200">
        <v>11.0152</v>
      </c>
      <c r="F10" s="202">
        <v>5.6050214491508796E-3</v>
      </c>
      <c r="G10" s="201">
        <v>533.33333333333303</v>
      </c>
      <c r="H10" s="202">
        <v>6.4579207393532494</v>
      </c>
      <c r="I10" s="201">
        <v>6.2378929981014197</v>
      </c>
      <c r="J10" s="203">
        <v>3</v>
      </c>
      <c r="K10" s="202">
        <f t="shared" si="0"/>
        <v>6.2378929981014197</v>
      </c>
      <c r="L10" s="197">
        <f t="shared" si="1"/>
        <v>6.4579207393532494</v>
      </c>
      <c r="M10" s="201">
        <f t="shared" si="2"/>
        <v>0.40171385720179031</v>
      </c>
      <c r="N10" s="202">
        <v>11.0152</v>
      </c>
      <c r="O10" s="197">
        <v>121.465</v>
      </c>
      <c r="P10" s="197">
        <v>-50</v>
      </c>
      <c r="Q10" s="197">
        <v>-25.334959999999999</v>
      </c>
    </row>
    <row r="11" spans="1:17" s="5" customFormat="1" x14ac:dyDescent="0.25">
      <c r="A11" s="198" t="s">
        <v>528</v>
      </c>
      <c r="B11" s="199">
        <v>1.16533678756477</v>
      </c>
      <c r="C11" s="195">
        <v>157.487158449643</v>
      </c>
      <c r="D11" s="196">
        <v>1696.4148330512401</v>
      </c>
      <c r="E11" s="200">
        <v>0.441</v>
      </c>
      <c r="F11" s="202">
        <v>5.58711389719398E-3</v>
      </c>
      <c r="G11" s="201">
        <v>378.43137254902001</v>
      </c>
      <c r="H11" s="202">
        <v>6.2537000093861304</v>
      </c>
      <c r="I11" s="201">
        <v>6.0287135737267299</v>
      </c>
      <c r="J11" s="203">
        <v>2.1176470588235294</v>
      </c>
      <c r="K11" s="202">
        <f t="shared" si="0"/>
        <v>6.0287135737267299</v>
      </c>
      <c r="L11" s="197">
        <f t="shared" si="1"/>
        <v>6.2537000093861304</v>
      </c>
      <c r="M11" s="201">
        <f t="shared" si="2"/>
        <v>0.41076715314446111</v>
      </c>
      <c r="N11" s="202">
        <v>0.441</v>
      </c>
      <c r="O11" s="197">
        <v>121.465</v>
      </c>
      <c r="P11" s="197">
        <v>-50</v>
      </c>
      <c r="Q11" s="197">
        <v>-1.0143</v>
      </c>
    </row>
    <row r="12" spans="1:17" s="5" customFormat="1" x14ac:dyDescent="0.25">
      <c r="A12" s="198" t="s">
        <v>507</v>
      </c>
      <c r="B12" s="199">
        <v>16.185891891891899</v>
      </c>
      <c r="C12" s="195">
        <v>8648.9712634982698</v>
      </c>
      <c r="D12" s="196">
        <v>11257.99</v>
      </c>
      <c r="E12" s="200">
        <v>2.8517999999999999</v>
      </c>
      <c r="F12" s="202">
        <v>1.0644814458138001E-3</v>
      </c>
      <c r="G12" s="201">
        <v>176.19047619047601</v>
      </c>
      <c r="H12" s="202">
        <v>1.45847566862114</v>
      </c>
      <c r="I12" s="201">
        <v>1.4267001711713501</v>
      </c>
      <c r="J12" s="203">
        <v>1</v>
      </c>
      <c r="K12" s="202">
        <f t="shared" si="0"/>
        <v>1.4267001711713501</v>
      </c>
      <c r="L12" s="197">
        <f t="shared" si="1"/>
        <v>1.45847566862114</v>
      </c>
      <c r="M12" s="201">
        <f t="shared" si="2"/>
        <v>5.8013855763992719E-2</v>
      </c>
      <c r="N12" s="202">
        <v>2.8517999999999999</v>
      </c>
      <c r="O12" s="197">
        <v>121.465</v>
      </c>
      <c r="P12" s="197">
        <v>-50</v>
      </c>
      <c r="Q12" s="197">
        <v>-6.5591400000000002</v>
      </c>
    </row>
    <row r="13" spans="1:17" s="5" customFormat="1" x14ac:dyDescent="0.25">
      <c r="A13" s="198" t="s">
        <v>489</v>
      </c>
      <c r="B13" s="199">
        <v>1.4349357798165101</v>
      </c>
      <c r="C13" s="195">
        <v>399.68101944051</v>
      </c>
      <c r="D13" s="196">
        <v>7892.0360000000001</v>
      </c>
      <c r="E13" s="200">
        <v>0.37240000000000001</v>
      </c>
      <c r="F13" s="202">
        <v>1.78727316585632E-3</v>
      </c>
      <c r="G13" s="201">
        <v>259.52380952380997</v>
      </c>
      <c r="H13" s="202">
        <v>0.78652553034556705</v>
      </c>
      <c r="I13" s="201">
        <v>0.67435905799878393</v>
      </c>
      <c r="J13" s="203">
        <v>1.4523809523809523</v>
      </c>
      <c r="K13" s="202">
        <f t="shared" si="0"/>
        <v>0.67435905799878393</v>
      </c>
      <c r="L13" s="197">
        <f t="shared" si="1"/>
        <v>0.78652553034556705</v>
      </c>
      <c r="M13" s="201">
        <f t="shared" si="2"/>
        <v>0.20478702366704182</v>
      </c>
      <c r="N13" s="202">
        <v>0.37240000000000001</v>
      </c>
      <c r="O13" s="197">
        <v>121.465</v>
      </c>
      <c r="P13" s="197">
        <v>-50</v>
      </c>
      <c r="Q13" s="197">
        <v>-0.85651999999999995</v>
      </c>
    </row>
    <row r="14" spans="1:17" s="5" customFormat="1" x14ac:dyDescent="0.25">
      <c r="A14" s="198" t="s">
        <v>481</v>
      </c>
      <c r="B14" s="199">
        <v>14.81288252149</v>
      </c>
      <c r="C14" s="195">
        <v>1635.2746023556699</v>
      </c>
      <c r="D14" s="196">
        <v>71763.059701492501</v>
      </c>
      <c r="E14" s="200">
        <v>9.2316000000000003</v>
      </c>
      <c r="F14" s="202">
        <v>1.05417064028049E-2</v>
      </c>
      <c r="G14" s="201">
        <v>623.21428571428601</v>
      </c>
      <c r="H14" s="202">
        <v>1.8498070954810999</v>
      </c>
      <c r="I14" s="201">
        <v>1.4795457655595401</v>
      </c>
      <c r="J14" s="203">
        <v>3.5</v>
      </c>
      <c r="K14" s="202">
        <f t="shared" si="0"/>
        <v>1.4795457655595401</v>
      </c>
      <c r="L14" s="197">
        <f t="shared" si="1"/>
        <v>1.8498070954810999</v>
      </c>
      <c r="M14" s="201">
        <f t="shared" si="2"/>
        <v>0.67600160856633607</v>
      </c>
      <c r="N14" s="202">
        <v>9.2316000000000003</v>
      </c>
      <c r="O14" s="197">
        <v>121.465</v>
      </c>
      <c r="P14" s="197">
        <v>-50</v>
      </c>
      <c r="Q14" s="197">
        <v>-21.232679999999998</v>
      </c>
    </row>
    <row r="15" spans="1:17" s="5" customFormat="1" x14ac:dyDescent="0.25">
      <c r="A15" s="198" t="s">
        <v>509</v>
      </c>
      <c r="B15" s="199">
        <v>35.363921126760602</v>
      </c>
      <c r="C15" s="195">
        <v>3904.2974418170002</v>
      </c>
      <c r="D15" s="196">
        <v>119986.132</v>
      </c>
      <c r="E15" s="200">
        <v>18.7376</v>
      </c>
      <c r="F15" s="202">
        <v>9.0472615415718403E-3</v>
      </c>
      <c r="G15" s="201">
        <v>529.85074626865696</v>
      </c>
      <c r="H15" s="202">
        <v>2.69441593270624</v>
      </c>
      <c r="I15" s="201">
        <v>2.1208152834671203</v>
      </c>
      <c r="J15" s="203">
        <v>2.9701492537313428</v>
      </c>
      <c r="K15" s="202">
        <f t="shared" si="0"/>
        <v>2.1208152834671203</v>
      </c>
      <c r="L15" s="197">
        <f t="shared" si="1"/>
        <v>2.69441593270624</v>
      </c>
      <c r="M15" s="201">
        <f t="shared" si="2"/>
        <v>1.0472467152929146</v>
      </c>
      <c r="N15" s="202">
        <v>18.7376</v>
      </c>
      <c r="O15" s="197">
        <v>121.465</v>
      </c>
      <c r="P15" s="197">
        <v>-50</v>
      </c>
      <c r="Q15" s="197">
        <v>-43.09648</v>
      </c>
    </row>
    <row r="16" spans="1:17" s="5" customFormat="1" x14ac:dyDescent="0.25">
      <c r="A16" s="198" t="s">
        <v>483</v>
      </c>
      <c r="B16" s="199">
        <v>21.537241706161101</v>
      </c>
      <c r="C16" s="195">
        <v>2300.8905217664901</v>
      </c>
      <c r="D16" s="196">
        <v>36541.784</v>
      </c>
      <c r="E16" s="200">
        <v>7.3891999999999998</v>
      </c>
      <c r="F16" s="202">
        <v>6.2324703155745599E-3</v>
      </c>
      <c r="G16" s="201">
        <v>343.08943089430898</v>
      </c>
      <c r="H16" s="202">
        <v>1.8625549927429399</v>
      </c>
      <c r="I16" s="201">
        <v>1.4460394733556199</v>
      </c>
      <c r="J16" s="203">
        <v>1.9186991869918701</v>
      </c>
      <c r="K16" s="202">
        <f t="shared" si="0"/>
        <v>1.4460394733556199</v>
      </c>
      <c r="L16" s="197">
        <f t="shared" si="1"/>
        <v>1.8625549927429399</v>
      </c>
      <c r="M16" s="201">
        <f t="shared" si="2"/>
        <v>0.76044981839805181</v>
      </c>
      <c r="N16" s="202">
        <v>7.3891999999999998</v>
      </c>
      <c r="O16" s="197">
        <v>121.465</v>
      </c>
      <c r="P16" s="197">
        <v>-50</v>
      </c>
      <c r="Q16" s="197">
        <v>-16.995159999999998</v>
      </c>
    </row>
    <row r="17" spans="1:17" s="5" customFormat="1" x14ac:dyDescent="0.25">
      <c r="A17" s="198" t="s">
        <v>526</v>
      </c>
      <c r="B17" s="199">
        <v>2.1832727272727301</v>
      </c>
      <c r="C17" s="195">
        <v>128.66113609118199</v>
      </c>
      <c r="D17" s="196">
        <v>20103.403999999999</v>
      </c>
      <c r="E17" s="200">
        <v>1.5484</v>
      </c>
      <c r="F17" s="202">
        <v>2.2112903338244699E-2</v>
      </c>
      <c r="G17" s="201">
        <v>709.21052631579005</v>
      </c>
      <c r="H17" s="202">
        <v>3.7684305301844705</v>
      </c>
      <c r="I17" s="201">
        <v>2.7346157434372</v>
      </c>
      <c r="J17" s="203">
        <v>3.9868421052631584</v>
      </c>
      <c r="K17" s="202">
        <f t="shared" si="0"/>
        <v>2.7346157434372</v>
      </c>
      <c r="L17" s="197">
        <f t="shared" si="1"/>
        <v>3.7684305301844705</v>
      </c>
      <c r="M17" s="201">
        <f t="shared" si="2"/>
        <v>1.8874789299462431</v>
      </c>
      <c r="N17" s="202">
        <v>1.5484</v>
      </c>
      <c r="O17" s="197">
        <v>121.465</v>
      </c>
      <c r="P17" s="197">
        <v>-50</v>
      </c>
      <c r="Q17" s="197">
        <v>-3.5613199999999998</v>
      </c>
    </row>
    <row r="18" spans="1:17" s="5" customFormat="1" x14ac:dyDescent="0.25">
      <c r="A18" s="198" t="s">
        <v>531</v>
      </c>
      <c r="B18" s="199">
        <v>12.120736196318999</v>
      </c>
      <c r="C18" s="195">
        <v>182.87530927880499</v>
      </c>
      <c r="D18" s="196">
        <v>97512.437810945295</v>
      </c>
      <c r="E18" s="200">
        <v>2.3519999999999999</v>
      </c>
      <c r="F18" s="202">
        <v>2.3525308738221101E-2</v>
      </c>
      <c r="G18" s="201">
        <v>194.04761904761901</v>
      </c>
      <c r="H18" s="202">
        <v>3.5916433119039901</v>
      </c>
      <c r="I18" s="201">
        <v>3.0966248860987902</v>
      </c>
      <c r="J18" s="203">
        <v>3.4880952380952381</v>
      </c>
      <c r="K18" s="202">
        <f t="shared" si="0"/>
        <v>3.0966248860987902</v>
      </c>
      <c r="L18" s="197">
        <f t="shared" si="1"/>
        <v>3.5916433119039901</v>
      </c>
      <c r="M18" s="201">
        <f t="shared" si="2"/>
        <v>0.90377586064735149</v>
      </c>
      <c r="N18" s="202">
        <v>2.3519999999999999</v>
      </c>
      <c r="O18" s="197">
        <v>121.465</v>
      </c>
      <c r="P18" s="197">
        <v>-50</v>
      </c>
      <c r="Q18" s="197">
        <v>-5.4096000000000002</v>
      </c>
    </row>
    <row r="19" spans="1:17" s="5" customFormat="1" x14ac:dyDescent="0.25">
      <c r="A19" s="198" t="s">
        <v>480</v>
      </c>
      <c r="B19" s="199">
        <v>11.3337703349282</v>
      </c>
      <c r="C19" s="195">
        <v>1851.57321365642</v>
      </c>
      <c r="D19" s="196">
        <v>102655.624317437</v>
      </c>
      <c r="E19" s="200">
        <v>11.2798</v>
      </c>
      <c r="F19" s="202">
        <v>1.1323047675901201E-2</v>
      </c>
      <c r="G19" s="201">
        <v>995.23809523809496</v>
      </c>
      <c r="H19" s="202">
        <v>1.49845032235015</v>
      </c>
      <c r="I19" s="201">
        <v>1.0686301751291001</v>
      </c>
      <c r="J19" s="203">
        <v>5.6666666666666661</v>
      </c>
      <c r="K19" s="202">
        <f t="shared" si="0"/>
        <v>1.0686301751291001</v>
      </c>
      <c r="L19" s="197">
        <f t="shared" si="1"/>
        <v>1.49845032235015</v>
      </c>
      <c r="M19" s="201">
        <f t="shared" si="2"/>
        <v>0.78474063434386832</v>
      </c>
      <c r="N19" s="202">
        <v>11.2798</v>
      </c>
      <c r="O19" s="197">
        <v>121.465</v>
      </c>
      <c r="P19" s="197">
        <v>-50</v>
      </c>
      <c r="Q19" s="197">
        <v>-25.943539999999999</v>
      </c>
    </row>
    <row r="20" spans="1:17" s="5" customFormat="1" x14ac:dyDescent="0.25">
      <c r="A20" s="198" t="s">
        <v>502</v>
      </c>
      <c r="B20" s="199">
        <v>37.661004484304897</v>
      </c>
      <c r="C20" s="195">
        <v>2084.2948950682498</v>
      </c>
      <c r="D20" s="196">
        <v>72473.007303905993</v>
      </c>
      <c r="E20" s="200">
        <v>18.257400000000001</v>
      </c>
      <c r="F20" s="202">
        <v>1.6452543223452999E-2</v>
      </c>
      <c r="G20" s="201">
        <v>484.78260869565202</v>
      </c>
      <c r="H20" s="202">
        <v>5.19648241708762</v>
      </c>
      <c r="I20" s="201">
        <v>5.1053740640574503</v>
      </c>
      <c r="J20" s="203">
        <v>2.7173913043478262</v>
      </c>
      <c r="K20" s="202">
        <f t="shared" si="0"/>
        <v>5.1053740640574503</v>
      </c>
      <c r="L20" s="197">
        <f t="shared" si="1"/>
        <v>5.19648241708762</v>
      </c>
      <c r="M20" s="201">
        <f t="shared" si="2"/>
        <v>0.16634033377256041</v>
      </c>
      <c r="N20" s="202">
        <v>18.257400000000001</v>
      </c>
      <c r="O20" s="197">
        <v>121.465</v>
      </c>
      <c r="P20" s="197">
        <v>-50</v>
      </c>
      <c r="Q20" s="197">
        <v>-41.992019999999997</v>
      </c>
    </row>
    <row r="21" spans="1:17" s="5" customFormat="1" x14ac:dyDescent="0.25">
      <c r="A21" s="198" t="s">
        <v>493</v>
      </c>
      <c r="B21" s="199">
        <v>20.150307692307699</v>
      </c>
      <c r="C21" s="195">
        <v>1551.9574688760699</v>
      </c>
      <c r="D21" s="196">
        <v>47738.231917336401</v>
      </c>
      <c r="E21" s="200">
        <v>11.6424</v>
      </c>
      <c r="F21" s="202">
        <v>1.41415245075987E-2</v>
      </c>
      <c r="G21" s="201">
        <v>577.77777777777806</v>
      </c>
      <c r="H21" s="202">
        <v>5.0291561252532002</v>
      </c>
      <c r="I21" s="201">
        <v>4.8360756841012504</v>
      </c>
      <c r="J21" s="203">
        <v>3.2444444444444445</v>
      </c>
      <c r="K21" s="202">
        <f t="shared" si="0"/>
        <v>4.8360756841012504</v>
      </c>
      <c r="L21" s="197">
        <f t="shared" si="1"/>
        <v>5.0291561252532002</v>
      </c>
      <c r="M21" s="201">
        <f t="shared" si="2"/>
        <v>0.35251504343990553</v>
      </c>
      <c r="N21" s="202">
        <v>11.6424</v>
      </c>
      <c r="O21" s="197">
        <v>121.465</v>
      </c>
      <c r="P21" s="197">
        <v>-50</v>
      </c>
      <c r="Q21" s="197">
        <v>-26.777519999999999</v>
      </c>
    </row>
    <row r="22" spans="1:17" s="5" customFormat="1" x14ac:dyDescent="0.25">
      <c r="A22" s="198" t="s">
        <v>485</v>
      </c>
      <c r="B22" s="199">
        <v>28.4236981132076</v>
      </c>
      <c r="C22" s="195">
        <v>24222.694400717599</v>
      </c>
      <c r="D22" s="196">
        <v>22138.632000000001</v>
      </c>
      <c r="E22" s="200">
        <v>7.1736000000000004</v>
      </c>
      <c r="F22" s="202">
        <v>1.1322938559371E-3</v>
      </c>
      <c r="G22" s="201">
        <v>252.38095238095201</v>
      </c>
      <c r="H22" s="202">
        <v>1.18196897287943</v>
      </c>
      <c r="I22" s="201">
        <v>1.1038352605780999</v>
      </c>
      <c r="J22" s="203">
        <v>1.4285714285714286</v>
      </c>
      <c r="K22" s="202">
        <f t="shared" si="0"/>
        <v>1.1038352605780999</v>
      </c>
      <c r="L22" s="197">
        <f t="shared" si="1"/>
        <v>1.18196897287943</v>
      </c>
      <c r="M22" s="201">
        <f t="shared" si="2"/>
        <v>0.14265198909685803</v>
      </c>
      <c r="N22" s="202">
        <v>7.1736000000000004</v>
      </c>
      <c r="O22" s="197">
        <v>121.465</v>
      </c>
      <c r="P22" s="197">
        <v>-50</v>
      </c>
      <c r="Q22" s="197">
        <v>-16.499279999999999</v>
      </c>
    </row>
    <row r="23" spans="1:17" s="5" customFormat="1" x14ac:dyDescent="0.25">
      <c r="A23" s="198" t="s">
        <v>508</v>
      </c>
      <c r="B23" s="199">
        <v>15.600148148148101</v>
      </c>
      <c r="C23" s="195">
        <v>1708.43334126274</v>
      </c>
      <c r="D23" s="196">
        <v>40093.2835820896</v>
      </c>
      <c r="E23" s="200">
        <v>3.0085999999999999</v>
      </c>
      <c r="F23" s="202">
        <v>3.3521873243716801E-3</v>
      </c>
      <c r="G23" s="201">
        <v>192.857142857143</v>
      </c>
      <c r="H23" s="202">
        <v>1.4726459319145899</v>
      </c>
      <c r="I23" s="201">
        <v>1.3504460772170599</v>
      </c>
      <c r="J23" s="203">
        <v>1.0714285714285714</v>
      </c>
      <c r="K23" s="202">
        <f t="shared" si="0"/>
        <v>1.3504460772170599</v>
      </c>
      <c r="L23" s="197">
        <f t="shared" si="1"/>
        <v>1.4726459319145899</v>
      </c>
      <c r="M23" s="201">
        <f t="shared" si="2"/>
        <v>0.22310538980563613</v>
      </c>
      <c r="N23" s="202">
        <v>3.0085999999999999</v>
      </c>
      <c r="O23" s="197">
        <v>121.465</v>
      </c>
      <c r="P23" s="197">
        <v>-50</v>
      </c>
      <c r="Q23" s="197">
        <v>-6.9197800000000003</v>
      </c>
    </row>
    <row r="24" spans="1:17" s="5" customFormat="1" x14ac:dyDescent="0.25">
      <c r="A24" s="198" t="s">
        <v>482</v>
      </c>
      <c r="B24" s="199">
        <v>18.900290155440398</v>
      </c>
      <c r="C24" s="195">
        <v>635.10394799846597</v>
      </c>
      <c r="D24" s="196">
        <v>25191.473999999998</v>
      </c>
      <c r="E24" s="200">
        <v>4.9294000000000002</v>
      </c>
      <c r="F24" s="202">
        <v>1.45278687215184E-2</v>
      </c>
      <c r="G24" s="201">
        <v>260.81081081081101</v>
      </c>
      <c r="H24" s="202">
        <v>2.7771320773715398</v>
      </c>
      <c r="I24" s="201">
        <v>1.9767627578054801</v>
      </c>
      <c r="J24" s="203">
        <v>1.472972972972973</v>
      </c>
      <c r="K24" s="202">
        <f t="shared" si="0"/>
        <v>1.9767627578054801</v>
      </c>
      <c r="L24" s="197">
        <f t="shared" si="1"/>
        <v>2.7771320773715398</v>
      </c>
      <c r="M24" s="201">
        <f t="shared" si="2"/>
        <v>1.4612677688713063</v>
      </c>
      <c r="N24" s="202">
        <v>4.9294000000000002</v>
      </c>
      <c r="O24" s="197">
        <v>121.465</v>
      </c>
      <c r="P24" s="197">
        <v>-50</v>
      </c>
      <c r="Q24" s="197">
        <v>-11.337619999999999</v>
      </c>
    </row>
    <row r="25" spans="1:17" s="5" customFormat="1" x14ac:dyDescent="0.25">
      <c r="A25" s="198" t="s">
        <v>495</v>
      </c>
      <c r="B25" s="199">
        <v>9.3847703703703704</v>
      </c>
      <c r="C25" s="195">
        <v>1441.2843434823501</v>
      </c>
      <c r="D25" s="196">
        <v>11632.389234927699</v>
      </c>
      <c r="E25" s="200">
        <v>3.9592000000000001</v>
      </c>
      <c r="F25" s="202">
        <v>5.6367121338597804E-3</v>
      </c>
      <c r="G25" s="201">
        <v>421.875</v>
      </c>
      <c r="H25" s="202">
        <v>5.4098608015805194</v>
      </c>
      <c r="I25" s="201">
        <v>5.18387019558405</v>
      </c>
      <c r="J25" s="203">
        <v>2.375</v>
      </c>
      <c r="K25" s="202">
        <f t="shared" si="0"/>
        <v>5.18387019558405</v>
      </c>
      <c r="L25" s="197">
        <f t="shared" si="1"/>
        <v>5.4098608015805194</v>
      </c>
      <c r="M25" s="201">
        <f t="shared" si="2"/>
        <v>0.41260050896176181</v>
      </c>
      <c r="N25" s="202">
        <v>3.9592000000000001</v>
      </c>
      <c r="O25" s="197">
        <v>121.465</v>
      </c>
      <c r="P25" s="197">
        <v>-50</v>
      </c>
      <c r="Q25" s="197">
        <v>-9.1061599999999991</v>
      </c>
    </row>
    <row r="26" spans="1:17" s="5" customFormat="1" x14ac:dyDescent="0.25">
      <c r="A26" s="198" t="s">
        <v>486</v>
      </c>
      <c r="B26" s="199">
        <v>24.248145077720199</v>
      </c>
      <c r="C26" s="195">
        <v>2079.3126720176301</v>
      </c>
      <c r="D26" s="196">
        <v>44369.584000000003</v>
      </c>
      <c r="E26" s="200">
        <v>11.1426</v>
      </c>
      <c r="F26" s="202">
        <v>1.02422685376973E-2</v>
      </c>
      <c r="G26" s="201">
        <v>459.52380952380997</v>
      </c>
      <c r="H26" s="202">
        <v>2.1690355925031697</v>
      </c>
      <c r="I26" s="201">
        <v>1.5385998117897</v>
      </c>
      <c r="J26" s="203">
        <v>2.5714285714285716</v>
      </c>
      <c r="K26" s="202">
        <f t="shared" si="0"/>
        <v>1.5385998117897</v>
      </c>
      <c r="L26" s="197">
        <f t="shared" si="1"/>
        <v>2.1690355925031697</v>
      </c>
      <c r="M26" s="201">
        <f t="shared" si="2"/>
        <v>1.1510129938504925</v>
      </c>
      <c r="N26" s="202">
        <v>11.1426</v>
      </c>
      <c r="O26" s="197">
        <v>121.465</v>
      </c>
      <c r="P26" s="197">
        <v>-50</v>
      </c>
      <c r="Q26" s="197">
        <v>-25.627980000000001</v>
      </c>
    </row>
    <row r="27" spans="1:17" s="5" customFormat="1" x14ac:dyDescent="0.25">
      <c r="A27" s="198" t="s">
        <v>500</v>
      </c>
      <c r="B27" s="199">
        <v>8.5466547085201796</v>
      </c>
      <c r="C27" s="195">
        <v>734.73001038873599</v>
      </c>
      <c r="D27" s="196">
        <v>31218.534194698201</v>
      </c>
      <c r="E27" s="200">
        <v>5.6055999999999999</v>
      </c>
      <c r="F27" s="202">
        <v>1.4257271521847701E-2</v>
      </c>
      <c r="G27" s="201">
        <v>655.88235294117703</v>
      </c>
      <c r="H27" s="202">
        <v>5.4758708771848807</v>
      </c>
      <c r="I27" s="201">
        <v>5.0705108718231395</v>
      </c>
      <c r="J27" s="203">
        <v>3.6764705882352899</v>
      </c>
      <c r="K27" s="202">
        <f t="shared" si="0"/>
        <v>5.0705108718231395</v>
      </c>
      <c r="L27" s="197">
        <f t="shared" si="1"/>
        <v>5.4758708771848807</v>
      </c>
      <c r="M27" s="201">
        <f t="shared" si="2"/>
        <v>0.74008272949013587</v>
      </c>
      <c r="N27" s="202">
        <v>5.6055999999999999</v>
      </c>
      <c r="O27" s="197">
        <v>121.465</v>
      </c>
      <c r="P27" s="197">
        <v>-50</v>
      </c>
      <c r="Q27" s="197">
        <v>-12.89288</v>
      </c>
    </row>
    <row r="28" spans="1:17" s="5" customFormat="1" x14ac:dyDescent="0.25">
      <c r="A28" s="198" t="s">
        <v>499</v>
      </c>
      <c r="B28" s="199">
        <v>10.665808695652199</v>
      </c>
      <c r="C28" s="195">
        <v>703.98868182951298</v>
      </c>
      <c r="D28" s="196">
        <v>13997.72</v>
      </c>
      <c r="E28" s="200">
        <v>2.9203999999999999</v>
      </c>
      <c r="F28" s="202">
        <v>7.9547502022226692E-3</v>
      </c>
      <c r="G28" s="201">
        <v>273.80952380952402</v>
      </c>
      <c r="H28" s="202">
        <v>2.26212996322388</v>
      </c>
      <c r="I28" s="201">
        <v>2.0954050868032801</v>
      </c>
      <c r="J28" s="203">
        <v>1.5476190476190477</v>
      </c>
      <c r="K28" s="202">
        <f t="shared" si="0"/>
        <v>2.0954050868032801</v>
      </c>
      <c r="L28" s="197">
        <f t="shared" si="1"/>
        <v>2.26212996322388</v>
      </c>
      <c r="M28" s="201">
        <f t="shared" si="2"/>
        <v>0.30439658570941264</v>
      </c>
      <c r="N28" s="202">
        <v>2.9203999999999999</v>
      </c>
      <c r="O28" s="197">
        <v>121.465</v>
      </c>
      <c r="P28" s="197">
        <v>-50</v>
      </c>
      <c r="Q28" s="197">
        <v>-6.71692</v>
      </c>
    </row>
    <row r="29" spans="1:17" s="5" customFormat="1" x14ac:dyDescent="0.25">
      <c r="A29" s="198" t="s">
        <v>532</v>
      </c>
      <c r="B29" s="199">
        <v>11.264527918781701</v>
      </c>
      <c r="C29" s="195">
        <v>1326.48026692454</v>
      </c>
      <c r="D29" s="196">
        <v>19085.79</v>
      </c>
      <c r="E29" s="200">
        <v>2.9988000000000001</v>
      </c>
      <c r="F29" s="202">
        <v>4.4143549401938096E-3</v>
      </c>
      <c r="G29" s="201">
        <v>266.21621621621603</v>
      </c>
      <c r="H29" s="202">
        <v>1.8552283909977498</v>
      </c>
      <c r="I29" s="201">
        <v>1.5675738690936001</v>
      </c>
      <c r="J29" s="203">
        <v>1.4864864864864866</v>
      </c>
      <c r="K29" s="202">
        <f t="shared" si="0"/>
        <v>1.5675738690936001</v>
      </c>
      <c r="L29" s="197">
        <f t="shared" si="1"/>
        <v>1.8552283909977498</v>
      </c>
      <c r="M29" s="201">
        <f t="shared" si="2"/>
        <v>0.52518290138422241</v>
      </c>
      <c r="N29" s="202">
        <v>2.9988000000000001</v>
      </c>
      <c r="O29" s="197">
        <v>121.465</v>
      </c>
      <c r="P29" s="197">
        <v>-50</v>
      </c>
      <c r="Q29" s="197">
        <v>-6.89724</v>
      </c>
    </row>
    <row r="30" spans="1:17" s="5" customFormat="1" x14ac:dyDescent="0.25">
      <c r="A30" s="198" t="s">
        <v>488</v>
      </c>
      <c r="B30" s="199">
        <v>27.456333333333301</v>
      </c>
      <c r="C30" s="195">
        <v>3768.2972199299802</v>
      </c>
      <c r="D30" s="196">
        <v>93135.459068294906</v>
      </c>
      <c r="E30" s="200">
        <v>16.473800000000001</v>
      </c>
      <c r="F30" s="202">
        <v>8.3045014306639305E-3</v>
      </c>
      <c r="G30" s="201">
        <v>600</v>
      </c>
      <c r="H30" s="202">
        <v>4.6107513365550004</v>
      </c>
      <c r="I30" s="201">
        <v>4.32434154071737</v>
      </c>
      <c r="J30" s="203">
        <v>3.3888888888888888</v>
      </c>
      <c r="K30" s="202">
        <f t="shared" si="0"/>
        <v>4.32434154071737</v>
      </c>
      <c r="L30" s="197">
        <f t="shared" si="1"/>
        <v>4.6107513365550004</v>
      </c>
      <c r="M30" s="201">
        <f t="shared" si="2"/>
        <v>0.52291035290239796</v>
      </c>
      <c r="N30" s="202">
        <v>16.473800000000001</v>
      </c>
      <c r="O30" s="197">
        <v>121.465</v>
      </c>
      <c r="P30" s="197">
        <v>-50</v>
      </c>
      <c r="Q30" s="197">
        <v>-37.889740000000003</v>
      </c>
    </row>
    <row r="31" spans="1:17" s="5" customFormat="1" x14ac:dyDescent="0.25">
      <c r="A31" s="198" t="s">
        <v>504</v>
      </c>
      <c r="B31" s="199">
        <v>11.607899053627801</v>
      </c>
      <c r="C31" s="195">
        <v>724.32116835874695</v>
      </c>
      <c r="D31" s="196">
        <v>108009.598</v>
      </c>
      <c r="E31" s="200">
        <v>10.221399999999999</v>
      </c>
      <c r="F31" s="202">
        <v>2.5937091329211601E-2</v>
      </c>
      <c r="G31" s="201">
        <v>880.555555555556</v>
      </c>
      <c r="H31" s="202">
        <v>4.3236003060325903</v>
      </c>
      <c r="I31" s="201">
        <v>3.26119130074186</v>
      </c>
      <c r="J31" s="203">
        <v>4.9583333333333339</v>
      </c>
      <c r="K31" s="202">
        <f t="shared" si="0"/>
        <v>3.26119130074186</v>
      </c>
      <c r="L31" s="197">
        <f t="shared" si="1"/>
        <v>4.3236003060325903</v>
      </c>
      <c r="M31" s="201">
        <f t="shared" si="2"/>
        <v>1.9396845916478611</v>
      </c>
      <c r="N31" s="202">
        <v>10.221399999999999</v>
      </c>
      <c r="O31" s="197">
        <v>121.465</v>
      </c>
      <c r="P31" s="197">
        <v>-50</v>
      </c>
      <c r="Q31" s="197">
        <v>-23.509219999999999</v>
      </c>
    </row>
    <row r="32" spans="1:17" s="5" customFormat="1" x14ac:dyDescent="0.25">
      <c r="A32" s="198" t="s">
        <v>490</v>
      </c>
      <c r="B32" s="199">
        <v>1.83406919275124</v>
      </c>
      <c r="C32" s="195">
        <v>64.943886298668005</v>
      </c>
      <c r="D32" s="196">
        <v>20807.905999999999</v>
      </c>
      <c r="E32" s="200">
        <v>1.3915999999999999</v>
      </c>
      <c r="F32" s="202">
        <v>3.9243604623977801E-2</v>
      </c>
      <c r="G32" s="201">
        <v>758.75</v>
      </c>
      <c r="H32" s="202">
        <v>4.96372630794637</v>
      </c>
      <c r="I32" s="201">
        <v>3.7899997345578003</v>
      </c>
      <c r="J32" s="203">
        <v>4.2625000000000002</v>
      </c>
      <c r="K32" s="202">
        <f t="shared" si="0"/>
        <v>3.7899997345578003</v>
      </c>
      <c r="L32" s="197">
        <f t="shared" si="1"/>
        <v>4.96372630794637</v>
      </c>
      <c r="M32" s="201">
        <f t="shared" si="2"/>
        <v>2.142921735293875</v>
      </c>
      <c r="N32" s="202">
        <v>1.3915999999999999</v>
      </c>
      <c r="O32" s="197">
        <v>121.465</v>
      </c>
      <c r="P32" s="197">
        <v>-50</v>
      </c>
      <c r="Q32" s="197">
        <v>-3.2006800000000002</v>
      </c>
    </row>
    <row r="33" spans="1:17" s="5" customFormat="1" x14ac:dyDescent="0.25">
      <c r="A33" s="198" t="s">
        <v>527</v>
      </c>
      <c r="B33" s="199">
        <v>4.6837677419354797</v>
      </c>
      <c r="C33" s="195">
        <v>241.477239300181</v>
      </c>
      <c r="D33" s="196">
        <v>62295.245999999999</v>
      </c>
      <c r="E33" s="200">
        <v>4.5373999999999999</v>
      </c>
      <c r="F33" s="202">
        <v>3.4438993755120197E-2</v>
      </c>
      <c r="G33" s="201">
        <v>968.75</v>
      </c>
      <c r="H33" s="202">
        <v>4.0653109591020895</v>
      </c>
      <c r="I33" s="201">
        <v>3.4688759019179498</v>
      </c>
      <c r="J33" s="203">
        <v>5.45</v>
      </c>
      <c r="K33" s="202">
        <f t="shared" si="0"/>
        <v>3.4688759019179498</v>
      </c>
      <c r="L33" s="197">
        <f t="shared" si="1"/>
        <v>4.0653109591020895</v>
      </c>
      <c r="M33" s="201">
        <f t="shared" si="2"/>
        <v>1.0889364496887901</v>
      </c>
      <c r="N33" s="202">
        <v>4.5373999999999999</v>
      </c>
      <c r="O33" s="197">
        <v>121.465</v>
      </c>
      <c r="P33" s="197">
        <v>-50</v>
      </c>
      <c r="Q33" s="197">
        <v>-10.436019999999999</v>
      </c>
    </row>
    <row r="34" spans="1:17" s="5" customFormat="1" x14ac:dyDescent="0.25">
      <c r="A34" s="198" t="s">
        <v>497</v>
      </c>
      <c r="B34" s="199">
        <v>11.0167415730337</v>
      </c>
      <c r="C34" s="195">
        <v>197.25235551433099</v>
      </c>
      <c r="D34" s="196">
        <v>5581.3040062843702</v>
      </c>
      <c r="E34" s="200">
        <v>1.421</v>
      </c>
      <c r="F34" s="202">
        <v>1.36174229752554E-2</v>
      </c>
      <c r="G34" s="201">
        <v>128.98550724637701</v>
      </c>
      <c r="H34" s="202">
        <v>4.7096697938722603</v>
      </c>
      <c r="I34" s="201">
        <v>4.0382345523649903</v>
      </c>
      <c r="J34" s="203">
        <v>2.3188405797101455</v>
      </c>
      <c r="K34" s="202">
        <f t="shared" si="0"/>
        <v>4.0382345523649903</v>
      </c>
      <c r="L34" s="197">
        <f t="shared" si="1"/>
        <v>4.7096697938722603</v>
      </c>
      <c r="M34" s="201">
        <f t="shared" si="2"/>
        <v>1.2258674255915361</v>
      </c>
      <c r="N34" s="202">
        <v>1.421</v>
      </c>
      <c r="O34" s="197">
        <v>121.465</v>
      </c>
      <c r="P34" s="197">
        <v>-50</v>
      </c>
      <c r="Q34" s="197">
        <v>-3.2683</v>
      </c>
    </row>
    <row r="35" spans="1:17" s="5" customFormat="1" x14ac:dyDescent="0.25">
      <c r="A35" s="198" t="s">
        <v>484</v>
      </c>
      <c r="B35" s="199">
        <v>7.8448065395095403</v>
      </c>
      <c r="C35" s="195">
        <v>164.63631283206701</v>
      </c>
      <c r="D35" s="196">
        <v>35289.336000000003</v>
      </c>
      <c r="E35" s="200">
        <v>3.8906000000000001</v>
      </c>
      <c r="F35" s="202">
        <v>4.33462706505751E-2</v>
      </c>
      <c r="G35" s="201">
        <v>495.94594594594599</v>
      </c>
      <c r="H35" s="202">
        <v>2.36036260374116</v>
      </c>
      <c r="I35" s="201">
        <v>0.636994555943865</v>
      </c>
      <c r="J35" s="203">
        <v>2.7837837837837838</v>
      </c>
      <c r="K35" s="202">
        <f t="shared" si="0"/>
        <v>0.636994555943865</v>
      </c>
      <c r="L35" s="197">
        <f t="shared" si="1"/>
        <v>2.36036260374116</v>
      </c>
      <c r="M35" s="201">
        <f t="shared" si="2"/>
        <v>3.1464251822073996</v>
      </c>
      <c r="N35" s="202">
        <v>3.8906000000000001</v>
      </c>
      <c r="O35" s="197">
        <v>121.465</v>
      </c>
      <c r="P35" s="197">
        <v>-50</v>
      </c>
      <c r="Q35" s="197">
        <v>-8.9483800000000002</v>
      </c>
    </row>
    <row r="36" spans="1:17" s="5" customFormat="1" x14ac:dyDescent="0.25">
      <c r="A36" s="198" t="s">
        <v>496</v>
      </c>
      <c r="B36" s="199">
        <v>18.097815498155001</v>
      </c>
      <c r="C36" s="195">
        <v>1872.5851218493799</v>
      </c>
      <c r="D36" s="196">
        <v>26979.806848112399</v>
      </c>
      <c r="E36" s="200">
        <v>8.6044</v>
      </c>
      <c r="F36" s="202">
        <v>8.9714240155275796E-3</v>
      </c>
      <c r="G36" s="201">
        <v>475.438596491228</v>
      </c>
      <c r="H36" s="202">
        <v>4.8196759987529596</v>
      </c>
      <c r="I36" s="201">
        <v>4.3420666027123707</v>
      </c>
      <c r="J36" s="203">
        <v>2.666666666666667</v>
      </c>
      <c r="K36" s="202">
        <f t="shared" si="0"/>
        <v>4.3420666027123707</v>
      </c>
      <c r="L36" s="197">
        <f t="shared" si="1"/>
        <v>4.8196759987529596</v>
      </c>
      <c r="M36" s="201">
        <f t="shared" si="2"/>
        <v>0.87199146629283053</v>
      </c>
      <c r="N36" s="202">
        <v>8.6044</v>
      </c>
      <c r="O36" s="197">
        <v>121.465</v>
      </c>
      <c r="P36" s="197">
        <v>-50</v>
      </c>
      <c r="Q36" s="197">
        <v>-19.790120000000002</v>
      </c>
    </row>
    <row r="37" spans="1:17" s="5" customFormat="1" x14ac:dyDescent="0.25">
      <c r="A37" s="198" t="s">
        <v>498</v>
      </c>
      <c r="B37" s="199">
        <v>8.3885979381443292</v>
      </c>
      <c r="C37" s="195">
        <v>2686.3828290515198</v>
      </c>
      <c r="D37" s="196">
        <v>10645.763119884499</v>
      </c>
      <c r="E37" s="200">
        <v>3.5377999999999998</v>
      </c>
      <c r="F37" s="202">
        <v>3.0111196171967399E-3</v>
      </c>
      <c r="G37" s="201">
        <v>421.73913043478302</v>
      </c>
      <c r="H37" s="202">
        <v>4.27741236090574</v>
      </c>
      <c r="I37" s="201">
        <v>4.0938671364493704</v>
      </c>
      <c r="J37" s="203">
        <v>2.347826086956522</v>
      </c>
      <c r="K37" s="202">
        <f t="shared" si="0"/>
        <v>4.0938671364493704</v>
      </c>
      <c r="L37" s="197">
        <f t="shared" si="1"/>
        <v>4.27741236090574</v>
      </c>
      <c r="M37" s="201">
        <f t="shared" si="2"/>
        <v>0.33510619919034168</v>
      </c>
      <c r="N37" s="202">
        <v>3.5377999999999998</v>
      </c>
      <c r="O37" s="197">
        <v>121.465</v>
      </c>
      <c r="P37" s="197">
        <v>-50</v>
      </c>
      <c r="Q37" s="197">
        <v>-8.1369399999999992</v>
      </c>
    </row>
    <row r="38" spans="1:17" s="5" customFormat="1" x14ac:dyDescent="0.25">
      <c r="A38" s="198" t="s">
        <v>494</v>
      </c>
      <c r="B38" s="199">
        <v>17.248000000000001</v>
      </c>
      <c r="C38" s="195">
        <v>425.046678395512</v>
      </c>
      <c r="D38" s="196">
        <v>14405.246494798699</v>
      </c>
      <c r="E38" s="200">
        <v>2.548</v>
      </c>
      <c r="F38" s="202">
        <v>1.12675945752755E-2</v>
      </c>
      <c r="G38" s="201">
        <v>147.727272727273</v>
      </c>
      <c r="H38" s="202">
        <v>3.8997213873135399</v>
      </c>
      <c r="I38" s="201">
        <v>3.63428939128281</v>
      </c>
      <c r="J38" s="203">
        <v>2.6363636363636362</v>
      </c>
      <c r="K38" s="202">
        <f t="shared" si="0"/>
        <v>3.63428939128281</v>
      </c>
      <c r="L38" s="197">
        <f t="shared" si="1"/>
        <v>3.8997213873135399</v>
      </c>
      <c r="M38" s="201">
        <f t="shared" si="2"/>
        <v>0.48461030569884156</v>
      </c>
      <c r="N38" s="202">
        <v>2.548</v>
      </c>
      <c r="O38" s="197">
        <v>121.465</v>
      </c>
      <c r="P38" s="197">
        <v>-50</v>
      </c>
      <c r="Q38" s="197">
        <v>-5.8604000000000003</v>
      </c>
    </row>
    <row r="39" spans="1:17" s="5" customFormat="1" x14ac:dyDescent="0.25">
      <c r="A39" s="198" t="s">
        <v>492</v>
      </c>
      <c r="B39" s="199">
        <v>24.073755681818199</v>
      </c>
      <c r="C39" s="195">
        <v>3464.9518165903901</v>
      </c>
      <c r="D39" s="196">
        <v>84049.072817729495</v>
      </c>
      <c r="E39" s="200">
        <v>14.8666</v>
      </c>
      <c r="F39" s="202">
        <v>8.1564008142309997E-3</v>
      </c>
      <c r="G39" s="201">
        <v>617.54385964912296</v>
      </c>
      <c r="H39" s="202">
        <v>4.2972928904653198</v>
      </c>
      <c r="I39" s="201">
        <v>4.1229994463011099</v>
      </c>
      <c r="J39" s="203">
        <v>3.4736842105263159</v>
      </c>
      <c r="K39" s="202">
        <f t="shared" si="0"/>
        <v>4.1229994463011099</v>
      </c>
      <c r="L39" s="197">
        <f t="shared" si="1"/>
        <v>4.2972928904653198</v>
      </c>
      <c r="M39" s="201">
        <f t="shared" si="2"/>
        <v>0.31821483664668304</v>
      </c>
      <c r="N39" s="202">
        <v>14.8666</v>
      </c>
      <c r="O39" s="197">
        <v>121.465</v>
      </c>
      <c r="P39" s="197">
        <v>-50</v>
      </c>
      <c r="Q39" s="197">
        <v>-34.193179999999998</v>
      </c>
    </row>
    <row r="40" spans="1:17" x14ac:dyDescent="0.25">
      <c r="A40" s="198" t="s">
        <v>501</v>
      </c>
      <c r="B40" s="199">
        <v>13.3322302158273</v>
      </c>
      <c r="C40" s="195">
        <v>1836.3429881950899</v>
      </c>
      <c r="D40" s="196">
        <v>34350.972410673901</v>
      </c>
      <c r="E40" s="200">
        <v>6.0759999999999996</v>
      </c>
      <c r="F40" s="202">
        <v>6.3638607307363601E-3</v>
      </c>
      <c r="G40" s="201">
        <v>455.73770491803299</v>
      </c>
      <c r="H40" s="202">
        <v>4.2208994654466796</v>
      </c>
      <c r="I40" s="201">
        <v>3.9993963135292403</v>
      </c>
      <c r="J40" s="203">
        <v>2.557377049180328</v>
      </c>
      <c r="K40" s="202">
        <f t="shared" si="0"/>
        <v>3.9993963135292403</v>
      </c>
      <c r="L40" s="197">
        <f t="shared" si="1"/>
        <v>4.2208994654466796</v>
      </c>
      <c r="M40" s="201">
        <f t="shared" si="2"/>
        <v>0.40440757621225065</v>
      </c>
      <c r="N40" s="202">
        <v>6.0759999999999996</v>
      </c>
      <c r="O40" s="197"/>
      <c r="P40" s="197">
        <v>-50</v>
      </c>
      <c r="Q40" s="197">
        <v>-13.9748</v>
      </c>
    </row>
    <row r="41" spans="1:17" x14ac:dyDescent="0.25">
      <c r="O41"/>
    </row>
    <row r="42" spans="1:17" x14ac:dyDescent="0.25">
      <c r="O42"/>
    </row>
    <row r="43" spans="1:17" x14ac:dyDescent="0.25">
      <c r="O43"/>
    </row>
    <row r="44" spans="1:17" x14ac:dyDescent="0.25">
      <c r="O44"/>
    </row>
  </sheetData>
  <mergeCells count="4">
    <mergeCell ref="K1:M1"/>
    <mergeCell ref="H1:I1"/>
    <mergeCell ref="B1:E1"/>
    <mergeCell ref="N1:Q1"/>
  </mergeCells>
  <conditionalFormatting sqref="C3:C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pane ySplit="1" topLeftCell="A2" activePane="bottomLeft" state="frozen"/>
      <selection pane="bottomLeft" activeCell="G1" sqref="G1"/>
    </sheetView>
  </sheetViews>
  <sheetFormatPr defaultColWidth="8.85546875" defaultRowHeight="15" x14ac:dyDescent="0.25"/>
  <cols>
    <col min="1" max="1" width="25.140625" style="5" customWidth="1"/>
    <col min="2" max="2" width="24.42578125" customWidth="1"/>
    <col min="3" max="3" width="15.140625" customWidth="1"/>
    <col min="4" max="4" width="16.140625" style="5" customWidth="1"/>
    <col min="5" max="5" width="10" style="5" customWidth="1"/>
    <col min="6" max="6" width="8.140625" style="5" customWidth="1"/>
    <col min="7" max="7" width="11" style="5" customWidth="1"/>
    <col min="8" max="8" width="7.42578125" customWidth="1"/>
    <col min="9" max="9" width="8.28515625" style="5" customWidth="1"/>
    <col min="10" max="10" width="7.85546875" style="5" customWidth="1"/>
    <col min="11" max="11" width="9" style="5" customWidth="1"/>
    <col min="12" max="12" width="6" customWidth="1"/>
    <col min="13" max="13" width="8.85546875" style="5" customWidth="1"/>
    <col min="14" max="14" width="8.85546875" style="5"/>
    <col min="16" max="16" width="8.85546875" customWidth="1"/>
  </cols>
  <sheetData>
    <row r="1" spans="1:14" s="182" customFormat="1" ht="27" customHeight="1" x14ac:dyDescent="0.25">
      <c r="A1" s="184" t="s">
        <v>277</v>
      </c>
      <c r="B1" s="182" t="s">
        <v>276</v>
      </c>
      <c r="C1" s="182" t="s">
        <v>273</v>
      </c>
      <c r="D1" s="182" t="s">
        <v>534</v>
      </c>
      <c r="E1" s="182" t="s">
        <v>68</v>
      </c>
      <c r="F1" s="183" t="s">
        <v>477</v>
      </c>
      <c r="G1" s="183" t="s">
        <v>256</v>
      </c>
      <c r="H1" s="182" t="s">
        <v>275</v>
      </c>
      <c r="I1" s="182" t="s">
        <v>278</v>
      </c>
      <c r="J1" s="182" t="s">
        <v>595</v>
      </c>
      <c r="K1" s="182" t="s">
        <v>478</v>
      </c>
      <c r="L1" s="182" t="s">
        <v>510</v>
      </c>
      <c r="M1" s="182" t="s">
        <v>274</v>
      </c>
      <c r="N1" s="182" t="s">
        <v>279</v>
      </c>
    </row>
    <row r="2" spans="1:14" x14ac:dyDescent="0.25">
      <c r="A2" s="84" t="s">
        <v>35</v>
      </c>
      <c r="B2" t="s">
        <v>113</v>
      </c>
      <c r="C2">
        <v>2.2800000000000002</v>
      </c>
      <c r="D2" s="133">
        <f>C2*IF(ISBLANK(H2),(1/I2),(1/H2))</f>
        <v>3.04</v>
      </c>
      <c r="E2" s="5">
        <v>1087</v>
      </c>
      <c r="F2" s="85">
        <v>12.210800000000003</v>
      </c>
      <c r="G2" s="133">
        <v>0.44143901581437806</v>
      </c>
      <c r="H2" s="5">
        <v>0.75</v>
      </c>
      <c r="I2"/>
      <c r="J2" s="5">
        <v>406</v>
      </c>
      <c r="K2" s="85">
        <f t="shared" ref="K2:K44" si="0">J2*IF(ISBLANK(H2),(1/I2),(1/H2))</f>
        <v>541.33333333333326</v>
      </c>
      <c r="L2" s="85">
        <v>2.5637626942334801</v>
      </c>
      <c r="M2" s="5">
        <v>1.57</v>
      </c>
      <c r="N2" s="85">
        <f t="shared" ref="N2:N43" si="1">IF(ISBLANK(M2),C2/I2,M2)</f>
        <v>1.57</v>
      </c>
    </row>
    <row r="3" spans="1:14" x14ac:dyDescent="0.25">
      <c r="A3" s="84" t="s">
        <v>33</v>
      </c>
      <c r="B3" t="s">
        <v>114</v>
      </c>
      <c r="C3">
        <v>1.6600000000000001</v>
      </c>
      <c r="D3" s="133">
        <f t="shared" ref="D3:D44" si="2">C3*IF(ISBLANK(H3),(1/I3),(1/H3))</f>
        <v>2.5151515151515151</v>
      </c>
      <c r="E3" s="5">
        <v>94</v>
      </c>
      <c r="F3" s="85">
        <v>1.0388000000000002</v>
      </c>
      <c r="G3" s="133">
        <v>5.2943336751192241E-2</v>
      </c>
      <c r="H3" s="5">
        <v>0.66</v>
      </c>
      <c r="I3"/>
      <c r="J3" s="5">
        <v>93</v>
      </c>
      <c r="K3" s="85">
        <f t="shared" si="0"/>
        <v>140.90909090909091</v>
      </c>
      <c r="L3" s="85">
        <v>0.48567832827686203</v>
      </c>
      <c r="M3" s="5">
        <v>1.62</v>
      </c>
      <c r="N3" s="85">
        <f t="shared" si="1"/>
        <v>1.62</v>
      </c>
    </row>
    <row r="4" spans="1:14" x14ac:dyDescent="0.25">
      <c r="A4" s="84" t="s">
        <v>34</v>
      </c>
      <c r="B4" t="s">
        <v>115</v>
      </c>
      <c r="C4">
        <v>2.84</v>
      </c>
      <c r="D4" s="133">
        <f t="shared" si="2"/>
        <v>3.8378378378378377</v>
      </c>
      <c r="E4" s="5">
        <v>280</v>
      </c>
      <c r="F4" s="85">
        <v>3.0184000000000006</v>
      </c>
      <c r="G4" s="133">
        <v>9.3327858098991537E-2</v>
      </c>
      <c r="H4" s="5">
        <v>0.74</v>
      </c>
      <c r="I4"/>
      <c r="J4" s="5">
        <v>506</v>
      </c>
      <c r="K4" s="85">
        <f t="shared" si="0"/>
        <v>683.78378378378375</v>
      </c>
      <c r="L4" s="85">
        <v>2.25125016895851</v>
      </c>
      <c r="M4" s="5">
        <v>2.98</v>
      </c>
      <c r="N4" s="85">
        <f t="shared" si="1"/>
        <v>2.98</v>
      </c>
    </row>
    <row r="5" spans="1:14" x14ac:dyDescent="0.25">
      <c r="A5" s="84" t="s">
        <v>214</v>
      </c>
      <c r="B5" t="s">
        <v>116</v>
      </c>
      <c r="C5">
        <v>3.97</v>
      </c>
      <c r="D5" s="133">
        <f t="shared" si="2"/>
        <v>5.9253731343283578</v>
      </c>
      <c r="E5" s="5">
        <v>470</v>
      </c>
      <c r="F5" s="85">
        <v>3.3908000000000005</v>
      </c>
      <c r="G5" s="133">
        <v>0.11206731287381601</v>
      </c>
      <c r="H5" s="5">
        <v>0.67</v>
      </c>
      <c r="I5"/>
      <c r="J5" s="5">
        <v>706</v>
      </c>
      <c r="K5" s="85">
        <f t="shared" si="0"/>
        <v>1053.731343283582</v>
      </c>
      <c r="L5" s="85">
        <v>1.4335992286371799</v>
      </c>
      <c r="M5" s="5">
        <v>5.0999999999999996</v>
      </c>
      <c r="N5" s="85">
        <f t="shared" si="1"/>
        <v>5.0999999999999996</v>
      </c>
    </row>
    <row r="6" spans="1:14" x14ac:dyDescent="0.25">
      <c r="A6" s="84"/>
      <c r="B6" t="s">
        <v>117</v>
      </c>
      <c r="C6">
        <v>3.7600000000000002</v>
      </c>
      <c r="D6" s="133">
        <f t="shared" si="2"/>
        <v>5.6119402985074629</v>
      </c>
      <c r="E6" s="5">
        <v>1655</v>
      </c>
      <c r="F6" s="85">
        <v>12.485200000000003</v>
      </c>
      <c r="G6" s="133">
        <v>0.41355423824495247</v>
      </c>
      <c r="H6" s="5"/>
      <c r="I6">
        <v>0.67</v>
      </c>
      <c r="J6" s="5">
        <v>669</v>
      </c>
      <c r="K6" s="85">
        <f t="shared" si="0"/>
        <v>998.50746268656712</v>
      </c>
      <c r="L6" s="85">
        <v>2.7780857855939498</v>
      </c>
      <c r="N6" s="85">
        <f t="shared" si="1"/>
        <v>5.6119402985074629</v>
      </c>
    </row>
    <row r="7" spans="1:14" x14ac:dyDescent="0.25">
      <c r="A7" s="84"/>
      <c r="B7" t="s">
        <v>92</v>
      </c>
      <c r="C7">
        <v>3.79</v>
      </c>
      <c r="D7" s="133">
        <f t="shared" si="2"/>
        <v>5.656716417910447</v>
      </c>
      <c r="E7" s="5">
        <v>275</v>
      </c>
      <c r="F7" s="85">
        <v>2.0580000000000003</v>
      </c>
      <c r="G7" s="133">
        <v>6.8685504311451553E-2</v>
      </c>
      <c r="H7" s="5"/>
      <c r="I7">
        <v>0.67</v>
      </c>
      <c r="J7" s="5">
        <v>675</v>
      </c>
      <c r="K7" s="85">
        <f t="shared" si="0"/>
        <v>1007.462686567164</v>
      </c>
      <c r="L7" s="85">
        <v>1.46893920464251</v>
      </c>
      <c r="N7" s="85">
        <f t="shared" si="1"/>
        <v>5.6567164179104479</v>
      </c>
    </row>
    <row r="8" spans="1:14" x14ac:dyDescent="0.25">
      <c r="A8" s="84" t="s">
        <v>14</v>
      </c>
      <c r="B8" t="s">
        <v>118</v>
      </c>
      <c r="C8">
        <v>1.3699999999999999</v>
      </c>
      <c r="D8" s="133">
        <f t="shared" si="2"/>
        <v>2.8541666666666665</v>
      </c>
      <c r="E8" s="5">
        <v>146</v>
      </c>
      <c r="F8" s="85">
        <v>2.2050000000000005</v>
      </c>
      <c r="G8" s="133">
        <v>9.93471393531178E-2</v>
      </c>
      <c r="H8" s="5">
        <v>0.48</v>
      </c>
      <c r="I8"/>
      <c r="J8" s="5">
        <v>243</v>
      </c>
      <c r="K8" s="85">
        <f t="shared" si="0"/>
        <v>506.25000000000006</v>
      </c>
      <c r="L8" s="85">
        <v>1.4431794207999</v>
      </c>
      <c r="M8" s="5">
        <v>2.81</v>
      </c>
      <c r="N8" s="85">
        <f t="shared" si="1"/>
        <v>2.81</v>
      </c>
    </row>
    <row r="9" spans="1:14" x14ac:dyDescent="0.25">
      <c r="A9" s="84" t="s">
        <v>227</v>
      </c>
      <c r="B9" t="s">
        <v>119</v>
      </c>
      <c r="C9">
        <v>1.21</v>
      </c>
      <c r="D9" s="133">
        <f t="shared" si="2"/>
        <v>1.7794117647058822</v>
      </c>
      <c r="E9" s="5">
        <v>13</v>
      </c>
      <c r="F9" s="85">
        <v>0.24500000000000002</v>
      </c>
      <c r="G9" s="133">
        <v>1.0131501621528316E-2</v>
      </c>
      <c r="H9" s="5">
        <v>0.68</v>
      </c>
      <c r="I9"/>
      <c r="J9" s="5">
        <v>216</v>
      </c>
      <c r="K9" s="85">
        <f t="shared" si="0"/>
        <v>317.64705882352939</v>
      </c>
      <c r="L9" s="85"/>
      <c r="M9" s="5">
        <v>1.74</v>
      </c>
      <c r="N9" s="85">
        <f t="shared" si="1"/>
        <v>1.74</v>
      </c>
    </row>
    <row r="10" spans="1:14" x14ac:dyDescent="0.25">
      <c r="A10" s="84" t="s">
        <v>223</v>
      </c>
      <c r="B10" t="s">
        <v>120</v>
      </c>
      <c r="C10">
        <v>0.9</v>
      </c>
      <c r="D10" s="133">
        <f t="shared" si="2"/>
        <v>3</v>
      </c>
      <c r="E10" s="5">
        <v>470</v>
      </c>
      <c r="F10" s="85">
        <v>11.015200000000002</v>
      </c>
      <c r="G10" s="133">
        <v>0.48525894101906297</v>
      </c>
      <c r="H10" s="5">
        <v>0.3</v>
      </c>
      <c r="I10"/>
      <c r="J10" s="5">
        <v>160</v>
      </c>
      <c r="K10" s="85">
        <f t="shared" si="0"/>
        <v>533.33333333333337</v>
      </c>
      <c r="L10" s="85">
        <v>0.56050214491508799</v>
      </c>
      <c r="M10" s="5">
        <v>3.22</v>
      </c>
      <c r="N10" s="85">
        <f t="shared" si="1"/>
        <v>3.22</v>
      </c>
    </row>
    <row r="11" spans="1:14" x14ac:dyDescent="0.25">
      <c r="A11" s="84" t="s">
        <v>262</v>
      </c>
      <c r="B11" t="s">
        <v>121</v>
      </c>
      <c r="C11">
        <v>1.08</v>
      </c>
      <c r="D11" s="133">
        <f t="shared" si="2"/>
        <v>2.1176470588235294</v>
      </c>
      <c r="E11" s="5">
        <v>22</v>
      </c>
      <c r="F11" s="85">
        <v>0.44100000000000006</v>
      </c>
      <c r="G11" s="133">
        <v>1.9271072805841147E-2</v>
      </c>
      <c r="H11" s="5">
        <v>0.51</v>
      </c>
      <c r="I11"/>
      <c r="J11" s="5">
        <v>193</v>
      </c>
      <c r="K11" s="85">
        <f t="shared" si="0"/>
        <v>378.43137254901961</v>
      </c>
      <c r="L11" s="85">
        <v>0.55871138971939804</v>
      </c>
      <c r="M11" s="5">
        <v>1.81</v>
      </c>
      <c r="N11" s="85">
        <f t="shared" si="1"/>
        <v>1.81</v>
      </c>
    </row>
    <row r="12" spans="1:14" x14ac:dyDescent="0.25">
      <c r="A12" s="84" t="s">
        <v>267</v>
      </c>
      <c r="B12" t="s">
        <v>247</v>
      </c>
      <c r="C12">
        <v>1.25</v>
      </c>
      <c r="D12" s="133">
        <f t="shared" si="2"/>
        <v>2.7173913043478262</v>
      </c>
      <c r="E12" s="5">
        <v>55</v>
      </c>
      <c r="F12" s="85">
        <v>2.8518000000000003</v>
      </c>
      <c r="G12" s="133">
        <v>0.1178939094729979</v>
      </c>
      <c r="H12" s="5">
        <v>0.46</v>
      </c>
      <c r="I12"/>
      <c r="J12" s="5">
        <v>74</v>
      </c>
      <c r="K12" s="85">
        <f t="shared" si="0"/>
        <v>160.86956521739128</v>
      </c>
      <c r="L12" s="85">
        <v>1.6452543223453</v>
      </c>
      <c r="M12" s="5">
        <v>3.42</v>
      </c>
      <c r="N12" s="85">
        <f t="shared" si="1"/>
        <v>3.42</v>
      </c>
    </row>
    <row r="13" spans="1:14" x14ac:dyDescent="0.25">
      <c r="A13" s="84" t="s">
        <v>266</v>
      </c>
      <c r="B13" t="s">
        <v>248</v>
      </c>
      <c r="C13">
        <v>1.46</v>
      </c>
      <c r="D13" s="133">
        <f t="shared" si="2"/>
        <v>3.2444444444444445</v>
      </c>
      <c r="E13" s="5">
        <v>12</v>
      </c>
      <c r="F13" s="85">
        <v>0.37240000000000006</v>
      </c>
      <c r="G13" s="133">
        <v>1.8338950942794256E-2</v>
      </c>
      <c r="H13" s="5">
        <v>0.45</v>
      </c>
      <c r="I13"/>
      <c r="J13" s="5">
        <v>109</v>
      </c>
      <c r="K13" s="85">
        <f t="shared" si="0"/>
        <v>242.22222222222223</v>
      </c>
      <c r="L13" s="85">
        <v>1.41415245075987</v>
      </c>
      <c r="M13" s="5">
        <v>3.61</v>
      </c>
      <c r="N13" s="85">
        <f t="shared" si="1"/>
        <v>3.61</v>
      </c>
    </row>
    <row r="14" spans="1:14" x14ac:dyDescent="0.25">
      <c r="A14" s="84"/>
      <c r="B14" t="s">
        <v>122</v>
      </c>
      <c r="C14">
        <v>0.42000000000000004</v>
      </c>
      <c r="D14" s="133">
        <f t="shared" si="2"/>
        <v>1</v>
      </c>
      <c r="E14" s="5">
        <v>793</v>
      </c>
      <c r="F14" s="85">
        <v>9.231600000000002</v>
      </c>
      <c r="G14" s="133">
        <v>0.3746218754825244</v>
      </c>
      <c r="H14" s="5"/>
      <c r="I14">
        <v>0.42</v>
      </c>
      <c r="J14" s="5">
        <v>349</v>
      </c>
      <c r="K14" s="85">
        <f t="shared" si="0"/>
        <v>830.95238095238096</v>
      </c>
      <c r="L14" s="85">
        <v>0.10644814458138001</v>
      </c>
      <c r="N14" s="85">
        <f t="shared" si="1"/>
        <v>1.0000000000000002</v>
      </c>
    </row>
    <row r="15" spans="1:14" x14ac:dyDescent="0.25">
      <c r="A15" s="84"/>
      <c r="B15" t="s">
        <v>123</v>
      </c>
      <c r="C15">
        <v>0.61</v>
      </c>
      <c r="D15" s="133">
        <f t="shared" si="2"/>
        <v>1.4523809523809523</v>
      </c>
      <c r="E15" s="5">
        <v>1444</v>
      </c>
      <c r="F15" s="85">
        <v>18.737600000000004</v>
      </c>
      <c r="G15" s="133">
        <v>0.67187755731093068</v>
      </c>
      <c r="H15" s="5"/>
      <c r="I15">
        <v>0.42</v>
      </c>
      <c r="J15" s="5">
        <v>355</v>
      </c>
      <c r="K15" s="85">
        <f t="shared" si="0"/>
        <v>845.23809523809518</v>
      </c>
      <c r="L15" s="85">
        <v>0.17872731658563201</v>
      </c>
      <c r="N15" s="85">
        <f t="shared" si="1"/>
        <v>1.4523809523809523</v>
      </c>
    </row>
    <row r="16" spans="1:14" x14ac:dyDescent="0.25">
      <c r="A16" s="84" t="s">
        <v>213</v>
      </c>
      <c r="B16" t="s">
        <v>124</v>
      </c>
      <c r="C16">
        <v>1.9600000000000002</v>
      </c>
      <c r="D16" s="133">
        <f t="shared" si="2"/>
        <v>3.5</v>
      </c>
      <c r="E16" s="5">
        <v>378</v>
      </c>
      <c r="F16" s="85">
        <v>7.3892000000000007</v>
      </c>
      <c r="G16" s="133">
        <v>0.29148960142911901</v>
      </c>
      <c r="H16" s="5">
        <v>0.56000000000000005</v>
      </c>
      <c r="I16"/>
      <c r="J16" s="5">
        <v>211</v>
      </c>
      <c r="K16" s="85">
        <f t="shared" si="0"/>
        <v>376.78571428571428</v>
      </c>
      <c r="L16" s="85">
        <v>1.05417064028049</v>
      </c>
      <c r="M16" s="5">
        <v>2.5499999999999998</v>
      </c>
      <c r="N16" s="85">
        <f t="shared" si="1"/>
        <v>2.5499999999999998</v>
      </c>
    </row>
    <row r="17" spans="1:14" x14ac:dyDescent="0.25">
      <c r="A17" s="84" t="s">
        <v>30</v>
      </c>
      <c r="B17" t="s">
        <v>125</v>
      </c>
      <c r="C17">
        <v>1.9899999999999998</v>
      </c>
      <c r="D17" s="133">
        <f t="shared" si="2"/>
        <v>2.9701492537313428</v>
      </c>
      <c r="E17" s="5">
        <v>168</v>
      </c>
      <c r="F17" s="85">
        <v>1.5484000000000002</v>
      </c>
      <c r="G17" s="133">
        <v>5.2485369703195235E-2</v>
      </c>
      <c r="H17" s="5">
        <v>0.67</v>
      </c>
      <c r="I17"/>
      <c r="J17" s="5">
        <v>539</v>
      </c>
      <c r="K17" s="85">
        <f t="shared" si="0"/>
        <v>804.4776119402984</v>
      </c>
      <c r="L17" s="85">
        <v>0.90472615415718405</v>
      </c>
      <c r="M17" s="5">
        <v>3.64</v>
      </c>
      <c r="N17" s="85">
        <f t="shared" si="1"/>
        <v>3.64</v>
      </c>
    </row>
    <row r="18" spans="1:14" x14ac:dyDescent="0.25">
      <c r="B18" t="s">
        <v>126</v>
      </c>
      <c r="C18">
        <v>1.1800000000000002</v>
      </c>
      <c r="D18" s="133">
        <f t="shared" si="2"/>
        <v>1.9186991869918701</v>
      </c>
      <c r="E18" s="5">
        <v>246</v>
      </c>
      <c r="F18" s="85">
        <v>2.3520000000000003</v>
      </c>
      <c r="G18" s="133">
        <v>7.9367646356104563E-2</v>
      </c>
      <c r="H18" s="5"/>
      <c r="I18">
        <f>AVERAGE(H16:H17)</f>
        <v>0.61499999999999999</v>
      </c>
      <c r="J18" s="5">
        <v>163</v>
      </c>
      <c r="K18" s="85">
        <f t="shared" si="0"/>
        <v>265.04065040650408</v>
      </c>
      <c r="L18" s="85">
        <v>0.62324703155745598</v>
      </c>
      <c r="N18" s="85">
        <f t="shared" si="1"/>
        <v>1.9186991869918701</v>
      </c>
    </row>
    <row r="19" spans="1:14" x14ac:dyDescent="0.25">
      <c r="A19" s="84" t="s">
        <v>259</v>
      </c>
      <c r="B19" t="s">
        <v>521</v>
      </c>
      <c r="C19">
        <v>3.0300000000000002</v>
      </c>
      <c r="D19" s="133">
        <f t="shared" si="2"/>
        <v>3.9868421052631584</v>
      </c>
      <c r="E19" s="5">
        <v>999</v>
      </c>
      <c r="F19" s="85">
        <v>10.221400000000001</v>
      </c>
      <c r="G19" s="133">
        <v>0.42090389819279</v>
      </c>
      <c r="H19" s="5">
        <v>0.76</v>
      </c>
      <c r="I19"/>
      <c r="J19" s="5">
        <v>402</v>
      </c>
      <c r="K19" s="85">
        <f t="shared" si="0"/>
        <v>528.94736842105272</v>
      </c>
      <c r="L19" s="85">
        <v>2.2112903338244698</v>
      </c>
      <c r="M19" s="5">
        <v>3.04</v>
      </c>
      <c r="N19" s="85">
        <f t="shared" si="1"/>
        <v>3.04</v>
      </c>
    </row>
    <row r="20" spans="1:14" x14ac:dyDescent="0.25">
      <c r="A20" s="84" t="s">
        <v>258</v>
      </c>
      <c r="B20" t="s">
        <v>522</v>
      </c>
      <c r="C20">
        <v>2.93</v>
      </c>
      <c r="D20" s="133">
        <f t="shared" si="2"/>
        <v>3.4880952380952381</v>
      </c>
      <c r="E20" s="5">
        <v>1179</v>
      </c>
      <c r="F20" s="85">
        <v>11.279800000000002</v>
      </c>
      <c r="G20" s="133">
        <v>0.45295208106206669</v>
      </c>
      <c r="H20" s="5">
        <v>0.84</v>
      </c>
      <c r="I20"/>
      <c r="J20" s="5">
        <v>418</v>
      </c>
      <c r="K20" s="85">
        <f t="shared" si="0"/>
        <v>497.61904761904759</v>
      </c>
      <c r="L20" s="85">
        <v>2.35253087382211</v>
      </c>
      <c r="M20" s="5">
        <v>3.47</v>
      </c>
      <c r="N20" s="85">
        <f t="shared" si="1"/>
        <v>3.47</v>
      </c>
    </row>
    <row r="21" spans="1:14" x14ac:dyDescent="0.25">
      <c r="A21" s="84"/>
      <c r="B21" t="s">
        <v>105</v>
      </c>
      <c r="C21">
        <v>2.23</v>
      </c>
      <c r="D21" s="133">
        <f t="shared" si="2"/>
        <v>5.3095238095238093</v>
      </c>
      <c r="E21" s="5">
        <v>805</v>
      </c>
      <c r="F21" s="85">
        <v>18.257400000000004</v>
      </c>
      <c r="G21" s="133">
        <v>0.60211217787760174</v>
      </c>
      <c r="H21" s="5"/>
      <c r="I21">
        <v>0.42</v>
      </c>
      <c r="J21" s="5">
        <v>223</v>
      </c>
      <c r="K21" s="85">
        <f t="shared" si="0"/>
        <v>530.95238095238096</v>
      </c>
      <c r="L21" s="85"/>
      <c r="N21" s="85">
        <f t="shared" si="1"/>
        <v>5.3095238095238093</v>
      </c>
    </row>
    <row r="22" spans="1:14" x14ac:dyDescent="0.25">
      <c r="A22" s="84"/>
      <c r="B22" t="s">
        <v>130</v>
      </c>
      <c r="C22">
        <v>0.6</v>
      </c>
      <c r="D22" s="133">
        <f t="shared" si="2"/>
        <v>1.4285714285714286</v>
      </c>
      <c r="E22" s="5">
        <v>720</v>
      </c>
      <c r="F22" s="85">
        <v>11.642400000000002</v>
      </c>
      <c r="G22" s="133">
        <v>0.4548573325312662</v>
      </c>
      <c r="H22" s="5"/>
      <c r="I22">
        <v>0.42</v>
      </c>
      <c r="J22" s="5">
        <v>260</v>
      </c>
      <c r="K22" s="85">
        <f t="shared" si="0"/>
        <v>619.04761904761904</v>
      </c>
      <c r="L22" s="85">
        <v>0.11322938559371</v>
      </c>
      <c r="N22" s="85">
        <f t="shared" si="1"/>
        <v>1.4285714285714286</v>
      </c>
    </row>
    <row r="23" spans="1:14" x14ac:dyDescent="0.25">
      <c r="A23" s="84"/>
      <c r="B23" t="s">
        <v>131</v>
      </c>
      <c r="C23">
        <v>0.45</v>
      </c>
      <c r="D23" s="133">
        <f t="shared" si="2"/>
        <v>1.0714285714285714</v>
      </c>
      <c r="E23" s="5">
        <v>194</v>
      </c>
      <c r="F23" s="85">
        <v>7.1736000000000013</v>
      </c>
      <c r="G23" s="133">
        <v>0.29421428377052</v>
      </c>
      <c r="H23" s="5"/>
      <c r="I23">
        <v>0.42</v>
      </c>
      <c r="J23" s="5">
        <v>106</v>
      </c>
      <c r="K23" s="85">
        <f t="shared" si="0"/>
        <v>252.38095238095238</v>
      </c>
      <c r="L23" s="85">
        <v>0.33521873243716799</v>
      </c>
      <c r="N23" s="85">
        <f t="shared" si="1"/>
        <v>1.0714285714285714</v>
      </c>
    </row>
    <row r="24" spans="1:14" x14ac:dyDescent="0.25">
      <c r="A24" s="84"/>
      <c r="B24" t="s">
        <v>111</v>
      </c>
      <c r="C24">
        <v>1.0900000000000001</v>
      </c>
      <c r="D24" s="133">
        <f t="shared" si="2"/>
        <v>1.472972972972973</v>
      </c>
      <c r="E24" s="5">
        <v>54</v>
      </c>
      <c r="F24" s="85">
        <v>3.0086000000000004</v>
      </c>
      <c r="G24" s="133">
        <v>0.11274662978617678</v>
      </c>
      <c r="H24" s="5"/>
      <c r="I24">
        <v>0.74</v>
      </c>
      <c r="J24" s="5">
        <v>81</v>
      </c>
      <c r="K24" s="85">
        <f t="shared" si="0"/>
        <v>109.45945945945945</v>
      </c>
      <c r="L24" s="85">
        <v>1.45278687215184</v>
      </c>
      <c r="N24" s="85">
        <f t="shared" si="1"/>
        <v>1.472972972972973</v>
      </c>
    </row>
    <row r="25" spans="1:14" x14ac:dyDescent="0.25">
      <c r="A25" s="84" t="s">
        <v>225</v>
      </c>
      <c r="B25" t="s">
        <v>132</v>
      </c>
      <c r="C25">
        <v>0.86</v>
      </c>
      <c r="D25" s="133">
        <f t="shared" si="2"/>
        <v>3.0714285714285712</v>
      </c>
      <c r="E25" s="5">
        <v>233</v>
      </c>
      <c r="F25" s="85">
        <v>4.9294000000000011</v>
      </c>
      <c r="G25" s="133">
        <v>0.20084070902277668</v>
      </c>
      <c r="H25" s="5">
        <v>0.28000000000000003</v>
      </c>
      <c r="I25"/>
      <c r="J25" s="5">
        <v>193</v>
      </c>
      <c r="K25" s="85">
        <f t="shared" si="0"/>
        <v>689.28571428571422</v>
      </c>
      <c r="L25" s="85"/>
      <c r="M25" s="5">
        <v>2.92</v>
      </c>
      <c r="N25" s="85">
        <f t="shared" si="1"/>
        <v>2.92</v>
      </c>
    </row>
    <row r="26" spans="1:14" x14ac:dyDescent="0.25">
      <c r="B26" t="s">
        <v>74</v>
      </c>
      <c r="C26" s="3">
        <v>0.88000000000000012</v>
      </c>
      <c r="D26" s="133">
        <f t="shared" si="2"/>
        <v>2.7500000000000004</v>
      </c>
      <c r="E26" s="5">
        <v>88</v>
      </c>
      <c r="F26" s="85">
        <v>2.3814000000000002</v>
      </c>
      <c r="G26" s="133">
        <v>9.6331912249195364E-2</v>
      </c>
      <c r="H26" s="5"/>
      <c r="I26">
        <v>0.32</v>
      </c>
      <c r="J26" s="5">
        <v>152</v>
      </c>
      <c r="K26" s="85">
        <f t="shared" si="0"/>
        <v>475</v>
      </c>
      <c r="L26" s="85"/>
      <c r="N26" s="85">
        <f t="shared" si="1"/>
        <v>2.7500000000000004</v>
      </c>
    </row>
    <row r="27" spans="1:14" x14ac:dyDescent="0.25">
      <c r="A27" s="84"/>
      <c r="B27" t="s">
        <v>75</v>
      </c>
      <c r="C27" s="3">
        <v>0.86</v>
      </c>
      <c r="D27" s="133">
        <f t="shared" si="2"/>
        <v>3.0714285714285712</v>
      </c>
      <c r="E27" s="3">
        <v>131</v>
      </c>
      <c r="F27" s="85">
        <v>3.9592000000000005</v>
      </c>
      <c r="G27" s="133">
        <v>0.16115702701447743</v>
      </c>
      <c r="H27" s="5"/>
      <c r="I27">
        <v>0.28000000000000003</v>
      </c>
      <c r="J27" s="3">
        <v>135</v>
      </c>
      <c r="K27" s="85">
        <f t="shared" si="0"/>
        <v>482.14285714285711</v>
      </c>
      <c r="L27" s="85"/>
      <c r="N27" s="85">
        <f t="shared" si="1"/>
        <v>3.0714285714285712</v>
      </c>
    </row>
    <row r="28" spans="1:14" x14ac:dyDescent="0.25">
      <c r="A28" s="84" t="s">
        <v>226</v>
      </c>
      <c r="B28" t="s">
        <v>73</v>
      </c>
      <c r="C28" s="3">
        <v>0.76</v>
      </c>
      <c r="D28" s="133">
        <f t="shared" si="2"/>
        <v>2.375</v>
      </c>
      <c r="E28" s="3">
        <v>31</v>
      </c>
      <c r="F28" s="85">
        <v>0.8428000000000001</v>
      </c>
      <c r="G28" s="133">
        <v>3.3097968971320828E-2</v>
      </c>
      <c r="H28" s="5">
        <v>0.32</v>
      </c>
      <c r="I28"/>
      <c r="J28" s="3">
        <v>157</v>
      </c>
      <c r="K28" s="85">
        <f t="shared" si="0"/>
        <v>490.625</v>
      </c>
      <c r="L28" s="85">
        <v>0.56367121338597803</v>
      </c>
      <c r="M28" s="5">
        <v>2.76</v>
      </c>
      <c r="N28" s="85">
        <f t="shared" si="1"/>
        <v>2.76</v>
      </c>
    </row>
    <row r="29" spans="1:14" x14ac:dyDescent="0.25">
      <c r="A29" s="84"/>
      <c r="B29" t="s">
        <v>48</v>
      </c>
      <c r="C29" s="3">
        <v>1.08</v>
      </c>
      <c r="D29" s="133">
        <f t="shared" si="2"/>
        <v>2.5714285714285716</v>
      </c>
      <c r="E29" s="3">
        <v>21</v>
      </c>
      <c r="F29" s="85">
        <v>0.54880000000000007</v>
      </c>
      <c r="G29" s="133">
        <v>2.3058616298704947E-2</v>
      </c>
      <c r="H29" s="5"/>
      <c r="I29">
        <v>0.42</v>
      </c>
      <c r="J29" s="3">
        <v>152</v>
      </c>
      <c r="K29" s="85">
        <f t="shared" si="0"/>
        <v>361.90476190476193</v>
      </c>
      <c r="L29" s="85">
        <v>1.0242268537697301</v>
      </c>
      <c r="N29" s="85">
        <f t="shared" si="1"/>
        <v>2.5714285714285716</v>
      </c>
    </row>
    <row r="30" spans="1:14" x14ac:dyDescent="0.25">
      <c r="A30" s="84" t="s">
        <v>250</v>
      </c>
      <c r="B30" t="s">
        <v>50</v>
      </c>
      <c r="C30" s="3">
        <v>1.25</v>
      </c>
      <c r="D30" s="133">
        <f t="shared" si="2"/>
        <v>3.6764705882352939</v>
      </c>
      <c r="E30" s="3">
        <v>478</v>
      </c>
      <c r="F30" s="85">
        <v>11.142600000000002</v>
      </c>
      <c r="G30" s="133">
        <v>0.40273318339721798</v>
      </c>
      <c r="H30" s="5">
        <v>0.34</v>
      </c>
      <c r="I30"/>
      <c r="J30" s="3">
        <v>193</v>
      </c>
      <c r="K30" s="85">
        <f t="shared" si="0"/>
        <v>567.64705882352939</v>
      </c>
      <c r="L30" s="85">
        <v>1.4257271521847701</v>
      </c>
      <c r="M30" s="5">
        <v>4.08</v>
      </c>
      <c r="N30" s="85">
        <f t="shared" si="1"/>
        <v>4.08</v>
      </c>
    </row>
    <row r="31" spans="1:14" x14ac:dyDescent="0.25">
      <c r="A31" s="84"/>
      <c r="B31" t="s">
        <v>52</v>
      </c>
      <c r="C31" s="3">
        <v>0.65</v>
      </c>
      <c r="D31" s="133">
        <f t="shared" si="2"/>
        <v>1.5476190476190477</v>
      </c>
      <c r="E31" s="3">
        <v>308</v>
      </c>
      <c r="F31" s="85">
        <v>5.6056000000000008</v>
      </c>
      <c r="G31" s="133">
        <v>0.2289596228944413</v>
      </c>
      <c r="H31" s="5"/>
      <c r="I31">
        <v>0.42</v>
      </c>
      <c r="J31" s="3">
        <v>223</v>
      </c>
      <c r="K31" s="85">
        <f t="shared" si="0"/>
        <v>530.95238095238096</v>
      </c>
      <c r="L31" s="85">
        <v>0.7954750202222669</v>
      </c>
      <c r="N31" s="85">
        <f t="shared" si="1"/>
        <v>1.5476190476190477</v>
      </c>
    </row>
    <row r="32" spans="1:14" x14ac:dyDescent="0.25">
      <c r="A32" s="84" t="s">
        <v>212</v>
      </c>
      <c r="B32" t="s">
        <v>127</v>
      </c>
      <c r="C32" s="5">
        <v>2.38</v>
      </c>
      <c r="D32" s="133">
        <f t="shared" si="2"/>
        <v>5.6666666666666661</v>
      </c>
      <c r="E32" s="3">
        <v>90</v>
      </c>
      <c r="F32" s="85">
        <v>2.9204000000000003</v>
      </c>
      <c r="G32" s="133">
        <v>0.1277099433645478</v>
      </c>
      <c r="H32" s="5">
        <v>0.42</v>
      </c>
      <c r="I32"/>
      <c r="J32" s="3">
        <v>115</v>
      </c>
      <c r="K32" s="85">
        <f t="shared" si="0"/>
        <v>273.8095238095238</v>
      </c>
      <c r="L32" s="85">
        <v>1.1323047675901201</v>
      </c>
      <c r="M32" s="5">
        <v>5.55</v>
      </c>
      <c r="N32" s="85">
        <f t="shared" si="1"/>
        <v>5.55</v>
      </c>
    </row>
    <row r="33" spans="1:14" x14ac:dyDescent="0.25">
      <c r="A33" s="84"/>
      <c r="B33" t="s">
        <v>76</v>
      </c>
      <c r="C33" s="3">
        <v>1.1000000000000001</v>
      </c>
      <c r="D33" s="133">
        <f t="shared" si="2"/>
        <v>1.4864864864864866</v>
      </c>
      <c r="E33" s="3">
        <v>155</v>
      </c>
      <c r="F33" s="85">
        <v>2.9988000000000006</v>
      </c>
      <c r="G33" s="133">
        <v>0.13320331335042454</v>
      </c>
      <c r="H33" s="5"/>
      <c r="I33">
        <v>0.74</v>
      </c>
      <c r="J33" s="3">
        <v>197</v>
      </c>
      <c r="K33" s="85">
        <f t="shared" si="0"/>
        <v>266.2162162162162</v>
      </c>
      <c r="L33" s="85">
        <v>0.44143549401938098</v>
      </c>
      <c r="N33" s="85">
        <f t="shared" si="1"/>
        <v>1.4864864864864866</v>
      </c>
    </row>
    <row r="34" spans="1:14" x14ac:dyDescent="0.25">
      <c r="A34" s="84" t="s">
        <v>6</v>
      </c>
      <c r="B34" t="s">
        <v>82</v>
      </c>
      <c r="C34" s="3">
        <v>1.22</v>
      </c>
      <c r="D34" s="133">
        <f t="shared" si="2"/>
        <v>3.3888888888888888</v>
      </c>
      <c r="E34" s="3">
        <v>1291</v>
      </c>
      <c r="F34" s="85">
        <v>10.221400000000001</v>
      </c>
      <c r="G34" s="133">
        <v>0.3423179192161529</v>
      </c>
      <c r="H34" s="5">
        <v>0.36</v>
      </c>
      <c r="I34"/>
      <c r="J34" s="3">
        <v>634</v>
      </c>
      <c r="K34" s="85">
        <f t="shared" si="0"/>
        <v>1761.1111111111111</v>
      </c>
      <c r="L34" s="85">
        <v>0.83045014306639309</v>
      </c>
      <c r="M34" s="5">
        <v>3.21</v>
      </c>
      <c r="N34" s="85">
        <f t="shared" si="1"/>
        <v>3.21</v>
      </c>
    </row>
    <row r="35" spans="1:14" x14ac:dyDescent="0.25">
      <c r="A35" s="84" t="s">
        <v>3</v>
      </c>
      <c r="B35" t="s">
        <v>55</v>
      </c>
      <c r="C35" s="3">
        <v>3.5700000000000003</v>
      </c>
      <c r="D35" s="133">
        <f t="shared" si="2"/>
        <v>4.9583333333333339</v>
      </c>
      <c r="E35" s="3">
        <v>177</v>
      </c>
      <c r="F35" s="85">
        <v>1.3916000000000002</v>
      </c>
      <c r="G35" s="133">
        <v>4.9134947328446851E-2</v>
      </c>
      <c r="H35" s="5">
        <v>0.72</v>
      </c>
      <c r="I35"/>
      <c r="J35" s="3">
        <v>607</v>
      </c>
      <c r="K35" s="85">
        <f t="shared" si="0"/>
        <v>843.05555555555554</v>
      </c>
      <c r="L35" s="85">
        <v>2.5937091329211603</v>
      </c>
      <c r="M35" s="5">
        <v>4.2699999999999996</v>
      </c>
      <c r="N35" s="85">
        <f t="shared" si="1"/>
        <v>4.2699999999999996</v>
      </c>
    </row>
    <row r="36" spans="1:14" x14ac:dyDescent="0.25">
      <c r="A36" s="84"/>
      <c r="B36" t="s">
        <v>77</v>
      </c>
      <c r="C36" s="3">
        <v>3.41</v>
      </c>
      <c r="D36" s="133">
        <f t="shared" si="2"/>
        <v>4.2625000000000002</v>
      </c>
      <c r="E36" s="3">
        <v>707</v>
      </c>
      <c r="F36" s="85">
        <v>4.5374000000000008</v>
      </c>
      <c r="G36" s="133">
        <v>0.15349864000639177</v>
      </c>
      <c r="H36" s="5"/>
      <c r="I36">
        <v>0.8</v>
      </c>
      <c r="J36" s="3">
        <v>775</v>
      </c>
      <c r="K36" s="85">
        <f t="shared" si="0"/>
        <v>968.75</v>
      </c>
      <c r="L36" s="85">
        <v>3.9243604623977801</v>
      </c>
      <c r="N36" s="85">
        <f t="shared" si="1"/>
        <v>4.2625000000000002</v>
      </c>
    </row>
    <row r="37" spans="1:14" x14ac:dyDescent="0.25">
      <c r="A37" s="84" t="s">
        <v>2</v>
      </c>
      <c r="B37" t="s">
        <v>78</v>
      </c>
      <c r="C37" s="3">
        <v>4.3600000000000003</v>
      </c>
      <c r="D37" s="133">
        <f t="shared" si="2"/>
        <v>5.45</v>
      </c>
      <c r="E37" s="3">
        <v>155</v>
      </c>
      <c r="F37" s="85">
        <v>1.4210000000000003</v>
      </c>
      <c r="G37" s="133">
        <v>9.1479570018374076E-2</v>
      </c>
      <c r="H37" s="5">
        <v>0.8</v>
      </c>
      <c r="I37"/>
      <c r="J37" s="3">
        <v>89</v>
      </c>
      <c r="K37" s="85">
        <f t="shared" si="0"/>
        <v>111.25</v>
      </c>
      <c r="L37" s="85">
        <v>3.4438993755120197</v>
      </c>
      <c r="M37" s="5">
        <v>5.95</v>
      </c>
      <c r="N37" s="85">
        <f t="shared" si="1"/>
        <v>5.95</v>
      </c>
    </row>
    <row r="38" spans="1:14" x14ac:dyDescent="0.25">
      <c r="A38" s="84" t="s">
        <v>249</v>
      </c>
      <c r="B38" t="s">
        <v>59</v>
      </c>
      <c r="C38" s="3">
        <v>1.6</v>
      </c>
      <c r="D38" s="133">
        <f t="shared" si="2"/>
        <v>2.3188405797101455</v>
      </c>
      <c r="E38" s="3">
        <v>362</v>
      </c>
      <c r="F38" s="85">
        <v>3.8906000000000005</v>
      </c>
      <c r="G38" s="133">
        <v>0.16328998449081877</v>
      </c>
      <c r="H38" s="5">
        <v>0.69</v>
      </c>
      <c r="I38"/>
      <c r="J38" s="3">
        <v>367</v>
      </c>
      <c r="K38" s="85">
        <f t="shared" si="0"/>
        <v>531.88405797101461</v>
      </c>
      <c r="L38" s="85">
        <v>1.36174229752554</v>
      </c>
      <c r="M38" s="5">
        <v>2.83</v>
      </c>
      <c r="N38" s="85">
        <f t="shared" si="1"/>
        <v>2.83</v>
      </c>
    </row>
    <row r="39" spans="1:14" x14ac:dyDescent="0.25">
      <c r="A39" s="84"/>
      <c r="B39" t="s">
        <v>79</v>
      </c>
      <c r="C39" s="3">
        <v>2.06</v>
      </c>
      <c r="D39" s="133">
        <f t="shared" si="2"/>
        <v>2.7837837837837838</v>
      </c>
      <c r="E39" s="3">
        <v>542</v>
      </c>
      <c r="F39" s="85">
        <v>8.6044000000000018</v>
      </c>
      <c r="G39" s="133">
        <v>0.33338591084674341</v>
      </c>
      <c r="H39" s="5"/>
      <c r="I39">
        <v>0.74</v>
      </c>
      <c r="J39" s="3">
        <v>271</v>
      </c>
      <c r="K39" s="85">
        <f t="shared" si="0"/>
        <v>366.2162162162162</v>
      </c>
      <c r="L39" s="85">
        <v>4.3346270650575098</v>
      </c>
      <c r="N39" s="85">
        <f t="shared" si="1"/>
        <v>2.7837837837837838</v>
      </c>
    </row>
    <row r="40" spans="1:14" x14ac:dyDescent="0.25">
      <c r="A40" s="84" t="s">
        <v>13</v>
      </c>
      <c r="B40" t="s">
        <v>80</v>
      </c>
      <c r="C40" s="3">
        <v>1.52</v>
      </c>
      <c r="D40" s="133">
        <f t="shared" si="2"/>
        <v>2.666666666666667</v>
      </c>
      <c r="E40" s="3">
        <v>85</v>
      </c>
      <c r="F40" s="85">
        <v>3.5378000000000007</v>
      </c>
      <c r="G40" s="133">
        <v>0.14843660139233439</v>
      </c>
      <c r="H40" s="5">
        <v>0.56999999999999995</v>
      </c>
      <c r="I40"/>
      <c r="J40" s="3">
        <v>97</v>
      </c>
      <c r="K40" s="85">
        <f t="shared" si="0"/>
        <v>170.17543859649123</v>
      </c>
      <c r="L40" s="85">
        <v>0.89714240155275793</v>
      </c>
      <c r="M40" s="5">
        <v>2.91</v>
      </c>
      <c r="N40" s="85">
        <f t="shared" si="1"/>
        <v>2.91</v>
      </c>
    </row>
    <row r="41" spans="1:14" x14ac:dyDescent="0.25">
      <c r="A41" s="84" t="s">
        <v>15</v>
      </c>
      <c r="B41" t="s">
        <v>81</v>
      </c>
      <c r="C41" s="3">
        <v>0.54</v>
      </c>
      <c r="D41" s="133">
        <f t="shared" si="2"/>
        <v>2.347826086956522</v>
      </c>
      <c r="E41" s="3">
        <v>900</v>
      </c>
      <c r="F41" s="85">
        <v>16.473800000000001</v>
      </c>
      <c r="G41" s="133">
        <v>0.68548960974091577</v>
      </c>
      <c r="H41" s="5">
        <v>0.23</v>
      </c>
      <c r="I41"/>
      <c r="J41" s="3">
        <v>216</v>
      </c>
      <c r="K41" s="85">
        <f t="shared" si="0"/>
        <v>939.13043478260863</v>
      </c>
      <c r="L41" s="85">
        <v>0.30111196171967397</v>
      </c>
      <c r="M41" s="5">
        <v>2.67</v>
      </c>
      <c r="N41" s="85">
        <f t="shared" si="1"/>
        <v>2.67</v>
      </c>
    </row>
    <row r="42" spans="1:14" x14ac:dyDescent="0.25">
      <c r="A42" s="84" t="s">
        <v>9</v>
      </c>
      <c r="B42" t="s">
        <v>83</v>
      </c>
      <c r="C42" s="3">
        <v>1.1599999999999999</v>
      </c>
      <c r="D42" s="133">
        <f t="shared" si="2"/>
        <v>2.6363636363636362</v>
      </c>
      <c r="E42" s="3">
        <v>181</v>
      </c>
      <c r="F42" s="85">
        <v>2.5480000000000005</v>
      </c>
      <c r="G42" s="133">
        <v>0.14331654634913515</v>
      </c>
      <c r="H42" s="5">
        <v>0.44</v>
      </c>
      <c r="I42"/>
      <c r="J42" s="3">
        <v>65</v>
      </c>
      <c r="K42" s="85">
        <f t="shared" si="0"/>
        <v>147.72727272727275</v>
      </c>
      <c r="L42" s="85">
        <v>1.1267594575275499</v>
      </c>
      <c r="M42" s="5">
        <v>2.64</v>
      </c>
      <c r="N42" s="85">
        <f t="shared" si="1"/>
        <v>2.64</v>
      </c>
    </row>
    <row r="43" spans="1:14" x14ac:dyDescent="0.25">
      <c r="A43" s="84" t="s">
        <v>8</v>
      </c>
      <c r="B43" t="s">
        <v>84</v>
      </c>
      <c r="C43" s="3">
        <v>1.98</v>
      </c>
      <c r="D43" s="133">
        <f t="shared" si="2"/>
        <v>3.4736842105263159</v>
      </c>
      <c r="E43" s="3">
        <v>1113</v>
      </c>
      <c r="F43" s="85">
        <v>14.866600000000002</v>
      </c>
      <c r="G43" s="133">
        <v>0.51630427663497236</v>
      </c>
      <c r="H43" s="5">
        <v>0.56999999999999995</v>
      </c>
      <c r="I43"/>
      <c r="J43" s="3">
        <v>352</v>
      </c>
      <c r="K43" s="85">
        <f t="shared" si="0"/>
        <v>617.54385964912285</v>
      </c>
      <c r="L43" s="85">
        <v>0.81564008142309996</v>
      </c>
      <c r="M43" s="5">
        <v>3.42</v>
      </c>
      <c r="N43" s="85">
        <f t="shared" si="1"/>
        <v>3.42</v>
      </c>
    </row>
    <row r="44" spans="1:14" x14ac:dyDescent="0.25">
      <c r="A44" s="84" t="s">
        <v>265</v>
      </c>
      <c r="B44" t="s">
        <v>85</v>
      </c>
      <c r="C44" s="3">
        <v>1.56</v>
      </c>
      <c r="D44" s="133">
        <f t="shared" si="2"/>
        <v>2.557377049180328</v>
      </c>
      <c r="E44" s="3">
        <v>396</v>
      </c>
      <c r="F44" s="5">
        <v>6.0760000000000005</v>
      </c>
      <c r="G44" s="133">
        <v>0.23587873237751511</v>
      </c>
      <c r="H44">
        <v>0.61</v>
      </c>
      <c r="J44" s="3">
        <v>278</v>
      </c>
      <c r="K44" s="85">
        <f t="shared" si="0"/>
        <v>455.73770491803282</v>
      </c>
      <c r="L44" s="85">
        <v>0.63638607307363604</v>
      </c>
      <c r="M44" s="85">
        <v>2.79</v>
      </c>
      <c r="N44" s="85">
        <f>(0.1/SQRT(0.3))*M44</f>
        <v>0.50938197847980449</v>
      </c>
    </row>
    <row r="45" spans="1:14" x14ac:dyDescent="0.25">
      <c r="L45" s="5"/>
    </row>
    <row r="46" spans="1:14" x14ac:dyDescent="0.25">
      <c r="A46" s="84"/>
      <c r="L46" s="5"/>
    </row>
    <row r="47" spans="1:14" x14ac:dyDescent="0.25">
      <c r="L47" s="5"/>
    </row>
    <row r="48" spans="1:14" x14ac:dyDescent="0.25">
      <c r="L48" s="5"/>
    </row>
    <row r="49" spans="12:12" x14ac:dyDescent="0.25">
      <c r="L49" s="5"/>
    </row>
  </sheetData>
  <conditionalFormatting sqref="E2:E4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G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4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2 L34:L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pane ySplit="1" topLeftCell="A2" activePane="bottomLeft" state="frozen"/>
      <selection pane="bottomLeft" activeCell="N12" sqref="N12"/>
    </sheetView>
  </sheetViews>
  <sheetFormatPr defaultColWidth="8.85546875" defaultRowHeight="15" x14ac:dyDescent="0.25"/>
  <cols>
    <col min="1" max="1" width="24.42578125" style="5" customWidth="1"/>
    <col min="2" max="2" width="12" style="5" customWidth="1"/>
    <col min="3" max="3" width="9.85546875" style="5" customWidth="1"/>
    <col min="4" max="4" width="7.28515625" style="5" customWidth="1"/>
    <col min="5" max="5" width="9" style="5" customWidth="1"/>
  </cols>
  <sheetData>
    <row r="1" spans="1:7" s="188" customFormat="1" ht="54" customHeight="1" x14ac:dyDescent="0.25">
      <c r="A1" s="182" t="s">
        <v>67</v>
      </c>
      <c r="B1" s="182" t="s">
        <v>201</v>
      </c>
      <c r="C1" s="182" t="s">
        <v>200</v>
      </c>
      <c r="D1" s="182" t="s">
        <v>511</v>
      </c>
      <c r="E1" s="182" t="s">
        <v>512</v>
      </c>
      <c r="F1" s="187" t="s">
        <v>513</v>
      </c>
      <c r="G1" s="187" t="s">
        <v>514</v>
      </c>
    </row>
    <row r="2" spans="1:7" x14ac:dyDescent="0.25">
      <c r="A2" s="5" t="s">
        <v>113</v>
      </c>
      <c r="B2" s="5">
        <v>1246</v>
      </c>
      <c r="C2" s="5">
        <f>B2*(9.8/1000)</f>
        <v>12.210800000000003</v>
      </c>
      <c r="D2" s="5">
        <v>406</v>
      </c>
      <c r="E2" s="85">
        <v>541.33333333333326</v>
      </c>
      <c r="F2">
        <f t="shared" ref="F2:F44" si="0">(C2/D2)*1000</f>
        <v>30.075862068965524</v>
      </c>
      <c r="G2">
        <f t="shared" ref="G2:G44" si="1">(C2/E2)*1000</f>
        <v>22.556896551724144</v>
      </c>
    </row>
    <row r="3" spans="1:7" x14ac:dyDescent="0.25">
      <c r="A3" s="5" t="s">
        <v>114</v>
      </c>
      <c r="B3" s="5">
        <v>106</v>
      </c>
      <c r="C3" s="5">
        <f t="shared" ref="C3:C44" si="2">B3*(9.8/1000)</f>
        <v>1.0388000000000002</v>
      </c>
      <c r="D3" s="5">
        <v>93</v>
      </c>
      <c r="E3" s="85">
        <v>140.90909090909091</v>
      </c>
      <c r="F3" s="5">
        <f t="shared" si="0"/>
        <v>11.169892473118281</v>
      </c>
      <c r="G3" s="5">
        <f t="shared" si="1"/>
        <v>7.3721290322580657</v>
      </c>
    </row>
    <row r="4" spans="1:7" x14ac:dyDescent="0.25">
      <c r="A4" s="5" t="s">
        <v>115</v>
      </c>
      <c r="B4" s="5">
        <v>308</v>
      </c>
      <c r="C4" s="5">
        <f t="shared" si="2"/>
        <v>3.0184000000000006</v>
      </c>
      <c r="D4" s="5">
        <v>506</v>
      </c>
      <c r="E4" s="85">
        <v>683.78378378378375</v>
      </c>
      <c r="F4" s="5">
        <f t="shared" si="0"/>
        <v>5.9652173913043489</v>
      </c>
      <c r="G4" s="5">
        <f t="shared" si="1"/>
        <v>4.4142608695652186</v>
      </c>
    </row>
    <row r="5" spans="1:7" x14ac:dyDescent="0.25">
      <c r="A5" s="5" t="s">
        <v>116</v>
      </c>
      <c r="B5" s="5">
        <v>346</v>
      </c>
      <c r="C5" s="5">
        <f t="shared" si="2"/>
        <v>3.3908000000000005</v>
      </c>
      <c r="D5" s="5">
        <v>706</v>
      </c>
      <c r="E5" s="85">
        <v>1053.731343283582</v>
      </c>
      <c r="F5" s="5">
        <f t="shared" si="0"/>
        <v>4.8028328611898026</v>
      </c>
      <c r="G5" s="5">
        <f t="shared" si="1"/>
        <v>3.217898016997168</v>
      </c>
    </row>
    <row r="6" spans="1:7" x14ac:dyDescent="0.25">
      <c r="A6" s="5" t="s">
        <v>117</v>
      </c>
      <c r="B6" s="5">
        <v>1274</v>
      </c>
      <c r="C6" s="5">
        <f t="shared" si="2"/>
        <v>12.485200000000003</v>
      </c>
      <c r="D6" s="5">
        <v>669</v>
      </c>
      <c r="E6" s="85">
        <v>998.50746268656712</v>
      </c>
      <c r="F6" s="5">
        <f t="shared" si="0"/>
        <v>18.662481315396118</v>
      </c>
      <c r="G6" s="5">
        <f t="shared" si="1"/>
        <v>12.5038624813154</v>
      </c>
    </row>
    <row r="7" spans="1:7" x14ac:dyDescent="0.25">
      <c r="A7" s="5" t="s">
        <v>92</v>
      </c>
      <c r="B7" s="5">
        <v>210</v>
      </c>
      <c r="C7" s="5">
        <f t="shared" si="2"/>
        <v>2.0580000000000003</v>
      </c>
      <c r="D7" s="5">
        <v>675</v>
      </c>
      <c r="E7" s="85">
        <v>1007.462686567164</v>
      </c>
      <c r="F7" s="5">
        <f t="shared" si="0"/>
        <v>3.048888888888889</v>
      </c>
      <c r="G7" s="5">
        <f t="shared" si="1"/>
        <v>2.0427555555555563</v>
      </c>
    </row>
    <row r="8" spans="1:7" x14ac:dyDescent="0.25">
      <c r="A8" s="5" t="s">
        <v>118</v>
      </c>
      <c r="B8" s="5">
        <v>225</v>
      </c>
      <c r="C8" s="5">
        <f t="shared" si="2"/>
        <v>2.2050000000000005</v>
      </c>
      <c r="D8" s="5">
        <v>243</v>
      </c>
      <c r="E8" s="85">
        <v>506.25000000000006</v>
      </c>
      <c r="F8" s="5">
        <f t="shared" si="0"/>
        <v>9.0740740740740762</v>
      </c>
      <c r="G8" s="5">
        <f t="shared" si="1"/>
        <v>4.3555555555555561</v>
      </c>
    </row>
    <row r="9" spans="1:7" x14ac:dyDescent="0.25">
      <c r="A9" s="5" t="s">
        <v>119</v>
      </c>
      <c r="B9" s="5">
        <v>25</v>
      </c>
      <c r="C9" s="5">
        <f t="shared" si="2"/>
        <v>0.24500000000000002</v>
      </c>
      <c r="D9" s="5">
        <v>216</v>
      </c>
      <c r="E9" s="85">
        <v>317.64705882352939</v>
      </c>
      <c r="F9" s="5">
        <f t="shared" si="0"/>
        <v>1.1342592592592593</v>
      </c>
      <c r="G9" s="5">
        <f t="shared" si="1"/>
        <v>0.77129629629629637</v>
      </c>
    </row>
    <row r="10" spans="1:7" x14ac:dyDescent="0.25">
      <c r="A10" s="5" t="s">
        <v>120</v>
      </c>
      <c r="B10" s="5">
        <v>1124</v>
      </c>
      <c r="C10" s="5">
        <f t="shared" si="2"/>
        <v>11.015200000000002</v>
      </c>
      <c r="D10" s="5">
        <v>160</v>
      </c>
      <c r="E10" s="85">
        <v>533.33333333333337</v>
      </c>
      <c r="F10" s="5">
        <f t="shared" si="0"/>
        <v>68.845000000000013</v>
      </c>
      <c r="G10" s="5">
        <f t="shared" si="1"/>
        <v>20.653500000000001</v>
      </c>
    </row>
    <row r="11" spans="1:7" x14ac:dyDescent="0.25">
      <c r="A11" s="5" t="s">
        <v>121</v>
      </c>
      <c r="B11" s="5">
        <v>45</v>
      </c>
      <c r="C11" s="5">
        <f t="shared" si="2"/>
        <v>0.44100000000000006</v>
      </c>
      <c r="D11" s="5">
        <v>193</v>
      </c>
      <c r="E11" s="85">
        <v>378.43137254901961</v>
      </c>
      <c r="F11" s="5">
        <f t="shared" si="0"/>
        <v>2.2849740932642493</v>
      </c>
      <c r="G11" s="5">
        <f t="shared" si="1"/>
        <v>1.1653367875647669</v>
      </c>
    </row>
    <row r="12" spans="1:7" x14ac:dyDescent="0.25">
      <c r="A12" s="5" t="s">
        <v>122</v>
      </c>
      <c r="B12" s="5">
        <v>291</v>
      </c>
      <c r="C12" s="5">
        <f t="shared" si="2"/>
        <v>2.8518000000000003</v>
      </c>
      <c r="D12" s="5">
        <v>74</v>
      </c>
      <c r="E12" s="85">
        <v>160.86956521739128</v>
      </c>
      <c r="F12" s="5">
        <f t="shared" si="0"/>
        <v>38.537837837837841</v>
      </c>
      <c r="G12" s="5">
        <f t="shared" si="1"/>
        <v>17.72740540540541</v>
      </c>
    </row>
    <row r="13" spans="1:7" x14ac:dyDescent="0.25">
      <c r="A13" s="5" t="s">
        <v>123</v>
      </c>
      <c r="B13" s="5">
        <v>38</v>
      </c>
      <c r="C13" s="5">
        <f t="shared" si="2"/>
        <v>0.37240000000000006</v>
      </c>
      <c r="D13" s="5">
        <v>109</v>
      </c>
      <c r="E13" s="85">
        <v>242.22222222222223</v>
      </c>
      <c r="F13" s="5">
        <f t="shared" si="0"/>
        <v>3.4165137614678902</v>
      </c>
      <c r="G13" s="5">
        <f t="shared" si="1"/>
        <v>1.5374311926605506</v>
      </c>
    </row>
    <row r="14" spans="1:7" x14ac:dyDescent="0.25">
      <c r="A14" s="5" t="s">
        <v>124</v>
      </c>
      <c r="B14" s="5">
        <v>942</v>
      </c>
      <c r="C14" s="5">
        <f t="shared" si="2"/>
        <v>9.231600000000002</v>
      </c>
      <c r="D14" s="5">
        <v>349</v>
      </c>
      <c r="E14" s="85">
        <v>830.95238095238096</v>
      </c>
      <c r="F14" s="5">
        <f t="shared" si="0"/>
        <v>26.451575931232096</v>
      </c>
      <c r="G14" s="5">
        <f t="shared" si="1"/>
        <v>11.109661891117479</v>
      </c>
    </row>
    <row r="15" spans="1:7" x14ac:dyDescent="0.25">
      <c r="A15" s="5" t="s">
        <v>125</v>
      </c>
      <c r="B15" s="5">
        <v>1912</v>
      </c>
      <c r="C15" s="5">
        <f t="shared" si="2"/>
        <v>18.737600000000004</v>
      </c>
      <c r="D15" s="5">
        <v>355</v>
      </c>
      <c r="E15" s="85">
        <v>845.23809523809518</v>
      </c>
      <c r="F15" s="5">
        <f t="shared" si="0"/>
        <v>52.781971830985931</v>
      </c>
      <c r="G15" s="5">
        <f t="shared" si="1"/>
        <v>22.168428169014092</v>
      </c>
    </row>
    <row r="16" spans="1:7" x14ac:dyDescent="0.25">
      <c r="A16" s="5" t="s">
        <v>126</v>
      </c>
      <c r="B16" s="5">
        <v>754</v>
      </c>
      <c r="C16" s="5">
        <f t="shared" si="2"/>
        <v>7.3892000000000007</v>
      </c>
      <c r="D16" s="5">
        <v>211</v>
      </c>
      <c r="E16" s="85">
        <v>376.78571428571428</v>
      </c>
      <c r="F16" s="5">
        <f t="shared" si="0"/>
        <v>35.01990521327015</v>
      </c>
      <c r="G16" s="5">
        <f t="shared" si="1"/>
        <v>19.611146919431281</v>
      </c>
    </row>
    <row r="17" spans="1:7" x14ac:dyDescent="0.25">
      <c r="A17" s="5" t="s">
        <v>521</v>
      </c>
      <c r="B17" s="5">
        <v>158</v>
      </c>
      <c r="C17" s="5">
        <f t="shared" si="2"/>
        <v>1.5484000000000002</v>
      </c>
      <c r="D17" s="5">
        <v>539</v>
      </c>
      <c r="E17" s="85">
        <v>804.4776119402984</v>
      </c>
      <c r="F17" s="5">
        <f t="shared" si="0"/>
        <v>2.8727272727272735</v>
      </c>
      <c r="G17" s="5">
        <f t="shared" si="1"/>
        <v>1.9247272727272733</v>
      </c>
    </row>
    <row r="18" spans="1:7" x14ac:dyDescent="0.25">
      <c r="A18" s="5" t="s">
        <v>522</v>
      </c>
      <c r="B18" s="5">
        <v>240</v>
      </c>
      <c r="C18" s="5">
        <f t="shared" si="2"/>
        <v>2.3520000000000003</v>
      </c>
      <c r="D18" s="5">
        <v>163</v>
      </c>
      <c r="E18" s="85">
        <v>265.04065040650408</v>
      </c>
      <c r="F18" s="5">
        <f t="shared" si="0"/>
        <v>14.429447852760738</v>
      </c>
      <c r="G18" s="5">
        <f t="shared" si="1"/>
        <v>8.8741104294478532</v>
      </c>
    </row>
    <row r="19" spans="1:7" x14ac:dyDescent="0.25">
      <c r="A19" s="5" t="s">
        <v>105</v>
      </c>
      <c r="B19" s="5">
        <v>1043</v>
      </c>
      <c r="C19" s="5">
        <f t="shared" si="2"/>
        <v>10.221400000000001</v>
      </c>
      <c r="D19" s="5">
        <v>402</v>
      </c>
      <c r="E19" s="85">
        <v>528.94736842105272</v>
      </c>
      <c r="F19" s="5">
        <f t="shared" si="0"/>
        <v>25.426368159203982</v>
      </c>
      <c r="G19" s="5">
        <f t="shared" si="1"/>
        <v>19.324039800995024</v>
      </c>
    </row>
    <row r="20" spans="1:7" x14ac:dyDescent="0.25">
      <c r="A20" s="5" t="s">
        <v>127</v>
      </c>
      <c r="B20" s="5">
        <v>1151</v>
      </c>
      <c r="C20" s="5">
        <f t="shared" si="2"/>
        <v>11.279800000000002</v>
      </c>
      <c r="D20" s="5">
        <v>418</v>
      </c>
      <c r="E20" s="85">
        <v>497.61904761904759</v>
      </c>
      <c r="F20" s="5">
        <f t="shared" si="0"/>
        <v>26.985167464114838</v>
      </c>
      <c r="G20" s="5">
        <f t="shared" si="1"/>
        <v>22.667540669856464</v>
      </c>
    </row>
    <row r="21" spans="1:7" x14ac:dyDescent="0.25">
      <c r="A21" s="5" t="s">
        <v>128</v>
      </c>
      <c r="B21" s="5">
        <v>1863</v>
      </c>
      <c r="C21" s="5">
        <f t="shared" si="2"/>
        <v>18.257400000000004</v>
      </c>
      <c r="D21" s="5">
        <v>223</v>
      </c>
      <c r="E21" s="85">
        <v>530.95238095238096</v>
      </c>
      <c r="F21" s="5">
        <f t="shared" si="0"/>
        <v>81.871748878923796</v>
      </c>
      <c r="G21" s="5">
        <f t="shared" si="1"/>
        <v>34.386134529147988</v>
      </c>
    </row>
    <row r="22" spans="1:7" x14ac:dyDescent="0.25">
      <c r="A22" s="5" t="s">
        <v>129</v>
      </c>
      <c r="B22" s="5">
        <v>1188</v>
      </c>
      <c r="C22" s="5">
        <f t="shared" si="2"/>
        <v>11.642400000000002</v>
      </c>
      <c r="D22" s="5">
        <v>260</v>
      </c>
      <c r="E22" s="85">
        <v>619.04761904761904</v>
      </c>
      <c r="F22" s="5">
        <f t="shared" si="0"/>
        <v>44.778461538461542</v>
      </c>
      <c r="G22" s="5">
        <f t="shared" si="1"/>
        <v>18.806953846153849</v>
      </c>
    </row>
    <row r="23" spans="1:7" x14ac:dyDescent="0.25">
      <c r="A23" s="5" t="s">
        <v>130</v>
      </c>
      <c r="B23" s="5">
        <v>732</v>
      </c>
      <c r="C23" s="5">
        <f t="shared" si="2"/>
        <v>7.1736000000000013</v>
      </c>
      <c r="D23" s="5">
        <v>106</v>
      </c>
      <c r="E23" s="85">
        <v>252.38095238095238</v>
      </c>
      <c r="F23" s="5">
        <f t="shared" si="0"/>
        <v>67.675471698113228</v>
      </c>
      <c r="G23" s="5">
        <f t="shared" si="1"/>
        <v>28.42369811320755</v>
      </c>
    </row>
    <row r="24" spans="1:7" x14ac:dyDescent="0.25">
      <c r="A24" s="5" t="s">
        <v>131</v>
      </c>
      <c r="B24" s="5">
        <v>307</v>
      </c>
      <c r="C24" s="5">
        <f t="shared" si="2"/>
        <v>3.0086000000000004</v>
      </c>
      <c r="D24" s="5">
        <v>81</v>
      </c>
      <c r="E24" s="85">
        <v>109.45945945945945</v>
      </c>
      <c r="F24" s="5">
        <f t="shared" si="0"/>
        <v>37.143209876543217</v>
      </c>
      <c r="G24" s="5">
        <f t="shared" si="1"/>
        <v>27.485975308641979</v>
      </c>
    </row>
    <row r="25" spans="1:7" x14ac:dyDescent="0.25">
      <c r="A25" s="5" t="s">
        <v>111</v>
      </c>
      <c r="B25" s="5">
        <v>503</v>
      </c>
      <c r="C25" s="5">
        <f t="shared" si="2"/>
        <v>4.9294000000000011</v>
      </c>
      <c r="D25" s="5">
        <v>193</v>
      </c>
      <c r="E25" s="85">
        <v>689.28571428571422</v>
      </c>
      <c r="F25" s="5">
        <f t="shared" si="0"/>
        <v>25.540932642487054</v>
      </c>
      <c r="G25" s="5">
        <f t="shared" si="1"/>
        <v>7.1514611398963757</v>
      </c>
    </row>
    <row r="26" spans="1:7" x14ac:dyDescent="0.25">
      <c r="A26" s="5" t="s">
        <v>132</v>
      </c>
      <c r="B26" s="5">
        <v>243</v>
      </c>
      <c r="C26" s="5">
        <f t="shared" si="2"/>
        <v>2.3814000000000002</v>
      </c>
      <c r="D26" s="5">
        <v>152</v>
      </c>
      <c r="E26" s="85">
        <v>475</v>
      </c>
      <c r="F26" s="5">
        <f t="shared" si="0"/>
        <v>15.667105263157895</v>
      </c>
      <c r="G26" s="5">
        <f t="shared" si="1"/>
        <v>5.0134736842105267</v>
      </c>
    </row>
    <row r="27" spans="1:7" x14ac:dyDescent="0.25">
      <c r="A27" s="5" t="s">
        <v>73</v>
      </c>
      <c r="B27" s="3">
        <v>404</v>
      </c>
      <c r="C27" s="5">
        <f t="shared" si="2"/>
        <v>3.9592000000000005</v>
      </c>
      <c r="D27" s="3">
        <v>135</v>
      </c>
      <c r="E27" s="85">
        <v>482.14285714285711</v>
      </c>
      <c r="F27" s="5">
        <f t="shared" si="0"/>
        <v>29.32740740740741</v>
      </c>
      <c r="G27" s="5">
        <f t="shared" si="1"/>
        <v>8.2116740740740752</v>
      </c>
    </row>
    <row r="28" spans="1:7" x14ac:dyDescent="0.25">
      <c r="A28" s="5" t="s">
        <v>74</v>
      </c>
      <c r="B28" s="3">
        <v>86</v>
      </c>
      <c r="C28" s="5">
        <f t="shared" si="2"/>
        <v>0.8428000000000001</v>
      </c>
      <c r="D28" s="3">
        <v>157</v>
      </c>
      <c r="E28" s="85">
        <v>490.625</v>
      </c>
      <c r="F28" s="5">
        <f t="shared" si="0"/>
        <v>5.3681528662420392</v>
      </c>
      <c r="G28" s="5">
        <f t="shared" si="1"/>
        <v>1.7178089171974524</v>
      </c>
    </row>
    <row r="29" spans="1:7" x14ac:dyDescent="0.25">
      <c r="A29" s="5" t="s">
        <v>75</v>
      </c>
      <c r="B29" s="3">
        <v>56</v>
      </c>
      <c r="C29" s="5">
        <f t="shared" si="2"/>
        <v>0.54880000000000007</v>
      </c>
      <c r="D29" s="3">
        <v>152</v>
      </c>
      <c r="E29" s="85">
        <v>361.90476190476193</v>
      </c>
      <c r="F29" s="5">
        <f t="shared" si="0"/>
        <v>3.6105263157894742</v>
      </c>
      <c r="G29" s="5">
        <f t="shared" si="1"/>
        <v>1.5164210526315789</v>
      </c>
    </row>
    <row r="30" spans="1:7" x14ac:dyDescent="0.25">
      <c r="A30" s="5" t="s">
        <v>48</v>
      </c>
      <c r="B30" s="3">
        <v>1137</v>
      </c>
      <c r="C30" s="5">
        <f t="shared" si="2"/>
        <v>11.142600000000002</v>
      </c>
      <c r="D30" s="3">
        <v>193</v>
      </c>
      <c r="E30" s="85">
        <v>567.64705882352939</v>
      </c>
      <c r="F30" s="5">
        <f t="shared" si="0"/>
        <v>57.733678756476692</v>
      </c>
      <c r="G30" s="5">
        <f t="shared" si="1"/>
        <v>19.629450777202077</v>
      </c>
    </row>
    <row r="31" spans="1:7" x14ac:dyDescent="0.25">
      <c r="A31" s="5" t="s">
        <v>50</v>
      </c>
      <c r="B31" s="3">
        <v>572</v>
      </c>
      <c r="C31" s="5">
        <f t="shared" si="2"/>
        <v>5.6056000000000008</v>
      </c>
      <c r="D31" s="3">
        <v>223</v>
      </c>
      <c r="E31" s="85">
        <v>530.95238095238096</v>
      </c>
      <c r="F31" s="5">
        <f t="shared" si="0"/>
        <v>25.137219730941709</v>
      </c>
      <c r="G31" s="5">
        <f t="shared" si="1"/>
        <v>10.557632286995517</v>
      </c>
    </row>
    <row r="32" spans="1:7" x14ac:dyDescent="0.25">
      <c r="A32" s="5" t="s">
        <v>52</v>
      </c>
      <c r="B32" s="3">
        <v>298</v>
      </c>
      <c r="C32" s="5">
        <f t="shared" si="2"/>
        <v>2.9204000000000003</v>
      </c>
      <c r="D32" s="3">
        <v>115</v>
      </c>
      <c r="E32" s="85">
        <v>273.8095238095238</v>
      </c>
      <c r="F32" s="5">
        <f t="shared" si="0"/>
        <v>25.394782608695653</v>
      </c>
      <c r="G32" s="5">
        <f t="shared" si="1"/>
        <v>10.665808695652176</v>
      </c>
    </row>
    <row r="33" spans="1:7" x14ac:dyDescent="0.25">
      <c r="A33" s="5" t="s">
        <v>76</v>
      </c>
      <c r="B33" s="3">
        <v>306</v>
      </c>
      <c r="C33" s="5">
        <f t="shared" si="2"/>
        <v>2.9988000000000006</v>
      </c>
      <c r="D33" s="3">
        <v>197</v>
      </c>
      <c r="E33" s="85">
        <v>266.2162162162162</v>
      </c>
      <c r="F33" s="5">
        <f t="shared" si="0"/>
        <v>15.222335025380714</v>
      </c>
      <c r="G33" s="5">
        <f t="shared" si="1"/>
        <v>11.264527918781729</v>
      </c>
    </row>
    <row r="34" spans="1:7" x14ac:dyDescent="0.25">
      <c r="A34" s="5" t="s">
        <v>55</v>
      </c>
      <c r="B34" s="3">
        <v>1043</v>
      </c>
      <c r="C34" s="5">
        <f t="shared" si="2"/>
        <v>10.221400000000001</v>
      </c>
      <c r="D34" s="3">
        <v>634</v>
      </c>
      <c r="E34" s="85">
        <v>1761.1111111111111</v>
      </c>
      <c r="F34" s="5">
        <f t="shared" si="0"/>
        <v>16.122082018927447</v>
      </c>
      <c r="G34" s="5">
        <f t="shared" si="1"/>
        <v>5.8039495268138808</v>
      </c>
    </row>
    <row r="35" spans="1:7" x14ac:dyDescent="0.25">
      <c r="A35" s="5" t="s">
        <v>77</v>
      </c>
      <c r="B35" s="3">
        <v>142</v>
      </c>
      <c r="C35" s="5">
        <f t="shared" si="2"/>
        <v>1.3916000000000002</v>
      </c>
      <c r="D35" s="3">
        <v>607</v>
      </c>
      <c r="E35" s="85">
        <v>843.05555555555554</v>
      </c>
      <c r="F35" s="5">
        <f t="shared" si="0"/>
        <v>2.2925864909390445</v>
      </c>
      <c r="G35" s="5">
        <f t="shared" si="1"/>
        <v>1.6506622734761123</v>
      </c>
    </row>
    <row r="36" spans="1:7" x14ac:dyDescent="0.25">
      <c r="A36" s="5" t="s">
        <v>78</v>
      </c>
      <c r="B36" s="3">
        <v>463</v>
      </c>
      <c r="C36" s="5">
        <f t="shared" si="2"/>
        <v>4.5374000000000008</v>
      </c>
      <c r="D36" s="3">
        <v>775</v>
      </c>
      <c r="E36" s="85">
        <v>968.75</v>
      </c>
      <c r="F36" s="5">
        <f t="shared" si="0"/>
        <v>5.8547096774193559</v>
      </c>
      <c r="G36" s="5">
        <f t="shared" si="1"/>
        <v>4.6837677419354842</v>
      </c>
    </row>
    <row r="37" spans="1:7" x14ac:dyDescent="0.25">
      <c r="A37" s="5" t="s">
        <v>59</v>
      </c>
      <c r="B37" s="3">
        <v>145</v>
      </c>
      <c r="C37" s="5">
        <f t="shared" si="2"/>
        <v>1.4210000000000003</v>
      </c>
      <c r="D37" s="3">
        <v>89</v>
      </c>
      <c r="E37" s="85">
        <v>111.25</v>
      </c>
      <c r="F37" s="5">
        <f t="shared" si="0"/>
        <v>15.966292134831463</v>
      </c>
      <c r="G37" s="5">
        <f t="shared" si="1"/>
        <v>12.773033707865171</v>
      </c>
    </row>
    <row r="38" spans="1:7" x14ac:dyDescent="0.25">
      <c r="A38" s="5" t="s">
        <v>79</v>
      </c>
      <c r="B38" s="3">
        <v>397</v>
      </c>
      <c r="C38" s="5">
        <f t="shared" si="2"/>
        <v>3.8906000000000005</v>
      </c>
      <c r="D38" s="3">
        <v>367</v>
      </c>
      <c r="E38" s="85">
        <v>531.88405797101461</v>
      </c>
      <c r="F38" s="5">
        <f t="shared" si="0"/>
        <v>10.601089918256132</v>
      </c>
      <c r="G38" s="5">
        <f t="shared" si="1"/>
        <v>7.3147520435967293</v>
      </c>
    </row>
    <row r="39" spans="1:7" x14ac:dyDescent="0.25">
      <c r="A39" s="5" t="s">
        <v>80</v>
      </c>
      <c r="B39" s="3">
        <v>878</v>
      </c>
      <c r="C39" s="5">
        <f t="shared" si="2"/>
        <v>8.6044000000000018</v>
      </c>
      <c r="D39" s="3">
        <v>271</v>
      </c>
      <c r="E39" s="85">
        <v>366.2162162162162</v>
      </c>
      <c r="F39" s="5">
        <f t="shared" si="0"/>
        <v>31.750553505535059</v>
      </c>
      <c r="G39" s="5">
        <f t="shared" si="1"/>
        <v>23.495409594095946</v>
      </c>
    </row>
    <row r="40" spans="1:7" x14ac:dyDescent="0.25">
      <c r="A40" s="5" t="s">
        <v>81</v>
      </c>
      <c r="B40" s="3">
        <v>361</v>
      </c>
      <c r="C40" s="5">
        <f t="shared" si="2"/>
        <v>3.5378000000000007</v>
      </c>
      <c r="D40" s="3">
        <v>97</v>
      </c>
      <c r="E40" s="85">
        <v>170.17543859649123</v>
      </c>
      <c r="F40" s="5">
        <f t="shared" si="0"/>
        <v>36.472164948453617</v>
      </c>
      <c r="G40" s="5">
        <f t="shared" si="1"/>
        <v>20.789134020618558</v>
      </c>
    </row>
    <row r="41" spans="1:7" x14ac:dyDescent="0.25">
      <c r="A41" s="5" t="s">
        <v>82</v>
      </c>
      <c r="B41" s="3">
        <v>1681</v>
      </c>
      <c r="C41" s="5">
        <f t="shared" si="2"/>
        <v>16.473800000000001</v>
      </c>
      <c r="D41" s="3">
        <v>216</v>
      </c>
      <c r="E41" s="85">
        <v>939.13043478260863</v>
      </c>
      <c r="F41" s="5">
        <f t="shared" si="0"/>
        <v>76.267592592592592</v>
      </c>
      <c r="G41" s="5">
        <f t="shared" si="1"/>
        <v>17.5415462962963</v>
      </c>
    </row>
    <row r="42" spans="1:7" x14ac:dyDescent="0.25">
      <c r="A42" s="5" t="s">
        <v>83</v>
      </c>
      <c r="B42" s="3">
        <v>260</v>
      </c>
      <c r="C42" s="5">
        <f t="shared" si="2"/>
        <v>2.5480000000000005</v>
      </c>
      <c r="D42" s="3">
        <v>65</v>
      </c>
      <c r="E42" s="85">
        <v>147.72727272727275</v>
      </c>
      <c r="F42" s="5">
        <f t="shared" si="0"/>
        <v>39.200000000000003</v>
      </c>
      <c r="G42" s="5">
        <f t="shared" si="1"/>
        <v>17.248000000000001</v>
      </c>
    </row>
    <row r="43" spans="1:7" x14ac:dyDescent="0.25">
      <c r="A43" s="5" t="s">
        <v>84</v>
      </c>
      <c r="B43" s="3">
        <v>1517</v>
      </c>
      <c r="C43" s="5">
        <f t="shared" si="2"/>
        <v>14.866600000000002</v>
      </c>
      <c r="D43" s="3">
        <v>352</v>
      </c>
      <c r="E43" s="85">
        <v>617.54385964912285</v>
      </c>
      <c r="F43" s="5">
        <f t="shared" si="0"/>
        <v>42.234659090909091</v>
      </c>
      <c r="G43" s="5">
        <f t="shared" si="1"/>
        <v>24.073755681818184</v>
      </c>
    </row>
    <row r="44" spans="1:7" x14ac:dyDescent="0.25">
      <c r="A44" s="5" t="s">
        <v>85</v>
      </c>
      <c r="B44" s="3">
        <v>620</v>
      </c>
      <c r="C44" s="5">
        <f t="shared" si="2"/>
        <v>6.0760000000000005</v>
      </c>
      <c r="D44" s="3">
        <v>278</v>
      </c>
      <c r="E44" s="85">
        <v>455.73770491803282</v>
      </c>
      <c r="F44" s="5">
        <f t="shared" si="0"/>
        <v>21.85611510791367</v>
      </c>
      <c r="G44" s="5">
        <f t="shared" si="1"/>
        <v>13.332230215827339</v>
      </c>
    </row>
    <row r="46" spans="1:7" x14ac:dyDescent="0.25">
      <c r="A46" s="5" t="s">
        <v>176</v>
      </c>
      <c r="B46" s="5">
        <f>MIN(B2:B44)</f>
        <v>25</v>
      </c>
      <c r="C46" s="5">
        <f>MIN(C2:C44)</f>
        <v>0.24500000000000002</v>
      </c>
      <c r="D46" s="5">
        <f>MIN(D2:D44)</f>
        <v>65</v>
      </c>
      <c r="F46" s="5">
        <f>MIN(F2:F44)</f>
        <v>1.1342592592592593</v>
      </c>
    </row>
    <row r="47" spans="1:7" x14ac:dyDescent="0.25">
      <c r="A47" s="5" t="s">
        <v>177</v>
      </c>
      <c r="B47" s="5">
        <f>MAX(B2:B44)</f>
        <v>1912</v>
      </c>
      <c r="C47" s="5">
        <f>MAX(C2:C44)</f>
        <v>18.737600000000004</v>
      </c>
      <c r="D47" s="5">
        <f>MAX(D2:D44)</f>
        <v>775</v>
      </c>
      <c r="F47" s="5">
        <f>MAX(F2:F44)</f>
        <v>81.871748878923796</v>
      </c>
    </row>
    <row r="48" spans="1:7" x14ac:dyDescent="0.25">
      <c r="A48" s="5" t="s">
        <v>178</v>
      </c>
      <c r="B48" s="5">
        <f>AVERAGE(B2:B44)</f>
        <v>619.53488372093022</v>
      </c>
      <c r="C48" s="5">
        <f>AVERAGE(C2:C44)</f>
        <v>6.0714418604651188</v>
      </c>
      <c r="D48" s="5">
        <f>AVERAGE(D2:D44)</f>
        <v>288.95348837209303</v>
      </c>
      <c r="F48" s="5">
        <f>AVERAGE(F2:F44)</f>
        <v>25.908694787057193</v>
      </c>
    </row>
  </sheetData>
  <conditionalFormatting sqref="E2:E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G1" sqref="G1:G1048576"/>
    </sheetView>
  </sheetViews>
  <sheetFormatPr defaultColWidth="8.85546875" defaultRowHeight="15" x14ac:dyDescent="0.25"/>
  <cols>
    <col min="1" max="1" width="15.28515625" style="150" customWidth="1"/>
    <col min="2" max="2" width="28.85546875" style="151" customWidth="1"/>
    <col min="3" max="3" width="18.42578125" style="151" customWidth="1"/>
    <col min="4" max="4" width="13.140625" style="152" customWidth="1"/>
    <col min="5" max="5" width="13.28515625" style="151" customWidth="1"/>
    <col min="6" max="6" width="14.28515625" style="152" customWidth="1"/>
    <col min="7" max="8" width="8.85546875" style="150"/>
    <col min="9" max="9" width="12" style="150" customWidth="1"/>
    <col min="10" max="10" width="26.42578125" style="150" customWidth="1"/>
    <col min="11" max="11" width="24.140625" style="150" customWidth="1"/>
    <col min="12" max="14" width="8.85546875" style="150"/>
    <col min="15" max="15" width="15.28515625" style="150" customWidth="1"/>
    <col min="16" max="16" width="28.85546875" style="150" customWidth="1"/>
    <col min="17" max="16384" width="8.85546875" style="150"/>
  </cols>
  <sheetData>
    <row r="1" spans="1:9" s="32" customFormat="1" ht="15.75" thickBot="1" x14ac:dyDescent="0.3">
      <c r="B1" s="33"/>
      <c r="C1" s="34" t="s">
        <v>175</v>
      </c>
      <c r="D1" s="34" t="s">
        <v>139</v>
      </c>
      <c r="E1" s="33" t="s">
        <v>140</v>
      </c>
      <c r="F1" s="34" t="s">
        <v>141</v>
      </c>
      <c r="G1" s="32" t="s">
        <v>142</v>
      </c>
      <c r="H1" s="32" t="s">
        <v>143</v>
      </c>
      <c r="I1" s="32" t="s">
        <v>144</v>
      </c>
    </row>
    <row r="2" spans="1:9" s="28" customFormat="1" x14ac:dyDescent="0.25">
      <c r="A2" s="28" t="s">
        <v>133</v>
      </c>
      <c r="B2" s="29" t="s">
        <v>199</v>
      </c>
      <c r="C2" s="30" t="s">
        <v>165</v>
      </c>
      <c r="D2" s="30" t="s">
        <v>166</v>
      </c>
      <c r="E2" s="29" t="s">
        <v>167</v>
      </c>
      <c r="F2" s="30" t="s">
        <v>168</v>
      </c>
      <c r="G2" s="28">
        <v>121.465</v>
      </c>
      <c r="H2" s="31" t="s">
        <v>148</v>
      </c>
      <c r="I2" s="31" t="s">
        <v>174</v>
      </c>
    </row>
    <row r="3" spans="1:9" s="9" customFormat="1" x14ac:dyDescent="0.25">
      <c r="A3" s="9" t="s">
        <v>133</v>
      </c>
      <c r="B3" s="17" t="s">
        <v>35</v>
      </c>
      <c r="C3" s="164">
        <v>22.556896551724144</v>
      </c>
      <c r="D3" s="23">
        <v>6.5274000000000001</v>
      </c>
      <c r="E3" s="17" t="s">
        <v>179</v>
      </c>
      <c r="F3" s="153">
        <v>12.210800000000003</v>
      </c>
      <c r="G3" s="9">
        <v>121.465</v>
      </c>
      <c r="H3" s="12" t="s">
        <v>148</v>
      </c>
      <c r="I3" s="128">
        <f>-2.3*F3</f>
        <v>-28.084840000000003</v>
      </c>
    </row>
    <row r="4" spans="1:9" s="9" customFormat="1" x14ac:dyDescent="0.25">
      <c r="A4" s="9" t="s">
        <v>133</v>
      </c>
      <c r="B4" s="17" t="s">
        <v>33</v>
      </c>
      <c r="C4" s="164">
        <v>7.3721290322580657</v>
      </c>
      <c r="D4" s="23">
        <v>6.5274000000000001</v>
      </c>
      <c r="E4" s="17" t="s">
        <v>179</v>
      </c>
      <c r="F4" s="153">
        <v>1.0388000000000002</v>
      </c>
      <c r="G4" s="9">
        <v>121.465</v>
      </c>
      <c r="H4" s="12" t="s">
        <v>148</v>
      </c>
      <c r="I4" s="128">
        <f t="shared" ref="I4:I12" si="0">-2.3*F4</f>
        <v>-2.38924</v>
      </c>
    </row>
    <row r="5" spans="1:9" s="9" customFormat="1" x14ac:dyDescent="0.25">
      <c r="A5" s="9" t="s">
        <v>133</v>
      </c>
      <c r="B5" s="17" t="s">
        <v>34</v>
      </c>
      <c r="C5" s="164">
        <v>4.4142608695652186</v>
      </c>
      <c r="D5" s="23">
        <v>6.5274000000000001</v>
      </c>
      <c r="E5" s="17" t="s">
        <v>179</v>
      </c>
      <c r="F5" s="153">
        <v>3.0184000000000006</v>
      </c>
      <c r="G5" s="9">
        <v>121.465</v>
      </c>
      <c r="H5" s="12" t="s">
        <v>148</v>
      </c>
      <c r="I5" s="128">
        <f t="shared" si="0"/>
        <v>-6.9423200000000005</v>
      </c>
    </row>
    <row r="6" spans="1:9" s="9" customFormat="1" x14ac:dyDescent="0.25">
      <c r="A6" s="9" t="s">
        <v>133</v>
      </c>
      <c r="B6" s="17" t="s">
        <v>23</v>
      </c>
      <c r="C6" s="164">
        <v>3.217898016997168</v>
      </c>
      <c r="D6" s="23">
        <v>6.5274000000000001</v>
      </c>
      <c r="E6" s="17" t="s">
        <v>179</v>
      </c>
      <c r="F6" s="153">
        <v>3.3908000000000005</v>
      </c>
      <c r="G6" s="9">
        <v>121.465</v>
      </c>
      <c r="H6" s="12" t="s">
        <v>148</v>
      </c>
      <c r="I6" s="128">
        <f t="shared" si="0"/>
        <v>-7.7988400000000002</v>
      </c>
    </row>
    <row r="7" spans="1:9" s="9" customFormat="1" x14ac:dyDescent="0.25">
      <c r="A7" s="9" t="s">
        <v>133</v>
      </c>
      <c r="B7" s="17" t="s">
        <v>24</v>
      </c>
      <c r="C7" s="164">
        <v>2.0427555555555563</v>
      </c>
      <c r="D7" s="23">
        <v>6.5274000000000001</v>
      </c>
      <c r="E7" s="17" t="s">
        <v>179</v>
      </c>
      <c r="F7" s="153">
        <v>2.0580000000000003</v>
      </c>
      <c r="G7" s="9">
        <v>121.465</v>
      </c>
      <c r="H7" s="12" t="s">
        <v>148</v>
      </c>
      <c r="I7" s="128">
        <f t="shared" si="0"/>
        <v>-4.7334000000000005</v>
      </c>
    </row>
    <row r="8" spans="1:9" s="9" customFormat="1" x14ac:dyDescent="0.25">
      <c r="A8" s="9" t="s">
        <v>133</v>
      </c>
      <c r="B8" s="17" t="s">
        <v>41</v>
      </c>
      <c r="C8" s="164">
        <v>17.72740540540541</v>
      </c>
      <c r="D8" s="23">
        <v>6.5274000000000001</v>
      </c>
      <c r="E8" s="17" t="s">
        <v>179</v>
      </c>
      <c r="F8" s="153">
        <v>2.8518000000000003</v>
      </c>
      <c r="G8" s="9">
        <v>121.465</v>
      </c>
      <c r="H8" s="12" t="s">
        <v>148</v>
      </c>
      <c r="I8" s="128">
        <f t="shared" si="0"/>
        <v>-6.5591400000000002</v>
      </c>
    </row>
    <row r="9" spans="1:9" s="9" customFormat="1" x14ac:dyDescent="0.25">
      <c r="A9" s="9" t="s">
        <v>133</v>
      </c>
      <c r="B9" s="17" t="s">
        <v>40</v>
      </c>
      <c r="C9" s="164">
        <v>1.5374311926605506</v>
      </c>
      <c r="D9" s="23">
        <v>6.5274000000000001</v>
      </c>
      <c r="E9" s="17" t="s">
        <v>179</v>
      </c>
      <c r="F9" s="153">
        <v>0.37240000000000006</v>
      </c>
      <c r="G9" s="9">
        <v>121.465</v>
      </c>
      <c r="H9" s="12" t="s">
        <v>148</v>
      </c>
      <c r="I9" s="128">
        <f t="shared" si="0"/>
        <v>-0.85652000000000006</v>
      </c>
    </row>
    <row r="10" spans="1:9" s="9" customFormat="1" x14ac:dyDescent="0.25">
      <c r="A10" s="9" t="s">
        <v>133</v>
      </c>
      <c r="B10" s="17" t="s">
        <v>38</v>
      </c>
      <c r="C10" s="164">
        <v>28.42369811320755</v>
      </c>
      <c r="D10" s="23">
        <v>6.5274000000000001</v>
      </c>
      <c r="E10" s="17" t="s">
        <v>179</v>
      </c>
      <c r="F10" s="153">
        <v>7.1736000000000013</v>
      </c>
      <c r="G10" s="9">
        <v>121.465</v>
      </c>
      <c r="H10" s="12" t="s">
        <v>148</v>
      </c>
      <c r="I10" s="128">
        <f t="shared" si="0"/>
        <v>-16.499280000000002</v>
      </c>
    </row>
    <row r="11" spans="1:9" s="9" customFormat="1" x14ac:dyDescent="0.25">
      <c r="A11" s="9" t="s">
        <v>133</v>
      </c>
      <c r="B11" s="17" t="s">
        <v>39</v>
      </c>
      <c r="C11" s="164">
        <v>27.485975308641979</v>
      </c>
      <c r="D11" s="23">
        <v>6.5274000000000001</v>
      </c>
      <c r="E11" s="17" t="s">
        <v>179</v>
      </c>
      <c r="F11" s="153">
        <v>3.0086000000000004</v>
      </c>
      <c r="G11" s="9">
        <v>121.465</v>
      </c>
      <c r="H11" s="12" t="s">
        <v>148</v>
      </c>
      <c r="I11" s="128">
        <f t="shared" si="0"/>
        <v>-6.9197800000000003</v>
      </c>
    </row>
    <row r="12" spans="1:9" s="39" customFormat="1" ht="15.75" thickBot="1" x14ac:dyDescent="0.3">
      <c r="A12" s="39" t="s">
        <v>133</v>
      </c>
      <c r="B12" s="40" t="s">
        <v>27</v>
      </c>
      <c r="C12" s="165">
        <v>11.264527918781729</v>
      </c>
      <c r="D12" s="41">
        <v>6.5274000000000001</v>
      </c>
      <c r="E12" s="40" t="s">
        <v>179</v>
      </c>
      <c r="F12" s="158">
        <v>2.9988000000000006</v>
      </c>
      <c r="G12" s="39">
        <v>121.465</v>
      </c>
      <c r="H12" s="42" t="s">
        <v>148</v>
      </c>
      <c r="I12" s="159">
        <f t="shared" si="0"/>
        <v>-6.8972400000000009</v>
      </c>
    </row>
    <row r="13" spans="1:9" s="35" customFormat="1" x14ac:dyDescent="0.25">
      <c r="A13" s="35" t="s">
        <v>134</v>
      </c>
      <c r="B13" s="36" t="s">
        <v>199</v>
      </c>
      <c r="C13" s="37" t="s">
        <v>169</v>
      </c>
      <c r="D13" s="37" t="s">
        <v>170</v>
      </c>
      <c r="E13" s="36" t="s">
        <v>171</v>
      </c>
      <c r="F13" s="37" t="s">
        <v>172</v>
      </c>
      <c r="G13" s="35">
        <v>121.465</v>
      </c>
      <c r="H13" s="38" t="s">
        <v>148</v>
      </c>
      <c r="I13" s="38" t="s">
        <v>173</v>
      </c>
    </row>
    <row r="14" spans="1:9" s="10" customFormat="1" x14ac:dyDescent="0.25">
      <c r="A14" s="10" t="s">
        <v>134</v>
      </c>
      <c r="B14" s="18" t="s">
        <v>29</v>
      </c>
      <c r="C14" s="166">
        <v>11.109661891117479</v>
      </c>
      <c r="D14" s="141" t="s">
        <v>180</v>
      </c>
      <c r="E14" s="18" t="s">
        <v>190</v>
      </c>
      <c r="F14" s="154">
        <v>9.231600000000002</v>
      </c>
      <c r="G14" s="10">
        <v>121.465</v>
      </c>
      <c r="H14" s="13" t="s">
        <v>148</v>
      </c>
      <c r="I14" s="171">
        <f>-2.3*F14</f>
        <v>-21.232680000000002</v>
      </c>
    </row>
    <row r="15" spans="1:9" s="10" customFormat="1" x14ac:dyDescent="0.25">
      <c r="A15" s="10" t="s">
        <v>134</v>
      </c>
      <c r="B15" s="18" t="s">
        <v>30</v>
      </c>
      <c r="C15" s="166">
        <v>22.168428169014092</v>
      </c>
      <c r="D15" s="141" t="s">
        <v>180</v>
      </c>
      <c r="E15" s="18" t="s">
        <v>190</v>
      </c>
      <c r="F15" s="154">
        <v>18.737600000000004</v>
      </c>
      <c r="G15" s="10">
        <v>121.465</v>
      </c>
      <c r="H15" s="13" t="s">
        <v>148</v>
      </c>
      <c r="I15" s="171">
        <f t="shared" ref="I15:I21" si="1">-2.3*F15</f>
        <v>-43.096480000000007</v>
      </c>
    </row>
    <row r="16" spans="1:9" s="10" customFormat="1" x14ac:dyDescent="0.25">
      <c r="A16" s="10" t="s">
        <v>134</v>
      </c>
      <c r="B16" s="18" t="s">
        <v>31</v>
      </c>
      <c r="C16" s="166">
        <v>19.611146919431281</v>
      </c>
      <c r="D16" s="141" t="s">
        <v>180</v>
      </c>
      <c r="E16" s="18" t="s">
        <v>190</v>
      </c>
      <c r="F16" s="154">
        <v>7.3892000000000007</v>
      </c>
      <c r="G16" s="10">
        <v>121.465</v>
      </c>
      <c r="H16" s="13" t="s">
        <v>148</v>
      </c>
      <c r="I16" s="171">
        <f t="shared" si="1"/>
        <v>-16.995159999999998</v>
      </c>
    </row>
    <row r="17" spans="1:9" s="10" customFormat="1" x14ac:dyDescent="0.25">
      <c r="A17" s="10" t="s">
        <v>134</v>
      </c>
      <c r="B17" s="18" t="s">
        <v>37</v>
      </c>
      <c r="C17" s="166">
        <v>22.667540669856464</v>
      </c>
      <c r="D17" s="141" t="s">
        <v>180</v>
      </c>
      <c r="E17" s="18" t="s">
        <v>190</v>
      </c>
      <c r="F17" s="154">
        <v>11.279800000000002</v>
      </c>
      <c r="G17" s="10">
        <v>121.465</v>
      </c>
      <c r="H17" s="13" t="s">
        <v>148</v>
      </c>
      <c r="I17" s="171">
        <f t="shared" si="1"/>
        <v>-25.943540000000002</v>
      </c>
    </row>
    <row r="18" spans="1:9" s="10" customFormat="1" x14ac:dyDescent="0.25">
      <c r="A18" s="10" t="s">
        <v>134</v>
      </c>
      <c r="B18" s="18" t="s">
        <v>36</v>
      </c>
      <c r="C18" s="166">
        <v>7.1514611398963757</v>
      </c>
      <c r="D18" s="141" t="s">
        <v>180</v>
      </c>
      <c r="E18" s="18" t="s">
        <v>190</v>
      </c>
      <c r="F18" s="154">
        <v>4.9294000000000011</v>
      </c>
      <c r="G18" s="10">
        <v>121.465</v>
      </c>
      <c r="H18" s="13" t="s">
        <v>148</v>
      </c>
      <c r="I18" s="171">
        <f t="shared" si="1"/>
        <v>-11.337620000000001</v>
      </c>
    </row>
    <row r="19" spans="1:9" s="10" customFormat="1" x14ac:dyDescent="0.25">
      <c r="A19" s="10" t="s">
        <v>134</v>
      </c>
      <c r="B19" s="18" t="s">
        <v>32</v>
      </c>
      <c r="C19" s="166">
        <v>19.629450777202077</v>
      </c>
      <c r="D19" s="141" t="s">
        <v>180</v>
      </c>
      <c r="E19" s="18" t="s">
        <v>190</v>
      </c>
      <c r="F19" s="154">
        <v>11.142600000000002</v>
      </c>
      <c r="G19" s="10">
        <v>121.465</v>
      </c>
      <c r="H19" s="13" t="s">
        <v>148</v>
      </c>
      <c r="I19" s="171">
        <f t="shared" si="1"/>
        <v>-25.627980000000001</v>
      </c>
    </row>
    <row r="20" spans="1:9" s="10" customFormat="1" x14ac:dyDescent="0.25">
      <c r="A20" s="10" t="s">
        <v>134</v>
      </c>
      <c r="B20" s="18" t="s">
        <v>6</v>
      </c>
      <c r="C20" s="166">
        <v>17.5415462962963</v>
      </c>
      <c r="D20" s="141" t="s">
        <v>180</v>
      </c>
      <c r="E20" s="18" t="s">
        <v>190</v>
      </c>
      <c r="F20" s="154">
        <v>16.473800000000001</v>
      </c>
      <c r="G20" s="10">
        <v>121.465</v>
      </c>
      <c r="H20" s="13" t="s">
        <v>148</v>
      </c>
      <c r="I20" s="171">
        <f t="shared" si="1"/>
        <v>-37.889739999999996</v>
      </c>
    </row>
    <row r="21" spans="1:9" s="55" customFormat="1" ht="15.75" thickBot="1" x14ac:dyDescent="0.3">
      <c r="A21" s="55" t="s">
        <v>134</v>
      </c>
      <c r="B21" s="56" t="s">
        <v>28</v>
      </c>
      <c r="C21" s="167">
        <v>7.3147520435967293</v>
      </c>
      <c r="D21" s="142" t="s">
        <v>180</v>
      </c>
      <c r="E21" s="56" t="s">
        <v>190</v>
      </c>
      <c r="F21" s="160">
        <v>3.8906000000000005</v>
      </c>
      <c r="G21" s="55">
        <v>121.465</v>
      </c>
      <c r="H21" s="57" t="s">
        <v>148</v>
      </c>
      <c r="I21" s="171">
        <f t="shared" si="1"/>
        <v>-8.9483800000000002</v>
      </c>
    </row>
    <row r="22" spans="1:9" s="43" customFormat="1" x14ac:dyDescent="0.25">
      <c r="A22" s="43" t="s">
        <v>138</v>
      </c>
      <c r="B22" s="44" t="s">
        <v>199</v>
      </c>
      <c r="C22" s="45" t="s">
        <v>156</v>
      </c>
      <c r="D22" s="45" t="s">
        <v>157</v>
      </c>
      <c r="E22" s="44" t="s">
        <v>158</v>
      </c>
      <c r="F22" s="45" t="s">
        <v>159</v>
      </c>
      <c r="G22" s="43">
        <v>121.465</v>
      </c>
      <c r="H22" s="46" t="s">
        <v>148</v>
      </c>
      <c r="I22" s="46" t="s">
        <v>160</v>
      </c>
    </row>
    <row r="23" spans="1:9" s="11" customFormat="1" x14ac:dyDescent="0.25">
      <c r="A23" s="11" t="s">
        <v>138</v>
      </c>
      <c r="B23" s="19" t="s">
        <v>9</v>
      </c>
      <c r="C23" s="137">
        <v>17.248000000000001</v>
      </c>
      <c r="D23" s="143" t="s">
        <v>181</v>
      </c>
      <c r="E23" s="19" t="s">
        <v>189</v>
      </c>
      <c r="F23" s="155">
        <v>2.5480000000000005</v>
      </c>
      <c r="G23" s="11">
        <v>121.465</v>
      </c>
      <c r="H23" s="14" t="s">
        <v>148</v>
      </c>
      <c r="I23" s="175">
        <f>-2.3*F23</f>
        <v>-5.8604000000000003</v>
      </c>
    </row>
    <row r="24" spans="1:9" s="11" customFormat="1" x14ac:dyDescent="0.25">
      <c r="A24" s="11" t="s">
        <v>138</v>
      </c>
      <c r="B24" s="19" t="s">
        <v>8</v>
      </c>
      <c r="C24" s="137">
        <v>24.073755681818184</v>
      </c>
      <c r="D24" s="143" t="s">
        <v>181</v>
      </c>
      <c r="E24" s="19" t="s">
        <v>189</v>
      </c>
      <c r="F24" s="155">
        <v>14.866600000000002</v>
      </c>
      <c r="G24" s="11">
        <v>121.465</v>
      </c>
      <c r="H24" s="14" t="s">
        <v>148</v>
      </c>
      <c r="I24" s="175">
        <f>-2.3*F24</f>
        <v>-34.193179999999998</v>
      </c>
    </row>
    <row r="25" spans="1:9" s="58" customFormat="1" ht="15.75" thickBot="1" x14ac:dyDescent="0.3">
      <c r="A25" s="58" t="s">
        <v>138</v>
      </c>
      <c r="B25" s="59" t="s">
        <v>10</v>
      </c>
      <c r="C25" s="138">
        <v>13.332230215827339</v>
      </c>
      <c r="D25" s="144" t="s">
        <v>181</v>
      </c>
      <c r="E25" s="59" t="s">
        <v>189</v>
      </c>
      <c r="F25" s="161">
        <v>6.0760000000000005</v>
      </c>
      <c r="G25" s="58">
        <v>121.465</v>
      </c>
      <c r="H25" s="60" t="s">
        <v>148</v>
      </c>
      <c r="I25" s="175">
        <f>-2.3*F25</f>
        <v>-13.9748</v>
      </c>
    </row>
    <row r="26" spans="1:9" s="47" customFormat="1" x14ac:dyDescent="0.25">
      <c r="A26" s="47" t="s">
        <v>135</v>
      </c>
      <c r="B26" s="48" t="s">
        <v>199</v>
      </c>
      <c r="C26" s="49" t="s">
        <v>161</v>
      </c>
      <c r="D26" s="49" t="s">
        <v>182</v>
      </c>
      <c r="E26" s="48" t="s">
        <v>162</v>
      </c>
      <c r="F26" s="49" t="s">
        <v>163</v>
      </c>
      <c r="G26" s="47">
        <v>121.465</v>
      </c>
      <c r="H26" s="50" t="s">
        <v>148</v>
      </c>
      <c r="I26" s="50" t="s">
        <v>164</v>
      </c>
    </row>
    <row r="27" spans="1:9" s="148" customFormat="1" x14ac:dyDescent="0.25">
      <c r="A27" s="148" t="s">
        <v>135</v>
      </c>
      <c r="B27" s="20" t="s">
        <v>0</v>
      </c>
      <c r="C27" s="168">
        <v>12.5038624813154</v>
      </c>
      <c r="D27" s="96" t="s">
        <v>183</v>
      </c>
      <c r="E27" s="20" t="s">
        <v>188</v>
      </c>
      <c r="F27" s="96">
        <v>12.485200000000003</v>
      </c>
      <c r="G27" s="148">
        <v>121.465</v>
      </c>
      <c r="H27" s="149" t="s">
        <v>148</v>
      </c>
      <c r="I27" s="174">
        <f t="shared" ref="I27:I32" si="2">-2.3*F27</f>
        <v>-28.715960000000003</v>
      </c>
    </row>
    <row r="28" spans="1:9" s="148" customFormat="1" x14ac:dyDescent="0.25">
      <c r="A28" s="148" t="s">
        <v>135</v>
      </c>
      <c r="B28" s="20" t="s">
        <v>5</v>
      </c>
      <c r="C28" s="168">
        <v>1.9247272727272733</v>
      </c>
      <c r="D28" s="96" t="s">
        <v>183</v>
      </c>
      <c r="E28" s="20" t="s">
        <v>188</v>
      </c>
      <c r="F28" s="96">
        <v>1.5484000000000002</v>
      </c>
      <c r="G28" s="148">
        <v>121.465</v>
      </c>
      <c r="H28" s="149" t="s">
        <v>148</v>
      </c>
      <c r="I28" s="174">
        <f t="shared" si="2"/>
        <v>-3.5613200000000003</v>
      </c>
    </row>
    <row r="29" spans="1:9" s="148" customFormat="1" x14ac:dyDescent="0.25">
      <c r="A29" s="148" t="s">
        <v>135</v>
      </c>
      <c r="B29" s="20" t="s">
        <v>4</v>
      </c>
      <c r="C29" s="168">
        <v>8.8741104294478532</v>
      </c>
      <c r="D29" s="96" t="s">
        <v>183</v>
      </c>
      <c r="E29" s="20" t="s">
        <v>188</v>
      </c>
      <c r="F29" s="96">
        <v>2.3520000000000003</v>
      </c>
      <c r="G29" s="148">
        <v>121.465</v>
      </c>
      <c r="H29" s="149" t="s">
        <v>148</v>
      </c>
      <c r="I29" s="174">
        <f t="shared" si="2"/>
        <v>-5.4096000000000002</v>
      </c>
    </row>
    <row r="30" spans="1:9" s="148" customFormat="1" x14ac:dyDescent="0.25">
      <c r="A30" s="148" t="s">
        <v>135</v>
      </c>
      <c r="B30" s="20" t="s">
        <v>3</v>
      </c>
      <c r="C30" s="168">
        <v>5.8039495268138808</v>
      </c>
      <c r="D30" s="96" t="s">
        <v>183</v>
      </c>
      <c r="E30" s="20" t="s">
        <v>188</v>
      </c>
      <c r="F30" s="96">
        <v>10.221400000000001</v>
      </c>
      <c r="G30" s="148">
        <v>121.465</v>
      </c>
      <c r="H30" s="149" t="s">
        <v>148</v>
      </c>
      <c r="I30" s="174">
        <f t="shared" si="2"/>
        <v>-23.509219999999999</v>
      </c>
    </row>
    <row r="31" spans="1:9" s="148" customFormat="1" x14ac:dyDescent="0.25">
      <c r="A31" s="148" t="s">
        <v>135</v>
      </c>
      <c r="B31" s="20" t="s">
        <v>25</v>
      </c>
      <c r="C31" s="168">
        <v>1.6506622734761123</v>
      </c>
      <c r="D31" s="96" t="s">
        <v>183</v>
      </c>
      <c r="E31" s="20" t="s">
        <v>188</v>
      </c>
      <c r="F31" s="96">
        <v>1.3916000000000002</v>
      </c>
      <c r="G31" s="148">
        <v>121.465</v>
      </c>
      <c r="H31" s="149" t="s">
        <v>148</v>
      </c>
      <c r="I31" s="174">
        <f t="shared" si="2"/>
        <v>-3.2006800000000002</v>
      </c>
    </row>
    <row r="32" spans="1:9" s="61" customFormat="1" ht="15.75" thickBot="1" x14ac:dyDescent="0.3">
      <c r="A32" s="61" t="s">
        <v>135</v>
      </c>
      <c r="B32" s="62" t="s">
        <v>26</v>
      </c>
      <c r="C32" s="169">
        <v>4.6837677419354842</v>
      </c>
      <c r="D32" s="162" t="s">
        <v>183</v>
      </c>
      <c r="E32" s="62" t="s">
        <v>188</v>
      </c>
      <c r="F32" s="162">
        <v>4.5374000000000008</v>
      </c>
      <c r="G32" s="61">
        <v>121.465</v>
      </c>
      <c r="H32" s="63" t="s">
        <v>148</v>
      </c>
      <c r="I32" s="174">
        <f t="shared" si="2"/>
        <v>-10.436020000000001</v>
      </c>
    </row>
    <row r="33" spans="1:9" s="51" customFormat="1" x14ac:dyDescent="0.25">
      <c r="A33" s="51" t="s">
        <v>137</v>
      </c>
      <c r="B33" s="52" t="s">
        <v>199</v>
      </c>
      <c r="C33" s="53" t="s">
        <v>145</v>
      </c>
      <c r="D33" s="53" t="s">
        <v>146</v>
      </c>
      <c r="E33" s="52" t="s">
        <v>147</v>
      </c>
      <c r="F33" s="53" t="s">
        <v>149</v>
      </c>
      <c r="G33" s="51">
        <v>121.465</v>
      </c>
      <c r="H33" s="54" t="s">
        <v>148</v>
      </c>
      <c r="I33" s="54" t="s">
        <v>150</v>
      </c>
    </row>
    <row r="34" spans="1:9" s="7" customFormat="1" x14ac:dyDescent="0.25">
      <c r="A34" s="7" t="s">
        <v>137</v>
      </c>
      <c r="B34" s="21" t="s">
        <v>16</v>
      </c>
      <c r="C34" s="139">
        <v>20.653500000000001</v>
      </c>
      <c r="D34" s="145" t="s">
        <v>184</v>
      </c>
      <c r="E34" s="21" t="s">
        <v>187</v>
      </c>
      <c r="F34" s="156">
        <v>11.015200000000002</v>
      </c>
      <c r="G34" s="7">
        <v>121.465</v>
      </c>
      <c r="H34" s="15" t="s">
        <v>148</v>
      </c>
      <c r="I34" s="173">
        <f>-2.3*F34</f>
        <v>-25.334960000000002</v>
      </c>
    </row>
    <row r="35" spans="1:9" s="7" customFormat="1" x14ac:dyDescent="0.25">
      <c r="A35" s="7" t="s">
        <v>137</v>
      </c>
      <c r="B35" s="21" t="s">
        <v>17</v>
      </c>
      <c r="C35" s="139">
        <v>1.1653367875647669</v>
      </c>
      <c r="D35" s="145" t="s">
        <v>184</v>
      </c>
      <c r="E35" s="21" t="s">
        <v>187</v>
      </c>
      <c r="F35" s="156">
        <v>0.44100000000000006</v>
      </c>
      <c r="G35" s="7">
        <v>121.465</v>
      </c>
      <c r="H35" s="15" t="s">
        <v>148</v>
      </c>
      <c r="I35" s="173">
        <f t="shared" ref="I35:I42" si="3">-2.3*F35</f>
        <v>-1.0143</v>
      </c>
    </row>
    <row r="36" spans="1:9" s="7" customFormat="1" x14ac:dyDescent="0.25">
      <c r="A36" s="7" t="s">
        <v>137</v>
      </c>
      <c r="B36" s="21" t="s">
        <v>22</v>
      </c>
      <c r="C36" s="139">
        <v>34.386134529147988</v>
      </c>
      <c r="D36" s="145" t="s">
        <v>184</v>
      </c>
      <c r="E36" s="21" t="s">
        <v>187</v>
      </c>
      <c r="F36" s="156">
        <v>18.257400000000004</v>
      </c>
      <c r="G36" s="7">
        <v>121.465</v>
      </c>
      <c r="H36" s="15" t="s">
        <v>148</v>
      </c>
      <c r="I36" s="173">
        <f t="shared" si="3"/>
        <v>-41.992020000000004</v>
      </c>
    </row>
    <row r="37" spans="1:9" s="7" customFormat="1" x14ac:dyDescent="0.25">
      <c r="A37" s="7" t="s">
        <v>137</v>
      </c>
      <c r="B37" s="21" t="s">
        <v>21</v>
      </c>
      <c r="C37" s="139">
        <v>18.806953846153849</v>
      </c>
      <c r="D37" s="145" t="s">
        <v>184</v>
      </c>
      <c r="E37" s="21" t="s">
        <v>187</v>
      </c>
      <c r="F37" s="156">
        <v>11.642400000000002</v>
      </c>
      <c r="G37" s="7">
        <v>121.465</v>
      </c>
      <c r="H37" s="15" t="s">
        <v>148</v>
      </c>
      <c r="I37" s="173">
        <f t="shared" si="3"/>
        <v>-26.777520000000003</v>
      </c>
    </row>
    <row r="38" spans="1:9" s="7" customFormat="1" x14ac:dyDescent="0.25">
      <c r="A38" s="7" t="s">
        <v>137</v>
      </c>
      <c r="B38" s="21" t="s">
        <v>18</v>
      </c>
      <c r="C38" s="139">
        <v>8.2116740740740752</v>
      </c>
      <c r="D38" s="145" t="s">
        <v>184</v>
      </c>
      <c r="E38" s="21" t="s">
        <v>187</v>
      </c>
      <c r="F38" s="156">
        <v>3.9592000000000005</v>
      </c>
      <c r="G38" s="7">
        <v>121.465</v>
      </c>
      <c r="H38" s="15" t="s">
        <v>148</v>
      </c>
      <c r="I38" s="173">
        <f t="shared" si="3"/>
        <v>-9.1061600000000009</v>
      </c>
    </row>
    <row r="39" spans="1:9" s="7" customFormat="1" x14ac:dyDescent="0.25">
      <c r="A39" s="7" t="s">
        <v>137</v>
      </c>
      <c r="B39" s="21" t="s">
        <v>20</v>
      </c>
      <c r="C39" s="139">
        <v>10.557632286995517</v>
      </c>
      <c r="D39" s="145" t="s">
        <v>184</v>
      </c>
      <c r="E39" s="21" t="s">
        <v>187</v>
      </c>
      <c r="F39" s="156">
        <v>5.6056000000000008</v>
      </c>
      <c r="G39" s="7">
        <v>121.465</v>
      </c>
      <c r="H39" s="15" t="s">
        <v>148</v>
      </c>
      <c r="I39" s="173">
        <f t="shared" si="3"/>
        <v>-12.892880000000002</v>
      </c>
    </row>
    <row r="40" spans="1:9" s="7" customFormat="1" x14ac:dyDescent="0.25">
      <c r="A40" s="7" t="s">
        <v>137</v>
      </c>
      <c r="B40" s="21" t="s">
        <v>19</v>
      </c>
      <c r="C40" s="139">
        <v>10.665808695652176</v>
      </c>
      <c r="D40" s="145" t="s">
        <v>184</v>
      </c>
      <c r="E40" s="21" t="s">
        <v>187</v>
      </c>
      <c r="F40" s="156">
        <v>2.9204000000000003</v>
      </c>
      <c r="G40" s="7">
        <v>121.465</v>
      </c>
      <c r="H40" s="15" t="s">
        <v>148</v>
      </c>
      <c r="I40" s="173">
        <f t="shared" si="3"/>
        <v>-6.71692</v>
      </c>
    </row>
    <row r="41" spans="1:9" s="7" customFormat="1" x14ac:dyDescent="0.25">
      <c r="A41" s="7" t="s">
        <v>137</v>
      </c>
      <c r="B41" s="21" t="s">
        <v>11</v>
      </c>
      <c r="C41" s="139">
        <v>12.773033707865171</v>
      </c>
      <c r="D41" s="145" t="s">
        <v>184</v>
      </c>
      <c r="E41" s="21" t="s">
        <v>187</v>
      </c>
      <c r="F41" s="156">
        <v>1.4210000000000003</v>
      </c>
      <c r="G41" s="7">
        <v>121.465</v>
      </c>
      <c r="H41" s="15" t="s">
        <v>148</v>
      </c>
      <c r="I41" s="173">
        <f t="shared" si="3"/>
        <v>-3.2683000000000004</v>
      </c>
    </row>
    <row r="42" spans="1:9" s="64" customFormat="1" ht="15.75" thickBot="1" x14ac:dyDescent="0.3">
      <c r="A42" s="64" t="s">
        <v>137</v>
      </c>
      <c r="B42" s="65" t="s">
        <v>15</v>
      </c>
      <c r="C42" s="140">
        <v>20.789134020618558</v>
      </c>
      <c r="D42" s="146" t="s">
        <v>184</v>
      </c>
      <c r="E42" s="65" t="s">
        <v>187</v>
      </c>
      <c r="F42" s="163">
        <v>3.5378000000000007</v>
      </c>
      <c r="G42" s="64">
        <v>121.465</v>
      </c>
      <c r="H42" s="66" t="s">
        <v>148</v>
      </c>
      <c r="I42" s="173">
        <f t="shared" si="3"/>
        <v>-8.1369400000000009</v>
      </c>
    </row>
    <row r="43" spans="1:9" s="67" customFormat="1" x14ac:dyDescent="0.25">
      <c r="A43" s="67" t="s">
        <v>136</v>
      </c>
      <c r="B43" s="68" t="s">
        <v>199</v>
      </c>
      <c r="C43" s="69" t="s">
        <v>151</v>
      </c>
      <c r="D43" s="69" t="s">
        <v>152</v>
      </c>
      <c r="E43" s="68" t="s">
        <v>153</v>
      </c>
      <c r="F43" s="69" t="s">
        <v>154</v>
      </c>
      <c r="G43" s="67">
        <v>121.465</v>
      </c>
      <c r="H43" s="70" t="s">
        <v>148</v>
      </c>
      <c r="I43" s="70" t="s">
        <v>155</v>
      </c>
    </row>
    <row r="44" spans="1:9" s="8" customFormat="1" x14ac:dyDescent="0.25">
      <c r="A44" s="8" t="s">
        <v>136</v>
      </c>
      <c r="B44" s="22" t="s">
        <v>14</v>
      </c>
      <c r="C44" s="170">
        <v>4.3555555555555561</v>
      </c>
      <c r="D44" s="147" t="s">
        <v>185</v>
      </c>
      <c r="E44" s="22" t="s">
        <v>186</v>
      </c>
      <c r="F44" s="157">
        <v>2.2050000000000005</v>
      </c>
      <c r="G44" s="8">
        <v>121.465</v>
      </c>
      <c r="H44" s="16" t="s">
        <v>148</v>
      </c>
      <c r="I44" s="172">
        <f>-2.3*F44</f>
        <v>-5.0715000000000012</v>
      </c>
    </row>
    <row r="45" spans="1:9" s="8" customFormat="1" x14ac:dyDescent="0.25">
      <c r="A45" s="8" t="s">
        <v>136</v>
      </c>
      <c r="B45" s="22" t="s">
        <v>13</v>
      </c>
      <c r="C45" s="170">
        <v>23.495409594095946</v>
      </c>
      <c r="D45" s="147" t="s">
        <v>185</v>
      </c>
      <c r="E45" s="22" t="s">
        <v>186</v>
      </c>
      <c r="F45" s="157">
        <v>8.6044000000000018</v>
      </c>
      <c r="G45" s="8">
        <v>121.465</v>
      </c>
      <c r="H45" s="16" t="s">
        <v>148</v>
      </c>
      <c r="I45" s="172">
        <f>-2.3*F45</f>
        <v>-19.790120000000002</v>
      </c>
    </row>
  </sheetData>
  <sortState ref="A1:B11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pane xSplit="1" topLeftCell="B1" activePane="topRight" state="frozen"/>
      <selection pane="topRight" activeCell="J11" sqref="J11"/>
    </sheetView>
  </sheetViews>
  <sheetFormatPr defaultColWidth="8.85546875" defaultRowHeight="15" x14ac:dyDescent="0.25"/>
  <cols>
    <col min="1" max="1" width="24.85546875" customWidth="1"/>
    <col min="9" max="9" width="12.140625" style="24" customWidth="1"/>
    <col min="12" max="12" width="8.85546875" style="26"/>
    <col min="13" max="13" width="16.85546875" style="73" customWidth="1"/>
    <col min="16" max="16" width="8.85546875" style="26"/>
    <col min="17" max="17" width="12.5703125" style="73" customWidth="1"/>
    <col min="18" max="19" width="8.85546875" style="5"/>
    <col min="20" max="20" width="8.85546875" style="26"/>
  </cols>
  <sheetData>
    <row r="1" spans="1:25" s="4" customFormat="1" x14ac:dyDescent="0.25">
      <c r="A1" s="4" t="s">
        <v>43</v>
      </c>
      <c r="B1" s="4" t="s">
        <v>191</v>
      </c>
      <c r="C1" s="4" t="s">
        <v>192</v>
      </c>
      <c r="D1" s="27" t="s">
        <v>193</v>
      </c>
      <c r="E1" s="4" t="s">
        <v>194</v>
      </c>
      <c r="F1" s="27" t="s">
        <v>193</v>
      </c>
      <c r="G1" s="4" t="s">
        <v>195</v>
      </c>
      <c r="H1" s="27" t="s">
        <v>193</v>
      </c>
      <c r="I1" s="94" t="s">
        <v>326</v>
      </c>
      <c r="J1" s="4" t="s">
        <v>192</v>
      </c>
      <c r="K1" s="4" t="s">
        <v>194</v>
      </c>
      <c r="L1" s="101" t="s">
        <v>195</v>
      </c>
      <c r="M1" s="4" t="s">
        <v>280</v>
      </c>
      <c r="N1" s="4" t="s">
        <v>196</v>
      </c>
      <c r="O1" s="4" t="s">
        <v>197</v>
      </c>
      <c r="P1" s="101" t="s">
        <v>198</v>
      </c>
      <c r="Q1" s="4" t="s">
        <v>325</v>
      </c>
      <c r="R1" s="4" t="s">
        <v>196</v>
      </c>
      <c r="S1" s="4" t="s">
        <v>197</v>
      </c>
      <c r="T1" s="101" t="s">
        <v>198</v>
      </c>
      <c r="U1" s="4" t="s">
        <v>288</v>
      </c>
      <c r="V1" s="4" t="s">
        <v>308</v>
      </c>
      <c r="W1" s="4" t="s">
        <v>284</v>
      </c>
      <c r="X1" s="4" t="s">
        <v>293</v>
      </c>
      <c r="Y1" s="4" t="s">
        <v>292</v>
      </c>
    </row>
    <row r="2" spans="1:25" s="1" customFormat="1" ht="15.75" customHeight="1" x14ac:dyDescent="0.25">
      <c r="A2" s="1" t="s">
        <v>35</v>
      </c>
      <c r="B2" s="1" t="s">
        <v>1</v>
      </c>
      <c r="C2" s="1">
        <v>-1.67</v>
      </c>
      <c r="D2" s="1">
        <v>1.81</v>
      </c>
      <c r="E2" s="1">
        <v>-16.309999999999999</v>
      </c>
      <c r="F2" s="1">
        <v>6.38</v>
      </c>
      <c r="G2" s="1">
        <v>3.59</v>
      </c>
      <c r="H2" s="1">
        <v>2.64</v>
      </c>
      <c r="I2" s="95"/>
      <c r="J2" s="1">
        <v>-1.67</v>
      </c>
      <c r="K2" s="1">
        <v>-16.309999999999999</v>
      </c>
      <c r="L2" s="102">
        <v>3.59</v>
      </c>
      <c r="M2" s="90"/>
      <c r="N2" s="1">
        <v>-8.2736999999999998</v>
      </c>
      <c r="O2" s="1">
        <v>-3.9457</v>
      </c>
      <c r="P2" s="102">
        <v>14.391999999999999</v>
      </c>
      <c r="Q2" s="90"/>
      <c r="R2" s="1">
        <v>-8.5</v>
      </c>
      <c r="S2" s="1">
        <v>-3.9460000000000002</v>
      </c>
      <c r="T2" s="102">
        <v>17</v>
      </c>
    </row>
    <row r="3" spans="1:25" s="1" customFormat="1" x14ac:dyDescent="0.25">
      <c r="A3" s="1" t="s">
        <v>33</v>
      </c>
      <c r="B3" s="1" t="s">
        <v>1</v>
      </c>
      <c r="C3" s="1">
        <v>-1.6</v>
      </c>
      <c r="D3" s="1">
        <v>0.16</v>
      </c>
      <c r="E3" s="1">
        <v>-16.93</v>
      </c>
      <c r="F3" s="1">
        <v>0.52</v>
      </c>
      <c r="G3" s="1">
        <v>1.0900000000000001</v>
      </c>
      <c r="H3" s="1">
        <v>0.6</v>
      </c>
      <c r="I3" s="95"/>
      <c r="J3" s="1">
        <v>-1.6</v>
      </c>
      <c r="K3" s="1">
        <v>-16.93</v>
      </c>
      <c r="L3" s="102">
        <v>1.0900000000000001</v>
      </c>
      <c r="M3" s="90"/>
      <c r="N3" s="1">
        <v>-6.0282999999999998</v>
      </c>
      <c r="O3" s="1">
        <v>-3.7328999999999999</v>
      </c>
      <c r="P3" s="102">
        <v>15.6379</v>
      </c>
      <c r="Q3" s="90"/>
      <c r="R3" s="1">
        <v>-8</v>
      </c>
      <c r="S3" s="1">
        <v>-4</v>
      </c>
      <c r="T3" s="102">
        <v>15</v>
      </c>
    </row>
    <row r="4" spans="1:25" s="6" customFormat="1" x14ac:dyDescent="0.25">
      <c r="A4" s="6" t="s">
        <v>34</v>
      </c>
      <c r="B4" s="6" t="s">
        <v>1</v>
      </c>
      <c r="C4" s="6">
        <v>-0.59</v>
      </c>
      <c r="D4" s="6">
        <v>3.58</v>
      </c>
      <c r="E4" s="6">
        <v>-30.31</v>
      </c>
      <c r="F4" s="6">
        <v>1.49</v>
      </c>
      <c r="G4" s="6">
        <v>-3.2</v>
      </c>
      <c r="H4" s="20">
        <v>1.43</v>
      </c>
      <c r="I4" s="96"/>
      <c r="J4" s="6">
        <v>-0.59</v>
      </c>
      <c r="K4" s="6">
        <v>-30.31</v>
      </c>
      <c r="L4" s="103">
        <v>-3.2</v>
      </c>
      <c r="M4" s="25"/>
      <c r="N4" s="6">
        <v>-5.3070000000000004</v>
      </c>
      <c r="O4" s="6">
        <v>-3.9832000000000001</v>
      </c>
      <c r="P4" s="103">
        <v>29.7044</v>
      </c>
      <c r="Q4" s="25"/>
      <c r="R4" s="120" t="s">
        <v>335</v>
      </c>
      <c r="S4" s="120" t="s">
        <v>336</v>
      </c>
      <c r="T4" s="121" t="s">
        <v>337</v>
      </c>
      <c r="U4" s="25"/>
    </row>
    <row r="5" spans="1:25" s="6" customFormat="1" x14ac:dyDescent="0.25">
      <c r="A5" s="89" t="s">
        <v>333</v>
      </c>
      <c r="B5" s="89" t="s">
        <v>7</v>
      </c>
      <c r="H5" s="112"/>
      <c r="I5" s="113"/>
      <c r="L5" s="114"/>
      <c r="M5" s="112"/>
      <c r="P5" s="114"/>
      <c r="Q5" s="112"/>
      <c r="R5" s="6">
        <v>-5.7510000000000003</v>
      </c>
      <c r="S5" s="6">
        <v>-1.679</v>
      </c>
      <c r="T5" s="114">
        <v>31.535</v>
      </c>
      <c r="U5" s="112"/>
    </row>
    <row r="6" spans="1:25" s="87" customFormat="1" x14ac:dyDescent="0.25">
      <c r="A6" s="87" t="s">
        <v>23</v>
      </c>
      <c r="B6" s="87" t="s">
        <v>1</v>
      </c>
      <c r="C6" s="87">
        <v>-0.06</v>
      </c>
      <c r="D6" s="87">
        <v>0.24</v>
      </c>
      <c r="E6" s="87">
        <v>-30.6</v>
      </c>
      <c r="F6" s="87">
        <v>2.1800000000000002</v>
      </c>
      <c r="G6" s="87">
        <v>1.56</v>
      </c>
      <c r="H6" s="87">
        <v>1.47</v>
      </c>
      <c r="I6" s="97"/>
      <c r="J6" s="87">
        <v>-0.06</v>
      </c>
      <c r="K6" s="87">
        <v>-30.6</v>
      </c>
      <c r="L6" s="92">
        <v>1.56</v>
      </c>
      <c r="M6" s="91"/>
      <c r="N6" s="87">
        <v>-10.0204</v>
      </c>
      <c r="O6" s="87">
        <v>-3.911</v>
      </c>
      <c r="P6" s="92">
        <v>28.8095</v>
      </c>
      <c r="Q6" s="91"/>
      <c r="R6" s="122" t="s">
        <v>335</v>
      </c>
      <c r="S6" s="122" t="s">
        <v>336</v>
      </c>
      <c r="T6" s="123" t="s">
        <v>337</v>
      </c>
    </row>
    <row r="7" spans="1:25" s="87" customFormat="1" x14ac:dyDescent="0.25">
      <c r="A7" s="87" t="s">
        <v>24</v>
      </c>
      <c r="B7" s="87" t="s">
        <v>1</v>
      </c>
      <c r="C7" s="87">
        <v>-2.66</v>
      </c>
      <c r="D7" s="87">
        <v>0.42</v>
      </c>
      <c r="E7" s="87">
        <v>-26.57</v>
      </c>
      <c r="F7" s="87">
        <v>1.53</v>
      </c>
      <c r="G7" s="87">
        <v>-2.0299999999999998</v>
      </c>
      <c r="H7" s="87">
        <v>0.53</v>
      </c>
      <c r="I7" s="97"/>
      <c r="J7" s="87">
        <v>-2.66</v>
      </c>
      <c r="K7" s="87">
        <v>-26.57</v>
      </c>
      <c r="L7" s="92">
        <v>-2.0299999999999998</v>
      </c>
      <c r="M7" s="91"/>
      <c r="N7" s="87">
        <v>-5.2742000000000004</v>
      </c>
      <c r="O7" s="87">
        <v>-5.6782000000000004</v>
      </c>
      <c r="P7" s="92">
        <v>25.6096</v>
      </c>
      <c r="Q7" s="91"/>
      <c r="R7" s="87">
        <v>-8.5990000000000002</v>
      </c>
      <c r="S7" s="87">
        <v>-4.649</v>
      </c>
      <c r="T7" s="92">
        <v>28.716000000000001</v>
      </c>
    </row>
    <row r="8" spans="1:25" s="87" customFormat="1" x14ac:dyDescent="0.25">
      <c r="A8" s="87" t="s">
        <v>342</v>
      </c>
      <c r="B8" s="87" t="s">
        <v>12</v>
      </c>
      <c r="I8" s="97"/>
      <c r="L8" s="92"/>
      <c r="M8" s="91"/>
      <c r="P8" s="92"/>
      <c r="Q8" s="91"/>
      <c r="R8" s="87">
        <v>-12.6</v>
      </c>
      <c r="S8" s="87">
        <v>-4.181</v>
      </c>
      <c r="T8" s="92">
        <v>31.579000000000001</v>
      </c>
    </row>
    <row r="9" spans="1:25" s="88" customFormat="1" x14ac:dyDescent="0.25">
      <c r="A9" s="88" t="s">
        <v>41</v>
      </c>
      <c r="B9" s="88" t="s">
        <v>1</v>
      </c>
      <c r="C9" s="88">
        <v>-3.23</v>
      </c>
      <c r="D9" s="88">
        <v>0.63</v>
      </c>
      <c r="E9" s="88">
        <v>0.13</v>
      </c>
      <c r="F9" s="88">
        <v>0</v>
      </c>
      <c r="G9" s="88">
        <v>2.11</v>
      </c>
      <c r="H9" s="88">
        <v>1.53</v>
      </c>
      <c r="I9" s="98"/>
      <c r="J9" s="88">
        <v>-3.23</v>
      </c>
      <c r="K9" s="88">
        <v>0.13</v>
      </c>
      <c r="L9" s="104">
        <v>2.11</v>
      </c>
      <c r="M9" s="93"/>
      <c r="N9" s="88">
        <v>-2.6259000000000001</v>
      </c>
      <c r="O9" s="88">
        <v>-3.3624999999999998</v>
      </c>
      <c r="P9" s="104">
        <v>-1.1855</v>
      </c>
      <c r="Q9" s="93"/>
      <c r="R9" s="88">
        <v>-2.7639999999999998</v>
      </c>
      <c r="S9" s="88">
        <v>-2.573</v>
      </c>
      <c r="T9" s="104">
        <v>-0.624</v>
      </c>
    </row>
    <row r="10" spans="1:25" s="88" customFormat="1" x14ac:dyDescent="0.25">
      <c r="A10" s="88" t="s">
        <v>40</v>
      </c>
      <c r="B10" s="88" t="s">
        <v>1</v>
      </c>
      <c r="C10" s="88">
        <v>-1.1599999999999999</v>
      </c>
      <c r="D10" s="88">
        <v>1.73</v>
      </c>
      <c r="E10" s="88">
        <v>1.83</v>
      </c>
      <c r="F10" s="88">
        <v>0.19</v>
      </c>
      <c r="G10" s="88">
        <v>2.44</v>
      </c>
      <c r="H10" s="88">
        <v>0.64</v>
      </c>
      <c r="I10" s="98"/>
      <c r="J10" s="88">
        <v>-1.1599999999999999</v>
      </c>
      <c r="K10" s="88">
        <v>1.83</v>
      </c>
      <c r="L10" s="104">
        <v>2.44</v>
      </c>
      <c r="M10" s="93"/>
      <c r="N10" s="88">
        <v>-2.7643</v>
      </c>
      <c r="O10" s="88">
        <v>-1.1384000000000001</v>
      </c>
      <c r="P10" s="104">
        <v>-2.7079</v>
      </c>
      <c r="Q10" s="93"/>
      <c r="R10" s="88">
        <v>-3.278</v>
      </c>
      <c r="S10" s="88">
        <v>-1.1379999999999999</v>
      </c>
      <c r="T10" s="104">
        <v>-1.3240000000000001</v>
      </c>
    </row>
    <row r="11" spans="1:25" s="6" customFormat="1" x14ac:dyDescent="0.25">
      <c r="A11" s="6" t="s">
        <v>29</v>
      </c>
      <c r="B11" s="6" t="s">
        <v>1</v>
      </c>
      <c r="C11" s="6">
        <v>-1.49</v>
      </c>
      <c r="D11" s="6">
        <v>0.71</v>
      </c>
      <c r="E11" s="6">
        <v>-9.6199999999999992</v>
      </c>
      <c r="F11" s="6">
        <v>2.25</v>
      </c>
      <c r="G11" s="6">
        <v>6.39</v>
      </c>
      <c r="H11" s="20">
        <v>1.47</v>
      </c>
      <c r="I11" s="96"/>
      <c r="J11" s="6">
        <v>-1.49</v>
      </c>
      <c r="K11" s="6">
        <v>-9.6199999999999992</v>
      </c>
      <c r="L11" s="103">
        <v>6.39</v>
      </c>
      <c r="M11" s="25"/>
      <c r="N11" s="6">
        <v>-9.3437000000000001</v>
      </c>
      <c r="O11" s="6">
        <v>-3.2006000000000001</v>
      </c>
      <c r="P11" s="103">
        <v>7.2556000000000003</v>
      </c>
      <c r="Q11" s="25"/>
      <c r="R11" s="6">
        <v>-9.484</v>
      </c>
      <c r="S11" s="6">
        <v>-3.2010000000000001</v>
      </c>
      <c r="T11" s="103">
        <v>3.9769999999999999</v>
      </c>
      <c r="U11" s="25"/>
    </row>
    <row r="12" spans="1:25" s="6" customFormat="1" x14ac:dyDescent="0.25">
      <c r="A12" s="6" t="s">
        <v>30</v>
      </c>
      <c r="B12" s="6" t="s">
        <v>1</v>
      </c>
      <c r="C12" s="6">
        <v>-2.72</v>
      </c>
      <c r="D12" s="6">
        <v>0.65</v>
      </c>
      <c r="E12" s="6">
        <v>-3.25</v>
      </c>
      <c r="F12" s="6">
        <v>2.78</v>
      </c>
      <c r="G12" s="6">
        <v>6.43</v>
      </c>
      <c r="H12" s="20">
        <v>1.61</v>
      </c>
      <c r="I12" s="96"/>
      <c r="J12" s="6">
        <v>-2.72</v>
      </c>
      <c r="K12" s="6">
        <v>-3.25</v>
      </c>
      <c r="L12" s="103">
        <v>6.43</v>
      </c>
      <c r="M12" s="25"/>
      <c r="N12" s="6">
        <v>-7.6736000000000004</v>
      </c>
      <c r="O12" s="6">
        <v>-3.6467999999999998</v>
      </c>
      <c r="P12" s="103">
        <v>1.0024</v>
      </c>
      <c r="Q12" s="25"/>
      <c r="R12" s="6">
        <v>-7</v>
      </c>
      <c r="S12" s="6">
        <v>0.93100000000000005</v>
      </c>
      <c r="T12" s="103">
        <v>-2.8719999999999999</v>
      </c>
      <c r="U12" s="25"/>
    </row>
    <row r="13" spans="1:25" s="6" customFormat="1" x14ac:dyDescent="0.25">
      <c r="A13" s="6" t="s">
        <v>31</v>
      </c>
      <c r="B13" s="6" t="s">
        <v>1</v>
      </c>
      <c r="C13" s="6">
        <v>-0.44</v>
      </c>
      <c r="D13" s="6">
        <v>1.44</v>
      </c>
      <c r="E13" s="6">
        <v>0.11</v>
      </c>
      <c r="F13" s="6">
        <v>0.19</v>
      </c>
      <c r="G13" s="6">
        <v>4.82</v>
      </c>
      <c r="H13" s="20">
        <v>0.34</v>
      </c>
      <c r="I13" s="96"/>
      <c r="J13" s="6">
        <v>-0.44</v>
      </c>
      <c r="K13" s="6">
        <v>0.11</v>
      </c>
      <c r="L13" s="103">
        <v>4.82</v>
      </c>
      <c r="M13" s="25"/>
      <c r="N13" s="6">
        <v>-5.5609000000000002</v>
      </c>
      <c r="O13" s="6">
        <v>-0.84360000000000002</v>
      </c>
      <c r="P13" s="103">
        <v>-1.5973999999999999</v>
      </c>
      <c r="Q13" s="25"/>
      <c r="R13" s="6">
        <v>-6.5949999999999998</v>
      </c>
      <c r="S13" s="6">
        <v>0.97899999999999998</v>
      </c>
      <c r="T13" s="103">
        <v>-1.597</v>
      </c>
      <c r="U13" s="25"/>
    </row>
    <row r="14" spans="1:25" s="6" customFormat="1" x14ac:dyDescent="0.25">
      <c r="A14" s="6" t="s">
        <v>37</v>
      </c>
      <c r="B14" s="6" t="s">
        <v>1</v>
      </c>
      <c r="C14" s="6">
        <v>-2.11</v>
      </c>
      <c r="D14" s="6">
        <v>0.85</v>
      </c>
      <c r="E14" s="6">
        <v>-5.03</v>
      </c>
      <c r="F14" s="6">
        <v>1.34</v>
      </c>
      <c r="G14" s="6">
        <v>0.14000000000000001</v>
      </c>
      <c r="H14" s="20">
        <v>0.42</v>
      </c>
      <c r="I14" s="96"/>
      <c r="J14" s="6">
        <v>-2.11</v>
      </c>
      <c r="K14" s="6">
        <v>-5.03</v>
      </c>
      <c r="L14" s="103">
        <v>0.14000000000000001</v>
      </c>
      <c r="M14" s="25"/>
      <c r="N14" s="6">
        <v>-2.1282999999999999</v>
      </c>
      <c r="O14" s="6">
        <v>-2.7092000000000001</v>
      </c>
      <c r="P14" s="103">
        <v>4.3899999999999997</v>
      </c>
      <c r="Q14" s="25"/>
      <c r="R14" s="6">
        <v>-2.028</v>
      </c>
      <c r="S14" s="6">
        <v>-4.4249999999999998</v>
      </c>
      <c r="T14" s="103">
        <v>3.5</v>
      </c>
      <c r="U14" s="25"/>
    </row>
    <row r="15" spans="1:25" s="1" customFormat="1" x14ac:dyDescent="0.25">
      <c r="A15" s="1" t="s">
        <v>22</v>
      </c>
      <c r="B15" s="1" t="s">
        <v>12</v>
      </c>
      <c r="C15" s="1">
        <v>-3.11</v>
      </c>
      <c r="D15" s="1">
        <v>0.09</v>
      </c>
      <c r="E15" s="1">
        <v>-28.71</v>
      </c>
      <c r="F15" s="1">
        <v>0.9</v>
      </c>
      <c r="G15" s="1">
        <v>1.63</v>
      </c>
      <c r="H15" s="1">
        <v>1.68</v>
      </c>
      <c r="I15" s="95"/>
      <c r="J15" s="1">
        <v>-3.11</v>
      </c>
      <c r="K15" s="1">
        <v>-28.71</v>
      </c>
      <c r="L15" s="102">
        <v>1.63</v>
      </c>
      <c r="M15" s="90"/>
      <c r="N15" s="1">
        <v>-9.2710000000000008</v>
      </c>
      <c r="O15" s="1">
        <v>-6.7032999999999996</v>
      </c>
      <c r="P15" s="102">
        <v>26.683299999999999</v>
      </c>
      <c r="Q15" s="90"/>
      <c r="R15" s="1">
        <v>-12.6</v>
      </c>
      <c r="S15" s="1">
        <v>-3.181</v>
      </c>
      <c r="T15" s="102">
        <v>29.6</v>
      </c>
      <c r="U15" s="1" t="s">
        <v>317</v>
      </c>
      <c r="W15" s="1" t="s">
        <v>320</v>
      </c>
    </row>
    <row r="16" spans="1:25" s="1" customFormat="1" x14ac:dyDescent="0.25">
      <c r="A16" s="1" t="s">
        <v>21</v>
      </c>
      <c r="B16" s="1" t="s">
        <v>12</v>
      </c>
      <c r="C16" s="1">
        <v>-2.73</v>
      </c>
      <c r="D16" s="1">
        <v>0.8</v>
      </c>
      <c r="E16" s="1">
        <v>-28.11</v>
      </c>
      <c r="F16" s="1">
        <v>0.41</v>
      </c>
      <c r="G16" s="1">
        <v>-2.1800000000000002</v>
      </c>
      <c r="H16" s="1">
        <v>1.43</v>
      </c>
      <c r="I16" s="95"/>
      <c r="J16" s="1">
        <v>-2.73</v>
      </c>
      <c r="K16" s="1">
        <v>-28.11</v>
      </c>
      <c r="L16" s="102">
        <v>-2.1800000000000002</v>
      </c>
      <c r="M16" s="90"/>
      <c r="N16" s="1">
        <v>-5.5004999999999997</v>
      </c>
      <c r="O16" s="1">
        <v>-5.9211999999999998</v>
      </c>
      <c r="P16" s="102">
        <v>27.122399999999999</v>
      </c>
      <c r="Q16" s="90"/>
      <c r="R16" s="1">
        <v>-5.7930000000000001</v>
      </c>
      <c r="S16" s="1">
        <v>-2.734</v>
      </c>
      <c r="T16" s="102">
        <v>30.047000000000001</v>
      </c>
      <c r="U16" s="1" t="s">
        <v>317</v>
      </c>
      <c r="W16" s="1" t="s">
        <v>320</v>
      </c>
    </row>
    <row r="17" spans="1:25" s="1" customFormat="1" x14ac:dyDescent="0.25">
      <c r="A17" s="1" t="s">
        <v>38</v>
      </c>
      <c r="B17" s="1" t="s">
        <v>1</v>
      </c>
      <c r="C17" s="1">
        <v>-2.46</v>
      </c>
      <c r="D17" s="1">
        <v>0.7</v>
      </c>
      <c r="E17" s="1">
        <v>-0.41</v>
      </c>
      <c r="F17" s="1">
        <v>0.28999999999999998</v>
      </c>
      <c r="G17" s="1">
        <v>2.0699999999999998</v>
      </c>
      <c r="H17" s="1">
        <v>0.26</v>
      </c>
      <c r="I17" s="95"/>
      <c r="J17" s="1">
        <v>-2.46</v>
      </c>
      <c r="K17" s="1">
        <v>-0.41</v>
      </c>
      <c r="L17" s="102">
        <v>2.0699999999999998</v>
      </c>
      <c r="M17" s="90"/>
      <c r="N17" s="1">
        <v>-2.8090999999999999</v>
      </c>
      <c r="O17" s="1">
        <v>-2.6633</v>
      </c>
      <c r="P17" s="102">
        <v>-0.58260000000000001</v>
      </c>
      <c r="Q17" s="90"/>
      <c r="R17" s="1">
        <v>-2.8090000000000002</v>
      </c>
      <c r="S17" s="1">
        <v>-2.8</v>
      </c>
      <c r="T17" s="102">
        <v>0.60499999999999998</v>
      </c>
    </row>
    <row r="18" spans="1:25" s="88" customFormat="1" x14ac:dyDescent="0.25">
      <c r="A18" s="88" t="s">
        <v>39</v>
      </c>
      <c r="B18" s="88" t="s">
        <v>1</v>
      </c>
      <c r="C18" s="88">
        <v>-1.99</v>
      </c>
      <c r="D18" s="88">
        <v>0.74</v>
      </c>
      <c r="E18" s="88">
        <v>1.1200000000000001</v>
      </c>
      <c r="F18" s="88">
        <v>0.6</v>
      </c>
      <c r="G18" s="88">
        <v>2.36</v>
      </c>
      <c r="H18" s="88">
        <v>0.93</v>
      </c>
      <c r="I18" s="98"/>
      <c r="J18" s="88">
        <v>-1.99</v>
      </c>
      <c r="K18" s="88">
        <v>1.1200000000000001</v>
      </c>
      <c r="L18" s="104">
        <v>2.36</v>
      </c>
      <c r="M18" s="93"/>
      <c r="N18" s="88">
        <v>-2.7660999999999998</v>
      </c>
      <c r="O18" s="88">
        <v>-2.0381999999999998</v>
      </c>
      <c r="P18" s="104">
        <v>-2.0836999999999999</v>
      </c>
      <c r="Q18" s="93"/>
      <c r="R18" s="88">
        <v>-2.766</v>
      </c>
      <c r="S18" s="88">
        <v>-2.0379999999999998</v>
      </c>
      <c r="T18" s="104">
        <v>-1.222</v>
      </c>
    </row>
    <row r="19" spans="1:25" s="1" customFormat="1" x14ac:dyDescent="0.25">
      <c r="A19" s="1" t="s">
        <v>36</v>
      </c>
      <c r="B19" s="1" t="s">
        <v>1</v>
      </c>
      <c r="C19" s="1">
        <v>-1.95</v>
      </c>
      <c r="D19" s="1">
        <v>1.82</v>
      </c>
      <c r="E19" s="1">
        <v>-10.65</v>
      </c>
      <c r="F19" s="1">
        <v>0.28999999999999998</v>
      </c>
      <c r="G19" s="1">
        <v>1.95</v>
      </c>
      <c r="H19" s="1">
        <v>0.41</v>
      </c>
      <c r="I19" s="95"/>
      <c r="J19" s="1">
        <v>-1.95</v>
      </c>
      <c r="K19" s="1">
        <v>-10.65</v>
      </c>
      <c r="L19" s="102">
        <v>1.95</v>
      </c>
      <c r="M19" s="90"/>
      <c r="N19" s="1">
        <v>-5.2709999999999999</v>
      </c>
      <c r="O19" s="1">
        <v>-3.3917999999999999</v>
      </c>
      <c r="P19" s="102">
        <v>9.3442000000000007</v>
      </c>
      <c r="Q19" s="90"/>
      <c r="R19" s="1">
        <v>-7.5</v>
      </c>
      <c r="S19" s="1">
        <v>-4</v>
      </c>
      <c r="T19" s="102">
        <v>9.3439999999999994</v>
      </c>
    </row>
    <row r="20" spans="1:25" s="1" customFormat="1" x14ac:dyDescent="0.25">
      <c r="A20" s="1" t="s">
        <v>32</v>
      </c>
      <c r="B20" s="1" t="s">
        <v>1</v>
      </c>
      <c r="C20" s="1">
        <v>-1.46</v>
      </c>
      <c r="D20" s="1">
        <v>1.69</v>
      </c>
      <c r="E20" s="1">
        <v>1.36</v>
      </c>
      <c r="F20" s="1">
        <v>0.46</v>
      </c>
      <c r="G20" s="1">
        <v>4.0199999999999996</v>
      </c>
      <c r="H20" s="1">
        <v>0.19</v>
      </c>
      <c r="I20" s="95"/>
      <c r="J20" s="1">
        <v>-1.46</v>
      </c>
      <c r="K20" s="1">
        <v>1.36</v>
      </c>
      <c r="L20" s="102">
        <v>4.0199999999999996</v>
      </c>
      <c r="M20" s="90"/>
      <c r="N20" s="1">
        <v>-4.3658000000000001</v>
      </c>
      <c r="O20" s="1">
        <v>-1.6304000000000001</v>
      </c>
      <c r="P20" s="102">
        <v>-2.6909000000000001</v>
      </c>
      <c r="Q20" s="90"/>
      <c r="R20" s="1">
        <v>-6.4779999999999998</v>
      </c>
      <c r="S20" s="1">
        <v>0</v>
      </c>
      <c r="T20" s="102">
        <v>-3.6</v>
      </c>
    </row>
    <row r="21" spans="1:25" s="1" customFormat="1" x14ac:dyDescent="0.25">
      <c r="A21" s="1" t="s">
        <v>20</v>
      </c>
      <c r="B21" s="1" t="s">
        <v>12</v>
      </c>
      <c r="C21" s="1">
        <v>-2.36</v>
      </c>
      <c r="D21" s="1">
        <v>1.1499999999999999</v>
      </c>
      <c r="E21" s="1">
        <v>-27.83</v>
      </c>
      <c r="F21" s="1">
        <v>0.23</v>
      </c>
      <c r="G21" s="1">
        <v>1.23</v>
      </c>
      <c r="H21" s="1">
        <v>1.74</v>
      </c>
      <c r="I21" s="95"/>
      <c r="J21" s="1">
        <v>-2.36</v>
      </c>
      <c r="K21" s="1">
        <v>-27.83</v>
      </c>
      <c r="L21" s="102">
        <v>1.23</v>
      </c>
      <c r="M21" s="90"/>
      <c r="N21" s="1">
        <v>-8.7561</v>
      </c>
      <c r="O21" s="1">
        <v>-5.8198999999999996</v>
      </c>
      <c r="P21" s="102">
        <v>26.011399999999998</v>
      </c>
      <c r="Q21" s="90"/>
      <c r="R21" s="1">
        <v>-12</v>
      </c>
      <c r="S21" s="1">
        <v>-3.9940000000000002</v>
      </c>
      <c r="T21" s="102">
        <v>28.916</v>
      </c>
      <c r="U21" s="1" t="s">
        <v>317</v>
      </c>
      <c r="W21" s="1" t="s">
        <v>320</v>
      </c>
    </row>
    <row r="22" spans="1:25" s="88" customFormat="1" x14ac:dyDescent="0.25">
      <c r="A22" s="88" t="s">
        <v>19</v>
      </c>
      <c r="B22" s="88" t="s">
        <v>12</v>
      </c>
      <c r="C22" s="88">
        <v>-2.4300000000000002</v>
      </c>
      <c r="D22" s="88">
        <v>1.1399999999999999</v>
      </c>
      <c r="E22" s="88">
        <v>-30.88</v>
      </c>
      <c r="F22" s="88">
        <v>1.04</v>
      </c>
      <c r="G22" s="88">
        <v>1.6</v>
      </c>
      <c r="H22" s="88">
        <v>3.14</v>
      </c>
      <c r="I22" s="98"/>
      <c r="J22" s="88">
        <v>-2.4300000000000002</v>
      </c>
      <c r="K22" s="88">
        <v>-30.88</v>
      </c>
      <c r="L22" s="104">
        <v>1.6</v>
      </c>
      <c r="M22" s="93"/>
      <c r="N22" s="88">
        <v>-9.8543000000000003</v>
      </c>
      <c r="O22" s="88">
        <v>-6.2918000000000003</v>
      </c>
      <c r="P22" s="104">
        <v>28.842600000000001</v>
      </c>
      <c r="Q22" s="93"/>
      <c r="R22" s="88">
        <v>-13</v>
      </c>
      <c r="S22" s="88">
        <v>-3.331</v>
      </c>
      <c r="T22" s="104">
        <v>30.765999999999998</v>
      </c>
      <c r="U22" s="88" t="s">
        <v>316</v>
      </c>
      <c r="W22" s="88" t="s">
        <v>318</v>
      </c>
      <c r="Y22" s="88" t="s">
        <v>319</v>
      </c>
    </row>
    <row r="23" spans="1:25" s="1" customFormat="1" x14ac:dyDescent="0.25">
      <c r="A23" s="1" t="s">
        <v>27</v>
      </c>
      <c r="B23" s="1" t="s">
        <v>1</v>
      </c>
      <c r="C23" s="1">
        <v>-3.01</v>
      </c>
      <c r="D23" s="1">
        <v>0.68</v>
      </c>
      <c r="E23" s="1">
        <v>-4.01</v>
      </c>
      <c r="F23" s="1">
        <v>1.32</v>
      </c>
      <c r="G23" s="1">
        <v>1.17</v>
      </c>
      <c r="H23" s="1">
        <v>1.56</v>
      </c>
      <c r="I23" s="95"/>
      <c r="J23" s="1">
        <v>-3.01</v>
      </c>
      <c r="K23" s="1">
        <v>-4.01</v>
      </c>
      <c r="L23" s="102">
        <v>1.17</v>
      </c>
      <c r="M23" s="90"/>
      <c r="N23" s="1">
        <v>-2.7648999999999999</v>
      </c>
      <c r="O23" s="1">
        <v>-3.5653999999999999</v>
      </c>
      <c r="P23" s="102">
        <v>3.0583999999999998</v>
      </c>
      <c r="Q23" s="90"/>
      <c r="R23" s="1">
        <v>-5.5229999999999997</v>
      </c>
      <c r="S23" s="1">
        <v>-5</v>
      </c>
      <c r="T23" s="102">
        <v>1.5</v>
      </c>
    </row>
    <row r="24" spans="1:25" s="6" customFormat="1" x14ac:dyDescent="0.25">
      <c r="A24" s="6" t="s">
        <v>28</v>
      </c>
      <c r="B24" s="6" t="s">
        <v>1</v>
      </c>
      <c r="C24" s="6">
        <v>5.96</v>
      </c>
      <c r="D24" s="6">
        <v>4.1500000000000004</v>
      </c>
      <c r="E24" s="6">
        <v>-17.68</v>
      </c>
      <c r="F24" s="6">
        <v>7.37</v>
      </c>
      <c r="G24" s="6">
        <v>3.22</v>
      </c>
      <c r="H24" s="20">
        <v>0.79</v>
      </c>
      <c r="I24" s="99"/>
      <c r="J24" s="6">
        <v>5.96</v>
      </c>
      <c r="K24" s="6">
        <v>-17.68</v>
      </c>
      <c r="L24" s="103">
        <v>3.22</v>
      </c>
      <c r="M24" s="25"/>
      <c r="N24" s="6">
        <v>-9.1350999999999996</v>
      </c>
      <c r="O24" s="6">
        <v>3.4643999999999999</v>
      </c>
      <c r="P24" s="103">
        <v>16.5319</v>
      </c>
      <c r="Q24" s="105"/>
      <c r="R24" s="106"/>
      <c r="S24" s="106"/>
      <c r="T24" s="107"/>
      <c r="U24" s="25"/>
    </row>
    <row r="25" spans="1:25" s="87" customFormat="1" x14ac:dyDescent="0.25">
      <c r="A25" s="87" t="s">
        <v>9</v>
      </c>
      <c r="B25" s="87" t="s">
        <v>12</v>
      </c>
      <c r="C25" s="87">
        <v>0.82</v>
      </c>
      <c r="D25" s="87">
        <v>0.8</v>
      </c>
      <c r="E25" s="87">
        <v>-11.21</v>
      </c>
      <c r="F25" s="87">
        <v>8.8000000000000007</v>
      </c>
      <c r="G25" s="87">
        <v>3.24</v>
      </c>
      <c r="H25" s="87">
        <v>0.93</v>
      </c>
      <c r="I25" s="100"/>
      <c r="J25" s="87">
        <v>0.82</v>
      </c>
      <c r="K25" s="87">
        <v>-11.21</v>
      </c>
      <c r="L25" s="92">
        <v>3.24</v>
      </c>
      <c r="M25" s="91"/>
      <c r="N25" s="87">
        <v>-6.9699</v>
      </c>
      <c r="O25" s="87">
        <v>-0.83389999999999997</v>
      </c>
      <c r="P25" s="91">
        <v>9.8148999999999997</v>
      </c>
      <c r="Q25" s="110"/>
      <c r="R25" s="109">
        <v>-6.97</v>
      </c>
      <c r="S25" s="109">
        <v>-0.184</v>
      </c>
      <c r="T25" s="108">
        <v>8.8849999999999998</v>
      </c>
      <c r="U25" s="87" t="s">
        <v>289</v>
      </c>
      <c r="W25" s="87" t="s">
        <v>309</v>
      </c>
    </row>
    <row r="26" spans="1:25" s="87" customFormat="1" ht="14.25" customHeight="1" x14ac:dyDescent="0.25">
      <c r="A26" s="87" t="s">
        <v>8</v>
      </c>
      <c r="B26" s="87" t="s">
        <v>12</v>
      </c>
      <c r="C26" s="87">
        <v>-1.18</v>
      </c>
      <c r="D26" s="87">
        <v>1.77</v>
      </c>
      <c r="E26" s="87">
        <v>-2.89</v>
      </c>
      <c r="F26" s="87">
        <v>2.5499999999999998</v>
      </c>
      <c r="G26" s="87">
        <v>5.75</v>
      </c>
      <c r="H26" s="87">
        <v>0.67</v>
      </c>
      <c r="I26" s="97"/>
      <c r="J26" s="87">
        <v>-1.18</v>
      </c>
      <c r="K26" s="87">
        <v>-2.89</v>
      </c>
      <c r="L26" s="92">
        <v>5.75</v>
      </c>
      <c r="M26" s="91"/>
      <c r="N26" s="87">
        <v>-7.1082999999999998</v>
      </c>
      <c r="O26" s="87">
        <v>-2.0209999999999999</v>
      </c>
      <c r="P26" s="91">
        <v>0.97789999999999999</v>
      </c>
      <c r="Q26" s="110"/>
      <c r="R26" s="109">
        <v>-8.8780000000000001</v>
      </c>
      <c r="S26" s="109">
        <v>-2.0209999999999999</v>
      </c>
      <c r="T26" s="108">
        <v>1.6479999999999999</v>
      </c>
      <c r="U26" s="87" t="s">
        <v>289</v>
      </c>
      <c r="W26" s="87" t="s">
        <v>309</v>
      </c>
    </row>
    <row r="27" spans="1:25" s="87" customFormat="1" x14ac:dyDescent="0.25">
      <c r="A27" s="87" t="s">
        <v>10</v>
      </c>
      <c r="B27" s="87" t="s">
        <v>12</v>
      </c>
      <c r="C27" s="87">
        <v>-0.24</v>
      </c>
      <c r="D27" s="87">
        <v>0.7</v>
      </c>
      <c r="E27" s="87">
        <v>-6.82</v>
      </c>
      <c r="F27" s="87">
        <v>3.31</v>
      </c>
      <c r="G27" s="87">
        <v>1.18</v>
      </c>
      <c r="H27" s="87">
        <v>1.36</v>
      </c>
      <c r="I27" s="97"/>
      <c r="J27" s="87">
        <v>-0.24</v>
      </c>
      <c r="K27" s="87">
        <v>-6.82</v>
      </c>
      <c r="L27" s="92">
        <v>1.18</v>
      </c>
      <c r="M27" s="91"/>
      <c r="N27" s="87">
        <v>-3.7852999999999999</v>
      </c>
      <c r="O27" s="87">
        <v>-1.1686000000000001</v>
      </c>
      <c r="P27" s="91">
        <v>6.0221</v>
      </c>
      <c r="Q27" s="110"/>
      <c r="R27" s="109">
        <v>-4</v>
      </c>
      <c r="S27" s="109">
        <v>-1.169</v>
      </c>
      <c r="T27" s="108">
        <v>4.6619999999999999</v>
      </c>
      <c r="U27" s="87" t="s">
        <v>289</v>
      </c>
      <c r="W27" s="87" t="s">
        <v>309</v>
      </c>
    </row>
    <row r="29" spans="1:25" x14ac:dyDescent="0.25">
      <c r="N29">
        <f>N15</f>
        <v>-9.2710000000000008</v>
      </c>
      <c r="O29" s="5">
        <f>O15</f>
        <v>-6.7032999999999996</v>
      </c>
      <c r="P29" s="5">
        <f>P15</f>
        <v>26.683299999999999</v>
      </c>
    </row>
    <row r="30" spans="1:25" x14ac:dyDescent="0.25">
      <c r="N30">
        <f>D15</f>
        <v>0.09</v>
      </c>
      <c r="O30">
        <f>F15</f>
        <v>0.9</v>
      </c>
      <c r="P30" s="26">
        <f>H15</f>
        <v>1.68</v>
      </c>
    </row>
    <row r="31" spans="1:25" x14ac:dyDescent="0.25">
      <c r="N31">
        <f>N29+N30</f>
        <v>-9.1810000000000009</v>
      </c>
      <c r="O31" s="5">
        <f>O29+O30</f>
        <v>-5.8032999999999992</v>
      </c>
      <c r="P31" s="5">
        <f>P29+P30</f>
        <v>28.363299999999999</v>
      </c>
    </row>
    <row r="32" spans="1:25" x14ac:dyDescent="0.25">
      <c r="N32">
        <f>N29-N30</f>
        <v>-9.3610000000000007</v>
      </c>
      <c r="O32" s="5">
        <f>O29-O30</f>
        <v>-7.6032999999999999</v>
      </c>
      <c r="P32" s="26">
        <f>P29-P30</f>
        <v>25.003299999999999</v>
      </c>
    </row>
  </sheetData>
  <sortState ref="A1:P24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workbookViewId="0">
      <selection activeCell="A19" sqref="A19"/>
    </sheetView>
  </sheetViews>
  <sheetFormatPr defaultColWidth="8.85546875" defaultRowHeight="15" x14ac:dyDescent="0.25"/>
  <cols>
    <col min="1" max="1" width="28.140625" customWidth="1"/>
    <col min="3" max="3" width="8.85546875" style="1"/>
    <col min="5" max="5" width="8.85546875" style="1"/>
    <col min="7" max="7" width="8.85546875" style="1"/>
    <col min="8" max="8" width="8.85546875" style="26"/>
    <col min="12" max="12" width="8.85546875" style="26"/>
    <col min="13" max="13" width="19.140625" customWidth="1"/>
    <col min="16" max="16" width="8.85546875" style="26"/>
    <col min="17" max="17" width="11.5703125" style="5" customWidth="1"/>
    <col min="18" max="19" width="8.85546875" style="5"/>
    <col min="20" max="20" width="8.85546875" style="26"/>
  </cols>
  <sheetData>
    <row r="1" spans="1:26" s="4" customFormat="1" x14ac:dyDescent="0.25">
      <c r="A1" s="4" t="s">
        <v>43</v>
      </c>
      <c r="B1" s="4" t="s">
        <v>191</v>
      </c>
      <c r="C1" s="4" t="s">
        <v>192</v>
      </c>
      <c r="D1" s="27" t="s">
        <v>193</v>
      </c>
      <c r="E1" s="4" t="s">
        <v>194</v>
      </c>
      <c r="F1" s="27" t="s">
        <v>193</v>
      </c>
      <c r="G1" s="4" t="s">
        <v>195</v>
      </c>
      <c r="H1" s="111" t="s">
        <v>193</v>
      </c>
      <c r="J1" s="4" t="s">
        <v>192</v>
      </c>
      <c r="K1" s="4" t="s">
        <v>194</v>
      </c>
      <c r="L1" s="101" t="s">
        <v>195</v>
      </c>
      <c r="M1" s="4" t="s">
        <v>282</v>
      </c>
      <c r="N1" s="4" t="s">
        <v>196</v>
      </c>
      <c r="O1" s="4" t="s">
        <v>197</v>
      </c>
      <c r="P1" s="101" t="s">
        <v>198</v>
      </c>
      <c r="Q1" s="4" t="s">
        <v>325</v>
      </c>
      <c r="R1" s="4" t="s">
        <v>196</v>
      </c>
      <c r="S1" s="4" t="s">
        <v>197</v>
      </c>
      <c r="T1" s="101" t="s">
        <v>198</v>
      </c>
      <c r="U1" s="4" t="s">
        <v>288</v>
      </c>
      <c r="W1" s="4" t="s">
        <v>308</v>
      </c>
      <c r="X1" s="4" t="s">
        <v>284</v>
      </c>
      <c r="Y1" s="4" t="s">
        <v>293</v>
      </c>
      <c r="Z1" s="4" t="s">
        <v>292</v>
      </c>
    </row>
    <row r="2" spans="1:26" s="72" customFormat="1" x14ac:dyDescent="0.25">
      <c r="A2" s="118" t="s">
        <v>333</v>
      </c>
      <c r="B2" s="118" t="s">
        <v>1</v>
      </c>
      <c r="C2" s="118"/>
      <c r="D2" s="126"/>
      <c r="E2" s="118"/>
      <c r="F2" s="126"/>
      <c r="G2" s="118"/>
      <c r="H2" s="127"/>
      <c r="I2" s="118"/>
      <c r="J2" s="118"/>
      <c r="K2" s="118"/>
      <c r="L2" s="119"/>
      <c r="M2" s="118"/>
      <c r="N2" s="118"/>
      <c r="O2" s="118"/>
      <c r="P2" s="119"/>
      <c r="Q2" s="118"/>
      <c r="R2" s="118">
        <v>-3</v>
      </c>
      <c r="S2" s="118">
        <v>-8</v>
      </c>
      <c r="T2" s="119">
        <v>-1.514</v>
      </c>
      <c r="U2" s="118"/>
      <c r="V2" s="118"/>
    </row>
    <row r="3" spans="1:26" s="72" customFormat="1" x14ac:dyDescent="0.25">
      <c r="A3" s="118" t="s">
        <v>338</v>
      </c>
      <c r="B3" s="118" t="s">
        <v>1</v>
      </c>
      <c r="D3" s="115"/>
      <c r="F3" s="115"/>
      <c r="H3" s="116"/>
      <c r="L3" s="117"/>
      <c r="R3" s="5">
        <v>3.3650000000000002</v>
      </c>
      <c r="S3" s="5">
        <v>-3.6549999999999998</v>
      </c>
      <c r="T3" s="5">
        <v>-0.60599999999999998</v>
      </c>
    </row>
    <row r="4" spans="1:26" s="88" customFormat="1" x14ac:dyDescent="0.25">
      <c r="A4" s="88" t="s">
        <v>0</v>
      </c>
      <c r="B4" s="88" t="s">
        <v>1</v>
      </c>
      <c r="C4" s="88">
        <v>3.597</v>
      </c>
      <c r="D4" s="88">
        <v>1.02</v>
      </c>
      <c r="E4" s="88">
        <v>23.77</v>
      </c>
      <c r="F4" s="88">
        <v>11.23</v>
      </c>
      <c r="G4" s="88">
        <v>3.76</v>
      </c>
      <c r="H4" s="104">
        <v>1.62</v>
      </c>
      <c r="J4" s="88">
        <v>3.597</v>
      </c>
      <c r="K4" s="88">
        <v>23.77</v>
      </c>
      <c r="L4" s="104">
        <v>3.76</v>
      </c>
      <c r="N4" s="88">
        <v>1.9905999999999999</v>
      </c>
      <c r="O4" s="88">
        <v>-18.0304</v>
      </c>
      <c r="P4" s="104">
        <v>-6.5629</v>
      </c>
      <c r="R4" s="88">
        <v>0.24399999999999999</v>
      </c>
      <c r="S4" s="88">
        <v>-14.705</v>
      </c>
      <c r="T4" s="88">
        <v>-4.0259999999999998</v>
      </c>
    </row>
    <row r="5" spans="1:26" s="1" customFormat="1" x14ac:dyDescent="0.25">
      <c r="A5" s="1" t="s">
        <v>14</v>
      </c>
      <c r="B5" s="1" t="s">
        <v>12</v>
      </c>
      <c r="C5" s="1">
        <v>1.2</v>
      </c>
      <c r="D5" s="1">
        <v>0.23</v>
      </c>
      <c r="E5" s="1">
        <v>39.369999999999997</v>
      </c>
      <c r="F5" s="1">
        <v>0.09</v>
      </c>
      <c r="G5" s="1">
        <v>4.68</v>
      </c>
      <c r="H5" s="102">
        <v>1.24</v>
      </c>
      <c r="J5" s="1">
        <v>1.2</v>
      </c>
      <c r="K5" s="1">
        <v>39.369999999999997</v>
      </c>
      <c r="L5" s="102">
        <v>4.68</v>
      </c>
      <c r="N5" s="1">
        <v>1.4226000000000001</v>
      </c>
      <c r="O5" s="1">
        <v>-2.9297</v>
      </c>
      <c r="P5" s="102">
        <v>-1.9155</v>
      </c>
      <c r="R5" s="1" t="s">
        <v>335</v>
      </c>
      <c r="S5" s="1" t="s">
        <v>336</v>
      </c>
      <c r="T5" s="102" t="s">
        <v>341</v>
      </c>
      <c r="U5" s="1">
        <v>1</v>
      </c>
      <c r="V5" s="1" t="s">
        <v>321</v>
      </c>
      <c r="X5" s="1" t="s">
        <v>320</v>
      </c>
    </row>
    <row r="6" spans="1:26" s="1" customFormat="1" x14ac:dyDescent="0.25">
      <c r="A6" s="1" t="s">
        <v>14</v>
      </c>
      <c r="B6" s="1" t="s">
        <v>7</v>
      </c>
      <c r="C6" s="1">
        <v>2.17</v>
      </c>
      <c r="D6" s="1">
        <v>0.89</v>
      </c>
      <c r="E6" s="1">
        <v>2.5299999999999998</v>
      </c>
      <c r="F6" s="1">
        <v>0.32</v>
      </c>
      <c r="G6" s="1">
        <v>0.59</v>
      </c>
      <c r="H6" s="102">
        <v>0.05</v>
      </c>
      <c r="J6" s="1">
        <v>2.17</v>
      </c>
      <c r="K6" s="1">
        <v>2.5299999999999998</v>
      </c>
      <c r="L6" s="102">
        <v>0.59</v>
      </c>
      <c r="N6" s="1">
        <v>0.41489999999999999</v>
      </c>
      <c r="O6" s="1">
        <v>-39.409799999999997</v>
      </c>
      <c r="P6" s="102">
        <v>-8.4760000000000009</v>
      </c>
      <c r="R6" s="1">
        <v>0.41499999999999998</v>
      </c>
      <c r="S6" s="1">
        <v>-40.372999999999998</v>
      </c>
      <c r="T6" s="102">
        <v>-9</v>
      </c>
      <c r="U6" s="1">
        <v>1</v>
      </c>
      <c r="V6" s="1" t="s">
        <v>321</v>
      </c>
      <c r="X6" s="1" t="s">
        <v>320</v>
      </c>
    </row>
    <row r="7" spans="1:26" s="88" customFormat="1" x14ac:dyDescent="0.25">
      <c r="A7" s="88" t="s">
        <v>16</v>
      </c>
      <c r="B7" s="88" t="s">
        <v>12</v>
      </c>
      <c r="C7" s="88">
        <v>-2.78</v>
      </c>
      <c r="D7" s="88">
        <v>0.26</v>
      </c>
      <c r="E7" s="88">
        <v>34.32</v>
      </c>
      <c r="F7" s="88">
        <v>0.88</v>
      </c>
      <c r="G7" s="88">
        <v>1.91</v>
      </c>
      <c r="H7" s="104">
        <v>1.33</v>
      </c>
      <c r="J7" s="88">
        <v>-2.78</v>
      </c>
      <c r="K7" s="88">
        <v>34.32</v>
      </c>
      <c r="L7" s="104">
        <v>1.91</v>
      </c>
      <c r="N7" s="88">
        <v>-1.2992999999999999</v>
      </c>
      <c r="O7" s="88">
        <v>-8.6834000000000007</v>
      </c>
      <c r="P7" s="104">
        <v>1.0003</v>
      </c>
      <c r="R7" s="88">
        <v>-0.7</v>
      </c>
      <c r="S7" s="88">
        <v>-6.64</v>
      </c>
      <c r="T7" s="104">
        <v>2.5590000000000002</v>
      </c>
      <c r="U7" s="88">
        <v>1</v>
      </c>
      <c r="V7" s="88" t="s">
        <v>321</v>
      </c>
      <c r="X7" s="88" t="s">
        <v>323</v>
      </c>
      <c r="Z7" s="88" t="s">
        <v>324</v>
      </c>
    </row>
    <row r="8" spans="1:26" s="88" customFormat="1" x14ac:dyDescent="0.25">
      <c r="A8" s="88" t="s">
        <v>16</v>
      </c>
      <c r="B8" s="88" t="s">
        <v>7</v>
      </c>
      <c r="C8" s="88">
        <v>-0.63</v>
      </c>
      <c r="D8" s="88">
        <v>0.46</v>
      </c>
      <c r="E8" s="88">
        <v>-7.0000000000000007E-2</v>
      </c>
      <c r="F8" s="88">
        <v>0.2</v>
      </c>
      <c r="G8" s="88">
        <v>-1.2</v>
      </c>
      <c r="H8" s="104">
        <v>0.01</v>
      </c>
      <c r="J8" s="88">
        <v>-0.63</v>
      </c>
      <c r="K8" s="88">
        <v>-7.0000000000000007E-2</v>
      </c>
      <c r="L8" s="104">
        <v>-1.2</v>
      </c>
      <c r="N8" s="88">
        <v>-1.419</v>
      </c>
      <c r="O8" s="88">
        <v>-42.506999999999998</v>
      </c>
      <c r="P8" s="104">
        <v>-6.2740999999999998</v>
      </c>
      <c r="R8" s="88">
        <v>-1.419</v>
      </c>
      <c r="S8" s="88">
        <v>-41.665999999999997</v>
      </c>
      <c r="T8" s="104">
        <v>-6.5</v>
      </c>
      <c r="U8" s="88">
        <v>1</v>
      </c>
      <c r="V8" s="88" t="s">
        <v>321</v>
      </c>
      <c r="X8" s="88" t="s">
        <v>323</v>
      </c>
      <c r="Z8" s="88" t="s">
        <v>324</v>
      </c>
    </row>
    <row r="9" spans="1:26" s="88" customFormat="1" x14ac:dyDescent="0.25">
      <c r="A9" s="88" t="s">
        <v>17</v>
      </c>
      <c r="B9" s="88" t="s">
        <v>12</v>
      </c>
      <c r="C9" s="88">
        <v>-1.64</v>
      </c>
      <c r="D9" s="88">
        <v>0.9</v>
      </c>
      <c r="E9" s="88">
        <v>34.299999999999997</v>
      </c>
      <c r="F9" s="88">
        <v>0.48</v>
      </c>
      <c r="G9" s="88">
        <v>1.67</v>
      </c>
      <c r="H9" s="104">
        <v>2.16</v>
      </c>
      <c r="J9" s="88">
        <v>-1.64</v>
      </c>
      <c r="K9" s="88">
        <v>34.299999999999997</v>
      </c>
      <c r="L9" s="104">
        <v>1.67</v>
      </c>
      <c r="N9" s="88">
        <v>-1.4273</v>
      </c>
      <c r="O9" s="88">
        <v>-8.5503999999999998</v>
      </c>
      <c r="P9" s="104">
        <v>-0.1502</v>
      </c>
      <c r="R9" s="88">
        <v>-1.427</v>
      </c>
      <c r="S9" s="88">
        <v>-8.5500000000000007</v>
      </c>
      <c r="T9" s="104">
        <v>0.48599999999999999</v>
      </c>
      <c r="U9" s="88">
        <v>1</v>
      </c>
      <c r="V9" s="88" t="s">
        <v>321</v>
      </c>
      <c r="X9" s="88" t="s">
        <v>323</v>
      </c>
      <c r="Z9" s="88" t="s">
        <v>324</v>
      </c>
    </row>
    <row r="10" spans="1:26" s="88" customFormat="1" x14ac:dyDescent="0.25">
      <c r="A10" s="88" t="s">
        <v>17</v>
      </c>
      <c r="B10" s="88" t="s">
        <v>7</v>
      </c>
      <c r="C10" s="88">
        <v>-0.63</v>
      </c>
      <c r="D10" s="88">
        <v>0.46</v>
      </c>
      <c r="E10" s="88">
        <v>-7.0000000000000007E-2</v>
      </c>
      <c r="F10" s="88">
        <v>0.2</v>
      </c>
      <c r="G10" s="88">
        <v>-1.2</v>
      </c>
      <c r="H10" s="104">
        <v>0.01</v>
      </c>
      <c r="J10" s="88">
        <v>-0.63</v>
      </c>
      <c r="K10" s="88">
        <v>-7.0000000000000007E-2</v>
      </c>
      <c r="L10" s="104">
        <v>-1.2</v>
      </c>
      <c r="N10" s="88">
        <v>-1.419</v>
      </c>
      <c r="O10" s="88">
        <v>-42.506999999999998</v>
      </c>
      <c r="P10" s="104">
        <v>-6.2740999999999998</v>
      </c>
      <c r="R10" s="88">
        <v>-2.266</v>
      </c>
      <c r="S10" s="88">
        <v>-41.859000000000002</v>
      </c>
      <c r="T10" s="104">
        <v>-6.4189999999999996</v>
      </c>
      <c r="U10" s="88">
        <v>1</v>
      </c>
      <c r="V10" s="88" t="s">
        <v>321</v>
      </c>
      <c r="X10" s="88" t="s">
        <v>323</v>
      </c>
      <c r="Z10" s="88" t="s">
        <v>324</v>
      </c>
    </row>
    <row r="11" spans="1:26" s="1" customFormat="1" x14ac:dyDescent="0.25">
      <c r="A11" s="1" t="s">
        <v>5</v>
      </c>
      <c r="B11" s="1" t="s">
        <v>1</v>
      </c>
      <c r="C11" s="1">
        <v>3.47</v>
      </c>
      <c r="D11" s="1">
        <v>0.84</v>
      </c>
      <c r="E11" s="1">
        <v>29.03</v>
      </c>
      <c r="F11" s="1">
        <v>2.84</v>
      </c>
      <c r="G11" s="1">
        <v>-0.32</v>
      </c>
      <c r="H11" s="102">
        <v>1.21</v>
      </c>
      <c r="J11" s="1">
        <v>3.47</v>
      </c>
      <c r="K11" s="1">
        <v>29.03</v>
      </c>
      <c r="L11" s="102">
        <v>-0.32</v>
      </c>
      <c r="N11" s="1">
        <v>-2.4921000000000002</v>
      </c>
      <c r="O11" s="1">
        <v>-13.1264</v>
      </c>
      <c r="P11" s="102">
        <v>-6.1311</v>
      </c>
      <c r="R11" s="1">
        <v>-3.165</v>
      </c>
      <c r="S11" s="1">
        <v>-9.6609999999999996</v>
      </c>
      <c r="T11" s="102">
        <v>-2.262</v>
      </c>
    </row>
    <row r="12" spans="1:26" s="1" customFormat="1" x14ac:dyDescent="0.25">
      <c r="A12" s="1" t="s">
        <v>4</v>
      </c>
      <c r="B12" s="1" t="s">
        <v>1</v>
      </c>
      <c r="C12" s="1">
        <v>4.3899999999999997</v>
      </c>
      <c r="D12" s="1">
        <v>1.19</v>
      </c>
      <c r="E12" s="1">
        <v>25.29</v>
      </c>
      <c r="F12" s="1">
        <v>0.27</v>
      </c>
      <c r="G12" s="1">
        <v>-1.72</v>
      </c>
      <c r="H12" s="102">
        <v>0.05</v>
      </c>
      <c r="J12" s="1">
        <v>4.3899999999999997</v>
      </c>
      <c r="K12" s="1">
        <v>25.29</v>
      </c>
      <c r="L12" s="102">
        <v>-1.72</v>
      </c>
      <c r="N12" s="1">
        <v>-3.4933000000000001</v>
      </c>
      <c r="O12" s="1">
        <v>-16.773099999999999</v>
      </c>
      <c r="P12" s="102">
        <v>-7.7100999999999997</v>
      </c>
      <c r="R12" s="1">
        <v>-3.246</v>
      </c>
      <c r="S12" s="1">
        <v>-12.196</v>
      </c>
      <c r="T12" s="102">
        <v>-3.335</v>
      </c>
    </row>
    <row r="13" spans="1:26" s="1" customFormat="1" x14ac:dyDescent="0.25">
      <c r="A13" s="1" t="s">
        <v>18</v>
      </c>
      <c r="B13" s="1" t="s">
        <v>12</v>
      </c>
      <c r="C13" s="1">
        <v>-1.97</v>
      </c>
      <c r="D13" s="1">
        <v>0.77</v>
      </c>
      <c r="E13" s="1">
        <v>35.409999999999997</v>
      </c>
      <c r="F13" s="1">
        <v>3.38</v>
      </c>
      <c r="G13" s="1">
        <v>4.54</v>
      </c>
      <c r="H13" s="102">
        <v>2.8</v>
      </c>
      <c r="J13" s="1">
        <v>-1.97</v>
      </c>
      <c r="K13" s="1">
        <v>35.409999999999997</v>
      </c>
      <c r="L13" s="102">
        <v>4.54</v>
      </c>
      <c r="N13" s="1">
        <v>1.2998000000000001</v>
      </c>
      <c r="O13" s="1">
        <v>-7.3152999999999997</v>
      </c>
      <c r="P13" s="102">
        <v>0.63429999999999997</v>
      </c>
      <c r="R13" s="1">
        <v>2.9630000000000001</v>
      </c>
      <c r="S13" s="1">
        <v>-5.3780000000000001</v>
      </c>
      <c r="T13" s="102">
        <v>2.2919999999999998</v>
      </c>
      <c r="U13" s="1">
        <v>1</v>
      </c>
      <c r="V13" s="1" t="s">
        <v>321</v>
      </c>
      <c r="X13" s="1" t="s">
        <v>320</v>
      </c>
    </row>
    <row r="14" spans="1:26" s="1" customFormat="1" x14ac:dyDescent="0.25">
      <c r="A14" s="1" t="s">
        <v>18</v>
      </c>
      <c r="B14" s="1" t="s">
        <v>7</v>
      </c>
      <c r="C14" s="1">
        <v>-0.83</v>
      </c>
      <c r="D14" s="1">
        <v>0.3</v>
      </c>
      <c r="E14" s="1">
        <v>-0.02</v>
      </c>
      <c r="F14" s="1">
        <v>0.11</v>
      </c>
      <c r="G14" s="1">
        <v>2.68</v>
      </c>
      <c r="H14" s="102">
        <v>0.09</v>
      </c>
      <c r="J14" s="1">
        <v>-0.83</v>
      </c>
      <c r="K14" s="1">
        <v>-0.02</v>
      </c>
      <c r="L14" s="102">
        <v>2.68</v>
      </c>
      <c r="N14" s="1">
        <v>2.4077000000000002</v>
      </c>
      <c r="O14" s="1">
        <v>-42.232399999999998</v>
      </c>
      <c r="P14" s="102">
        <v>-5.6596000000000002</v>
      </c>
      <c r="R14" s="1">
        <v>1.375</v>
      </c>
      <c r="S14" s="1">
        <v>-41.618000000000002</v>
      </c>
      <c r="T14" s="102">
        <v>-6.1970000000000001</v>
      </c>
      <c r="U14" s="1">
        <v>1</v>
      </c>
      <c r="V14" s="1" t="s">
        <v>321</v>
      </c>
      <c r="X14" s="1" t="s">
        <v>320</v>
      </c>
    </row>
    <row r="15" spans="1:26" s="88" customFormat="1" x14ac:dyDescent="0.25">
      <c r="A15" s="88" t="s">
        <v>19</v>
      </c>
      <c r="B15" s="88" t="s">
        <v>1</v>
      </c>
      <c r="C15" s="88">
        <v>0.56000000000000005</v>
      </c>
      <c r="D15" s="88">
        <v>3.13</v>
      </c>
      <c r="E15" s="88">
        <v>27.36</v>
      </c>
      <c r="F15" s="88">
        <v>0.57999999999999996</v>
      </c>
      <c r="G15" s="88">
        <v>-1.1000000000000001</v>
      </c>
      <c r="H15" s="104">
        <v>0.27</v>
      </c>
      <c r="J15" s="88">
        <v>0.56000000000000005</v>
      </c>
      <c r="K15" s="88">
        <v>27.36</v>
      </c>
      <c r="L15" s="104">
        <v>-1.1000000000000001</v>
      </c>
      <c r="N15" s="88">
        <v>-3.4089999999999998</v>
      </c>
      <c r="O15" s="88">
        <v>-15.255699999999999</v>
      </c>
      <c r="P15" s="104">
        <v>-3.5834999999999999</v>
      </c>
      <c r="R15" s="88">
        <v>-2.6110000000000002</v>
      </c>
      <c r="S15" s="88">
        <v>-15.256</v>
      </c>
      <c r="T15" s="104">
        <v>-3.9020000000000001</v>
      </c>
    </row>
    <row r="16" spans="1:26" s="87" customFormat="1" x14ac:dyDescent="0.25">
      <c r="A16" s="87" t="s">
        <v>6</v>
      </c>
      <c r="B16" s="87" t="s">
        <v>1</v>
      </c>
      <c r="C16" s="87">
        <v>2.0299999999999998</v>
      </c>
      <c r="D16" s="87">
        <v>0.1</v>
      </c>
      <c r="E16" s="87">
        <v>40.99</v>
      </c>
      <c r="F16" s="87">
        <v>2.88</v>
      </c>
      <c r="G16" s="87">
        <v>1.68</v>
      </c>
      <c r="H16" s="92">
        <v>2.13</v>
      </c>
      <c r="J16" s="87">
        <v>2.0299999999999998</v>
      </c>
      <c r="K16" s="87">
        <v>40.99</v>
      </c>
      <c r="L16" s="92">
        <v>1.68</v>
      </c>
      <c r="N16" s="87">
        <v>-1.6051</v>
      </c>
      <c r="O16" s="87">
        <v>-1.4054</v>
      </c>
      <c r="P16" s="92">
        <v>-2.8226</v>
      </c>
      <c r="R16" s="87" t="s">
        <v>343</v>
      </c>
      <c r="T16" s="92"/>
    </row>
    <row r="17" spans="1:26" s="87" customFormat="1" x14ac:dyDescent="0.25">
      <c r="A17" s="87" t="s">
        <v>6</v>
      </c>
      <c r="B17" s="87" t="s">
        <v>7</v>
      </c>
      <c r="C17" s="87">
        <v>0.48</v>
      </c>
      <c r="D17" s="87">
        <v>0.12</v>
      </c>
      <c r="E17" s="87">
        <v>42.86</v>
      </c>
      <c r="F17" s="87">
        <v>0.3</v>
      </c>
      <c r="G17" s="87">
        <v>0.2</v>
      </c>
      <c r="H17" s="92">
        <v>0</v>
      </c>
      <c r="J17" s="87">
        <v>0.48</v>
      </c>
      <c r="K17" s="87">
        <v>42.86</v>
      </c>
      <c r="L17" s="92">
        <v>0.2</v>
      </c>
      <c r="N17" s="87">
        <v>-3.3713000000000002</v>
      </c>
      <c r="O17" s="87">
        <v>0.1137</v>
      </c>
      <c r="P17" s="92">
        <v>-1.1908000000000001</v>
      </c>
      <c r="R17" s="87" t="s">
        <v>344</v>
      </c>
      <c r="T17" s="92"/>
    </row>
    <row r="18" spans="1:26" s="88" customFormat="1" x14ac:dyDescent="0.25">
      <c r="A18" s="88" t="s">
        <v>3</v>
      </c>
      <c r="B18" s="88" t="s">
        <v>1</v>
      </c>
      <c r="C18" s="88">
        <v>2.17</v>
      </c>
      <c r="D18" s="88">
        <v>0.23</v>
      </c>
      <c r="E18" s="88">
        <v>35.520000000000003</v>
      </c>
      <c r="F18" s="88">
        <v>3.21</v>
      </c>
      <c r="G18" s="88">
        <v>1.02</v>
      </c>
      <c r="H18" s="104">
        <v>0.74</v>
      </c>
      <c r="J18" s="88">
        <v>2.17</v>
      </c>
      <c r="K18" s="88">
        <v>35.520000000000003</v>
      </c>
      <c r="L18" s="104">
        <v>1.02</v>
      </c>
      <c r="N18" s="88">
        <v>-1.8073999999999999</v>
      </c>
      <c r="O18" s="88">
        <v>-6.8259999999999996</v>
      </c>
      <c r="P18" s="104">
        <v>-3.7982999999999998</v>
      </c>
      <c r="R18" s="88">
        <v>-2.89</v>
      </c>
      <c r="S18" s="88">
        <v>-6.16</v>
      </c>
      <c r="T18" s="104">
        <v>-0.318</v>
      </c>
    </row>
    <row r="19" spans="1:26" s="88" customFormat="1" x14ac:dyDescent="0.25">
      <c r="A19" s="88" t="s">
        <v>2</v>
      </c>
      <c r="B19" s="88" t="s">
        <v>1</v>
      </c>
      <c r="C19" s="88">
        <v>4.83</v>
      </c>
      <c r="D19" s="88">
        <v>1.02</v>
      </c>
      <c r="E19" s="88">
        <v>23.14</v>
      </c>
      <c r="F19" s="88">
        <v>2.66</v>
      </c>
      <c r="G19" s="88">
        <v>1.33</v>
      </c>
      <c r="H19" s="104">
        <v>0.65</v>
      </c>
      <c r="J19" s="88">
        <v>4.83</v>
      </c>
      <c r="K19" s="88">
        <v>23.14</v>
      </c>
      <c r="L19" s="104">
        <v>1.33</v>
      </c>
      <c r="N19" s="88">
        <v>-0.2525</v>
      </c>
      <c r="O19" s="88">
        <v>-18.6294</v>
      </c>
      <c r="P19" s="104">
        <v>-8.1224000000000007</v>
      </c>
      <c r="R19" s="88">
        <v>-2.7</v>
      </c>
      <c r="S19" s="88">
        <v>-17.631</v>
      </c>
      <c r="T19" s="104">
        <v>-4.4930000000000003</v>
      </c>
    </row>
    <row r="20" spans="1:26" s="1" customFormat="1" x14ac:dyDescent="0.25">
      <c r="A20" s="1" t="s">
        <v>11</v>
      </c>
      <c r="B20" s="1" t="s">
        <v>12</v>
      </c>
      <c r="C20" s="1">
        <v>-3.3</v>
      </c>
      <c r="D20" s="1">
        <v>1.07</v>
      </c>
      <c r="E20" s="1">
        <v>33.33</v>
      </c>
      <c r="F20" s="1">
        <v>0.25</v>
      </c>
      <c r="G20" s="1">
        <v>4.0199999999999996</v>
      </c>
      <c r="H20" s="102">
        <v>2.54</v>
      </c>
      <c r="J20" s="1">
        <v>-3.3</v>
      </c>
      <c r="K20" s="1">
        <v>33.33</v>
      </c>
      <c r="L20" s="102">
        <v>4.0199999999999996</v>
      </c>
      <c r="N20" s="1">
        <v>0.82420000000000004</v>
      </c>
      <c r="O20" s="1">
        <v>-9.5986999999999991</v>
      </c>
      <c r="P20" s="102">
        <v>1.5965</v>
      </c>
      <c r="R20" s="1">
        <v>0.82399999999999995</v>
      </c>
      <c r="S20" s="1">
        <v>-7.0270000000000001</v>
      </c>
      <c r="T20" s="102">
        <v>3.718</v>
      </c>
    </row>
    <row r="21" spans="1:26" s="88" customFormat="1" x14ac:dyDescent="0.25">
      <c r="A21" s="88" t="s">
        <v>13</v>
      </c>
      <c r="B21" s="88" t="s">
        <v>12</v>
      </c>
      <c r="C21" s="88">
        <v>3.31</v>
      </c>
      <c r="D21" s="88">
        <v>3.62</v>
      </c>
      <c r="E21" s="88">
        <v>33.71</v>
      </c>
      <c r="F21" s="88">
        <v>0.94</v>
      </c>
      <c r="G21" s="88">
        <v>4.29</v>
      </c>
      <c r="H21" s="104">
        <v>1.85</v>
      </c>
      <c r="J21" s="88">
        <v>3.31</v>
      </c>
      <c r="K21" s="88">
        <v>33.71</v>
      </c>
      <c r="L21" s="104">
        <v>4.29</v>
      </c>
      <c r="N21" s="88">
        <v>1.6910000000000001</v>
      </c>
      <c r="O21" s="88">
        <v>-8.2288999999999994</v>
      </c>
      <c r="P21" s="104">
        <v>-4.8285999999999998</v>
      </c>
      <c r="R21" s="88">
        <v>-2.3079999999999998</v>
      </c>
      <c r="S21" s="88">
        <v>-4.47</v>
      </c>
      <c r="T21" s="104">
        <v>-3.782</v>
      </c>
    </row>
    <row r="22" spans="1:26" s="88" customFormat="1" x14ac:dyDescent="0.25">
      <c r="A22" s="88" t="s">
        <v>13</v>
      </c>
      <c r="B22" s="88" t="s">
        <v>7</v>
      </c>
      <c r="C22" s="88">
        <v>2.86</v>
      </c>
      <c r="D22" s="88">
        <v>0.48</v>
      </c>
      <c r="E22" s="88">
        <v>2.57</v>
      </c>
      <c r="F22" s="88">
        <v>1.01</v>
      </c>
      <c r="G22" s="88">
        <v>-0.6</v>
      </c>
      <c r="H22" s="104">
        <v>0</v>
      </c>
      <c r="J22" s="88">
        <v>2.86</v>
      </c>
      <c r="K22" s="88">
        <v>2.57</v>
      </c>
      <c r="L22" s="104">
        <v>-0.6</v>
      </c>
      <c r="N22" s="88">
        <v>-0.70340000000000003</v>
      </c>
      <c r="O22" s="88">
        <v>-39.346499999999999</v>
      </c>
      <c r="P22" s="104">
        <v>-9.2756000000000007</v>
      </c>
      <c r="R22" s="88">
        <v>1.0820000000000001</v>
      </c>
      <c r="S22" s="88">
        <v>-40.429000000000002</v>
      </c>
      <c r="T22" s="104">
        <v>-9.2759999999999998</v>
      </c>
      <c r="U22" s="88">
        <v>1</v>
      </c>
      <c r="V22" s="88" t="s">
        <v>321</v>
      </c>
      <c r="X22" s="88" t="s">
        <v>318</v>
      </c>
      <c r="Z22" s="88" t="s">
        <v>322</v>
      </c>
    </row>
    <row r="23" spans="1:26" s="1" customFormat="1" x14ac:dyDescent="0.25">
      <c r="A23" s="1" t="s">
        <v>15</v>
      </c>
      <c r="B23" s="1" t="s">
        <v>12</v>
      </c>
      <c r="C23" s="1">
        <v>-1.64</v>
      </c>
      <c r="D23" s="1">
        <v>0.9</v>
      </c>
      <c r="E23" s="1">
        <v>34.299999999999997</v>
      </c>
      <c r="F23" s="1">
        <v>0.48</v>
      </c>
      <c r="G23" s="1">
        <v>1.67</v>
      </c>
      <c r="H23" s="102">
        <v>2.16</v>
      </c>
      <c r="J23" s="1">
        <v>-1.64</v>
      </c>
      <c r="K23" s="1">
        <v>34.299999999999997</v>
      </c>
      <c r="L23" s="102">
        <v>1.67</v>
      </c>
      <c r="N23" s="1">
        <v>-1.4273</v>
      </c>
      <c r="O23" s="1">
        <v>-8.5503999999999998</v>
      </c>
      <c r="P23" s="102">
        <v>-0.1502</v>
      </c>
      <c r="R23" s="1">
        <v>-1.427</v>
      </c>
      <c r="S23" s="1">
        <v>8.5500000000000007</v>
      </c>
      <c r="T23" s="102">
        <v>1.871</v>
      </c>
      <c r="U23" s="1">
        <v>1</v>
      </c>
      <c r="V23" s="1" t="s">
        <v>321</v>
      </c>
      <c r="X23" s="1" t="s">
        <v>320</v>
      </c>
    </row>
    <row r="24" spans="1:26" s="1" customFormat="1" x14ac:dyDescent="0.25">
      <c r="A24" s="1" t="s">
        <v>15</v>
      </c>
      <c r="B24" s="1" t="s">
        <v>7</v>
      </c>
      <c r="C24" s="1">
        <v>-0.63</v>
      </c>
      <c r="D24" s="1">
        <v>0.46</v>
      </c>
      <c r="E24" s="1">
        <v>-7.0000000000000007E-2</v>
      </c>
      <c r="F24" s="1">
        <v>0.2</v>
      </c>
      <c r="G24" s="1">
        <v>-1.2</v>
      </c>
      <c r="H24" s="102">
        <v>0.01</v>
      </c>
      <c r="J24" s="1">
        <v>-0.63</v>
      </c>
      <c r="K24" s="1">
        <v>-7.0000000000000007E-2</v>
      </c>
      <c r="L24" s="102">
        <v>-1.2</v>
      </c>
      <c r="N24" s="1">
        <v>-1.419</v>
      </c>
      <c r="O24" s="1">
        <v>-42.506999999999998</v>
      </c>
      <c r="P24" s="102">
        <v>-6.2740999999999998</v>
      </c>
      <c r="R24" s="1">
        <v>-1.772</v>
      </c>
      <c r="S24" s="1">
        <v>-42.19</v>
      </c>
      <c r="T24" s="102">
        <v>-6.45</v>
      </c>
      <c r="U24" s="1">
        <v>1</v>
      </c>
      <c r="V24" s="1" t="s">
        <v>321</v>
      </c>
      <c r="X24" s="1" t="s">
        <v>320</v>
      </c>
    </row>
    <row r="25" spans="1:26" s="1" customFormat="1" x14ac:dyDescent="0.25">
      <c r="A25" s="1" t="s">
        <v>334</v>
      </c>
      <c r="H25" s="102"/>
      <c r="L25" s="102"/>
      <c r="R25" s="1">
        <v>0.11799999999999999</v>
      </c>
      <c r="S25" s="1">
        <v>-3.5979999999999999</v>
      </c>
      <c r="T25" s="102">
        <v>-4.4370000000000003</v>
      </c>
    </row>
    <row r="26" spans="1:26" s="87" customFormat="1" x14ac:dyDescent="0.25">
      <c r="A26" s="87" t="s">
        <v>9</v>
      </c>
      <c r="B26" s="87" t="s">
        <v>1</v>
      </c>
      <c r="C26" s="87">
        <v>2.0299999999999998</v>
      </c>
      <c r="D26" s="87">
        <v>0.1</v>
      </c>
      <c r="E26" s="87">
        <v>40.99</v>
      </c>
      <c r="F26" s="87">
        <v>2.88</v>
      </c>
      <c r="G26" s="87">
        <v>1.68</v>
      </c>
      <c r="H26" s="92">
        <v>2.13</v>
      </c>
      <c r="J26" s="87">
        <v>2.0299999999999998</v>
      </c>
      <c r="K26" s="87">
        <v>40.99</v>
      </c>
      <c r="L26" s="92">
        <v>1.68</v>
      </c>
      <c r="N26" s="87">
        <v>-1.6051</v>
      </c>
      <c r="O26" s="87">
        <v>-1.4054</v>
      </c>
      <c r="P26" s="92">
        <v>-2.8226</v>
      </c>
      <c r="R26" s="87" t="s">
        <v>343</v>
      </c>
      <c r="T26" s="92"/>
    </row>
    <row r="27" spans="1:26" s="87" customFormat="1" x14ac:dyDescent="0.25">
      <c r="A27" s="87" t="s">
        <v>9</v>
      </c>
      <c r="B27" s="87" t="s">
        <v>7</v>
      </c>
      <c r="C27" s="87">
        <v>0.68</v>
      </c>
      <c r="D27" s="87">
        <v>0.17</v>
      </c>
      <c r="E27" s="87">
        <v>43.26</v>
      </c>
      <c r="F27" s="87">
        <v>0.06</v>
      </c>
      <c r="G27" s="87">
        <v>2.5499999999999998</v>
      </c>
      <c r="H27" s="92">
        <v>0.03</v>
      </c>
      <c r="J27" s="87">
        <v>0.68</v>
      </c>
      <c r="K27" s="87">
        <v>43.26</v>
      </c>
      <c r="L27" s="92">
        <v>2.5499999999999998</v>
      </c>
      <c r="N27" s="87">
        <v>-1.0527</v>
      </c>
      <c r="O27" s="87">
        <v>0.69230000000000003</v>
      </c>
      <c r="P27" s="92">
        <v>-1.0828</v>
      </c>
      <c r="R27" s="87" t="s">
        <v>344</v>
      </c>
      <c r="T27" s="92"/>
    </row>
    <row r="28" spans="1:26" s="87" customFormat="1" x14ac:dyDescent="0.25">
      <c r="A28" s="87" t="s">
        <v>8</v>
      </c>
      <c r="B28" s="87" t="s">
        <v>1</v>
      </c>
      <c r="C28" s="87">
        <v>2.0299999999999998</v>
      </c>
      <c r="D28" s="87">
        <v>0.1</v>
      </c>
      <c r="E28" s="87">
        <v>40.99</v>
      </c>
      <c r="F28" s="87">
        <v>2.88</v>
      </c>
      <c r="G28" s="87">
        <v>1.68</v>
      </c>
      <c r="H28" s="92">
        <v>2.13</v>
      </c>
      <c r="J28" s="87">
        <v>2.0299999999999998</v>
      </c>
      <c r="K28" s="87">
        <v>40.99</v>
      </c>
      <c r="L28" s="92">
        <v>1.68</v>
      </c>
      <c r="N28" s="87">
        <v>-1.6051</v>
      </c>
      <c r="O28" s="87">
        <v>-1.4054</v>
      </c>
      <c r="P28" s="92">
        <v>-2.8226</v>
      </c>
      <c r="R28" s="87" t="s">
        <v>343</v>
      </c>
      <c r="T28" s="92"/>
    </row>
    <row r="29" spans="1:26" s="87" customFormat="1" x14ac:dyDescent="0.25">
      <c r="A29" s="87" t="s">
        <v>8</v>
      </c>
      <c r="B29" s="87" t="s">
        <v>7</v>
      </c>
      <c r="C29" s="87">
        <v>-0.72</v>
      </c>
      <c r="D29" s="87">
        <v>1.54</v>
      </c>
      <c r="E29" s="87">
        <v>42.62</v>
      </c>
      <c r="F29" s="87">
        <v>0</v>
      </c>
      <c r="G29" s="87">
        <v>4.5</v>
      </c>
      <c r="H29" s="92">
        <v>0</v>
      </c>
      <c r="J29" s="87">
        <v>-0.72</v>
      </c>
      <c r="K29" s="87">
        <v>42.62</v>
      </c>
      <c r="L29" s="92">
        <v>4.5</v>
      </c>
      <c r="N29" s="87">
        <v>0.80020000000000002</v>
      </c>
      <c r="O29" s="87">
        <v>-1.8100000000000002E-2</v>
      </c>
      <c r="P29" s="92">
        <v>0.41189999999999999</v>
      </c>
      <c r="R29" s="87">
        <v>0.751</v>
      </c>
      <c r="S29" s="87">
        <v>0</v>
      </c>
      <c r="T29" s="92">
        <v>-2.968</v>
      </c>
    </row>
    <row r="30" spans="1:26" s="87" customFormat="1" x14ac:dyDescent="0.25">
      <c r="A30" s="87" t="s">
        <v>10</v>
      </c>
      <c r="B30" s="87" t="s">
        <v>1</v>
      </c>
      <c r="C30" s="87">
        <v>2.0299999999999998</v>
      </c>
      <c r="D30" s="87">
        <v>0.1</v>
      </c>
      <c r="E30" s="87">
        <v>40.99</v>
      </c>
      <c r="F30" s="87">
        <v>2.88</v>
      </c>
      <c r="G30" s="87">
        <v>1.68</v>
      </c>
      <c r="H30" s="92">
        <v>2.13</v>
      </c>
      <c r="J30" s="87">
        <v>2.0299999999999998</v>
      </c>
      <c r="K30" s="87">
        <v>40.99</v>
      </c>
      <c r="L30" s="92">
        <v>1.68</v>
      </c>
      <c r="N30" s="87">
        <v>-1.6051</v>
      </c>
      <c r="O30" s="87">
        <v>-1.4054</v>
      </c>
      <c r="P30" s="92">
        <v>-2.8226</v>
      </c>
      <c r="R30" s="87" t="s">
        <v>343</v>
      </c>
      <c r="T30" s="92"/>
    </row>
    <row r="31" spans="1:26" s="87" customFormat="1" x14ac:dyDescent="0.25">
      <c r="A31" s="87" t="s">
        <v>10</v>
      </c>
      <c r="B31" s="87" t="s">
        <v>7</v>
      </c>
      <c r="C31" s="87">
        <v>0.48</v>
      </c>
      <c r="D31" s="87">
        <v>0.12</v>
      </c>
      <c r="E31" s="87">
        <v>42.86</v>
      </c>
      <c r="F31" s="87">
        <v>0.3</v>
      </c>
      <c r="G31" s="87">
        <v>0.2</v>
      </c>
      <c r="H31" s="92">
        <v>0</v>
      </c>
      <c r="J31" s="87">
        <v>0.48</v>
      </c>
      <c r="K31" s="87">
        <v>42.86</v>
      </c>
      <c r="L31" s="92">
        <v>0.2</v>
      </c>
      <c r="N31" s="87">
        <v>-3.3713000000000002</v>
      </c>
      <c r="O31" s="87">
        <v>0.1137</v>
      </c>
      <c r="P31" s="92">
        <v>-1.1908000000000001</v>
      </c>
      <c r="R31" s="87" t="s">
        <v>344</v>
      </c>
      <c r="T31" s="92"/>
    </row>
    <row r="32" spans="1:26" x14ac:dyDescent="0.25">
      <c r="M32" t="s">
        <v>328</v>
      </c>
      <c r="Q32" s="5" t="s">
        <v>327</v>
      </c>
    </row>
    <row r="33" spans="13:20" x14ac:dyDescent="0.25">
      <c r="M33" t="s">
        <v>329</v>
      </c>
      <c r="N33" s="5">
        <f>N30</f>
        <v>-1.6051</v>
      </c>
      <c r="O33" s="5">
        <f>O30</f>
        <v>-1.4054</v>
      </c>
      <c r="P33" s="5">
        <f>P30</f>
        <v>-2.8226</v>
      </c>
      <c r="R33" s="5">
        <f>N31</f>
        <v>-3.3713000000000002</v>
      </c>
      <c r="S33" s="5">
        <f>O31</f>
        <v>0.1137</v>
      </c>
      <c r="T33" s="5">
        <f>P31</f>
        <v>-1.1908000000000001</v>
      </c>
    </row>
    <row r="34" spans="13:20" x14ac:dyDescent="0.25">
      <c r="M34" t="s">
        <v>330</v>
      </c>
      <c r="N34" s="5">
        <v>0.1</v>
      </c>
      <c r="O34" s="5">
        <v>2.88</v>
      </c>
      <c r="P34" s="26">
        <v>2.13</v>
      </c>
      <c r="R34" s="5">
        <v>0.12</v>
      </c>
      <c r="S34" s="5">
        <v>0.3</v>
      </c>
      <c r="T34" s="26">
        <v>0</v>
      </c>
    </row>
    <row r="35" spans="13:20" x14ac:dyDescent="0.25">
      <c r="M35" t="s">
        <v>331</v>
      </c>
      <c r="N35" s="5">
        <f>N33+N34</f>
        <v>-1.5050999999999999</v>
      </c>
      <c r="O35" s="5">
        <f>O33+O34</f>
        <v>1.4745999999999999</v>
      </c>
      <c r="P35" s="5">
        <f>P33+P34</f>
        <v>-0.6926000000000001</v>
      </c>
      <c r="R35" s="5">
        <f>R33+R34</f>
        <v>-3.2513000000000001</v>
      </c>
      <c r="S35" s="5">
        <f>S33+S34</f>
        <v>0.41369999999999996</v>
      </c>
      <c r="T35" s="5">
        <f>T33+T34</f>
        <v>-1.1908000000000001</v>
      </c>
    </row>
    <row r="36" spans="13:20" x14ac:dyDescent="0.25">
      <c r="M36" t="s">
        <v>332</v>
      </c>
      <c r="N36" s="5">
        <f>N33-N34</f>
        <v>-1.7051000000000001</v>
      </c>
      <c r="O36" s="5">
        <f>O33-O34</f>
        <v>-4.2854000000000001</v>
      </c>
      <c r="P36" s="5">
        <f>P33-P34</f>
        <v>-4.9526000000000003</v>
      </c>
      <c r="R36" s="5">
        <f>R33-R34</f>
        <v>-3.4913000000000003</v>
      </c>
      <c r="S36" s="5">
        <f>S33-S34</f>
        <v>-0.18629999999999999</v>
      </c>
      <c r="T36" s="5">
        <f>T33-T34</f>
        <v>-1.1908000000000001</v>
      </c>
    </row>
  </sheetData>
  <sortState ref="A1:P28">
    <sortCondition ref="A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pane xSplit="1" topLeftCell="B1" activePane="topRight" state="frozen"/>
      <selection pane="topRight" activeCell="M18" sqref="M18"/>
    </sheetView>
  </sheetViews>
  <sheetFormatPr defaultColWidth="8.85546875" defaultRowHeight="15" x14ac:dyDescent="0.25"/>
  <cols>
    <col min="1" max="1" width="27.28515625" customWidth="1"/>
    <col min="2" max="3" width="9.140625" customWidth="1"/>
    <col min="8" max="8" width="8.85546875" style="26"/>
    <col min="10" max="10" width="9.140625" customWidth="1"/>
    <col min="12" max="12" width="8.85546875" style="26"/>
    <col min="13" max="13" width="19.85546875" customWidth="1"/>
    <col min="16" max="16" width="8.85546875" style="26"/>
    <col min="20" max="20" width="8.85546875" style="26"/>
  </cols>
  <sheetData>
    <row r="1" spans="1:20" s="4" customFormat="1" x14ac:dyDescent="0.25">
      <c r="A1" s="4" t="s">
        <v>43</v>
      </c>
      <c r="B1" s="4" t="s">
        <v>191</v>
      </c>
      <c r="C1" s="4" t="s">
        <v>192</v>
      </c>
      <c r="D1" s="27" t="s">
        <v>193</v>
      </c>
      <c r="E1" s="4" t="s">
        <v>194</v>
      </c>
      <c r="F1" s="27" t="s">
        <v>193</v>
      </c>
      <c r="G1" s="4" t="s">
        <v>195</v>
      </c>
      <c r="H1" s="111" t="s">
        <v>193</v>
      </c>
      <c r="J1" s="4" t="s">
        <v>192</v>
      </c>
      <c r="K1" s="4" t="s">
        <v>194</v>
      </c>
      <c r="L1" s="101" t="s">
        <v>195</v>
      </c>
      <c r="M1" s="4" t="s">
        <v>283</v>
      </c>
      <c r="N1" s="4" t="s">
        <v>196</v>
      </c>
      <c r="O1" s="4" t="s">
        <v>197</v>
      </c>
      <c r="P1" s="101" t="s">
        <v>198</v>
      </c>
      <c r="Q1" s="4" t="s">
        <v>325</v>
      </c>
      <c r="R1" s="4" t="s">
        <v>196</v>
      </c>
      <c r="S1" s="4" t="s">
        <v>197</v>
      </c>
      <c r="T1" s="101" t="s">
        <v>198</v>
      </c>
    </row>
    <row r="2" spans="1:20" s="1" customFormat="1" x14ac:dyDescent="0.25">
      <c r="A2" s="1" t="s">
        <v>14</v>
      </c>
      <c r="B2" s="1" t="s">
        <v>1</v>
      </c>
      <c r="C2" s="1">
        <v>3.49</v>
      </c>
      <c r="D2" s="1">
        <v>1.66</v>
      </c>
      <c r="E2" s="1">
        <v>-1.74</v>
      </c>
      <c r="F2" s="1">
        <v>0.86</v>
      </c>
      <c r="G2" s="1">
        <v>1.22</v>
      </c>
      <c r="H2" s="102">
        <v>0.26</v>
      </c>
      <c r="J2" s="1">
        <v>3.49</v>
      </c>
      <c r="K2" s="1">
        <v>-1.74</v>
      </c>
      <c r="L2" s="102">
        <v>1.22</v>
      </c>
      <c r="N2" s="1">
        <v>4.8196000000000003</v>
      </c>
      <c r="O2" s="1">
        <v>-1.016</v>
      </c>
      <c r="P2" s="102">
        <v>1.5573999999999999</v>
      </c>
      <c r="R2" s="1">
        <v>20.581</v>
      </c>
      <c r="S2" s="1">
        <v>-5.8460000000000001</v>
      </c>
      <c r="T2" s="102">
        <v>-1.895</v>
      </c>
    </row>
    <row r="3" spans="1:20" s="1" customFormat="1" x14ac:dyDescent="0.25">
      <c r="A3" s="1" t="s">
        <v>14</v>
      </c>
      <c r="B3" s="1" t="s">
        <v>7</v>
      </c>
      <c r="H3" s="102"/>
      <c r="L3" s="102"/>
      <c r="P3" s="102"/>
      <c r="R3" s="1">
        <v>4.82</v>
      </c>
      <c r="S3" s="1">
        <v>-1.139</v>
      </c>
      <c r="T3" s="102">
        <v>0.376</v>
      </c>
    </row>
    <row r="4" spans="1:20" s="1" customFormat="1" x14ac:dyDescent="0.25">
      <c r="A4" s="1" t="s">
        <v>345</v>
      </c>
      <c r="B4" s="1" t="s">
        <v>7</v>
      </c>
      <c r="H4" s="102"/>
      <c r="L4" s="102"/>
      <c r="P4" s="102"/>
      <c r="R4" s="1">
        <v>-1.821</v>
      </c>
      <c r="S4" s="1">
        <v>-2.5270000000000001</v>
      </c>
      <c r="T4" s="102">
        <v>-0.154</v>
      </c>
    </row>
    <row r="5" spans="1:20" s="1" customFormat="1" x14ac:dyDescent="0.25">
      <c r="A5" s="1" t="s">
        <v>346</v>
      </c>
      <c r="B5" s="1" t="s">
        <v>7</v>
      </c>
      <c r="H5" s="102"/>
      <c r="L5" s="102"/>
      <c r="P5" s="102"/>
      <c r="R5" s="1">
        <v>4.3</v>
      </c>
      <c r="S5" s="1">
        <v>-4.4550000000000001</v>
      </c>
      <c r="T5" s="102">
        <v>-0.154</v>
      </c>
    </row>
    <row r="6" spans="1:20" s="1" customFormat="1" x14ac:dyDescent="0.25">
      <c r="A6" s="1" t="s">
        <v>16</v>
      </c>
      <c r="B6" s="1" t="s">
        <v>1</v>
      </c>
      <c r="C6" s="1">
        <v>-0.51</v>
      </c>
      <c r="D6" s="1">
        <v>1.37</v>
      </c>
      <c r="E6" s="1">
        <v>-1.7</v>
      </c>
      <c r="F6" s="1">
        <v>0.17</v>
      </c>
      <c r="G6" s="1">
        <v>-1.1599999999999999</v>
      </c>
      <c r="H6" s="102">
        <v>0.67</v>
      </c>
      <c r="J6" s="1">
        <v>-0.51</v>
      </c>
      <c r="K6" s="1">
        <v>-1.7</v>
      </c>
      <c r="L6" s="102">
        <v>-1.1599999999999999</v>
      </c>
      <c r="N6" s="1">
        <v>1.2305999999999999</v>
      </c>
      <c r="O6" s="1">
        <v>-2.6211000000000002</v>
      </c>
      <c r="P6" s="102">
        <v>-0.93440000000000001</v>
      </c>
      <c r="R6" s="1">
        <v>18.966000000000001</v>
      </c>
      <c r="S6" s="1">
        <v>-7.09</v>
      </c>
      <c r="T6" s="102">
        <v>-1.639</v>
      </c>
    </row>
    <row r="7" spans="1:20" s="88" customFormat="1" x14ac:dyDescent="0.25">
      <c r="A7" s="88" t="s">
        <v>17</v>
      </c>
      <c r="B7" s="88" t="s">
        <v>1</v>
      </c>
      <c r="C7" s="88">
        <v>-0.51</v>
      </c>
      <c r="D7" s="88">
        <v>1.36</v>
      </c>
      <c r="E7" s="88">
        <v>-1.7</v>
      </c>
      <c r="F7" s="88">
        <v>0.16</v>
      </c>
      <c r="G7" s="88">
        <v>-1.1599999999999999</v>
      </c>
      <c r="H7" s="104">
        <v>0.68</v>
      </c>
      <c r="J7" s="88">
        <v>-0.51</v>
      </c>
      <c r="K7" s="88">
        <v>-1.7</v>
      </c>
      <c r="L7" s="104">
        <v>-1.1599999999999999</v>
      </c>
      <c r="N7" s="88">
        <v>1.2305999999999999</v>
      </c>
      <c r="O7" s="88">
        <v>-2.6211000000000002</v>
      </c>
      <c r="P7" s="104">
        <v>-0.93440000000000001</v>
      </c>
      <c r="R7" s="88" t="s">
        <v>347</v>
      </c>
      <c r="S7" s="88" t="s">
        <v>348</v>
      </c>
      <c r="T7" s="104" t="s">
        <v>328</v>
      </c>
    </row>
    <row r="8" spans="1:20" s="88" customFormat="1" x14ac:dyDescent="0.25">
      <c r="A8" s="88" t="s">
        <v>349</v>
      </c>
      <c r="B8" s="88" t="s">
        <v>1</v>
      </c>
      <c r="H8" s="104"/>
      <c r="L8" s="104"/>
      <c r="P8" s="104"/>
      <c r="R8" s="88">
        <v>-3.09</v>
      </c>
      <c r="S8" s="88">
        <v>-2.3559999999999999</v>
      </c>
      <c r="T8" s="104">
        <v>1.3260000000000001</v>
      </c>
    </row>
    <row r="9" spans="1:20" s="1" customFormat="1" x14ac:dyDescent="0.25">
      <c r="A9" s="1" t="s">
        <v>22</v>
      </c>
      <c r="B9" s="1" t="s">
        <v>1</v>
      </c>
      <c r="C9" s="1">
        <v>-4.17</v>
      </c>
      <c r="D9" s="1">
        <v>0.48</v>
      </c>
      <c r="E9" s="1">
        <v>0.65</v>
      </c>
      <c r="F9" s="1">
        <v>0.28999999999999998</v>
      </c>
      <c r="G9" s="1">
        <v>1.06</v>
      </c>
      <c r="H9" s="102">
        <v>0.05</v>
      </c>
      <c r="J9" s="1">
        <v>-4.17</v>
      </c>
      <c r="K9" s="1">
        <v>0.65</v>
      </c>
      <c r="L9" s="102">
        <v>1.06</v>
      </c>
      <c r="N9" s="1">
        <v>-3.0901000000000001</v>
      </c>
      <c r="O9" s="1">
        <v>-2.3559999999999999</v>
      </c>
      <c r="P9" s="102">
        <v>1.3254999999999999</v>
      </c>
      <c r="R9" s="1" t="s">
        <v>350</v>
      </c>
      <c r="T9" s="102"/>
    </row>
    <row r="10" spans="1:20" s="1" customFormat="1" x14ac:dyDescent="0.25">
      <c r="A10" s="1" t="s">
        <v>21</v>
      </c>
      <c r="B10" s="1" t="s">
        <v>1</v>
      </c>
      <c r="C10" s="1">
        <v>-4.16</v>
      </c>
      <c r="D10" s="1">
        <v>0.47</v>
      </c>
      <c r="E10" s="1">
        <v>0.65</v>
      </c>
      <c r="F10" s="1">
        <v>0.28999999999999998</v>
      </c>
      <c r="G10" s="1">
        <v>1.06</v>
      </c>
      <c r="H10" s="102">
        <v>0.05</v>
      </c>
      <c r="J10" s="1">
        <v>-4.16</v>
      </c>
      <c r="K10" s="1">
        <v>0.65</v>
      </c>
      <c r="L10" s="102">
        <v>1.06</v>
      </c>
      <c r="N10" s="1">
        <v>-3.0811999999999999</v>
      </c>
      <c r="O10" s="1">
        <v>-2.3515000000000001</v>
      </c>
      <c r="P10" s="102">
        <v>1.3258000000000001</v>
      </c>
      <c r="R10" s="1" t="s">
        <v>350</v>
      </c>
      <c r="T10" s="102"/>
    </row>
    <row r="11" spans="1:20" s="1" customFormat="1" x14ac:dyDescent="0.25">
      <c r="A11" s="1" t="s">
        <v>226</v>
      </c>
      <c r="B11" s="1" t="s">
        <v>1</v>
      </c>
      <c r="C11" s="1">
        <v>1.93</v>
      </c>
      <c r="D11" s="1">
        <v>0.34</v>
      </c>
      <c r="E11" s="1">
        <v>-2.13</v>
      </c>
      <c r="F11" s="1">
        <v>0</v>
      </c>
      <c r="G11" s="1">
        <v>1.41</v>
      </c>
      <c r="H11" s="102">
        <v>0.82</v>
      </c>
      <c r="J11" s="1">
        <v>1.93</v>
      </c>
      <c r="K11" s="1">
        <v>-2.13</v>
      </c>
      <c r="L11" s="102">
        <v>1.41</v>
      </c>
      <c r="N11" s="1">
        <v>3.6080000000000001</v>
      </c>
      <c r="O11" s="1">
        <v>-2.0838999999999999</v>
      </c>
      <c r="P11" s="102">
        <v>1.6738</v>
      </c>
      <c r="R11" s="1">
        <v>6.718</v>
      </c>
      <c r="S11" s="1">
        <v>-5.5519999999999996</v>
      </c>
      <c r="T11" s="102">
        <v>-1.458</v>
      </c>
    </row>
    <row r="12" spans="1:20" s="1" customFormat="1" x14ac:dyDescent="0.25">
      <c r="A12" s="1" t="s">
        <v>20</v>
      </c>
      <c r="B12" s="1" t="s">
        <v>1</v>
      </c>
      <c r="C12" s="1">
        <v>-4.17</v>
      </c>
      <c r="D12" s="1">
        <v>0.48</v>
      </c>
      <c r="E12" s="1">
        <v>0.65</v>
      </c>
      <c r="F12" s="1">
        <v>0.28999999999999998</v>
      </c>
      <c r="G12" s="1">
        <v>1.06</v>
      </c>
      <c r="H12" s="102">
        <v>0.05</v>
      </c>
      <c r="J12" s="1">
        <v>-4.17</v>
      </c>
      <c r="K12" s="1">
        <v>0.65</v>
      </c>
      <c r="L12" s="102">
        <v>1.06</v>
      </c>
      <c r="N12" s="1">
        <v>-3.0901000000000001</v>
      </c>
      <c r="O12" s="1">
        <v>-2.3559999999999999</v>
      </c>
      <c r="P12" s="102">
        <v>1.3254999999999999</v>
      </c>
      <c r="R12" s="1" t="s">
        <v>350</v>
      </c>
      <c r="T12" s="102"/>
    </row>
    <row r="13" spans="1:20" s="1" customFormat="1" x14ac:dyDescent="0.25">
      <c r="A13" s="1" t="s">
        <v>11</v>
      </c>
      <c r="B13" s="1" t="s">
        <v>1</v>
      </c>
      <c r="C13" s="1">
        <v>-4.17</v>
      </c>
      <c r="D13" s="1">
        <v>0.48</v>
      </c>
      <c r="E13" s="1">
        <v>0.65</v>
      </c>
      <c r="F13" s="1">
        <v>0.28999999999999998</v>
      </c>
      <c r="G13" s="1">
        <v>1.06</v>
      </c>
      <c r="H13" s="102">
        <v>0.05</v>
      </c>
      <c r="J13" s="1">
        <v>-4.17</v>
      </c>
      <c r="K13" s="1">
        <v>0.65</v>
      </c>
      <c r="L13" s="102">
        <v>1.06</v>
      </c>
      <c r="N13" s="1">
        <v>-3.0901000000000001</v>
      </c>
      <c r="O13" s="1">
        <v>-2.3559999999999999</v>
      </c>
      <c r="P13" s="102">
        <v>1.3254999999999999</v>
      </c>
      <c r="R13" s="1" t="s">
        <v>350</v>
      </c>
      <c r="T13" s="102"/>
    </row>
    <row r="14" spans="1:20" s="88" customFormat="1" x14ac:dyDescent="0.25">
      <c r="A14" s="88" t="s">
        <v>13</v>
      </c>
      <c r="B14" s="88" t="s">
        <v>1</v>
      </c>
      <c r="C14" s="88">
        <v>5.31</v>
      </c>
      <c r="D14" s="88">
        <v>0.31</v>
      </c>
      <c r="E14" s="88">
        <v>-2.31</v>
      </c>
      <c r="F14" s="88">
        <v>0.89</v>
      </c>
      <c r="G14" s="88">
        <v>-0.66</v>
      </c>
      <c r="H14" s="104">
        <v>0.13</v>
      </c>
      <c r="J14" s="88">
        <v>5.31</v>
      </c>
      <c r="K14" s="88">
        <v>-2.31</v>
      </c>
      <c r="L14" s="104">
        <v>-0.66</v>
      </c>
      <c r="N14" s="88">
        <v>6.6935000000000002</v>
      </c>
      <c r="O14" s="88">
        <v>-0.5595</v>
      </c>
      <c r="P14" s="104">
        <v>-0.30059999999999998</v>
      </c>
      <c r="R14" s="88">
        <v>7.9450000000000003</v>
      </c>
      <c r="S14" s="88">
        <v>-2.944</v>
      </c>
      <c r="T14" s="104">
        <v>-1.9650000000000001</v>
      </c>
    </row>
    <row r="15" spans="1:20" s="1" customFormat="1" x14ac:dyDescent="0.25">
      <c r="A15" s="1" t="s">
        <v>15</v>
      </c>
      <c r="B15" s="1" t="s">
        <v>1</v>
      </c>
      <c r="C15" s="1">
        <v>-0.51</v>
      </c>
      <c r="D15" s="1">
        <v>1.36</v>
      </c>
      <c r="E15" s="1">
        <v>-1.7</v>
      </c>
      <c r="F15" s="1">
        <v>0.16</v>
      </c>
      <c r="G15" s="1">
        <v>-1.1599999999999999</v>
      </c>
      <c r="H15" s="102">
        <v>0.68</v>
      </c>
      <c r="J15" s="1">
        <v>-0.51</v>
      </c>
      <c r="K15" s="1">
        <v>-1.7</v>
      </c>
      <c r="L15" s="102">
        <v>-1.1599999999999999</v>
      </c>
      <c r="N15" s="1">
        <v>1.2305999999999999</v>
      </c>
      <c r="O15" s="1">
        <v>-2.6211000000000002</v>
      </c>
      <c r="P15" s="102">
        <v>-0.93440000000000001</v>
      </c>
      <c r="R15" s="1">
        <v>6.61</v>
      </c>
      <c r="S15" s="1">
        <v>-1.7829999999999999</v>
      </c>
      <c r="T15" s="102">
        <v>-1.0620000000000001</v>
      </c>
    </row>
  </sheetData>
  <sortState ref="A1:P11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H16" sqref="H16"/>
    </sheetView>
  </sheetViews>
  <sheetFormatPr defaultColWidth="8.85546875" defaultRowHeight="15" x14ac:dyDescent="0.25"/>
  <cols>
    <col min="1" max="1" width="30.42578125" style="71" customWidth="1"/>
    <col min="2" max="2" width="25" customWidth="1"/>
    <col min="3" max="3" width="30.42578125" style="71" customWidth="1"/>
    <col min="4" max="4" width="26.28515625" customWidth="1"/>
    <col min="5" max="5" width="27" style="71" customWidth="1"/>
    <col min="6" max="6" width="23.140625" customWidth="1"/>
    <col min="7" max="7" width="19.140625" customWidth="1"/>
  </cols>
  <sheetData>
    <row r="1" spans="1:7" s="71" customFormat="1" x14ac:dyDescent="0.25">
      <c r="A1" s="72" t="s">
        <v>221</v>
      </c>
      <c r="B1" s="72" t="s">
        <v>243</v>
      </c>
      <c r="C1" s="72" t="s">
        <v>220</v>
      </c>
      <c r="D1" s="72" t="s">
        <v>244</v>
      </c>
      <c r="E1" s="72" t="s">
        <v>222</v>
      </c>
      <c r="F1" s="72" t="s">
        <v>245</v>
      </c>
      <c r="G1" s="72" t="s">
        <v>246</v>
      </c>
    </row>
    <row r="2" spans="1:7" x14ac:dyDescent="0.25">
      <c r="A2" s="72" t="s">
        <v>35</v>
      </c>
      <c r="B2" s="76" t="s">
        <v>204</v>
      </c>
      <c r="C2" s="72" t="s">
        <v>35</v>
      </c>
      <c r="D2" s="75" t="s">
        <v>208</v>
      </c>
      <c r="E2" s="72" t="s">
        <v>35</v>
      </c>
      <c r="F2" s="75" t="s">
        <v>208</v>
      </c>
      <c r="G2" s="73"/>
    </row>
    <row r="3" spans="1:7" x14ac:dyDescent="0.25">
      <c r="A3" s="72" t="s">
        <v>33</v>
      </c>
      <c r="B3" s="76" t="s">
        <v>204</v>
      </c>
      <c r="C3" s="72" t="s">
        <v>33</v>
      </c>
      <c r="D3" s="75" t="s">
        <v>208</v>
      </c>
      <c r="E3" s="72" t="s">
        <v>33</v>
      </c>
      <c r="F3" s="75" t="s">
        <v>208</v>
      </c>
      <c r="G3" s="73"/>
    </row>
    <row r="4" spans="1:7" x14ac:dyDescent="0.25">
      <c r="A4" s="72" t="s">
        <v>34</v>
      </c>
      <c r="B4" s="76" t="s">
        <v>204</v>
      </c>
      <c r="C4" s="72" t="s">
        <v>34</v>
      </c>
      <c r="D4" s="75" t="s">
        <v>208</v>
      </c>
      <c r="E4" s="72" t="s">
        <v>34</v>
      </c>
      <c r="F4" s="75" t="s">
        <v>208</v>
      </c>
      <c r="G4" s="73"/>
    </row>
    <row r="5" spans="1:7" s="5" customFormat="1" x14ac:dyDescent="0.25">
      <c r="A5" s="72"/>
      <c r="C5" s="72"/>
      <c r="E5" s="72" t="s">
        <v>211</v>
      </c>
      <c r="F5" s="75" t="s">
        <v>208</v>
      </c>
      <c r="G5" s="73"/>
    </row>
    <row r="6" spans="1:7" x14ac:dyDescent="0.25">
      <c r="A6" s="72" t="s">
        <v>238</v>
      </c>
      <c r="B6" s="76" t="s">
        <v>204</v>
      </c>
      <c r="C6" s="72" t="s">
        <v>238</v>
      </c>
      <c r="D6" s="76" t="s">
        <v>204</v>
      </c>
      <c r="E6" s="72" t="s">
        <v>214</v>
      </c>
      <c r="F6" s="76" t="s">
        <v>204</v>
      </c>
      <c r="G6" s="82" t="s">
        <v>202</v>
      </c>
    </row>
    <row r="7" spans="1:7" x14ac:dyDescent="0.25">
      <c r="A7" s="72" t="s">
        <v>239</v>
      </c>
      <c r="B7" s="82" t="s">
        <v>202</v>
      </c>
      <c r="C7" s="72" t="s">
        <v>239</v>
      </c>
      <c r="D7" s="76" t="s">
        <v>204</v>
      </c>
      <c r="E7" s="72"/>
      <c r="F7" s="5"/>
      <c r="G7" s="5"/>
    </row>
    <row r="8" spans="1:7" x14ac:dyDescent="0.25">
      <c r="A8" s="72" t="s">
        <v>24</v>
      </c>
      <c r="B8" s="76" t="s">
        <v>204</v>
      </c>
      <c r="C8" s="72" t="s">
        <v>24</v>
      </c>
      <c r="D8" s="76" t="s">
        <v>204</v>
      </c>
      <c r="E8" s="72"/>
      <c r="F8" s="5"/>
      <c r="G8" s="5"/>
    </row>
    <row r="9" spans="1:7" x14ac:dyDescent="0.25">
      <c r="A9" s="72" t="s">
        <v>14</v>
      </c>
      <c r="B9" s="79" t="s">
        <v>209</v>
      </c>
      <c r="C9" s="72" t="s">
        <v>14</v>
      </c>
      <c r="D9" s="79" t="s">
        <v>209</v>
      </c>
      <c r="E9" s="72" t="s">
        <v>14</v>
      </c>
      <c r="F9" s="79" t="s">
        <v>209</v>
      </c>
      <c r="G9" s="73"/>
    </row>
    <row r="10" spans="1:7" x14ac:dyDescent="0.25">
      <c r="A10" s="72"/>
      <c r="B10" s="5"/>
      <c r="C10" s="72" t="s">
        <v>228</v>
      </c>
      <c r="D10" s="79" t="s">
        <v>209</v>
      </c>
      <c r="E10" s="72" t="s">
        <v>227</v>
      </c>
      <c r="F10" s="79" t="s">
        <v>209</v>
      </c>
      <c r="G10" s="73"/>
    </row>
    <row r="11" spans="1:7" x14ac:dyDescent="0.25">
      <c r="A11" s="72" t="s">
        <v>16</v>
      </c>
      <c r="B11" s="80" t="s">
        <v>210</v>
      </c>
      <c r="C11" s="72" t="s">
        <v>223</v>
      </c>
      <c r="D11" s="80" t="s">
        <v>210</v>
      </c>
      <c r="E11" s="72" t="s">
        <v>223</v>
      </c>
      <c r="F11" s="80" t="s">
        <v>210</v>
      </c>
      <c r="G11" s="73"/>
    </row>
    <row r="12" spans="1:7" x14ac:dyDescent="0.25">
      <c r="A12" s="72" t="s">
        <v>17</v>
      </c>
      <c r="B12" s="80" t="s">
        <v>210</v>
      </c>
      <c r="E12" s="72" t="s">
        <v>224</v>
      </c>
      <c r="F12" s="80" t="s">
        <v>210</v>
      </c>
      <c r="G12" s="73"/>
    </row>
    <row r="13" spans="1:7" x14ac:dyDescent="0.25">
      <c r="A13" s="72" t="s">
        <v>248</v>
      </c>
      <c r="B13" s="80" t="s">
        <v>210</v>
      </c>
      <c r="C13" s="72" t="s">
        <v>248</v>
      </c>
      <c r="D13" s="80" t="s">
        <v>210</v>
      </c>
      <c r="E13" s="72" t="s">
        <v>219</v>
      </c>
      <c r="F13" s="80" t="s">
        <v>210</v>
      </c>
      <c r="G13" s="82" t="s">
        <v>202</v>
      </c>
    </row>
    <row r="14" spans="1:7" x14ac:dyDescent="0.25">
      <c r="A14" s="72" t="s">
        <v>247</v>
      </c>
      <c r="B14" s="80" t="s">
        <v>210</v>
      </c>
      <c r="C14" s="72" t="s">
        <v>247</v>
      </c>
      <c r="D14" s="80" t="s">
        <v>210</v>
      </c>
      <c r="E14" s="72"/>
      <c r="F14" s="5"/>
      <c r="G14" s="5"/>
    </row>
    <row r="15" spans="1:7" x14ac:dyDescent="0.25">
      <c r="A15" s="72" t="s">
        <v>41</v>
      </c>
      <c r="B15" s="76" t="s">
        <v>204</v>
      </c>
      <c r="C15" s="72" t="s">
        <v>235</v>
      </c>
      <c r="D15" s="77" t="s">
        <v>206</v>
      </c>
      <c r="E15" s="72"/>
      <c r="F15" s="5"/>
      <c r="G15" s="5"/>
    </row>
    <row r="16" spans="1:7" x14ac:dyDescent="0.25">
      <c r="A16" s="72" t="s">
        <v>40</v>
      </c>
      <c r="B16" s="76" t="s">
        <v>204</v>
      </c>
      <c r="C16" s="72"/>
      <c r="D16" s="5"/>
      <c r="E16" s="72"/>
      <c r="F16" s="5"/>
      <c r="G16" s="5"/>
    </row>
    <row r="17" spans="1:7" x14ac:dyDescent="0.25">
      <c r="A17" s="72" t="s">
        <v>29</v>
      </c>
      <c r="B17" s="78" t="s">
        <v>205</v>
      </c>
      <c r="C17" s="72" t="s">
        <v>29</v>
      </c>
      <c r="D17" s="77" t="s">
        <v>206</v>
      </c>
      <c r="E17" s="72"/>
      <c r="F17" s="5"/>
      <c r="G17" s="5"/>
    </row>
    <row r="18" spans="1:7" x14ac:dyDescent="0.25">
      <c r="A18" s="72" t="s">
        <v>30</v>
      </c>
      <c r="B18" s="78" t="s">
        <v>205</v>
      </c>
      <c r="C18" s="72"/>
      <c r="D18" s="5"/>
      <c r="E18" s="72" t="s">
        <v>30</v>
      </c>
      <c r="F18" s="76" t="s">
        <v>204</v>
      </c>
      <c r="G18" s="73"/>
    </row>
    <row r="19" spans="1:7" x14ac:dyDescent="0.25">
      <c r="A19" s="72" t="s">
        <v>31</v>
      </c>
      <c r="B19" s="78" t="s">
        <v>205</v>
      </c>
      <c r="C19" s="72"/>
      <c r="D19" s="5"/>
      <c r="E19" s="72" t="s">
        <v>213</v>
      </c>
      <c r="F19" s="76" t="s">
        <v>204</v>
      </c>
      <c r="G19" s="73"/>
    </row>
    <row r="20" spans="1:7" x14ac:dyDescent="0.25">
      <c r="A20" s="72" t="s">
        <v>5</v>
      </c>
      <c r="B20" s="82" t="s">
        <v>202</v>
      </c>
      <c r="C20" s="72" t="s">
        <v>237</v>
      </c>
      <c r="D20" s="75" t="s">
        <v>207</v>
      </c>
      <c r="E20" s="72" t="s">
        <v>218</v>
      </c>
      <c r="F20" s="82" t="s">
        <v>202</v>
      </c>
      <c r="G20" s="73"/>
    </row>
    <row r="21" spans="1:7" x14ac:dyDescent="0.25">
      <c r="A21" s="72" t="s">
        <v>4</v>
      </c>
      <c r="B21" s="82" t="s">
        <v>202</v>
      </c>
      <c r="C21" s="72" t="s">
        <v>236</v>
      </c>
      <c r="D21" s="75" t="s">
        <v>207</v>
      </c>
      <c r="E21" s="72" t="s">
        <v>217</v>
      </c>
      <c r="F21" s="82" t="s">
        <v>202</v>
      </c>
      <c r="G21" s="73"/>
    </row>
    <row r="22" spans="1:7" x14ac:dyDescent="0.25">
      <c r="A22" s="72"/>
      <c r="B22" s="5"/>
      <c r="C22" s="72"/>
      <c r="D22" s="5"/>
      <c r="E22" s="72" t="s">
        <v>216</v>
      </c>
      <c r="F22" s="76" t="s">
        <v>204</v>
      </c>
      <c r="G22" s="82" t="s">
        <v>202</v>
      </c>
    </row>
    <row r="23" spans="1:7" x14ac:dyDescent="0.25">
      <c r="A23" s="72" t="s">
        <v>37</v>
      </c>
      <c r="B23" s="78" t="s">
        <v>205</v>
      </c>
      <c r="C23" s="72" t="s">
        <v>230</v>
      </c>
      <c r="D23" s="78" t="s">
        <v>205</v>
      </c>
      <c r="E23" s="72" t="s">
        <v>212</v>
      </c>
      <c r="F23" s="78" t="s">
        <v>205</v>
      </c>
      <c r="G23" s="5"/>
    </row>
    <row r="24" spans="1:7" x14ac:dyDescent="0.25">
      <c r="C24" s="72" t="s">
        <v>231</v>
      </c>
      <c r="D24" s="78" t="s">
        <v>205</v>
      </c>
      <c r="E24" s="72"/>
      <c r="F24" s="5"/>
      <c r="G24" s="5"/>
    </row>
    <row r="25" spans="1:7" x14ac:dyDescent="0.25">
      <c r="C25" s="72" t="s">
        <v>229</v>
      </c>
      <c r="D25" s="78" t="s">
        <v>205</v>
      </c>
      <c r="E25" s="72"/>
      <c r="F25" s="5"/>
      <c r="G25" s="5"/>
    </row>
    <row r="26" spans="1:7" s="5" customFormat="1" x14ac:dyDescent="0.25">
      <c r="A26" s="72" t="s">
        <v>38</v>
      </c>
      <c r="B26" s="76" t="s">
        <v>204</v>
      </c>
      <c r="C26" s="72" t="s">
        <v>38</v>
      </c>
      <c r="D26" s="74" t="s">
        <v>206</v>
      </c>
      <c r="E26" s="72"/>
    </row>
    <row r="27" spans="1:7" x14ac:dyDescent="0.25">
      <c r="A27" s="72" t="s">
        <v>39</v>
      </c>
      <c r="B27" s="76" t="s">
        <v>204</v>
      </c>
      <c r="C27" s="72" t="s">
        <v>39</v>
      </c>
      <c r="D27" s="74" t="s">
        <v>206</v>
      </c>
      <c r="E27" s="72"/>
      <c r="F27" s="5"/>
      <c r="G27" s="5"/>
    </row>
    <row r="28" spans="1:7" x14ac:dyDescent="0.25">
      <c r="A28" s="72"/>
      <c r="B28" s="5"/>
      <c r="C28" s="72" t="s">
        <v>240</v>
      </c>
      <c r="D28" s="83" t="s">
        <v>203</v>
      </c>
      <c r="E28" s="72"/>
      <c r="F28" s="5"/>
      <c r="G28" s="5"/>
    </row>
    <row r="29" spans="1:7" x14ac:dyDescent="0.25">
      <c r="A29" s="72" t="s">
        <v>36</v>
      </c>
      <c r="B29" s="78" t="s">
        <v>205</v>
      </c>
      <c r="C29" s="72" t="s">
        <v>36</v>
      </c>
      <c r="D29" s="78" t="s">
        <v>205</v>
      </c>
      <c r="E29" s="72"/>
      <c r="F29" s="5"/>
      <c r="G29" s="5"/>
    </row>
    <row r="30" spans="1:7" x14ac:dyDescent="0.25">
      <c r="A30" s="72" t="s">
        <v>18</v>
      </c>
      <c r="B30" s="80" t="s">
        <v>210</v>
      </c>
      <c r="C30" s="72" t="s">
        <v>232</v>
      </c>
      <c r="D30" s="81" t="s">
        <v>234</v>
      </c>
      <c r="E30" s="72" t="s">
        <v>225</v>
      </c>
      <c r="F30" s="81" t="s">
        <v>234</v>
      </c>
      <c r="G30" s="73"/>
    </row>
    <row r="31" spans="1:7" x14ac:dyDescent="0.25">
      <c r="A31" s="72"/>
      <c r="B31" s="5"/>
      <c r="C31" s="72" t="s">
        <v>233</v>
      </c>
      <c r="D31" s="81" t="s">
        <v>234</v>
      </c>
      <c r="G31" s="73"/>
    </row>
    <row r="32" spans="1:7" x14ac:dyDescent="0.25">
      <c r="A32" s="72"/>
      <c r="B32" s="5"/>
      <c r="C32" s="72" t="s">
        <v>241</v>
      </c>
      <c r="D32" s="81" t="s">
        <v>234</v>
      </c>
      <c r="E32" s="72"/>
      <c r="F32" s="5"/>
      <c r="G32" s="73"/>
    </row>
    <row r="33" spans="1:7" x14ac:dyDescent="0.25">
      <c r="A33" s="72"/>
      <c r="B33" s="5"/>
      <c r="C33" s="71" t="s">
        <v>242</v>
      </c>
      <c r="D33" s="81" t="s">
        <v>234</v>
      </c>
      <c r="E33" s="72"/>
      <c r="F33" s="5"/>
      <c r="G33" s="73"/>
    </row>
    <row r="34" spans="1:7" x14ac:dyDescent="0.25">
      <c r="A34" s="72"/>
      <c r="B34" s="5"/>
      <c r="C34" s="72" t="s">
        <v>226</v>
      </c>
      <c r="D34" s="81" t="s">
        <v>234</v>
      </c>
      <c r="E34" s="72" t="s">
        <v>226</v>
      </c>
      <c r="F34" s="81" t="s">
        <v>234</v>
      </c>
      <c r="G34" s="73"/>
    </row>
    <row r="35" spans="1:7" x14ac:dyDescent="0.25">
      <c r="A35" s="72" t="s">
        <v>32</v>
      </c>
      <c r="B35" s="78" t="s">
        <v>205</v>
      </c>
      <c r="C35" s="72"/>
      <c r="D35" s="5"/>
      <c r="E35" s="72"/>
      <c r="F35" s="5"/>
      <c r="G35" s="73"/>
    </row>
    <row r="36" spans="1:7" x14ac:dyDescent="0.25">
      <c r="A36" s="72" t="s">
        <v>20</v>
      </c>
      <c r="B36" s="80" t="s">
        <v>210</v>
      </c>
      <c r="C36" s="72" t="s">
        <v>20</v>
      </c>
      <c r="D36" s="80" t="s">
        <v>210</v>
      </c>
      <c r="E36" s="72" t="s">
        <v>20</v>
      </c>
      <c r="F36" s="80" t="s">
        <v>210</v>
      </c>
      <c r="G36" s="82" t="s">
        <v>202</v>
      </c>
    </row>
    <row r="37" spans="1:7" x14ac:dyDescent="0.25">
      <c r="A37" s="72" t="s">
        <v>19</v>
      </c>
      <c r="B37" s="80" t="s">
        <v>210</v>
      </c>
      <c r="C37" s="72" t="s">
        <v>19</v>
      </c>
      <c r="D37" s="82" t="s">
        <v>202</v>
      </c>
      <c r="G37" s="73"/>
    </row>
    <row r="38" spans="1:7" x14ac:dyDescent="0.25">
      <c r="A38" s="72" t="s">
        <v>27</v>
      </c>
      <c r="B38" s="76" t="s">
        <v>204</v>
      </c>
      <c r="C38" s="72" t="s">
        <v>27</v>
      </c>
      <c r="D38" s="77" t="s">
        <v>206</v>
      </c>
      <c r="F38" s="5"/>
      <c r="G38" s="73"/>
    </row>
    <row r="39" spans="1:7" x14ac:dyDescent="0.25">
      <c r="A39" s="72" t="s">
        <v>6</v>
      </c>
      <c r="B39" s="78" t="s">
        <v>205</v>
      </c>
      <c r="C39" s="72" t="s">
        <v>6</v>
      </c>
      <c r="D39" s="83" t="s">
        <v>203</v>
      </c>
      <c r="E39" s="72" t="s">
        <v>6</v>
      </c>
      <c r="F39" s="78" t="s">
        <v>205</v>
      </c>
      <c r="G39" s="83" t="s">
        <v>203</v>
      </c>
    </row>
    <row r="40" spans="1:7" x14ac:dyDescent="0.25">
      <c r="A40" s="72" t="s">
        <v>3</v>
      </c>
      <c r="B40" s="82" t="s">
        <v>202</v>
      </c>
      <c r="C40" s="72" t="s">
        <v>3</v>
      </c>
      <c r="D40" s="76" t="s">
        <v>204</v>
      </c>
      <c r="E40" s="72" t="s">
        <v>215</v>
      </c>
      <c r="F40" s="76" t="s">
        <v>204</v>
      </c>
      <c r="G40" s="82" t="s">
        <v>202</v>
      </c>
    </row>
    <row r="41" spans="1:7" x14ac:dyDescent="0.25">
      <c r="A41" s="72" t="s">
        <v>25</v>
      </c>
      <c r="B41" s="82" t="s">
        <v>202</v>
      </c>
      <c r="C41" s="72" t="s">
        <v>2</v>
      </c>
      <c r="D41" s="76" t="s">
        <v>204</v>
      </c>
      <c r="E41" s="72" t="s">
        <v>2</v>
      </c>
      <c r="F41" s="76" t="s">
        <v>204</v>
      </c>
      <c r="G41" s="82" t="s">
        <v>202</v>
      </c>
    </row>
    <row r="42" spans="1:7" x14ac:dyDescent="0.25">
      <c r="A42" s="72" t="s">
        <v>26</v>
      </c>
      <c r="B42" s="82" t="s">
        <v>202</v>
      </c>
      <c r="C42" s="72"/>
      <c r="D42" s="5"/>
      <c r="E42" s="72"/>
      <c r="F42" s="5"/>
      <c r="G42" s="5"/>
    </row>
    <row r="43" spans="1:7" x14ac:dyDescent="0.25">
      <c r="A43" s="72" t="s">
        <v>11</v>
      </c>
      <c r="B43" s="80" t="s">
        <v>210</v>
      </c>
      <c r="C43" s="72" t="s">
        <v>11</v>
      </c>
      <c r="D43" s="80" t="s">
        <v>210</v>
      </c>
      <c r="E43" s="72" t="s">
        <v>11</v>
      </c>
      <c r="F43" s="80" t="s">
        <v>210</v>
      </c>
      <c r="G43" s="73"/>
    </row>
    <row r="44" spans="1:7" x14ac:dyDescent="0.25">
      <c r="A44" s="72" t="s">
        <v>28</v>
      </c>
      <c r="B44" s="78" t="s">
        <v>205</v>
      </c>
      <c r="C44" s="72" t="s">
        <v>28</v>
      </c>
      <c r="D44" s="77" t="s">
        <v>206</v>
      </c>
      <c r="E44" s="72"/>
      <c r="F44" s="5"/>
      <c r="G44" s="73"/>
    </row>
    <row r="45" spans="1:7" x14ac:dyDescent="0.25">
      <c r="A45" s="72" t="s">
        <v>13</v>
      </c>
      <c r="B45" s="79" t="s">
        <v>209</v>
      </c>
      <c r="C45" s="72" t="s">
        <v>13</v>
      </c>
      <c r="D45" s="79" t="s">
        <v>209</v>
      </c>
      <c r="E45" s="72" t="s">
        <v>13</v>
      </c>
      <c r="F45" s="79" t="s">
        <v>209</v>
      </c>
      <c r="G45" s="73"/>
    </row>
    <row r="46" spans="1:7" x14ac:dyDescent="0.25">
      <c r="A46" s="72" t="s">
        <v>15</v>
      </c>
      <c r="B46" s="80" t="s">
        <v>210</v>
      </c>
      <c r="C46" s="72" t="s">
        <v>15</v>
      </c>
      <c r="D46" s="80" t="s">
        <v>210</v>
      </c>
      <c r="E46" s="72" t="s">
        <v>15</v>
      </c>
      <c r="F46" s="80" t="s">
        <v>210</v>
      </c>
      <c r="G46" s="73"/>
    </row>
    <row r="47" spans="1:7" x14ac:dyDescent="0.25">
      <c r="A47" s="72" t="s">
        <v>9</v>
      </c>
      <c r="B47" s="83" t="s">
        <v>203</v>
      </c>
      <c r="C47" s="72" t="s">
        <v>9</v>
      </c>
      <c r="D47" s="83" t="s">
        <v>203</v>
      </c>
      <c r="E47" s="72" t="s">
        <v>9</v>
      </c>
      <c r="F47" s="83" t="s">
        <v>203</v>
      </c>
      <c r="G47" s="73"/>
    </row>
    <row r="48" spans="1:7" x14ac:dyDescent="0.25">
      <c r="A48" s="72" t="s">
        <v>8</v>
      </c>
      <c r="B48" s="83" t="s">
        <v>203</v>
      </c>
      <c r="C48" s="72" t="s">
        <v>8</v>
      </c>
      <c r="D48" s="83" t="s">
        <v>203</v>
      </c>
      <c r="E48" s="72" t="s">
        <v>8</v>
      </c>
      <c r="F48" s="83" t="s">
        <v>203</v>
      </c>
      <c r="G48" s="73"/>
    </row>
    <row r="49" spans="1:7" x14ac:dyDescent="0.25">
      <c r="A49" s="72" t="s">
        <v>10</v>
      </c>
      <c r="B49" s="83" t="s">
        <v>203</v>
      </c>
      <c r="C49" s="72" t="s">
        <v>10</v>
      </c>
      <c r="D49" s="83" t="s">
        <v>203</v>
      </c>
      <c r="E49" s="72" t="s">
        <v>10</v>
      </c>
      <c r="F49" s="83" t="s">
        <v>203</v>
      </c>
      <c r="G49" s="73"/>
    </row>
    <row r="50" spans="1:7" x14ac:dyDescent="0.25">
      <c r="E50" s="72"/>
      <c r="F50" s="73"/>
      <c r="G50" s="73"/>
    </row>
    <row r="51" spans="1:7" x14ac:dyDescent="0.25">
      <c r="E51" s="72"/>
      <c r="F51" s="73"/>
      <c r="G51" s="73"/>
    </row>
    <row r="52" spans="1:7" x14ac:dyDescent="0.25">
      <c r="E52" s="72"/>
      <c r="F52" s="73"/>
      <c r="G52" s="73"/>
    </row>
    <row r="53" spans="1:7" x14ac:dyDescent="0.25">
      <c r="E53" s="72"/>
      <c r="F53" s="73"/>
      <c r="G53" s="73"/>
    </row>
    <row r="54" spans="1:7" x14ac:dyDescent="0.25">
      <c r="E54" s="72"/>
      <c r="F54" s="73"/>
      <c r="G54" s="73"/>
    </row>
    <row r="55" spans="1:7" x14ac:dyDescent="0.25">
      <c r="E55" s="72"/>
      <c r="F55" s="73"/>
      <c r="G55" s="73"/>
    </row>
    <row r="56" spans="1:7" x14ac:dyDescent="0.25">
      <c r="E56" s="72"/>
      <c r="F56" s="73"/>
      <c r="G56" s="73"/>
    </row>
    <row r="57" spans="1:7" x14ac:dyDescent="0.25">
      <c r="E57" s="72"/>
      <c r="F57" s="73"/>
      <c r="G57" s="73"/>
    </row>
    <row r="58" spans="1:7" x14ac:dyDescent="0.25">
      <c r="E58" s="72"/>
      <c r="F58" s="73"/>
      <c r="G58" s="73"/>
    </row>
    <row r="59" spans="1:7" x14ac:dyDescent="0.25">
      <c r="E59" s="72"/>
      <c r="F59" s="73"/>
      <c r="G59" s="73"/>
    </row>
    <row r="60" spans="1:7" x14ac:dyDescent="0.25">
      <c r="E60" s="72"/>
      <c r="F60" s="73"/>
      <c r="G60" s="73"/>
    </row>
    <row r="61" spans="1:7" x14ac:dyDescent="0.25">
      <c r="E61" s="72"/>
      <c r="F61" s="73"/>
      <c r="G61" s="73"/>
    </row>
    <row r="62" spans="1:7" x14ac:dyDescent="0.25">
      <c r="E62" s="72"/>
      <c r="F62" s="73"/>
      <c r="G62" s="73"/>
    </row>
    <row r="63" spans="1:7" x14ac:dyDescent="0.25">
      <c r="E63" s="72"/>
      <c r="F63" s="73"/>
      <c r="G63" s="73"/>
    </row>
    <row r="64" spans="1:7" x14ac:dyDescent="0.25">
      <c r="E64" s="72"/>
      <c r="F64" s="73"/>
      <c r="G64" s="73"/>
    </row>
    <row r="65" spans="5:7" x14ac:dyDescent="0.25">
      <c r="E65" s="72"/>
      <c r="F65" s="73"/>
      <c r="G65" s="73"/>
    </row>
    <row r="66" spans="5:7" x14ac:dyDescent="0.25">
      <c r="E66" s="72"/>
      <c r="F66" s="73"/>
      <c r="G66" s="73"/>
    </row>
  </sheetData>
  <sortState ref="E2:G29">
    <sortCondition ref="E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tabSelected="1" topLeftCell="B1" zoomScale="80" zoomScaleNormal="80" workbookViewId="0">
      <pane ySplit="1" topLeftCell="A2" activePane="bottomLeft" state="frozen"/>
      <selection activeCell="B1" sqref="B1"/>
      <selection pane="bottomLeft" activeCell="C9" sqref="C9"/>
    </sheetView>
  </sheetViews>
  <sheetFormatPr defaultColWidth="8.85546875" defaultRowHeight="15" x14ac:dyDescent="0.25"/>
  <cols>
    <col min="1" max="1" width="7.85546875" customWidth="1"/>
    <col min="2" max="2" width="27.7109375" bestFit="1" customWidth="1"/>
    <col min="3" max="3" width="10" customWidth="1"/>
    <col min="4" max="4" width="5.5703125" customWidth="1"/>
    <col min="6" max="6" width="3.7109375" style="2" customWidth="1"/>
    <col min="8" max="8" width="3.5703125" customWidth="1"/>
    <col min="9" max="9" width="9.85546875" customWidth="1"/>
    <col min="10" max="10" width="3.5703125" customWidth="1"/>
    <col min="11" max="11" width="11.28515625" style="5" customWidth="1"/>
    <col min="12" max="12" width="6.42578125" style="5" customWidth="1"/>
    <col min="13" max="13" width="6.5703125" customWidth="1"/>
    <col min="14" max="14" width="4.28515625" customWidth="1"/>
    <col min="15" max="15" width="8.28515625" customWidth="1"/>
    <col min="16" max="16" width="3.5703125" customWidth="1"/>
    <col min="17" max="17" width="8.28515625" customWidth="1"/>
    <col min="18" max="18" width="4" customWidth="1"/>
    <col min="21" max="21" width="12" style="5" bestFit="1" customWidth="1"/>
    <col min="22" max="23" width="12" style="5" customWidth="1"/>
    <col min="24" max="24" width="14.7109375" customWidth="1"/>
  </cols>
  <sheetData>
    <row r="1" spans="1:28" s="182" customFormat="1" ht="48.75" customHeight="1" x14ac:dyDescent="0.25">
      <c r="A1" s="182" t="s">
        <v>42</v>
      </c>
      <c r="B1" s="182" t="s">
        <v>67</v>
      </c>
      <c r="C1" s="182" t="s">
        <v>68</v>
      </c>
      <c r="D1" s="183" t="s">
        <v>263</v>
      </c>
      <c r="E1" s="182" t="s">
        <v>69</v>
      </c>
      <c r="F1" s="183" t="s">
        <v>263</v>
      </c>
      <c r="G1" s="182" t="s">
        <v>70</v>
      </c>
      <c r="H1" s="183" t="s">
        <v>263</v>
      </c>
      <c r="I1" s="182" t="s">
        <v>594</v>
      </c>
      <c r="J1" s="183" t="s">
        <v>263</v>
      </c>
      <c r="K1" s="183" t="s">
        <v>477</v>
      </c>
      <c r="L1" s="183" t="s">
        <v>263</v>
      </c>
      <c r="M1" s="182" t="s">
        <v>71</v>
      </c>
      <c r="N1" s="183" t="s">
        <v>263</v>
      </c>
      <c r="O1" s="182" t="s">
        <v>593</v>
      </c>
      <c r="P1" s="183" t="s">
        <v>263</v>
      </c>
      <c r="Q1" s="182" t="s">
        <v>515</v>
      </c>
      <c r="R1" s="183" t="s">
        <v>263</v>
      </c>
      <c r="S1" s="182" t="s">
        <v>72</v>
      </c>
      <c r="T1" s="183" t="s">
        <v>263</v>
      </c>
      <c r="U1" s="183" t="s">
        <v>140</v>
      </c>
      <c r="V1" s="183" t="s">
        <v>516</v>
      </c>
      <c r="W1" s="183" t="s">
        <v>139</v>
      </c>
      <c r="X1" s="182" t="s">
        <v>353</v>
      </c>
    </row>
    <row r="2" spans="1:28" x14ac:dyDescent="0.25">
      <c r="A2" t="s">
        <v>86</v>
      </c>
      <c r="B2" t="s">
        <v>113</v>
      </c>
      <c r="C2" s="177">
        <v>1087</v>
      </c>
      <c r="D2" s="2">
        <v>157</v>
      </c>
      <c r="E2">
        <v>22.8</v>
      </c>
      <c r="F2" s="2">
        <v>0.4</v>
      </c>
      <c r="G2">
        <v>12</v>
      </c>
      <c r="H2" t="s">
        <v>378</v>
      </c>
      <c r="I2">
        <v>1246</v>
      </c>
      <c r="J2" t="s">
        <v>419</v>
      </c>
      <c r="K2" s="85">
        <f>I2*(9.8/1000)</f>
        <v>12.210800000000003</v>
      </c>
      <c r="L2" s="133">
        <f>J2*(9.8/1000)</f>
        <v>0.78400000000000014</v>
      </c>
      <c r="N2" t="s">
        <v>445</v>
      </c>
      <c r="O2">
        <v>406</v>
      </c>
      <c r="P2" t="s">
        <v>458</v>
      </c>
      <c r="R2" t="s">
        <v>445</v>
      </c>
      <c r="S2">
        <v>0</v>
      </c>
      <c r="T2" t="s">
        <v>413</v>
      </c>
      <c r="U2" s="85" t="e">
        <f>IF(S2=0,#N/A,2.5*K2/(0.067*0.001*S2))</f>
        <v>#N/A</v>
      </c>
      <c r="V2" s="85">
        <f>IF(S2=0,78.278*C2+6952.7,#N/A)</f>
        <v>92040.885999999999</v>
      </c>
      <c r="W2" s="85"/>
      <c r="X2" s="133">
        <f t="shared" ref="X2:X44" si="0">(COS(G2*(3.14159/180))*(C2/1000))/((E2/10)*1.0564)</f>
        <v>0.44143901581437806</v>
      </c>
      <c r="Y2" s="5"/>
      <c r="Z2" t="e">
        <v>#N/A</v>
      </c>
      <c r="AA2">
        <v>92040.885999999999</v>
      </c>
      <c r="AB2">
        <f>IF(ISNA(Z2),AA2,Z2)</f>
        <v>92040.885999999999</v>
      </c>
    </row>
    <row r="3" spans="1:28" x14ac:dyDescent="0.25">
      <c r="A3" t="s">
        <v>87</v>
      </c>
      <c r="B3" t="s">
        <v>114</v>
      </c>
      <c r="C3" s="177">
        <v>94</v>
      </c>
      <c r="D3" s="2">
        <v>19</v>
      </c>
      <c r="E3">
        <v>16.600000000000001</v>
      </c>
      <c r="F3" s="2">
        <v>2.1</v>
      </c>
      <c r="G3">
        <v>9</v>
      </c>
      <c r="H3" t="s">
        <v>374</v>
      </c>
      <c r="I3">
        <v>106</v>
      </c>
      <c r="J3" t="s">
        <v>381</v>
      </c>
      <c r="K3" s="133">
        <f t="shared" ref="K3:K44" si="1">I3*(9.8/1000)</f>
        <v>1.0388000000000002</v>
      </c>
      <c r="L3" s="133">
        <f t="shared" ref="L3:L44" si="2">J3*(9.8/1000)</f>
        <v>0.14700000000000002</v>
      </c>
      <c r="N3" t="s">
        <v>445</v>
      </c>
      <c r="O3">
        <v>93</v>
      </c>
      <c r="P3" t="s">
        <v>372</v>
      </c>
      <c r="R3" t="s">
        <v>445</v>
      </c>
      <c r="S3" s="176">
        <v>4.5</v>
      </c>
      <c r="T3" t="s">
        <v>396</v>
      </c>
      <c r="U3" s="85">
        <f t="shared" ref="U3:U44" si="3">IF(S3=0,#N/A,2.5*K3/(0.067*0.001*S3))</f>
        <v>8613.5986733001664</v>
      </c>
      <c r="V3" s="85" t="e">
        <f t="shared" ref="V3:V44" si="4">IF(S3=0,78.278*C3+6952.7,#N/A)</f>
        <v>#N/A</v>
      </c>
      <c r="W3" s="85">
        <f>(U3*K3)/(U3*0.0027-K3)</f>
        <v>402.72931689540201</v>
      </c>
      <c r="X3" s="133">
        <f t="shared" si="0"/>
        <v>5.2943336751192241E-2</v>
      </c>
      <c r="Y3" s="5"/>
      <c r="Z3">
        <v>8613.5986733001664</v>
      </c>
      <c r="AA3" t="e">
        <v>#N/A</v>
      </c>
      <c r="AB3" s="5">
        <f t="shared" ref="AB3:AB44" si="5">IF(ISNA(Z3),AA3,Z3)</f>
        <v>8613.5986733001664</v>
      </c>
    </row>
    <row r="4" spans="1:28" x14ac:dyDescent="0.25">
      <c r="A4" t="s">
        <v>88</v>
      </c>
      <c r="B4" t="s">
        <v>115</v>
      </c>
      <c r="C4" s="177">
        <v>280</v>
      </c>
      <c r="D4" s="2">
        <v>93</v>
      </c>
      <c r="E4">
        <v>28.4</v>
      </c>
      <c r="F4" s="2">
        <v>1</v>
      </c>
      <c r="G4">
        <v>0</v>
      </c>
      <c r="H4" t="s">
        <v>413</v>
      </c>
      <c r="I4">
        <v>308</v>
      </c>
      <c r="J4" t="s">
        <v>420</v>
      </c>
      <c r="K4" s="85">
        <f t="shared" si="1"/>
        <v>3.0184000000000006</v>
      </c>
      <c r="L4" s="133">
        <f t="shared" si="2"/>
        <v>0.23520000000000002</v>
      </c>
      <c r="N4" t="s">
        <v>445</v>
      </c>
      <c r="O4">
        <v>506</v>
      </c>
      <c r="P4" t="s">
        <v>364</v>
      </c>
      <c r="R4" t="s">
        <v>445</v>
      </c>
      <c r="S4">
        <v>0</v>
      </c>
      <c r="T4" t="s">
        <v>413</v>
      </c>
      <c r="U4" s="85" t="e">
        <f t="shared" si="3"/>
        <v>#N/A</v>
      </c>
      <c r="V4" s="85">
        <f t="shared" si="4"/>
        <v>28870.54</v>
      </c>
      <c r="W4" s="85"/>
      <c r="X4" s="133">
        <f t="shared" si="0"/>
        <v>9.3327858098991537E-2</v>
      </c>
      <c r="Y4" s="5"/>
      <c r="Z4" t="e">
        <v>#N/A</v>
      </c>
      <c r="AA4">
        <v>28870.54</v>
      </c>
      <c r="AB4" s="5">
        <f t="shared" si="5"/>
        <v>28870.54</v>
      </c>
    </row>
    <row r="5" spans="1:28" x14ac:dyDescent="0.25">
      <c r="A5" t="s">
        <v>89</v>
      </c>
      <c r="B5" t="s">
        <v>116</v>
      </c>
      <c r="C5" s="177">
        <v>470</v>
      </c>
      <c r="D5" s="84" t="s">
        <v>354</v>
      </c>
      <c r="E5">
        <v>39.700000000000003</v>
      </c>
      <c r="F5" s="2">
        <v>3.9</v>
      </c>
      <c r="G5">
        <v>0</v>
      </c>
      <c r="H5" t="s">
        <v>360</v>
      </c>
      <c r="I5">
        <v>346</v>
      </c>
      <c r="J5" t="s">
        <v>421</v>
      </c>
      <c r="K5" s="85">
        <f t="shared" si="1"/>
        <v>3.3908000000000005</v>
      </c>
      <c r="L5" s="133">
        <f t="shared" si="2"/>
        <v>0.22540000000000004</v>
      </c>
      <c r="N5" t="s">
        <v>445</v>
      </c>
      <c r="O5">
        <v>706</v>
      </c>
      <c r="P5" t="s">
        <v>382</v>
      </c>
      <c r="R5" t="s">
        <v>445</v>
      </c>
      <c r="S5">
        <v>0</v>
      </c>
      <c r="T5" t="s">
        <v>413</v>
      </c>
      <c r="U5" s="85" t="e">
        <f t="shared" si="3"/>
        <v>#N/A</v>
      </c>
      <c r="V5" s="85">
        <f t="shared" si="4"/>
        <v>43743.360000000001</v>
      </c>
      <c r="W5" s="85"/>
      <c r="X5" s="133">
        <f t="shared" si="0"/>
        <v>0.11206731287381601</v>
      </c>
      <c r="Y5" s="5"/>
      <c r="Z5" t="e">
        <v>#N/A</v>
      </c>
      <c r="AA5">
        <v>43743.360000000001</v>
      </c>
      <c r="AB5" s="5">
        <f t="shared" si="5"/>
        <v>43743.360000000001</v>
      </c>
    </row>
    <row r="6" spans="1:28" x14ac:dyDescent="0.25">
      <c r="A6" t="s">
        <v>90</v>
      </c>
      <c r="B6" t="s">
        <v>117</v>
      </c>
      <c r="C6" s="177">
        <v>1655</v>
      </c>
      <c r="D6" s="84" t="s">
        <v>355</v>
      </c>
      <c r="E6">
        <v>37.6</v>
      </c>
      <c r="F6" s="2" t="s">
        <v>387</v>
      </c>
      <c r="G6">
        <v>7</v>
      </c>
      <c r="H6" t="s">
        <v>378</v>
      </c>
      <c r="I6">
        <v>1274</v>
      </c>
      <c r="J6" t="s">
        <v>422</v>
      </c>
      <c r="K6" s="85">
        <f t="shared" si="1"/>
        <v>12.485200000000003</v>
      </c>
      <c r="L6" s="133">
        <f t="shared" si="2"/>
        <v>0.81340000000000012</v>
      </c>
      <c r="N6" t="s">
        <v>445</v>
      </c>
      <c r="O6">
        <v>669</v>
      </c>
      <c r="P6" t="s">
        <v>456</v>
      </c>
      <c r="R6" t="s">
        <v>445</v>
      </c>
      <c r="S6">
        <v>0</v>
      </c>
      <c r="T6" t="s">
        <v>413</v>
      </c>
      <c r="U6" s="85" t="e">
        <f t="shared" si="3"/>
        <v>#N/A</v>
      </c>
      <c r="V6" s="85">
        <f t="shared" si="4"/>
        <v>136502.79</v>
      </c>
      <c r="W6" s="85"/>
      <c r="X6" s="133">
        <f t="shared" si="0"/>
        <v>0.41355423824495247</v>
      </c>
      <c r="Y6" s="5"/>
      <c r="Z6" t="e">
        <v>#N/A</v>
      </c>
      <c r="AA6">
        <v>136502.79</v>
      </c>
      <c r="AB6" s="5">
        <f t="shared" si="5"/>
        <v>136502.79</v>
      </c>
    </row>
    <row r="7" spans="1:28" x14ac:dyDescent="0.25">
      <c r="A7" t="s">
        <v>91</v>
      </c>
      <c r="B7" t="s">
        <v>92</v>
      </c>
      <c r="C7" s="177">
        <v>275</v>
      </c>
      <c r="D7" s="84" t="s">
        <v>356</v>
      </c>
      <c r="E7">
        <v>37.9</v>
      </c>
      <c r="F7" s="2" t="s">
        <v>388</v>
      </c>
      <c r="G7">
        <v>0</v>
      </c>
      <c r="H7" t="s">
        <v>413</v>
      </c>
      <c r="I7">
        <v>210</v>
      </c>
      <c r="J7" t="s">
        <v>363</v>
      </c>
      <c r="K7" s="85">
        <f t="shared" si="1"/>
        <v>2.0580000000000003</v>
      </c>
      <c r="L7" s="133">
        <f t="shared" si="2"/>
        <v>0.24500000000000002</v>
      </c>
      <c r="N7" t="s">
        <v>445</v>
      </c>
      <c r="O7">
        <v>675</v>
      </c>
      <c r="P7" t="s">
        <v>366</v>
      </c>
      <c r="R7" t="s">
        <v>445</v>
      </c>
      <c r="S7">
        <v>0</v>
      </c>
      <c r="T7" t="s">
        <v>413</v>
      </c>
      <c r="U7" s="85" t="e">
        <f t="shared" si="3"/>
        <v>#N/A</v>
      </c>
      <c r="V7" s="85">
        <f t="shared" si="4"/>
        <v>28479.15</v>
      </c>
      <c r="W7" s="85"/>
      <c r="X7" s="133">
        <f t="shared" si="0"/>
        <v>6.8685504311451553E-2</v>
      </c>
      <c r="Y7" s="5"/>
      <c r="Z7" t="e">
        <v>#N/A</v>
      </c>
      <c r="AA7">
        <v>28479.15</v>
      </c>
      <c r="AB7" s="5">
        <f t="shared" si="5"/>
        <v>28479.15</v>
      </c>
    </row>
    <row r="8" spans="1:28" x14ac:dyDescent="0.25">
      <c r="A8" t="s">
        <v>93</v>
      </c>
      <c r="B8" t="s">
        <v>118</v>
      </c>
      <c r="C8" s="177">
        <v>146</v>
      </c>
      <c r="D8" s="84" t="s">
        <v>357</v>
      </c>
      <c r="E8">
        <v>13.7</v>
      </c>
      <c r="F8" s="2" t="s">
        <v>389</v>
      </c>
      <c r="G8">
        <v>10</v>
      </c>
      <c r="H8" t="s">
        <v>375</v>
      </c>
      <c r="I8">
        <v>225</v>
      </c>
      <c r="J8" t="s">
        <v>418</v>
      </c>
      <c r="K8" s="85">
        <f t="shared" si="1"/>
        <v>2.2050000000000005</v>
      </c>
      <c r="L8" s="133">
        <f t="shared" si="2"/>
        <v>7.8400000000000011E-2</v>
      </c>
      <c r="M8">
        <v>265</v>
      </c>
      <c r="N8" t="s">
        <v>446</v>
      </c>
      <c r="O8">
        <v>243</v>
      </c>
      <c r="P8" t="s">
        <v>381</v>
      </c>
      <c r="Q8">
        <v>205</v>
      </c>
      <c r="R8" t="s">
        <v>370</v>
      </c>
      <c r="S8">
        <v>9</v>
      </c>
      <c r="T8" t="s">
        <v>401</v>
      </c>
      <c r="U8" s="85">
        <f t="shared" si="3"/>
        <v>9141.7910447761205</v>
      </c>
      <c r="V8" s="85" t="e">
        <f t="shared" si="4"/>
        <v>#N/A</v>
      </c>
      <c r="W8" s="85"/>
      <c r="X8" s="133">
        <f t="shared" si="0"/>
        <v>9.93471393531178E-2</v>
      </c>
      <c r="Y8" s="5"/>
      <c r="Z8">
        <v>9141.7910447761205</v>
      </c>
      <c r="AA8" t="e">
        <v>#N/A</v>
      </c>
      <c r="AB8" s="5">
        <f t="shared" si="5"/>
        <v>9141.7910447761205</v>
      </c>
    </row>
    <row r="9" spans="1:28" x14ac:dyDescent="0.25">
      <c r="A9" t="s">
        <v>94</v>
      </c>
      <c r="B9" t="s">
        <v>119</v>
      </c>
      <c r="C9" s="177">
        <v>13</v>
      </c>
      <c r="D9" s="84" t="s">
        <v>358</v>
      </c>
      <c r="E9">
        <v>12.1</v>
      </c>
      <c r="F9" s="2" t="s">
        <v>390</v>
      </c>
      <c r="G9">
        <v>5</v>
      </c>
      <c r="H9" t="s">
        <v>375</v>
      </c>
      <c r="I9">
        <v>25</v>
      </c>
      <c r="J9" t="s">
        <v>358</v>
      </c>
      <c r="K9" s="85">
        <f t="shared" si="1"/>
        <v>0.24500000000000002</v>
      </c>
      <c r="L9" s="133">
        <f t="shared" si="2"/>
        <v>1.9600000000000003E-2</v>
      </c>
      <c r="N9" t="s">
        <v>445</v>
      </c>
      <c r="O9">
        <v>216</v>
      </c>
      <c r="P9" t="s">
        <v>451</v>
      </c>
      <c r="R9" t="s">
        <v>445</v>
      </c>
      <c r="S9">
        <v>13.6</v>
      </c>
      <c r="T9" t="s">
        <v>473</v>
      </c>
      <c r="U9" s="85">
        <f t="shared" si="3"/>
        <v>672.1905179982441</v>
      </c>
      <c r="V9" s="85" t="e">
        <f t="shared" si="4"/>
        <v>#N/A</v>
      </c>
      <c r="W9" s="85"/>
      <c r="X9" s="133">
        <f t="shared" si="0"/>
        <v>1.0131501621528316E-2</v>
      </c>
      <c r="Y9" s="5"/>
      <c r="Z9">
        <v>672.1905179982441</v>
      </c>
      <c r="AA9" t="e">
        <v>#N/A</v>
      </c>
      <c r="AB9" s="5">
        <f t="shared" si="5"/>
        <v>672.1905179982441</v>
      </c>
    </row>
    <row r="10" spans="1:28" x14ac:dyDescent="0.25">
      <c r="A10" t="s">
        <v>95</v>
      </c>
      <c r="B10" t="s">
        <v>120</v>
      </c>
      <c r="C10" s="177">
        <v>470</v>
      </c>
      <c r="D10" s="84" t="s">
        <v>359</v>
      </c>
      <c r="E10">
        <v>9</v>
      </c>
      <c r="F10" s="2" t="s">
        <v>391</v>
      </c>
      <c r="G10">
        <v>11</v>
      </c>
      <c r="H10" t="s">
        <v>378</v>
      </c>
      <c r="I10">
        <v>1124</v>
      </c>
      <c r="J10" t="s">
        <v>423</v>
      </c>
      <c r="K10" s="85">
        <f t="shared" si="1"/>
        <v>11.015200000000002</v>
      </c>
      <c r="L10" s="133">
        <f t="shared" si="2"/>
        <v>2.1266000000000003</v>
      </c>
      <c r="M10">
        <v>1344</v>
      </c>
      <c r="N10" t="s">
        <v>447</v>
      </c>
      <c r="O10">
        <v>160</v>
      </c>
      <c r="P10" t="s">
        <v>361</v>
      </c>
      <c r="Q10">
        <v>140</v>
      </c>
      <c r="R10" t="s">
        <v>372</v>
      </c>
      <c r="S10">
        <v>8.6999999999999993</v>
      </c>
      <c r="T10" t="s">
        <v>390</v>
      </c>
      <c r="U10" s="85">
        <f t="shared" si="3"/>
        <v>47243.094870475215</v>
      </c>
      <c r="V10" s="85" t="e">
        <f t="shared" si="4"/>
        <v>#N/A</v>
      </c>
      <c r="W10" s="85"/>
      <c r="X10" s="133">
        <f t="shared" si="0"/>
        <v>0.48525894101906297</v>
      </c>
      <c r="Y10" s="5"/>
      <c r="Z10">
        <v>47243.094870475215</v>
      </c>
      <c r="AA10" t="e">
        <v>#N/A</v>
      </c>
      <c r="AB10" s="5">
        <f t="shared" si="5"/>
        <v>47243.094870475215</v>
      </c>
    </row>
    <row r="11" spans="1:28" x14ac:dyDescent="0.25">
      <c r="A11" t="s">
        <v>96</v>
      </c>
      <c r="B11" t="s">
        <v>121</v>
      </c>
      <c r="C11" s="177">
        <v>22</v>
      </c>
      <c r="D11" s="84" t="s">
        <v>360</v>
      </c>
      <c r="E11">
        <v>10.8</v>
      </c>
      <c r="F11" s="2" t="s">
        <v>389</v>
      </c>
      <c r="G11">
        <v>2</v>
      </c>
      <c r="H11" t="s">
        <v>374</v>
      </c>
      <c r="I11">
        <v>45</v>
      </c>
      <c r="J11" t="s">
        <v>360</v>
      </c>
      <c r="K11" s="85">
        <f t="shared" si="1"/>
        <v>0.44100000000000006</v>
      </c>
      <c r="L11" s="133">
        <f t="shared" si="2"/>
        <v>9.8000000000000014E-3</v>
      </c>
      <c r="N11" t="s">
        <v>445</v>
      </c>
      <c r="O11">
        <v>193</v>
      </c>
      <c r="P11" t="s">
        <v>417</v>
      </c>
      <c r="R11" t="s">
        <v>445</v>
      </c>
      <c r="S11">
        <v>9.6999999999999993</v>
      </c>
      <c r="T11" t="s">
        <v>474</v>
      </c>
      <c r="U11" s="85">
        <f t="shared" si="3"/>
        <v>1696.4148330512387</v>
      </c>
      <c r="V11" s="85" t="e">
        <f t="shared" si="4"/>
        <v>#N/A</v>
      </c>
      <c r="W11" s="85"/>
      <c r="X11" s="133">
        <f t="shared" si="0"/>
        <v>1.9271072805841147E-2</v>
      </c>
      <c r="Y11" s="5"/>
      <c r="Z11">
        <v>1696.4148330512387</v>
      </c>
      <c r="AA11" t="e">
        <v>#N/A</v>
      </c>
      <c r="AB11" s="5">
        <f t="shared" si="5"/>
        <v>1696.4148330512387</v>
      </c>
    </row>
    <row r="12" spans="1:28" x14ac:dyDescent="0.25">
      <c r="A12" t="s">
        <v>97</v>
      </c>
      <c r="B12" t="s">
        <v>122</v>
      </c>
      <c r="C12" s="177">
        <v>55</v>
      </c>
      <c r="D12" s="84" t="s">
        <v>358</v>
      </c>
      <c r="E12">
        <v>4.2</v>
      </c>
      <c r="F12" s="2" t="s">
        <v>392</v>
      </c>
      <c r="G12">
        <v>18</v>
      </c>
      <c r="H12" t="s">
        <v>414</v>
      </c>
      <c r="I12">
        <v>291</v>
      </c>
      <c r="J12" t="s">
        <v>424</v>
      </c>
      <c r="K12" s="85">
        <f t="shared" si="1"/>
        <v>2.8518000000000003</v>
      </c>
      <c r="L12" s="133">
        <f t="shared" si="2"/>
        <v>0.37240000000000006</v>
      </c>
      <c r="N12" t="s">
        <v>445</v>
      </c>
      <c r="O12">
        <v>74</v>
      </c>
      <c r="P12" t="s">
        <v>416</v>
      </c>
      <c r="R12" t="s">
        <v>445</v>
      </c>
      <c r="S12">
        <v>0</v>
      </c>
      <c r="T12" t="s">
        <v>413</v>
      </c>
      <c r="U12" s="85" t="e">
        <f t="shared" si="3"/>
        <v>#N/A</v>
      </c>
      <c r="V12" s="85">
        <f t="shared" si="4"/>
        <v>11257.99</v>
      </c>
      <c r="W12" s="85"/>
      <c r="X12" s="133">
        <f t="shared" si="0"/>
        <v>0.1178939094729979</v>
      </c>
      <c r="Y12" s="5"/>
      <c r="Z12" t="e">
        <v>#N/A</v>
      </c>
      <c r="AA12">
        <v>11257.99</v>
      </c>
      <c r="AB12" s="5">
        <f t="shared" si="5"/>
        <v>11257.99</v>
      </c>
    </row>
    <row r="13" spans="1:28" x14ac:dyDescent="0.25">
      <c r="A13" t="s">
        <v>98</v>
      </c>
      <c r="B13" t="s">
        <v>123</v>
      </c>
      <c r="C13" s="177">
        <v>12</v>
      </c>
      <c r="D13" s="84" t="s">
        <v>358</v>
      </c>
      <c r="E13">
        <v>6.1</v>
      </c>
      <c r="F13" s="2" t="s">
        <v>393</v>
      </c>
      <c r="G13">
        <v>10</v>
      </c>
      <c r="H13" t="s">
        <v>357</v>
      </c>
      <c r="I13">
        <v>38</v>
      </c>
      <c r="J13" t="s">
        <v>370</v>
      </c>
      <c r="K13" s="85">
        <f t="shared" si="1"/>
        <v>0.37240000000000006</v>
      </c>
      <c r="L13" s="133">
        <f t="shared" si="2"/>
        <v>0.12740000000000001</v>
      </c>
      <c r="N13" t="s">
        <v>445</v>
      </c>
      <c r="O13">
        <v>109</v>
      </c>
      <c r="P13" t="s">
        <v>459</v>
      </c>
      <c r="R13" t="s">
        <v>445</v>
      </c>
      <c r="S13">
        <v>0</v>
      </c>
      <c r="T13" t="s">
        <v>413</v>
      </c>
      <c r="U13" s="85" t="e">
        <f t="shared" si="3"/>
        <v>#N/A</v>
      </c>
      <c r="V13" s="85">
        <f t="shared" si="4"/>
        <v>7892.0360000000001</v>
      </c>
      <c r="W13" s="85"/>
      <c r="X13" s="133">
        <f t="shared" si="0"/>
        <v>1.8338950942794256E-2</v>
      </c>
      <c r="Y13" s="5"/>
      <c r="Z13" t="e">
        <v>#N/A</v>
      </c>
      <c r="AA13">
        <v>7892.0360000000001</v>
      </c>
      <c r="AB13" s="5">
        <f t="shared" si="5"/>
        <v>7892.0360000000001</v>
      </c>
    </row>
    <row r="14" spans="1:28" x14ac:dyDescent="0.25">
      <c r="A14" t="s">
        <v>99</v>
      </c>
      <c r="B14" t="s">
        <v>124</v>
      </c>
      <c r="C14" s="177">
        <v>793</v>
      </c>
      <c r="D14" s="84" t="s">
        <v>361</v>
      </c>
      <c r="E14">
        <v>19.600000000000001</v>
      </c>
      <c r="F14" s="2" t="s">
        <v>394</v>
      </c>
      <c r="G14">
        <v>12</v>
      </c>
      <c r="H14" t="s">
        <v>415</v>
      </c>
      <c r="I14">
        <v>942</v>
      </c>
      <c r="J14" t="s">
        <v>425</v>
      </c>
      <c r="K14" s="85">
        <f t="shared" si="1"/>
        <v>9.231600000000002</v>
      </c>
      <c r="L14" s="133">
        <f t="shared" si="2"/>
        <v>2.7048000000000005</v>
      </c>
      <c r="N14" t="s">
        <v>445</v>
      </c>
      <c r="O14">
        <v>349</v>
      </c>
      <c r="P14" t="s">
        <v>460</v>
      </c>
      <c r="R14" t="s">
        <v>445</v>
      </c>
      <c r="S14">
        <v>4.8</v>
      </c>
      <c r="T14" t="s">
        <v>401</v>
      </c>
      <c r="U14" s="85">
        <f t="shared" si="3"/>
        <v>71763.059701492544</v>
      </c>
      <c r="V14" s="85" t="e">
        <f t="shared" si="4"/>
        <v>#N/A</v>
      </c>
      <c r="W14" s="85">
        <f>(U14*K14)/(U14*0.0058-K14)</f>
        <v>1627.7577159623092</v>
      </c>
      <c r="X14" s="133">
        <f t="shared" si="0"/>
        <v>0.3746218754825244</v>
      </c>
      <c r="Y14" s="5"/>
      <c r="Z14">
        <v>71763.059701492544</v>
      </c>
      <c r="AA14" t="e">
        <v>#N/A</v>
      </c>
      <c r="AB14" s="5">
        <f t="shared" si="5"/>
        <v>71763.059701492544</v>
      </c>
    </row>
    <row r="15" spans="1:28" x14ac:dyDescent="0.25">
      <c r="A15" t="s">
        <v>100</v>
      </c>
      <c r="B15" t="s">
        <v>125</v>
      </c>
      <c r="C15" s="177">
        <v>1444</v>
      </c>
      <c r="D15" s="84" t="s">
        <v>362</v>
      </c>
      <c r="E15">
        <v>19.899999999999999</v>
      </c>
      <c r="F15" s="2" t="s">
        <v>395</v>
      </c>
      <c r="G15">
        <v>12</v>
      </c>
      <c r="H15" t="s">
        <v>358</v>
      </c>
      <c r="I15">
        <v>1912</v>
      </c>
      <c r="J15" t="s">
        <v>426</v>
      </c>
      <c r="K15" s="85">
        <f t="shared" si="1"/>
        <v>18.737600000000004</v>
      </c>
      <c r="L15" s="133">
        <f t="shared" si="2"/>
        <v>2.2834000000000003</v>
      </c>
      <c r="N15" t="s">
        <v>445</v>
      </c>
      <c r="O15">
        <v>355</v>
      </c>
      <c r="P15" t="s">
        <v>428</v>
      </c>
      <c r="R15" t="s">
        <v>445</v>
      </c>
      <c r="S15">
        <v>0</v>
      </c>
      <c r="T15" t="s">
        <v>413</v>
      </c>
      <c r="U15" s="85" t="e">
        <f t="shared" si="3"/>
        <v>#N/A</v>
      </c>
      <c r="V15" s="85">
        <f t="shared" si="4"/>
        <v>119986.13200000001</v>
      </c>
      <c r="W15" s="85"/>
      <c r="X15" s="133">
        <f t="shared" si="0"/>
        <v>0.67187755731093068</v>
      </c>
      <c r="Y15" s="5"/>
      <c r="Z15" t="e">
        <v>#N/A</v>
      </c>
      <c r="AA15">
        <v>119986.13200000001</v>
      </c>
      <c r="AB15" s="5">
        <f t="shared" si="5"/>
        <v>119986.13200000001</v>
      </c>
    </row>
    <row r="16" spans="1:28" x14ac:dyDescent="0.25">
      <c r="A16" t="s">
        <v>101</v>
      </c>
      <c r="B16" t="s">
        <v>126</v>
      </c>
      <c r="C16" s="177">
        <v>378</v>
      </c>
      <c r="D16" s="84" t="s">
        <v>363</v>
      </c>
      <c r="E16">
        <v>11.8</v>
      </c>
      <c r="F16" s="2" t="s">
        <v>396</v>
      </c>
      <c r="G16">
        <v>16</v>
      </c>
      <c r="H16" t="s">
        <v>416</v>
      </c>
      <c r="I16">
        <v>754</v>
      </c>
      <c r="J16" t="s">
        <v>427</v>
      </c>
      <c r="K16" s="85">
        <f t="shared" si="1"/>
        <v>7.3892000000000007</v>
      </c>
      <c r="L16" s="133">
        <f t="shared" si="2"/>
        <v>0.59780000000000011</v>
      </c>
      <c r="N16" t="s">
        <v>445</v>
      </c>
      <c r="O16">
        <v>211</v>
      </c>
      <c r="P16" t="s">
        <v>451</v>
      </c>
      <c r="R16" t="s">
        <v>445</v>
      </c>
      <c r="S16">
        <v>0</v>
      </c>
      <c r="T16" t="s">
        <v>413</v>
      </c>
      <c r="U16" s="85" t="e">
        <f t="shared" si="3"/>
        <v>#N/A</v>
      </c>
      <c r="V16" s="85">
        <f t="shared" si="4"/>
        <v>36541.784</v>
      </c>
      <c r="W16" s="85"/>
      <c r="X16" s="133">
        <f t="shared" si="0"/>
        <v>0.29148960142911901</v>
      </c>
      <c r="Y16" s="5"/>
      <c r="Z16" t="e">
        <v>#N/A</v>
      </c>
      <c r="AA16">
        <v>36541.784</v>
      </c>
      <c r="AB16" s="5">
        <f t="shared" si="5"/>
        <v>36541.784</v>
      </c>
    </row>
    <row r="17" spans="1:28" x14ac:dyDescent="0.25">
      <c r="A17" t="s">
        <v>102</v>
      </c>
      <c r="B17" t="s">
        <v>521</v>
      </c>
      <c r="C17" s="177">
        <v>168</v>
      </c>
      <c r="D17" s="84" t="s">
        <v>364</v>
      </c>
      <c r="E17">
        <v>30.3</v>
      </c>
      <c r="F17" s="2" t="s">
        <v>397</v>
      </c>
      <c r="G17">
        <v>0</v>
      </c>
      <c r="H17" t="s">
        <v>413</v>
      </c>
      <c r="I17">
        <v>158</v>
      </c>
      <c r="J17" t="s">
        <v>415</v>
      </c>
      <c r="K17" s="85">
        <f t="shared" si="1"/>
        <v>1.5484000000000002</v>
      </c>
      <c r="L17" s="133">
        <f t="shared" si="2"/>
        <v>9.8000000000000018E-2</v>
      </c>
      <c r="N17" t="s">
        <v>445</v>
      </c>
      <c r="O17">
        <v>539</v>
      </c>
      <c r="P17" t="s">
        <v>461</v>
      </c>
      <c r="R17" t="s">
        <v>445</v>
      </c>
      <c r="S17">
        <v>0</v>
      </c>
      <c r="T17" t="s">
        <v>413</v>
      </c>
      <c r="U17" s="85" t="e">
        <f t="shared" si="3"/>
        <v>#N/A</v>
      </c>
      <c r="V17" s="85">
        <f t="shared" si="4"/>
        <v>20103.404000000002</v>
      </c>
      <c r="W17" s="85"/>
      <c r="X17" s="133">
        <f t="shared" si="0"/>
        <v>5.2485369703195235E-2</v>
      </c>
      <c r="Y17" s="5"/>
      <c r="Z17" t="e">
        <v>#N/A</v>
      </c>
      <c r="AA17">
        <v>20103.404000000002</v>
      </c>
      <c r="AB17" s="5">
        <f t="shared" si="5"/>
        <v>20103.404000000002</v>
      </c>
    </row>
    <row r="18" spans="1:28" x14ac:dyDescent="0.25">
      <c r="A18" t="s">
        <v>103</v>
      </c>
      <c r="B18" t="s">
        <v>522</v>
      </c>
      <c r="C18" s="177">
        <v>246</v>
      </c>
      <c r="D18" s="84" t="s">
        <v>365</v>
      </c>
      <c r="E18">
        <v>29.3</v>
      </c>
      <c r="F18" s="2" t="s">
        <v>398</v>
      </c>
      <c r="G18">
        <v>3</v>
      </c>
      <c r="H18" t="s">
        <v>374</v>
      </c>
      <c r="I18">
        <v>240</v>
      </c>
      <c r="J18" t="s">
        <v>428</v>
      </c>
      <c r="K18" s="85">
        <f t="shared" si="1"/>
        <v>2.3520000000000003</v>
      </c>
      <c r="L18" s="133">
        <f t="shared" si="2"/>
        <v>0.34300000000000003</v>
      </c>
      <c r="N18" t="s">
        <v>445</v>
      </c>
      <c r="O18">
        <v>163</v>
      </c>
      <c r="P18" t="s">
        <v>377</v>
      </c>
      <c r="R18" t="s">
        <v>445</v>
      </c>
      <c r="S18">
        <v>0.9</v>
      </c>
      <c r="T18" t="s">
        <v>475</v>
      </c>
      <c r="U18" s="85">
        <f t="shared" si="3"/>
        <v>97512.437810945281</v>
      </c>
      <c r="V18" s="85" t="e">
        <f t="shared" si="4"/>
        <v>#N/A</v>
      </c>
      <c r="W18" s="85"/>
      <c r="X18" s="133">
        <f t="shared" si="0"/>
        <v>7.9367646356104563E-2</v>
      </c>
      <c r="Y18" s="5"/>
      <c r="Z18">
        <v>97512.437810945281</v>
      </c>
      <c r="AA18" t="e">
        <v>#N/A</v>
      </c>
      <c r="AB18" s="5">
        <f t="shared" si="5"/>
        <v>97512.437810945281</v>
      </c>
    </row>
    <row r="19" spans="1:28" x14ac:dyDescent="0.25">
      <c r="A19" t="s">
        <v>104</v>
      </c>
      <c r="B19" t="s">
        <v>105</v>
      </c>
      <c r="C19" s="177">
        <v>999</v>
      </c>
      <c r="D19" s="84" t="s">
        <v>366</v>
      </c>
      <c r="E19">
        <v>22.3</v>
      </c>
      <c r="F19" s="2" t="s">
        <v>399</v>
      </c>
      <c r="G19">
        <v>7</v>
      </c>
      <c r="H19" t="s">
        <v>374</v>
      </c>
      <c r="I19">
        <v>1043</v>
      </c>
      <c r="J19" t="s">
        <v>429</v>
      </c>
      <c r="K19" s="85">
        <f t="shared" si="1"/>
        <v>10.221400000000001</v>
      </c>
      <c r="L19" s="133">
        <f t="shared" si="2"/>
        <v>0.82320000000000015</v>
      </c>
      <c r="N19" t="s">
        <v>445</v>
      </c>
      <c r="O19">
        <v>402</v>
      </c>
      <c r="P19" t="s">
        <v>461</v>
      </c>
      <c r="R19" t="s">
        <v>445</v>
      </c>
      <c r="T19" t="s">
        <v>445</v>
      </c>
      <c r="U19" s="85" t="e">
        <f t="shared" si="3"/>
        <v>#N/A</v>
      </c>
      <c r="V19" s="85">
        <f t="shared" si="4"/>
        <v>85152.422000000006</v>
      </c>
      <c r="W19" s="85"/>
      <c r="X19" s="133">
        <f t="shared" si="0"/>
        <v>0.42090389819279</v>
      </c>
      <c r="Y19" s="5"/>
      <c r="Z19" t="e">
        <v>#N/A</v>
      </c>
      <c r="AA19">
        <v>85152.422000000006</v>
      </c>
      <c r="AB19" s="5">
        <f t="shared" si="5"/>
        <v>85152.422000000006</v>
      </c>
    </row>
    <row r="20" spans="1:28" x14ac:dyDescent="0.25">
      <c r="A20" t="s">
        <v>104</v>
      </c>
      <c r="B20" t="s">
        <v>517</v>
      </c>
      <c r="C20" s="177">
        <v>1179</v>
      </c>
      <c r="D20" s="84" t="s">
        <v>367</v>
      </c>
      <c r="E20">
        <v>23.8</v>
      </c>
      <c r="F20" s="2" t="s">
        <v>400</v>
      </c>
      <c r="G20">
        <v>15</v>
      </c>
      <c r="H20" t="s">
        <v>375</v>
      </c>
      <c r="I20">
        <v>1151</v>
      </c>
      <c r="J20" t="s">
        <v>430</v>
      </c>
      <c r="K20" s="85">
        <f t="shared" si="1"/>
        <v>11.279800000000002</v>
      </c>
      <c r="L20" s="133">
        <f t="shared" si="2"/>
        <v>1.5386000000000002</v>
      </c>
      <c r="N20" t="s">
        <v>445</v>
      </c>
      <c r="O20">
        <v>418</v>
      </c>
      <c r="P20" t="s">
        <v>462</v>
      </c>
      <c r="R20" t="s">
        <v>445</v>
      </c>
      <c r="S20">
        <v>4.0999999999999996</v>
      </c>
      <c r="T20" t="s">
        <v>474</v>
      </c>
      <c r="U20" s="85">
        <f t="shared" si="3"/>
        <v>102655.62431743722</v>
      </c>
      <c r="V20" s="85" t="e">
        <f t="shared" si="4"/>
        <v>#N/A</v>
      </c>
      <c r="W20" s="85">
        <f>(U20*K20)/(U20*0.0062-K20)</f>
        <v>1852.1474125304596</v>
      </c>
      <c r="X20" s="133">
        <f t="shared" si="0"/>
        <v>0.45295208106206669</v>
      </c>
      <c r="Y20" s="5"/>
      <c r="Z20">
        <v>102655.62431743722</v>
      </c>
      <c r="AA20" t="e">
        <v>#N/A</v>
      </c>
      <c r="AB20" s="5">
        <f t="shared" si="5"/>
        <v>102655.62431743722</v>
      </c>
    </row>
    <row r="21" spans="1:28" x14ac:dyDescent="0.25">
      <c r="A21" t="s">
        <v>106</v>
      </c>
      <c r="B21" t="s">
        <v>128</v>
      </c>
      <c r="C21" s="177">
        <v>805</v>
      </c>
      <c r="D21" s="84" t="s">
        <v>368</v>
      </c>
      <c r="E21">
        <v>12.5</v>
      </c>
      <c r="F21" s="2" t="s">
        <v>390</v>
      </c>
      <c r="G21">
        <v>9</v>
      </c>
      <c r="H21" t="s">
        <v>417</v>
      </c>
      <c r="I21">
        <v>1863</v>
      </c>
      <c r="J21" t="s">
        <v>431</v>
      </c>
      <c r="K21" s="85">
        <f t="shared" si="1"/>
        <v>18.257400000000004</v>
      </c>
      <c r="L21" s="133">
        <f t="shared" si="2"/>
        <v>1.1368000000000003</v>
      </c>
      <c r="M21">
        <v>1734</v>
      </c>
      <c r="N21" t="s">
        <v>365</v>
      </c>
      <c r="O21">
        <v>223</v>
      </c>
      <c r="P21" t="s">
        <v>372</v>
      </c>
      <c r="Q21">
        <v>209</v>
      </c>
      <c r="R21" t="s">
        <v>372</v>
      </c>
      <c r="S21">
        <v>9.4</v>
      </c>
      <c r="T21" t="s">
        <v>396</v>
      </c>
      <c r="U21" s="85">
        <f t="shared" si="3"/>
        <v>72473.007303906023</v>
      </c>
      <c r="V21" s="85" t="e">
        <f t="shared" si="4"/>
        <v>#N/A</v>
      </c>
      <c r="W21" s="85"/>
      <c r="X21" s="133">
        <f t="shared" si="0"/>
        <v>0.60211217787760174</v>
      </c>
      <c r="Y21" s="5"/>
      <c r="Z21">
        <v>72473.007303906023</v>
      </c>
      <c r="AA21" t="e">
        <v>#N/A</v>
      </c>
      <c r="AB21" s="5">
        <f t="shared" si="5"/>
        <v>72473.007303906023</v>
      </c>
    </row>
    <row r="22" spans="1:28" x14ac:dyDescent="0.25">
      <c r="A22" t="s">
        <v>107</v>
      </c>
      <c r="B22" t="s">
        <v>129</v>
      </c>
      <c r="C22" s="177">
        <v>720</v>
      </c>
      <c r="D22" s="84" t="s">
        <v>369</v>
      </c>
      <c r="E22">
        <v>14.6</v>
      </c>
      <c r="F22" s="2" t="s">
        <v>401</v>
      </c>
      <c r="G22">
        <v>13</v>
      </c>
      <c r="H22" t="s">
        <v>374</v>
      </c>
      <c r="I22">
        <v>1188</v>
      </c>
      <c r="J22" t="s">
        <v>432</v>
      </c>
      <c r="K22" s="85">
        <f t="shared" si="1"/>
        <v>11.642400000000002</v>
      </c>
      <c r="L22" s="133">
        <f t="shared" si="2"/>
        <v>0.90160000000000018</v>
      </c>
      <c r="M22">
        <v>1364</v>
      </c>
      <c r="N22" t="s">
        <v>448</v>
      </c>
      <c r="O22">
        <v>260</v>
      </c>
      <c r="P22" t="s">
        <v>363</v>
      </c>
      <c r="Q22">
        <v>238</v>
      </c>
      <c r="R22" t="s">
        <v>417</v>
      </c>
      <c r="S22">
        <v>9.1</v>
      </c>
      <c r="T22" t="s">
        <v>396</v>
      </c>
      <c r="U22" s="85">
        <f t="shared" si="3"/>
        <v>47738.231917336401</v>
      </c>
      <c r="V22" s="85" t="e">
        <f t="shared" si="4"/>
        <v>#N/A</v>
      </c>
      <c r="W22" s="85"/>
      <c r="X22" s="133">
        <f t="shared" si="0"/>
        <v>0.4548573325312662</v>
      </c>
      <c r="Y22" s="5"/>
      <c r="Z22">
        <v>47738.231917336401</v>
      </c>
      <c r="AA22" t="e">
        <v>#N/A</v>
      </c>
      <c r="AB22" s="5">
        <f t="shared" si="5"/>
        <v>47738.231917336401</v>
      </c>
    </row>
    <row r="23" spans="1:28" x14ac:dyDescent="0.25">
      <c r="A23" t="s">
        <v>108</v>
      </c>
      <c r="B23" t="s">
        <v>130</v>
      </c>
      <c r="C23" s="177">
        <v>194</v>
      </c>
      <c r="D23" s="84" t="s">
        <v>370</v>
      </c>
      <c r="E23">
        <v>6</v>
      </c>
      <c r="F23" s="2" t="s">
        <v>390</v>
      </c>
      <c r="G23">
        <v>16</v>
      </c>
      <c r="H23" t="s">
        <v>417</v>
      </c>
      <c r="I23">
        <v>732</v>
      </c>
      <c r="J23" t="s">
        <v>419</v>
      </c>
      <c r="K23" s="85">
        <f t="shared" si="1"/>
        <v>7.1736000000000013</v>
      </c>
      <c r="L23" s="133">
        <f t="shared" si="2"/>
        <v>0.78400000000000014</v>
      </c>
      <c r="N23" t="s">
        <v>445</v>
      </c>
      <c r="O23">
        <v>106</v>
      </c>
      <c r="P23" t="s">
        <v>415</v>
      </c>
      <c r="R23" t="s">
        <v>445</v>
      </c>
      <c r="S23">
        <v>0</v>
      </c>
      <c r="T23" t="s">
        <v>413</v>
      </c>
      <c r="U23" s="85" t="e">
        <f t="shared" si="3"/>
        <v>#N/A</v>
      </c>
      <c r="V23" s="85">
        <f t="shared" si="4"/>
        <v>22138.632000000001</v>
      </c>
      <c r="W23" s="85"/>
      <c r="X23" s="133">
        <f t="shared" si="0"/>
        <v>0.29421428377052</v>
      </c>
      <c r="Y23" s="5"/>
      <c r="Z23" t="e">
        <v>#N/A</v>
      </c>
      <c r="AA23">
        <v>22138.632000000001</v>
      </c>
      <c r="AB23" s="5">
        <f t="shared" si="5"/>
        <v>22138.632000000001</v>
      </c>
    </row>
    <row r="24" spans="1:28" x14ac:dyDescent="0.25">
      <c r="A24" t="s">
        <v>109</v>
      </c>
      <c r="B24" t="s">
        <v>131</v>
      </c>
      <c r="C24" s="177">
        <v>54</v>
      </c>
      <c r="D24" t="s">
        <v>371</v>
      </c>
      <c r="E24">
        <v>4.5</v>
      </c>
      <c r="F24" s="2" t="s">
        <v>402</v>
      </c>
      <c r="G24">
        <v>7</v>
      </c>
      <c r="H24" t="s">
        <v>417</v>
      </c>
      <c r="I24">
        <v>307</v>
      </c>
      <c r="J24" t="s">
        <v>428</v>
      </c>
      <c r="K24" s="85">
        <f t="shared" si="1"/>
        <v>3.0086000000000004</v>
      </c>
      <c r="L24" s="133">
        <f t="shared" si="2"/>
        <v>0.34300000000000003</v>
      </c>
      <c r="N24" t="s">
        <v>445</v>
      </c>
      <c r="O24">
        <v>81</v>
      </c>
      <c r="P24" t="s">
        <v>415</v>
      </c>
      <c r="R24" t="s">
        <v>445</v>
      </c>
      <c r="S24">
        <v>2.8</v>
      </c>
      <c r="T24" t="s">
        <v>476</v>
      </c>
      <c r="U24" s="85">
        <f t="shared" si="3"/>
        <v>40093.283582089556</v>
      </c>
      <c r="V24" s="85" t="e">
        <f t="shared" si="4"/>
        <v>#N/A</v>
      </c>
      <c r="W24" s="85"/>
      <c r="X24" s="133">
        <f t="shared" si="0"/>
        <v>0.11274662978617678</v>
      </c>
      <c r="Y24" s="5"/>
      <c r="Z24">
        <v>40093.283582089556</v>
      </c>
      <c r="AA24" t="e">
        <v>#N/A</v>
      </c>
      <c r="AB24" s="5">
        <f t="shared" si="5"/>
        <v>40093.283582089556</v>
      </c>
    </row>
    <row r="25" spans="1:28" x14ac:dyDescent="0.25">
      <c r="A25" t="s">
        <v>110</v>
      </c>
      <c r="B25" t="s">
        <v>111</v>
      </c>
      <c r="C25" s="177">
        <v>233</v>
      </c>
      <c r="D25" t="s">
        <v>372</v>
      </c>
      <c r="E25">
        <v>10.9</v>
      </c>
      <c r="F25" s="2" t="s">
        <v>402</v>
      </c>
      <c r="G25">
        <v>7</v>
      </c>
      <c r="H25" t="s">
        <v>360</v>
      </c>
      <c r="I25">
        <v>503</v>
      </c>
      <c r="J25" t="s">
        <v>357</v>
      </c>
      <c r="K25" s="85">
        <f t="shared" si="1"/>
        <v>4.9294000000000011</v>
      </c>
      <c r="L25" s="133">
        <f t="shared" si="2"/>
        <v>0.13720000000000002</v>
      </c>
      <c r="N25" t="s">
        <v>445</v>
      </c>
      <c r="O25">
        <v>193</v>
      </c>
      <c r="P25" t="s">
        <v>358</v>
      </c>
      <c r="R25" t="s">
        <v>445</v>
      </c>
      <c r="S25">
        <v>0</v>
      </c>
      <c r="T25" t="s">
        <v>413</v>
      </c>
      <c r="U25" s="85" t="e">
        <f t="shared" si="3"/>
        <v>#N/A</v>
      </c>
      <c r="V25" s="85">
        <f t="shared" si="4"/>
        <v>25191.474000000002</v>
      </c>
      <c r="W25" s="85"/>
      <c r="X25" s="133">
        <f t="shared" si="0"/>
        <v>0.20084070902277668</v>
      </c>
      <c r="Y25" s="5"/>
      <c r="Z25" t="e">
        <v>#N/A</v>
      </c>
      <c r="AA25">
        <v>25191.474000000002</v>
      </c>
      <c r="AB25" s="5">
        <f t="shared" si="5"/>
        <v>25191.474000000002</v>
      </c>
    </row>
    <row r="26" spans="1:28" x14ac:dyDescent="0.25">
      <c r="A26" t="s">
        <v>112</v>
      </c>
      <c r="B26" t="s">
        <v>132</v>
      </c>
      <c r="C26" s="177">
        <v>88</v>
      </c>
      <c r="D26" t="s">
        <v>371</v>
      </c>
      <c r="E26">
        <v>8.6</v>
      </c>
      <c r="F26" s="2" t="s">
        <v>399</v>
      </c>
      <c r="G26">
        <v>6</v>
      </c>
      <c r="H26" t="s">
        <v>414</v>
      </c>
      <c r="I26">
        <v>243</v>
      </c>
      <c r="J26" t="s">
        <v>433</v>
      </c>
      <c r="K26" s="85">
        <f t="shared" si="1"/>
        <v>2.3814000000000002</v>
      </c>
      <c r="L26" s="133">
        <f t="shared" si="2"/>
        <v>0.19600000000000004</v>
      </c>
      <c r="M26">
        <v>501</v>
      </c>
      <c r="N26" t="s">
        <v>449</v>
      </c>
      <c r="O26">
        <v>152</v>
      </c>
      <c r="P26" t="s">
        <v>463</v>
      </c>
      <c r="Q26">
        <v>117</v>
      </c>
      <c r="R26" t="s">
        <v>374</v>
      </c>
      <c r="S26">
        <v>10.3</v>
      </c>
      <c r="T26" t="s">
        <v>392</v>
      </c>
      <c r="U26" s="85">
        <f t="shared" si="3"/>
        <v>8627.0105781770762</v>
      </c>
      <c r="V26" s="85" t="e">
        <f t="shared" si="4"/>
        <v>#N/A</v>
      </c>
      <c r="W26" s="85"/>
      <c r="X26" s="133">
        <f t="shared" si="0"/>
        <v>9.6331912249195364E-2</v>
      </c>
      <c r="Y26" s="5"/>
      <c r="Z26">
        <v>8627.0105781770762</v>
      </c>
      <c r="AA26" t="e">
        <v>#N/A</v>
      </c>
      <c r="AB26" s="5">
        <f t="shared" si="5"/>
        <v>8627.0105781770762</v>
      </c>
    </row>
    <row r="27" spans="1:28" x14ac:dyDescent="0.25">
      <c r="A27" t="s">
        <v>44</v>
      </c>
      <c r="B27" t="s">
        <v>73</v>
      </c>
      <c r="C27" s="178">
        <v>131</v>
      </c>
      <c r="D27" s="2" t="s">
        <v>373</v>
      </c>
      <c r="E27" s="3">
        <v>7.6</v>
      </c>
      <c r="F27" s="2" t="s">
        <v>403</v>
      </c>
      <c r="G27" s="3">
        <v>9</v>
      </c>
      <c r="H27" s="2" t="s">
        <v>358</v>
      </c>
      <c r="I27" s="3">
        <v>404</v>
      </c>
      <c r="J27" s="2" t="s">
        <v>434</v>
      </c>
      <c r="K27" s="85">
        <f t="shared" si="1"/>
        <v>3.9592000000000005</v>
      </c>
      <c r="L27" s="133">
        <f t="shared" si="2"/>
        <v>0.31360000000000005</v>
      </c>
      <c r="M27" s="3">
        <v>622</v>
      </c>
      <c r="N27" s="2" t="s">
        <v>450</v>
      </c>
      <c r="O27" s="3">
        <v>135</v>
      </c>
      <c r="P27" s="2" t="s">
        <v>384</v>
      </c>
      <c r="Q27" s="3">
        <v>113</v>
      </c>
      <c r="R27" s="2" t="s">
        <v>414</v>
      </c>
      <c r="S27" s="3">
        <v>12.7</v>
      </c>
      <c r="T27" s="2" t="s">
        <v>475</v>
      </c>
      <c r="U27" s="85">
        <f t="shared" si="3"/>
        <v>11632.389234927725</v>
      </c>
      <c r="V27" s="85" t="e">
        <f t="shared" si="4"/>
        <v>#N/A</v>
      </c>
      <c r="W27" s="85"/>
      <c r="X27" s="133">
        <f t="shared" si="0"/>
        <v>0.16115702701447743</v>
      </c>
      <c r="Y27" s="5"/>
      <c r="Z27">
        <v>11632.389234927725</v>
      </c>
      <c r="AA27" t="e">
        <v>#N/A</v>
      </c>
      <c r="AB27" s="5">
        <f t="shared" si="5"/>
        <v>11632.389234927725</v>
      </c>
    </row>
    <row r="28" spans="1:28" x14ac:dyDescent="0.25">
      <c r="A28" t="s">
        <v>45</v>
      </c>
      <c r="B28" t="s">
        <v>74</v>
      </c>
      <c r="C28" s="178">
        <v>31</v>
      </c>
      <c r="D28" s="2" t="s">
        <v>374</v>
      </c>
      <c r="E28" s="3">
        <v>8.8000000000000007</v>
      </c>
      <c r="F28" s="2" t="s">
        <v>404</v>
      </c>
      <c r="G28" s="3">
        <v>7</v>
      </c>
      <c r="H28" s="2" t="s">
        <v>378</v>
      </c>
      <c r="I28" s="3">
        <v>86</v>
      </c>
      <c r="J28" s="2" t="s">
        <v>381</v>
      </c>
      <c r="K28" s="85">
        <f t="shared" si="1"/>
        <v>0.8428000000000001</v>
      </c>
      <c r="L28" s="133">
        <f t="shared" si="2"/>
        <v>0.14700000000000002</v>
      </c>
      <c r="M28" s="3">
        <v>139</v>
      </c>
      <c r="N28" s="2" t="s">
        <v>358</v>
      </c>
      <c r="O28" s="3">
        <v>157</v>
      </c>
      <c r="P28" s="2" t="s">
        <v>464</v>
      </c>
      <c r="Q28" s="3">
        <v>116</v>
      </c>
      <c r="R28" s="2" t="s">
        <v>470</v>
      </c>
      <c r="S28" s="3">
        <v>9.1</v>
      </c>
      <c r="T28" s="2" t="s">
        <v>411</v>
      </c>
      <c r="U28" s="85">
        <f t="shared" si="3"/>
        <v>3455.7979334098741</v>
      </c>
      <c r="V28" s="85" t="e">
        <f t="shared" si="4"/>
        <v>#N/A</v>
      </c>
      <c r="W28" s="85"/>
      <c r="X28" s="133">
        <f t="shared" si="0"/>
        <v>3.3097968971320828E-2</v>
      </c>
      <c r="Y28" s="5"/>
      <c r="Z28">
        <v>3455.7979334098741</v>
      </c>
      <c r="AA28" t="e">
        <v>#N/A</v>
      </c>
      <c r="AB28" s="5">
        <f t="shared" si="5"/>
        <v>3455.7979334098741</v>
      </c>
    </row>
    <row r="29" spans="1:28" x14ac:dyDescent="0.25">
      <c r="A29" t="s">
        <v>46</v>
      </c>
      <c r="B29" t="s">
        <v>75</v>
      </c>
      <c r="C29" s="178">
        <v>21</v>
      </c>
      <c r="D29" s="2" t="s">
        <v>375</v>
      </c>
      <c r="E29" s="3">
        <v>8.6</v>
      </c>
      <c r="F29" s="2" t="s">
        <v>390</v>
      </c>
      <c r="G29" s="3">
        <v>4</v>
      </c>
      <c r="H29" s="2" t="s">
        <v>360</v>
      </c>
      <c r="I29" s="3">
        <v>56</v>
      </c>
      <c r="J29" s="2" t="s">
        <v>375</v>
      </c>
      <c r="K29" s="85">
        <f t="shared" si="1"/>
        <v>0.54880000000000007</v>
      </c>
      <c r="L29" s="133">
        <f t="shared" si="2"/>
        <v>2.9400000000000003E-2</v>
      </c>
      <c r="M29" s="3">
        <v>113</v>
      </c>
      <c r="N29" s="2" t="s">
        <v>451</v>
      </c>
      <c r="O29" s="3">
        <v>152</v>
      </c>
      <c r="P29" s="2" t="s">
        <v>370</v>
      </c>
      <c r="Q29" s="3">
        <v>116</v>
      </c>
      <c r="R29" s="2" t="s">
        <v>374</v>
      </c>
      <c r="S29" s="3">
        <v>19.600000000000001</v>
      </c>
      <c r="T29" s="2" t="s">
        <v>399</v>
      </c>
      <c r="U29" s="85">
        <f t="shared" si="3"/>
        <v>1044.7761194029852</v>
      </c>
      <c r="V29" s="85" t="e">
        <f t="shared" si="4"/>
        <v>#N/A</v>
      </c>
      <c r="W29" s="85"/>
      <c r="X29" s="133">
        <f t="shared" si="0"/>
        <v>2.3058616298704947E-2</v>
      </c>
      <c r="Y29" s="5"/>
      <c r="Z29">
        <v>1044.7761194029852</v>
      </c>
      <c r="AA29" t="e">
        <v>#N/A</v>
      </c>
      <c r="AB29" s="5">
        <f t="shared" si="5"/>
        <v>1044.7761194029852</v>
      </c>
    </row>
    <row r="30" spans="1:28" x14ac:dyDescent="0.25">
      <c r="A30" t="s">
        <v>47</v>
      </c>
      <c r="B30" t="s">
        <v>48</v>
      </c>
      <c r="C30" s="178">
        <v>478</v>
      </c>
      <c r="D30" s="2" t="s">
        <v>376</v>
      </c>
      <c r="E30" s="3">
        <v>10.8</v>
      </c>
      <c r="F30" s="2" t="s">
        <v>405</v>
      </c>
      <c r="G30" s="3">
        <v>16</v>
      </c>
      <c r="H30" s="2" t="s">
        <v>418</v>
      </c>
      <c r="I30" s="3">
        <v>1137</v>
      </c>
      <c r="J30" s="2" t="s">
        <v>435</v>
      </c>
      <c r="K30" s="85">
        <f t="shared" si="1"/>
        <v>11.142600000000002</v>
      </c>
      <c r="L30" s="133">
        <f t="shared" si="2"/>
        <v>1.2054000000000002</v>
      </c>
      <c r="N30" t="s">
        <v>445</v>
      </c>
      <c r="O30" s="3">
        <v>193</v>
      </c>
      <c r="P30" s="2" t="s">
        <v>465</v>
      </c>
      <c r="Q30" s="3"/>
      <c r="R30" s="2" t="s">
        <v>445</v>
      </c>
      <c r="S30" s="3">
        <v>0</v>
      </c>
      <c r="T30" s="2" t="s">
        <v>413</v>
      </c>
      <c r="U30" s="85" t="e">
        <f t="shared" si="3"/>
        <v>#N/A</v>
      </c>
      <c r="V30" s="85">
        <f t="shared" si="4"/>
        <v>44369.584000000003</v>
      </c>
      <c r="W30" s="85"/>
      <c r="X30" s="133">
        <f t="shared" si="0"/>
        <v>0.40273318339721798</v>
      </c>
      <c r="Y30" s="5"/>
      <c r="Z30" t="e">
        <v>#N/A</v>
      </c>
      <c r="AA30">
        <v>44369.584000000003</v>
      </c>
      <c r="AB30" s="5">
        <f t="shared" si="5"/>
        <v>44369.584000000003</v>
      </c>
    </row>
    <row r="31" spans="1:28" x14ac:dyDescent="0.25">
      <c r="A31" t="s">
        <v>49</v>
      </c>
      <c r="B31" t="s">
        <v>50</v>
      </c>
      <c r="C31" s="178">
        <v>308</v>
      </c>
      <c r="D31" s="2" t="s">
        <v>377</v>
      </c>
      <c r="E31" s="3">
        <v>12.5</v>
      </c>
      <c r="F31" s="2" t="s">
        <v>406</v>
      </c>
      <c r="G31" s="3">
        <v>11</v>
      </c>
      <c r="H31" s="2" t="s">
        <v>374</v>
      </c>
      <c r="I31" s="3">
        <v>572</v>
      </c>
      <c r="J31" s="2" t="s">
        <v>369</v>
      </c>
      <c r="K31" s="85">
        <f t="shared" si="1"/>
        <v>5.6056000000000008</v>
      </c>
      <c r="L31" s="133">
        <f t="shared" si="2"/>
        <v>0.54880000000000007</v>
      </c>
      <c r="M31" s="3">
        <v>792</v>
      </c>
      <c r="N31" s="2" t="s">
        <v>452</v>
      </c>
      <c r="O31" s="3">
        <v>223</v>
      </c>
      <c r="P31" s="2" t="s">
        <v>372</v>
      </c>
      <c r="Q31" s="3">
        <v>207</v>
      </c>
      <c r="R31" s="2" t="s">
        <v>370</v>
      </c>
      <c r="S31" s="3">
        <v>6.7</v>
      </c>
      <c r="T31" s="2" t="s">
        <v>392</v>
      </c>
      <c r="U31" s="85">
        <f t="shared" si="3"/>
        <v>31218.534194698157</v>
      </c>
      <c r="V31" s="85" t="e">
        <f t="shared" si="4"/>
        <v>#N/A</v>
      </c>
      <c r="W31" s="85"/>
      <c r="X31" s="133">
        <f t="shared" si="0"/>
        <v>0.2289596228944413</v>
      </c>
      <c r="Y31" s="5"/>
      <c r="Z31">
        <v>31218.534194698157</v>
      </c>
      <c r="AA31" t="e">
        <v>#N/A</v>
      </c>
      <c r="AB31" s="5">
        <f t="shared" si="5"/>
        <v>31218.534194698157</v>
      </c>
    </row>
    <row r="32" spans="1:28" x14ac:dyDescent="0.25">
      <c r="A32" t="s">
        <v>51</v>
      </c>
      <c r="B32" t="s">
        <v>52</v>
      </c>
      <c r="C32" s="178">
        <v>90</v>
      </c>
      <c r="D32" s="2" t="s">
        <v>378</v>
      </c>
      <c r="E32" s="3">
        <v>6.5</v>
      </c>
      <c r="F32" s="2" t="s">
        <v>407</v>
      </c>
      <c r="G32" s="3">
        <v>13</v>
      </c>
      <c r="H32" s="2" t="s">
        <v>417</v>
      </c>
      <c r="I32" s="3">
        <v>298</v>
      </c>
      <c r="J32" s="2" t="s">
        <v>372</v>
      </c>
      <c r="K32" s="85">
        <f t="shared" si="1"/>
        <v>2.9204000000000003</v>
      </c>
      <c r="L32" s="133">
        <f t="shared" si="2"/>
        <v>0.16660000000000003</v>
      </c>
      <c r="M32" s="3"/>
      <c r="N32" s="2" t="s">
        <v>445</v>
      </c>
      <c r="O32" s="3">
        <v>115</v>
      </c>
      <c r="P32" s="2" t="s">
        <v>378</v>
      </c>
      <c r="Q32" s="3"/>
      <c r="R32" s="2" t="s">
        <v>445</v>
      </c>
      <c r="S32" s="3">
        <v>0</v>
      </c>
      <c r="T32" s="2" t="s">
        <v>413</v>
      </c>
      <c r="U32" s="85" t="e">
        <f t="shared" si="3"/>
        <v>#N/A</v>
      </c>
      <c r="V32" s="85">
        <f t="shared" si="4"/>
        <v>13997.720000000001</v>
      </c>
      <c r="W32" s="85"/>
      <c r="X32" s="133">
        <f t="shared" si="0"/>
        <v>0.1277099433645478</v>
      </c>
      <c r="Y32" s="5"/>
      <c r="Z32" t="e">
        <v>#N/A</v>
      </c>
      <c r="AA32">
        <v>13997.720000000001</v>
      </c>
      <c r="AB32" s="5">
        <f t="shared" si="5"/>
        <v>13997.720000000001</v>
      </c>
    </row>
    <row r="33" spans="1:28" x14ac:dyDescent="0.25">
      <c r="A33" t="s">
        <v>53</v>
      </c>
      <c r="B33" t="s">
        <v>76</v>
      </c>
      <c r="C33" s="178">
        <v>155</v>
      </c>
      <c r="D33" s="2" t="s">
        <v>357</v>
      </c>
      <c r="E33" s="3">
        <v>11</v>
      </c>
      <c r="F33" s="2" t="s">
        <v>389</v>
      </c>
      <c r="G33" s="3">
        <v>3</v>
      </c>
      <c r="H33" s="2" t="s">
        <v>358</v>
      </c>
      <c r="I33" s="3">
        <v>306</v>
      </c>
      <c r="J33" s="2" t="s">
        <v>436</v>
      </c>
      <c r="K33" s="85">
        <f t="shared" si="1"/>
        <v>2.9988000000000006</v>
      </c>
      <c r="L33" s="133">
        <f t="shared" si="2"/>
        <v>0.17640000000000003</v>
      </c>
      <c r="M33" s="3"/>
      <c r="N33" s="2" t="s">
        <v>445</v>
      </c>
      <c r="O33" s="3">
        <v>197</v>
      </c>
      <c r="P33" s="2" t="s">
        <v>381</v>
      </c>
      <c r="Q33" s="3"/>
      <c r="R33" s="2" t="s">
        <v>445</v>
      </c>
      <c r="S33" s="3">
        <v>0</v>
      </c>
      <c r="T33" s="2" t="s">
        <v>413</v>
      </c>
      <c r="U33" s="85" t="e">
        <f t="shared" si="3"/>
        <v>#N/A</v>
      </c>
      <c r="V33" s="85">
        <f t="shared" si="4"/>
        <v>19085.79</v>
      </c>
      <c r="W33" s="85"/>
      <c r="X33" s="133">
        <f t="shared" si="0"/>
        <v>0.13320331335042454</v>
      </c>
      <c r="Y33" s="5"/>
      <c r="Z33" t="e">
        <v>#N/A</v>
      </c>
      <c r="AA33">
        <v>19085.79</v>
      </c>
      <c r="AB33" s="5">
        <f t="shared" si="5"/>
        <v>19085.79</v>
      </c>
    </row>
    <row r="34" spans="1:28" x14ac:dyDescent="0.25">
      <c r="A34" t="s">
        <v>54</v>
      </c>
      <c r="B34" t="s">
        <v>55</v>
      </c>
      <c r="C34" s="178">
        <v>1291</v>
      </c>
      <c r="D34" s="2" t="s">
        <v>379</v>
      </c>
      <c r="E34" s="3">
        <v>35.700000000000003</v>
      </c>
      <c r="F34" s="2" t="s">
        <v>389</v>
      </c>
      <c r="G34" s="3">
        <v>0</v>
      </c>
      <c r="H34" s="2" t="s">
        <v>413</v>
      </c>
      <c r="I34" s="3">
        <v>1043</v>
      </c>
      <c r="J34" s="2" t="s">
        <v>437</v>
      </c>
      <c r="K34" s="85">
        <f t="shared" si="1"/>
        <v>10.221400000000001</v>
      </c>
      <c r="L34" s="133">
        <f t="shared" si="2"/>
        <v>0.67620000000000013</v>
      </c>
      <c r="M34" s="3"/>
      <c r="N34" s="2" t="s">
        <v>445</v>
      </c>
      <c r="O34" s="3">
        <v>634</v>
      </c>
      <c r="P34" s="2" t="s">
        <v>466</v>
      </c>
      <c r="Q34" s="3"/>
      <c r="R34" s="2" t="s">
        <v>445</v>
      </c>
      <c r="S34" s="3">
        <v>0</v>
      </c>
      <c r="T34" s="2" t="s">
        <v>413</v>
      </c>
      <c r="U34" s="85" t="e">
        <f t="shared" si="3"/>
        <v>#N/A</v>
      </c>
      <c r="V34" s="85">
        <f t="shared" si="4"/>
        <v>108009.598</v>
      </c>
      <c r="W34" s="85"/>
      <c r="X34" s="133">
        <f t="shared" si="0"/>
        <v>0.3423179192161529</v>
      </c>
      <c r="Y34" s="5"/>
      <c r="Z34" t="e">
        <v>#N/A</v>
      </c>
      <c r="AA34">
        <v>108009.598</v>
      </c>
      <c r="AB34" s="5">
        <f t="shared" si="5"/>
        <v>108009.598</v>
      </c>
    </row>
    <row r="35" spans="1:28" x14ac:dyDescent="0.25">
      <c r="A35" t="s">
        <v>56</v>
      </c>
      <c r="B35" t="s">
        <v>77</v>
      </c>
      <c r="C35" s="178">
        <v>177</v>
      </c>
      <c r="D35" s="2" t="s">
        <v>363</v>
      </c>
      <c r="E35" s="3">
        <v>34.1</v>
      </c>
      <c r="F35" s="2" t="s">
        <v>408</v>
      </c>
      <c r="G35" s="3">
        <v>0</v>
      </c>
      <c r="H35" s="2" t="s">
        <v>413</v>
      </c>
      <c r="I35" s="3">
        <v>142</v>
      </c>
      <c r="J35" s="2" t="s">
        <v>421</v>
      </c>
      <c r="K35" s="85">
        <f t="shared" si="1"/>
        <v>1.3916000000000002</v>
      </c>
      <c r="L35" s="133">
        <f t="shared" si="2"/>
        <v>0.22540000000000004</v>
      </c>
      <c r="M35" s="3"/>
      <c r="N35" s="2" t="s">
        <v>445</v>
      </c>
      <c r="O35" s="3">
        <v>607</v>
      </c>
      <c r="P35" s="2" t="s">
        <v>467</v>
      </c>
      <c r="Q35" s="3"/>
      <c r="R35" s="2" t="s">
        <v>445</v>
      </c>
      <c r="S35" s="3">
        <v>0</v>
      </c>
      <c r="T35" s="2" t="s">
        <v>413</v>
      </c>
      <c r="U35" s="85" t="e">
        <f t="shared" si="3"/>
        <v>#N/A</v>
      </c>
      <c r="V35" s="85">
        <f t="shared" si="4"/>
        <v>20807.905999999999</v>
      </c>
      <c r="W35" s="85"/>
      <c r="X35" s="133">
        <f t="shared" si="0"/>
        <v>4.9134947328446851E-2</v>
      </c>
      <c r="Y35" s="5"/>
      <c r="Z35" t="e">
        <v>#N/A</v>
      </c>
      <c r="AA35">
        <v>20807.905999999999</v>
      </c>
      <c r="AB35" s="5">
        <f t="shared" si="5"/>
        <v>20807.905999999999</v>
      </c>
    </row>
    <row r="36" spans="1:28" x14ac:dyDescent="0.25">
      <c r="A36" t="s">
        <v>57</v>
      </c>
      <c r="B36" t="s">
        <v>78</v>
      </c>
      <c r="C36" s="178">
        <v>707</v>
      </c>
      <c r="D36" s="2" t="s">
        <v>380</v>
      </c>
      <c r="E36" s="3">
        <v>43.6</v>
      </c>
      <c r="F36" s="2" t="s">
        <v>409</v>
      </c>
      <c r="G36" s="3">
        <v>0</v>
      </c>
      <c r="H36" s="2" t="s">
        <v>413</v>
      </c>
      <c r="I36" s="3">
        <v>463</v>
      </c>
      <c r="J36" s="2" t="s">
        <v>438</v>
      </c>
      <c r="K36" s="85">
        <f t="shared" si="1"/>
        <v>4.5374000000000008</v>
      </c>
      <c r="L36" s="133">
        <f t="shared" si="2"/>
        <v>1.4504000000000001</v>
      </c>
      <c r="M36" s="3"/>
      <c r="N36" s="2" t="s">
        <v>445</v>
      </c>
      <c r="O36" s="3">
        <v>775</v>
      </c>
      <c r="P36" s="2" t="s">
        <v>468</v>
      </c>
      <c r="Q36" s="3"/>
      <c r="R36" s="2" t="s">
        <v>445</v>
      </c>
      <c r="S36" s="3">
        <v>0</v>
      </c>
      <c r="T36" s="2" t="s">
        <v>413</v>
      </c>
      <c r="U36" s="85" t="e">
        <f t="shared" si="3"/>
        <v>#N/A</v>
      </c>
      <c r="V36" s="85">
        <f t="shared" si="4"/>
        <v>62295.245999999999</v>
      </c>
      <c r="W36" s="85"/>
      <c r="X36" s="133">
        <f t="shared" si="0"/>
        <v>0.15349864000639177</v>
      </c>
      <c r="Y36" s="5"/>
      <c r="Z36" t="e">
        <v>#N/A</v>
      </c>
      <c r="AA36">
        <v>62295.245999999999</v>
      </c>
      <c r="AB36" s="5">
        <f t="shared" si="5"/>
        <v>62295.245999999999</v>
      </c>
    </row>
    <row r="37" spans="1:28" x14ac:dyDescent="0.25">
      <c r="A37" t="s">
        <v>58</v>
      </c>
      <c r="B37" t="s">
        <v>59</v>
      </c>
      <c r="C37" s="178">
        <v>155</v>
      </c>
      <c r="D37" s="2" t="s">
        <v>377</v>
      </c>
      <c r="E37" s="3">
        <v>16</v>
      </c>
      <c r="F37" s="2" t="s">
        <v>410</v>
      </c>
      <c r="G37" s="3">
        <v>4</v>
      </c>
      <c r="H37" s="2" t="s">
        <v>416</v>
      </c>
      <c r="I37" s="3">
        <v>145</v>
      </c>
      <c r="J37" s="2" t="s">
        <v>377</v>
      </c>
      <c r="K37" s="85">
        <f t="shared" si="1"/>
        <v>1.4210000000000003</v>
      </c>
      <c r="L37" s="133">
        <f t="shared" si="2"/>
        <v>0.26460000000000006</v>
      </c>
      <c r="M37" s="3">
        <v>234</v>
      </c>
      <c r="N37" s="2" t="s">
        <v>453</v>
      </c>
      <c r="O37" s="3">
        <v>89</v>
      </c>
      <c r="P37" s="2" t="s">
        <v>469</v>
      </c>
      <c r="Q37" s="3">
        <v>93</v>
      </c>
      <c r="R37" s="2" t="s">
        <v>371</v>
      </c>
      <c r="S37" s="3">
        <v>9.5</v>
      </c>
      <c r="T37" s="2" t="s">
        <v>391</v>
      </c>
      <c r="U37" s="85">
        <f t="shared" si="3"/>
        <v>5581.3040062843684</v>
      </c>
      <c r="V37" s="85" t="e">
        <f t="shared" si="4"/>
        <v>#N/A</v>
      </c>
      <c r="W37" s="85"/>
      <c r="X37" s="133">
        <f t="shared" si="0"/>
        <v>9.1479570018374076E-2</v>
      </c>
      <c r="Y37" s="5"/>
      <c r="Z37">
        <v>5581.3040062843684</v>
      </c>
      <c r="AA37" t="e">
        <v>#N/A</v>
      </c>
      <c r="AB37" s="5">
        <f t="shared" si="5"/>
        <v>5581.3040062843684</v>
      </c>
    </row>
    <row r="38" spans="1:28" x14ac:dyDescent="0.25">
      <c r="A38" t="s">
        <v>60</v>
      </c>
      <c r="B38" t="s">
        <v>79</v>
      </c>
      <c r="C38" s="178">
        <v>362</v>
      </c>
      <c r="D38" s="2" t="s">
        <v>381</v>
      </c>
      <c r="E38" s="3">
        <v>20.6</v>
      </c>
      <c r="F38" s="2" t="s">
        <v>407</v>
      </c>
      <c r="G38" s="3">
        <v>11</v>
      </c>
      <c r="H38" s="2" t="s">
        <v>418</v>
      </c>
      <c r="I38" s="3">
        <v>397</v>
      </c>
      <c r="J38" s="2" t="s">
        <v>439</v>
      </c>
      <c r="K38" s="85">
        <f t="shared" si="1"/>
        <v>3.8906000000000005</v>
      </c>
      <c r="L38" s="133">
        <f t="shared" si="2"/>
        <v>0.29400000000000004</v>
      </c>
      <c r="M38" s="3"/>
      <c r="N38" s="2" t="s">
        <v>445</v>
      </c>
      <c r="O38" s="3">
        <v>367</v>
      </c>
      <c r="P38" s="2" t="s">
        <v>377</v>
      </c>
      <c r="Q38" s="3"/>
      <c r="R38" s="2" t="s">
        <v>445</v>
      </c>
      <c r="S38" s="3">
        <v>0</v>
      </c>
      <c r="T38" s="2" t="s">
        <v>413</v>
      </c>
      <c r="U38" s="85" t="e">
        <f t="shared" si="3"/>
        <v>#N/A</v>
      </c>
      <c r="V38" s="85">
        <f t="shared" si="4"/>
        <v>35289.336000000003</v>
      </c>
      <c r="W38" s="85"/>
      <c r="X38" s="133">
        <f t="shared" si="0"/>
        <v>0.16328998449081877</v>
      </c>
      <c r="Y38" s="5"/>
      <c r="Z38" t="e">
        <v>#N/A</v>
      </c>
      <c r="AA38">
        <v>35289.336000000003</v>
      </c>
      <c r="AB38" s="5">
        <f t="shared" si="5"/>
        <v>35289.336000000003</v>
      </c>
    </row>
    <row r="39" spans="1:28" x14ac:dyDescent="0.25">
      <c r="A39" t="s">
        <v>61</v>
      </c>
      <c r="B39" t="s">
        <v>80</v>
      </c>
      <c r="C39" s="178">
        <v>542</v>
      </c>
      <c r="D39" s="2" t="s">
        <v>382</v>
      </c>
      <c r="E39" s="3">
        <v>15.2</v>
      </c>
      <c r="F39" s="2" t="s">
        <v>402</v>
      </c>
      <c r="G39" s="3">
        <v>9</v>
      </c>
      <c r="H39" s="2" t="s">
        <v>374</v>
      </c>
      <c r="I39" s="3">
        <v>878</v>
      </c>
      <c r="J39" s="2" t="s">
        <v>440</v>
      </c>
      <c r="K39" s="85">
        <f t="shared" si="1"/>
        <v>8.6044000000000018</v>
      </c>
      <c r="L39" s="133">
        <f t="shared" si="2"/>
        <v>0.79380000000000006</v>
      </c>
      <c r="M39" s="3">
        <v>1004</v>
      </c>
      <c r="N39" s="2" t="s">
        <v>454</v>
      </c>
      <c r="O39" s="3">
        <v>271</v>
      </c>
      <c r="P39" s="2" t="s">
        <v>453</v>
      </c>
      <c r="Q39" s="3">
        <v>290</v>
      </c>
      <c r="R39" s="2" t="s">
        <v>417</v>
      </c>
      <c r="S39" s="3">
        <v>11.9</v>
      </c>
      <c r="T39" s="2" t="s">
        <v>406</v>
      </c>
      <c r="U39" s="85">
        <f t="shared" si="3"/>
        <v>26979.806848112381</v>
      </c>
      <c r="V39" s="85" t="e">
        <f t="shared" si="4"/>
        <v>#N/A</v>
      </c>
      <c r="W39" s="85"/>
      <c r="X39" s="133">
        <f t="shared" si="0"/>
        <v>0.33338591084674341</v>
      </c>
      <c r="Y39" s="5"/>
      <c r="Z39">
        <v>26979.806848112381</v>
      </c>
      <c r="AA39" t="e">
        <v>#N/A</v>
      </c>
      <c r="AB39" s="5">
        <f t="shared" si="5"/>
        <v>26979.806848112381</v>
      </c>
    </row>
    <row r="40" spans="1:28" x14ac:dyDescent="0.25">
      <c r="A40" t="s">
        <v>62</v>
      </c>
      <c r="B40" t="s">
        <v>81</v>
      </c>
      <c r="C40" s="178">
        <v>85</v>
      </c>
      <c r="D40" s="2" t="s">
        <v>378</v>
      </c>
      <c r="E40" s="3">
        <v>5.4</v>
      </c>
      <c r="F40" s="2" t="s">
        <v>411</v>
      </c>
      <c r="G40" s="3">
        <v>5</v>
      </c>
      <c r="H40" s="2" t="s">
        <v>375</v>
      </c>
      <c r="I40" s="3">
        <v>361</v>
      </c>
      <c r="J40" s="2" t="s">
        <v>441</v>
      </c>
      <c r="K40" s="85">
        <f t="shared" si="1"/>
        <v>3.5378000000000007</v>
      </c>
      <c r="L40" s="133">
        <f t="shared" si="2"/>
        <v>0.81340000000000012</v>
      </c>
      <c r="M40" s="3">
        <v>605</v>
      </c>
      <c r="N40" s="2" t="s">
        <v>455</v>
      </c>
      <c r="O40" s="3">
        <v>97</v>
      </c>
      <c r="P40" s="2" t="s">
        <v>459</v>
      </c>
      <c r="Q40" s="3">
        <v>68</v>
      </c>
      <c r="R40" s="2" t="s">
        <v>472</v>
      </c>
      <c r="S40" s="3">
        <v>12.4</v>
      </c>
      <c r="T40" s="2" t="s">
        <v>392</v>
      </c>
      <c r="U40" s="85">
        <f t="shared" si="3"/>
        <v>10645.76311988445</v>
      </c>
      <c r="V40" s="85" t="e">
        <f t="shared" si="4"/>
        <v>#N/A</v>
      </c>
      <c r="W40" s="85"/>
      <c r="X40" s="133">
        <f t="shared" si="0"/>
        <v>0.14843660139233439</v>
      </c>
      <c r="Y40" s="5"/>
      <c r="Z40">
        <v>10645.76311988445</v>
      </c>
      <c r="AA40" t="e">
        <v>#N/A</v>
      </c>
      <c r="AB40" s="5">
        <f t="shared" si="5"/>
        <v>10645.76311988445</v>
      </c>
    </row>
    <row r="41" spans="1:28" x14ac:dyDescent="0.25">
      <c r="A41" t="s">
        <v>63</v>
      </c>
      <c r="B41" t="s">
        <v>82</v>
      </c>
      <c r="C41" s="178">
        <v>900</v>
      </c>
      <c r="D41" s="2" t="s">
        <v>383</v>
      </c>
      <c r="E41" s="3">
        <v>12.2</v>
      </c>
      <c r="F41" s="2" t="s">
        <v>399</v>
      </c>
      <c r="G41" s="3">
        <v>11</v>
      </c>
      <c r="H41" s="2" t="s">
        <v>378</v>
      </c>
      <c r="I41" s="3">
        <v>1681</v>
      </c>
      <c r="J41" s="2" t="s">
        <v>442</v>
      </c>
      <c r="K41" s="85">
        <f t="shared" si="1"/>
        <v>16.473800000000001</v>
      </c>
      <c r="L41" s="133">
        <f t="shared" si="2"/>
        <v>0.8428000000000001</v>
      </c>
      <c r="M41" s="3">
        <v>1859</v>
      </c>
      <c r="N41" s="2" t="s">
        <v>456</v>
      </c>
      <c r="O41" s="3">
        <v>216</v>
      </c>
      <c r="P41" s="2" t="s">
        <v>470</v>
      </c>
      <c r="Q41" s="3">
        <v>227</v>
      </c>
      <c r="R41" s="2" t="s">
        <v>370</v>
      </c>
      <c r="S41" s="3">
        <v>6.6</v>
      </c>
      <c r="T41" s="2" t="s">
        <v>390</v>
      </c>
      <c r="U41" s="85">
        <f t="shared" si="3"/>
        <v>93135.459068294891</v>
      </c>
      <c r="V41" s="85" t="e">
        <f t="shared" si="4"/>
        <v>#N/A</v>
      </c>
      <c r="W41" s="85"/>
      <c r="X41" s="133">
        <f t="shared" si="0"/>
        <v>0.68548960974091577</v>
      </c>
      <c r="Y41" s="5"/>
      <c r="Z41">
        <v>93135.459068294891</v>
      </c>
      <c r="AA41" t="e">
        <v>#N/A</v>
      </c>
      <c r="AB41" s="5">
        <f t="shared" si="5"/>
        <v>93135.459068294891</v>
      </c>
    </row>
    <row r="42" spans="1:28" x14ac:dyDescent="0.25">
      <c r="A42" t="s">
        <v>64</v>
      </c>
      <c r="B42" t="s">
        <v>83</v>
      </c>
      <c r="C42" s="178">
        <v>181</v>
      </c>
      <c r="D42" s="2" t="s">
        <v>384</v>
      </c>
      <c r="E42" s="3">
        <v>11.6</v>
      </c>
      <c r="F42" s="2" t="s">
        <v>407</v>
      </c>
      <c r="G42" s="3">
        <v>14</v>
      </c>
      <c r="H42" s="2" t="s">
        <v>375</v>
      </c>
      <c r="I42" s="3">
        <v>260</v>
      </c>
      <c r="J42" s="2" t="s">
        <v>363</v>
      </c>
      <c r="K42" s="85">
        <f t="shared" si="1"/>
        <v>2.5480000000000005</v>
      </c>
      <c r="L42" s="133">
        <f t="shared" si="2"/>
        <v>0.24500000000000002</v>
      </c>
      <c r="M42" s="3"/>
      <c r="N42" s="2" t="s">
        <v>445</v>
      </c>
      <c r="O42" s="3">
        <v>65</v>
      </c>
      <c r="P42" s="2" t="s">
        <v>416</v>
      </c>
      <c r="Q42" s="3"/>
      <c r="R42" s="2" t="s">
        <v>445</v>
      </c>
      <c r="S42" s="3">
        <v>6.6</v>
      </c>
      <c r="T42" s="2" t="s">
        <v>390</v>
      </c>
      <c r="U42" s="85">
        <f t="shared" si="3"/>
        <v>14405.246494798736</v>
      </c>
      <c r="V42" s="85" t="e">
        <f t="shared" si="4"/>
        <v>#N/A</v>
      </c>
      <c r="W42" s="85"/>
      <c r="X42" s="133">
        <f t="shared" si="0"/>
        <v>0.14331654634913515</v>
      </c>
      <c r="Y42" s="5"/>
      <c r="Z42">
        <v>14405.246494798736</v>
      </c>
      <c r="AA42" t="e">
        <v>#N/A</v>
      </c>
      <c r="AB42" s="5">
        <f t="shared" si="5"/>
        <v>14405.246494798736</v>
      </c>
    </row>
    <row r="43" spans="1:28" x14ac:dyDescent="0.25">
      <c r="A43" t="s">
        <v>65</v>
      </c>
      <c r="B43" t="s">
        <v>84</v>
      </c>
      <c r="C43" s="178">
        <v>1113</v>
      </c>
      <c r="D43" s="2" t="s">
        <v>385</v>
      </c>
      <c r="E43" s="3">
        <v>19.8</v>
      </c>
      <c r="F43" s="2" t="s">
        <v>396</v>
      </c>
      <c r="G43" s="3">
        <v>14</v>
      </c>
      <c r="H43" s="2" t="s">
        <v>375</v>
      </c>
      <c r="I43" s="3">
        <v>1517</v>
      </c>
      <c r="J43" s="2" t="s">
        <v>443</v>
      </c>
      <c r="K43" s="85">
        <f t="shared" si="1"/>
        <v>14.866600000000002</v>
      </c>
      <c r="L43" s="133">
        <f t="shared" si="2"/>
        <v>0.77420000000000011</v>
      </c>
      <c r="M43" s="3"/>
      <c r="N43" s="2" t="s">
        <v>445</v>
      </c>
      <c r="O43" s="3">
        <v>352</v>
      </c>
      <c r="P43" s="2" t="s">
        <v>363</v>
      </c>
      <c r="Q43" s="3"/>
      <c r="R43" s="2" t="s">
        <v>445</v>
      </c>
      <c r="S43" s="3">
        <v>6.6</v>
      </c>
      <c r="T43" s="2" t="s">
        <v>390</v>
      </c>
      <c r="U43" s="85">
        <f t="shared" si="3"/>
        <v>84049.072817729539</v>
      </c>
      <c r="V43" s="85" t="e">
        <f t="shared" si="4"/>
        <v>#N/A</v>
      </c>
      <c r="W43" s="85"/>
      <c r="X43" s="133">
        <f t="shared" si="0"/>
        <v>0.51630427663497236</v>
      </c>
      <c r="Y43" s="5"/>
      <c r="Z43">
        <v>84049.072817729539</v>
      </c>
      <c r="AA43" t="e">
        <v>#N/A</v>
      </c>
      <c r="AB43" s="5">
        <f t="shared" si="5"/>
        <v>84049.072817729539</v>
      </c>
    </row>
    <row r="44" spans="1:28" x14ac:dyDescent="0.25">
      <c r="A44" t="s">
        <v>66</v>
      </c>
      <c r="B44" t="s">
        <v>85</v>
      </c>
      <c r="C44" s="178">
        <v>396</v>
      </c>
      <c r="D44" s="2" t="s">
        <v>386</v>
      </c>
      <c r="E44" s="3">
        <v>15.6</v>
      </c>
      <c r="F44" s="2" t="s">
        <v>412</v>
      </c>
      <c r="G44" s="3">
        <v>11</v>
      </c>
      <c r="H44" s="2" t="s">
        <v>417</v>
      </c>
      <c r="I44" s="3">
        <v>620</v>
      </c>
      <c r="J44" s="2" t="s">
        <v>444</v>
      </c>
      <c r="K44" s="85">
        <f t="shared" si="1"/>
        <v>6.0760000000000005</v>
      </c>
      <c r="L44" s="133">
        <f t="shared" si="2"/>
        <v>0.71540000000000015</v>
      </c>
      <c r="M44" s="3">
        <v>611</v>
      </c>
      <c r="N44" s="2" t="s">
        <v>457</v>
      </c>
      <c r="O44" s="3">
        <v>278</v>
      </c>
      <c r="P44" s="2" t="s">
        <v>471</v>
      </c>
      <c r="Q44" s="3">
        <v>161</v>
      </c>
      <c r="R44" s="2" t="s">
        <v>375</v>
      </c>
      <c r="S44" s="3">
        <v>6.6</v>
      </c>
      <c r="T44" s="2" t="s">
        <v>390</v>
      </c>
      <c r="U44" s="85">
        <f t="shared" si="3"/>
        <v>34350.972410673901</v>
      </c>
      <c r="V44" s="85" t="e">
        <f t="shared" si="4"/>
        <v>#N/A</v>
      </c>
      <c r="W44" s="85"/>
      <c r="X44" s="133">
        <f t="shared" si="0"/>
        <v>0.23587873237751511</v>
      </c>
      <c r="Y44" s="5"/>
      <c r="Z44">
        <v>34350.972410673901</v>
      </c>
      <c r="AA44" t="e">
        <v>#N/A</v>
      </c>
      <c r="AB44" s="5">
        <f t="shared" si="5"/>
        <v>34350.972410673901</v>
      </c>
    </row>
    <row r="45" spans="1:28" x14ac:dyDescent="0.25">
      <c r="C45" s="177">
        <f>SUM(C2:C44)/1000</f>
        <v>19.003</v>
      </c>
      <c r="X45" s="133">
        <f>AVERAGE(X8:X44)</f>
        <v>0.2385809460454742</v>
      </c>
    </row>
    <row r="46" spans="1:28" x14ac:dyDescent="0.25">
      <c r="X46" s="133">
        <f>MAX(X2:X44)</f>
        <v>0.68548960974091577</v>
      </c>
    </row>
    <row r="47" spans="1:28" x14ac:dyDescent="0.25">
      <c r="X47" s="133">
        <f>MIN(X2:X44)</f>
        <v>1.0131501621528316E-2</v>
      </c>
    </row>
  </sheetData>
  <conditionalFormatting sqref="N7">
    <cfRule type="colorScale" priority="10">
      <colorScale>
        <cfvo type="min"/>
        <cfvo type="max"/>
        <color rgb="FFFF7128"/>
        <color rgb="FFFFEF9C"/>
      </colorScale>
    </cfRule>
  </conditionalFormatting>
  <conditionalFormatting sqref="K2:K4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W4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ignoredErrors>
    <ignoredError sqref="D5:D44 F6:F44 H2:H44 J2 J3:J44 N8:N44 P2:P44 R8:R44 T2:T44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zoomScaleNormal="100" workbookViewId="0">
      <pane ySplit="1" topLeftCell="A2" activePane="bottomLeft" state="frozen"/>
      <selection activeCell="B1" sqref="B1"/>
      <selection pane="bottomLeft" activeCell="B45" sqref="B45"/>
    </sheetView>
  </sheetViews>
  <sheetFormatPr defaultColWidth="8.85546875" defaultRowHeight="15" x14ac:dyDescent="0.25"/>
  <cols>
    <col min="1" max="1" width="33.85546875" style="5" customWidth="1"/>
    <col min="2" max="2" width="10" style="5" customWidth="1"/>
    <col min="3" max="3" width="8.85546875" style="5" customWidth="1"/>
    <col min="4" max="4" width="8.85546875" style="5"/>
    <col min="5" max="5" width="8.28515625" style="5" customWidth="1"/>
    <col min="6" max="6" width="20" style="5" customWidth="1"/>
    <col min="7" max="7" width="8.85546875" style="5"/>
    <col min="8" max="8" width="23.42578125" style="5" customWidth="1"/>
    <col min="9" max="9" width="14.5703125" style="5" customWidth="1"/>
    <col min="10" max="16384" width="8.85546875" style="5"/>
  </cols>
  <sheetData>
    <row r="1" spans="1:15" s="4" customFormat="1" x14ac:dyDescent="0.25">
      <c r="A1" s="4" t="s">
        <v>67</v>
      </c>
      <c r="B1" s="4" t="s">
        <v>68</v>
      </c>
      <c r="C1" s="4" t="s">
        <v>69</v>
      </c>
      <c r="D1" s="4" t="s">
        <v>70</v>
      </c>
      <c r="E1" s="4" t="s">
        <v>520</v>
      </c>
      <c r="F1" s="4" t="s">
        <v>519</v>
      </c>
      <c r="G1" s="4" t="s">
        <v>72</v>
      </c>
      <c r="H1" s="4" t="s">
        <v>518</v>
      </c>
      <c r="I1" s="4" t="s">
        <v>257</v>
      </c>
    </row>
    <row r="2" spans="1:15" x14ac:dyDescent="0.25">
      <c r="A2" s="5" t="s">
        <v>113</v>
      </c>
      <c r="B2" s="177">
        <v>1087</v>
      </c>
      <c r="C2" s="5">
        <v>22.8</v>
      </c>
      <c r="D2" s="5">
        <v>12</v>
      </c>
      <c r="E2" s="5">
        <v>1246</v>
      </c>
      <c r="F2" s="5">
        <v>406</v>
      </c>
      <c r="G2" s="5">
        <v>0</v>
      </c>
      <c r="H2" s="5">
        <v>1.57</v>
      </c>
      <c r="I2" s="5">
        <v>0.75</v>
      </c>
      <c r="O2" s="5">
        <f>E2*0.301</f>
        <v>375.04599999999999</v>
      </c>
    </row>
    <row r="3" spans="1:15" x14ac:dyDescent="0.25">
      <c r="A3" s="5" t="s">
        <v>114</v>
      </c>
      <c r="B3" s="177">
        <v>94</v>
      </c>
      <c r="C3" s="5">
        <v>16.600000000000001</v>
      </c>
      <c r="D3" s="5">
        <v>9</v>
      </c>
      <c r="E3" s="5">
        <v>106</v>
      </c>
      <c r="F3" s="5">
        <v>93</v>
      </c>
      <c r="G3" s="176">
        <v>4.5</v>
      </c>
      <c r="H3" s="5">
        <v>1.62</v>
      </c>
      <c r="I3" s="5">
        <v>0.66</v>
      </c>
      <c r="O3" s="5">
        <f t="shared" ref="O3:O44" si="0">E3*0.301</f>
        <v>31.905999999999999</v>
      </c>
    </row>
    <row r="4" spans="1:15" x14ac:dyDescent="0.25">
      <c r="A4" s="5" t="s">
        <v>115</v>
      </c>
      <c r="B4" s="177">
        <v>280</v>
      </c>
      <c r="C4" s="5">
        <v>28.4</v>
      </c>
      <c r="D4" s="5">
        <v>0</v>
      </c>
      <c r="E4" s="5">
        <v>308</v>
      </c>
      <c r="F4" s="5">
        <v>506</v>
      </c>
      <c r="G4" s="5">
        <v>0</v>
      </c>
      <c r="H4" s="5">
        <v>2.98</v>
      </c>
      <c r="I4" s="5">
        <v>0.74</v>
      </c>
      <c r="O4" s="5">
        <f t="shared" si="0"/>
        <v>92.707999999999998</v>
      </c>
    </row>
    <row r="5" spans="1:15" x14ac:dyDescent="0.25">
      <c r="A5" s="5" t="s">
        <v>116</v>
      </c>
      <c r="B5" s="177">
        <v>470</v>
      </c>
      <c r="C5" s="5">
        <v>39.700000000000003</v>
      </c>
      <c r="D5" s="5">
        <v>0</v>
      </c>
      <c r="E5" s="5">
        <v>346</v>
      </c>
      <c r="F5" s="5">
        <v>706</v>
      </c>
      <c r="G5" s="5">
        <v>0</v>
      </c>
      <c r="H5" s="5">
        <v>5.0999999999999996</v>
      </c>
      <c r="I5" s="5">
        <v>0.67</v>
      </c>
      <c r="O5" s="5">
        <f t="shared" si="0"/>
        <v>104.146</v>
      </c>
    </row>
    <row r="6" spans="1:15" x14ac:dyDescent="0.25">
      <c r="A6" s="5" t="s">
        <v>117</v>
      </c>
      <c r="B6" s="177">
        <v>1655</v>
      </c>
      <c r="C6" s="5">
        <v>37.6</v>
      </c>
      <c r="D6" s="5">
        <v>7</v>
      </c>
      <c r="E6" s="5">
        <v>1274</v>
      </c>
      <c r="F6" s="5">
        <v>669</v>
      </c>
      <c r="G6" s="5">
        <v>0</v>
      </c>
      <c r="H6" s="5">
        <v>0</v>
      </c>
      <c r="I6" s="5">
        <v>0.67</v>
      </c>
      <c r="O6" s="5">
        <f t="shared" si="0"/>
        <v>383.47399999999999</v>
      </c>
    </row>
    <row r="7" spans="1:15" x14ac:dyDescent="0.25">
      <c r="A7" s="5" t="s">
        <v>92</v>
      </c>
      <c r="B7" s="177">
        <v>275</v>
      </c>
      <c r="C7" s="5">
        <v>37.9</v>
      </c>
      <c r="D7" s="5">
        <v>0</v>
      </c>
      <c r="E7" s="5">
        <v>210</v>
      </c>
      <c r="F7" s="5">
        <v>675</v>
      </c>
      <c r="G7" s="5">
        <v>0</v>
      </c>
      <c r="H7" s="5">
        <v>0</v>
      </c>
      <c r="I7" s="5">
        <v>0.67</v>
      </c>
      <c r="O7" s="5">
        <f t="shared" si="0"/>
        <v>63.21</v>
      </c>
    </row>
    <row r="8" spans="1:15" x14ac:dyDescent="0.25">
      <c r="A8" s="5" t="s">
        <v>118</v>
      </c>
      <c r="B8" s="177">
        <v>146</v>
      </c>
      <c r="C8" s="5">
        <v>13.7</v>
      </c>
      <c r="D8" s="5">
        <v>10</v>
      </c>
      <c r="E8" s="5">
        <v>225</v>
      </c>
      <c r="F8" s="5">
        <v>243</v>
      </c>
      <c r="G8" s="5">
        <v>9</v>
      </c>
      <c r="H8" s="5">
        <v>2.8100000000000005</v>
      </c>
      <c r="I8" s="5">
        <v>0.48</v>
      </c>
      <c r="O8" s="5">
        <f t="shared" si="0"/>
        <v>67.724999999999994</v>
      </c>
    </row>
    <row r="9" spans="1:15" x14ac:dyDescent="0.25">
      <c r="A9" s="5" t="s">
        <v>119</v>
      </c>
      <c r="B9" s="177">
        <v>13</v>
      </c>
      <c r="C9" s="5">
        <v>12.1</v>
      </c>
      <c r="D9" s="5">
        <v>5</v>
      </c>
      <c r="E9" s="5">
        <v>25</v>
      </c>
      <c r="F9" s="5">
        <v>216</v>
      </c>
      <c r="G9" s="5">
        <v>13.6</v>
      </c>
      <c r="H9" s="5">
        <v>1.7399999999999998</v>
      </c>
      <c r="I9" s="5">
        <v>0.68</v>
      </c>
      <c r="O9" s="5">
        <f t="shared" si="0"/>
        <v>7.5249999999999995</v>
      </c>
    </row>
    <row r="10" spans="1:15" x14ac:dyDescent="0.25">
      <c r="A10" s="5" t="s">
        <v>120</v>
      </c>
      <c r="B10" s="177">
        <v>470</v>
      </c>
      <c r="C10" s="5">
        <v>9</v>
      </c>
      <c r="D10" s="5">
        <v>11</v>
      </c>
      <c r="E10" s="5">
        <v>1124</v>
      </c>
      <c r="F10" s="5">
        <v>160</v>
      </c>
      <c r="G10" s="5">
        <v>8.6999999999999993</v>
      </c>
      <c r="H10" s="5">
        <v>3.22</v>
      </c>
      <c r="I10" s="5">
        <v>0.3</v>
      </c>
      <c r="O10" s="5">
        <f t="shared" si="0"/>
        <v>338.32400000000001</v>
      </c>
    </row>
    <row r="11" spans="1:15" x14ac:dyDescent="0.25">
      <c r="A11" s="5" t="s">
        <v>121</v>
      </c>
      <c r="B11" s="177">
        <v>22</v>
      </c>
      <c r="C11" s="5">
        <v>10.8</v>
      </c>
      <c r="D11" s="5">
        <v>2</v>
      </c>
      <c r="E11" s="5">
        <v>45</v>
      </c>
      <c r="F11" s="5">
        <v>193</v>
      </c>
      <c r="G11" s="5">
        <v>9.6999999999999993</v>
      </c>
      <c r="H11" s="5">
        <v>1.81</v>
      </c>
      <c r="I11" s="5">
        <v>0.51</v>
      </c>
      <c r="O11" s="5">
        <f t="shared" si="0"/>
        <v>13.545</v>
      </c>
    </row>
    <row r="12" spans="1:15" x14ac:dyDescent="0.25">
      <c r="A12" s="5" t="s">
        <v>122</v>
      </c>
      <c r="B12" s="177">
        <v>55</v>
      </c>
      <c r="C12" s="5">
        <v>4.2</v>
      </c>
      <c r="D12" s="5">
        <v>18</v>
      </c>
      <c r="E12" s="5">
        <v>291</v>
      </c>
      <c r="F12" s="5">
        <v>74</v>
      </c>
      <c r="G12" s="5">
        <v>0</v>
      </c>
      <c r="H12" s="5">
        <v>3.42</v>
      </c>
      <c r="I12" s="5">
        <v>0.42</v>
      </c>
      <c r="O12" s="5">
        <f t="shared" si="0"/>
        <v>87.590999999999994</v>
      </c>
    </row>
    <row r="13" spans="1:15" x14ac:dyDescent="0.25">
      <c r="A13" s="5" t="s">
        <v>123</v>
      </c>
      <c r="B13" s="177">
        <v>12</v>
      </c>
      <c r="C13" s="5">
        <v>6.1</v>
      </c>
      <c r="D13" s="5">
        <v>10</v>
      </c>
      <c r="E13" s="5">
        <v>38</v>
      </c>
      <c r="F13" s="5">
        <v>109</v>
      </c>
      <c r="G13" s="5">
        <v>0</v>
      </c>
      <c r="H13" s="5">
        <v>3.61</v>
      </c>
      <c r="I13" s="5">
        <v>0.42</v>
      </c>
      <c r="O13" s="5">
        <f t="shared" si="0"/>
        <v>11.437999999999999</v>
      </c>
    </row>
    <row r="14" spans="1:15" x14ac:dyDescent="0.25">
      <c r="A14" s="5" t="s">
        <v>124</v>
      </c>
      <c r="B14" s="177">
        <v>793</v>
      </c>
      <c r="C14" s="5">
        <v>19.600000000000001</v>
      </c>
      <c r="D14" s="5">
        <v>12</v>
      </c>
      <c r="E14" s="5">
        <v>942</v>
      </c>
      <c r="F14" s="5">
        <v>349</v>
      </c>
      <c r="G14" s="5">
        <v>4.8</v>
      </c>
      <c r="H14" s="5">
        <v>0</v>
      </c>
      <c r="I14" s="5">
        <v>0.56000000000000005</v>
      </c>
      <c r="O14" s="5">
        <f t="shared" si="0"/>
        <v>283.54199999999997</v>
      </c>
    </row>
    <row r="15" spans="1:15" x14ac:dyDescent="0.25">
      <c r="A15" s="5" t="s">
        <v>125</v>
      </c>
      <c r="B15" s="177">
        <v>1444</v>
      </c>
      <c r="C15" s="5">
        <v>19.899999999999999</v>
      </c>
      <c r="D15" s="5">
        <v>12</v>
      </c>
      <c r="E15" s="5">
        <v>1912</v>
      </c>
      <c r="F15" s="5">
        <v>355</v>
      </c>
      <c r="G15" s="5">
        <v>0</v>
      </c>
      <c r="H15" s="5">
        <v>0</v>
      </c>
      <c r="I15" s="5">
        <v>0.67</v>
      </c>
      <c r="O15" s="5">
        <f t="shared" si="0"/>
        <v>575.51199999999994</v>
      </c>
    </row>
    <row r="16" spans="1:15" x14ac:dyDescent="0.25">
      <c r="A16" s="5" t="s">
        <v>126</v>
      </c>
      <c r="B16" s="177">
        <v>378</v>
      </c>
      <c r="C16" s="5">
        <v>11.8</v>
      </c>
      <c r="D16" s="5">
        <v>16</v>
      </c>
      <c r="E16" s="5">
        <v>754</v>
      </c>
      <c r="F16" s="5">
        <v>211</v>
      </c>
      <c r="G16" s="5">
        <v>0</v>
      </c>
      <c r="H16" s="5">
        <v>2.5499999999999998</v>
      </c>
      <c r="I16" s="5">
        <v>0.61499999999999999</v>
      </c>
      <c r="O16" s="5">
        <f t="shared" si="0"/>
        <v>226.95399999999998</v>
      </c>
    </row>
    <row r="17" spans="1:15" x14ac:dyDescent="0.25">
      <c r="A17" s="5" t="s">
        <v>521</v>
      </c>
      <c r="B17" s="177">
        <v>168</v>
      </c>
      <c r="C17" s="5">
        <v>30.3</v>
      </c>
      <c r="D17" s="5">
        <v>0</v>
      </c>
      <c r="E17" s="5">
        <v>158</v>
      </c>
      <c r="F17" s="5">
        <v>539</v>
      </c>
      <c r="G17" s="5">
        <v>0</v>
      </c>
      <c r="H17" s="5">
        <v>3.6399999999999997</v>
      </c>
      <c r="I17" s="5">
        <v>0.76</v>
      </c>
      <c r="O17" s="5">
        <f t="shared" si="0"/>
        <v>47.558</v>
      </c>
    </row>
    <row r="18" spans="1:15" x14ac:dyDescent="0.25">
      <c r="A18" s="5" t="s">
        <v>522</v>
      </c>
      <c r="B18" s="177">
        <v>246</v>
      </c>
      <c r="C18" s="5">
        <v>29.3</v>
      </c>
      <c r="D18" s="5">
        <v>3</v>
      </c>
      <c r="E18" s="5">
        <v>240</v>
      </c>
      <c r="F18" s="5">
        <v>163</v>
      </c>
      <c r="G18" s="5">
        <v>0.9</v>
      </c>
      <c r="H18" s="5">
        <v>0</v>
      </c>
      <c r="I18" s="5">
        <v>0.84</v>
      </c>
      <c r="O18" s="5">
        <f t="shared" si="0"/>
        <v>72.239999999999995</v>
      </c>
    </row>
    <row r="19" spans="1:15" x14ac:dyDescent="0.25">
      <c r="A19" s="5" t="s">
        <v>105</v>
      </c>
      <c r="B19" s="177">
        <v>999</v>
      </c>
      <c r="C19" s="5">
        <v>22.3</v>
      </c>
      <c r="D19" s="5">
        <v>7</v>
      </c>
      <c r="E19" s="5">
        <v>1043</v>
      </c>
      <c r="F19" s="5">
        <v>402</v>
      </c>
      <c r="H19" s="5">
        <v>3.04</v>
      </c>
      <c r="I19" s="5">
        <v>0.42</v>
      </c>
      <c r="O19" s="5">
        <f t="shared" si="0"/>
        <v>313.94299999999998</v>
      </c>
    </row>
    <row r="20" spans="1:15" x14ac:dyDescent="0.25">
      <c r="A20" s="5" t="s">
        <v>517</v>
      </c>
      <c r="B20" s="177">
        <v>1179</v>
      </c>
      <c r="C20" s="5">
        <v>23.8</v>
      </c>
      <c r="D20" s="5">
        <v>15</v>
      </c>
      <c r="E20" s="5">
        <v>1151</v>
      </c>
      <c r="F20" s="5">
        <v>418</v>
      </c>
      <c r="G20" s="5">
        <v>4.0999999999999996</v>
      </c>
      <c r="H20" s="5">
        <v>3.47</v>
      </c>
      <c r="I20" s="5">
        <v>0.42</v>
      </c>
      <c r="O20" s="5">
        <f t="shared" si="0"/>
        <v>346.45099999999996</v>
      </c>
    </row>
    <row r="21" spans="1:15" x14ac:dyDescent="0.25">
      <c r="A21" s="5" t="s">
        <v>128</v>
      </c>
      <c r="B21" s="177">
        <v>805</v>
      </c>
      <c r="C21" s="5">
        <v>12.5</v>
      </c>
      <c r="D21" s="5">
        <v>9</v>
      </c>
      <c r="E21" s="5">
        <v>1863</v>
      </c>
      <c r="F21" s="5">
        <v>223</v>
      </c>
      <c r="G21" s="5">
        <v>9.4</v>
      </c>
      <c r="H21" s="5">
        <v>0</v>
      </c>
      <c r="I21" s="5">
        <v>0.46</v>
      </c>
      <c r="O21" s="5">
        <f t="shared" si="0"/>
        <v>560.76300000000003</v>
      </c>
    </row>
    <row r="22" spans="1:15" x14ac:dyDescent="0.25">
      <c r="A22" s="5" t="s">
        <v>129</v>
      </c>
      <c r="B22" s="177">
        <v>720</v>
      </c>
      <c r="C22" s="5">
        <v>14.6</v>
      </c>
      <c r="D22" s="5">
        <v>13</v>
      </c>
      <c r="E22" s="5">
        <v>1188</v>
      </c>
      <c r="F22" s="5">
        <v>260</v>
      </c>
      <c r="G22" s="5">
        <v>9.1</v>
      </c>
      <c r="H22" s="5">
        <v>0</v>
      </c>
      <c r="I22" s="5">
        <v>0.45</v>
      </c>
      <c r="O22" s="5">
        <f t="shared" si="0"/>
        <v>357.58799999999997</v>
      </c>
    </row>
    <row r="23" spans="1:15" x14ac:dyDescent="0.25">
      <c r="A23" s="5" t="s">
        <v>130</v>
      </c>
      <c r="B23" s="177">
        <v>194</v>
      </c>
      <c r="C23" s="5">
        <v>6</v>
      </c>
      <c r="D23" s="5">
        <v>16</v>
      </c>
      <c r="E23" s="5">
        <v>732</v>
      </c>
      <c r="F23" s="5">
        <v>106</v>
      </c>
      <c r="G23" s="5">
        <v>0</v>
      </c>
      <c r="H23" s="5">
        <v>0</v>
      </c>
      <c r="I23" s="5">
        <v>0.42</v>
      </c>
      <c r="O23" s="5">
        <f t="shared" si="0"/>
        <v>220.33199999999999</v>
      </c>
    </row>
    <row r="24" spans="1:15" x14ac:dyDescent="0.25">
      <c r="A24" s="5" t="s">
        <v>131</v>
      </c>
      <c r="B24" s="177">
        <v>54</v>
      </c>
      <c r="C24" s="5">
        <v>4.5</v>
      </c>
      <c r="D24" s="5">
        <v>7</v>
      </c>
      <c r="E24" s="5">
        <v>307</v>
      </c>
      <c r="F24" s="5">
        <v>81</v>
      </c>
      <c r="G24" s="5">
        <v>2.8</v>
      </c>
      <c r="H24" s="5">
        <v>0</v>
      </c>
      <c r="I24" s="5">
        <v>0.42</v>
      </c>
      <c r="O24" s="5">
        <f t="shared" si="0"/>
        <v>92.406999999999996</v>
      </c>
    </row>
    <row r="25" spans="1:15" x14ac:dyDescent="0.25">
      <c r="A25" s="5" t="s">
        <v>111</v>
      </c>
      <c r="B25" s="177">
        <v>233</v>
      </c>
      <c r="C25" s="5">
        <v>10.9</v>
      </c>
      <c r="D25" s="5">
        <v>7</v>
      </c>
      <c r="E25" s="5">
        <v>503</v>
      </c>
      <c r="F25" s="5">
        <v>193</v>
      </c>
      <c r="G25" s="5">
        <v>0</v>
      </c>
      <c r="H25" s="5">
        <v>2.92</v>
      </c>
      <c r="I25" s="5">
        <v>0.74</v>
      </c>
      <c r="O25" s="5">
        <f t="shared" si="0"/>
        <v>151.40299999999999</v>
      </c>
    </row>
    <row r="26" spans="1:15" x14ac:dyDescent="0.25">
      <c r="A26" s="5" t="s">
        <v>132</v>
      </c>
      <c r="B26" s="177">
        <v>88</v>
      </c>
      <c r="C26" s="5">
        <v>8.6</v>
      </c>
      <c r="D26" s="5">
        <v>6</v>
      </c>
      <c r="E26" s="5">
        <v>243</v>
      </c>
      <c r="F26" s="5">
        <v>152</v>
      </c>
      <c r="G26" s="5">
        <v>10.3</v>
      </c>
      <c r="H26" s="5">
        <v>0</v>
      </c>
      <c r="I26" s="5">
        <v>0.28000000000000003</v>
      </c>
      <c r="O26" s="5">
        <f t="shared" si="0"/>
        <v>73.143000000000001</v>
      </c>
    </row>
    <row r="27" spans="1:15" x14ac:dyDescent="0.25">
      <c r="A27" s="5" t="s">
        <v>74</v>
      </c>
      <c r="B27" s="178">
        <v>31</v>
      </c>
      <c r="C27" s="3">
        <v>8.8000000000000007</v>
      </c>
      <c r="D27" s="3">
        <v>7</v>
      </c>
      <c r="E27" s="3">
        <v>86</v>
      </c>
      <c r="F27" s="3">
        <v>157</v>
      </c>
      <c r="G27" s="3">
        <v>9.1</v>
      </c>
      <c r="H27" s="5">
        <v>2.76</v>
      </c>
      <c r="I27" s="5">
        <v>0.32</v>
      </c>
      <c r="O27" s="5">
        <f t="shared" si="0"/>
        <v>25.885999999999999</v>
      </c>
    </row>
    <row r="28" spans="1:15" x14ac:dyDescent="0.25">
      <c r="A28" s="5" t="s">
        <v>75</v>
      </c>
      <c r="B28" s="178">
        <v>21</v>
      </c>
      <c r="C28" s="3">
        <v>8.6</v>
      </c>
      <c r="D28" s="3">
        <v>4</v>
      </c>
      <c r="E28" s="3">
        <v>56</v>
      </c>
      <c r="F28" s="3">
        <v>152</v>
      </c>
      <c r="G28" s="3">
        <v>19.600000000000001</v>
      </c>
      <c r="H28" s="5">
        <v>0</v>
      </c>
      <c r="I28" s="3">
        <v>0.28000000000000003</v>
      </c>
      <c r="O28" s="5">
        <f t="shared" si="0"/>
        <v>16.855999999999998</v>
      </c>
    </row>
    <row r="29" spans="1:15" x14ac:dyDescent="0.25">
      <c r="A29" s="5" t="s">
        <v>73</v>
      </c>
      <c r="B29" s="178">
        <v>131</v>
      </c>
      <c r="C29" s="3">
        <v>7.6</v>
      </c>
      <c r="D29" s="3">
        <v>9</v>
      </c>
      <c r="E29" s="3">
        <v>404</v>
      </c>
      <c r="F29" s="3">
        <v>135</v>
      </c>
      <c r="G29" s="3">
        <v>12.7</v>
      </c>
      <c r="H29" s="5">
        <v>0</v>
      </c>
      <c r="I29" s="5">
        <v>0.32</v>
      </c>
      <c r="O29" s="5">
        <f t="shared" si="0"/>
        <v>121.604</v>
      </c>
    </row>
    <row r="30" spans="1:15" x14ac:dyDescent="0.25">
      <c r="A30" s="5" t="s">
        <v>48</v>
      </c>
      <c r="B30" s="178">
        <v>478</v>
      </c>
      <c r="C30" s="3">
        <v>10.8</v>
      </c>
      <c r="D30" s="3">
        <v>16</v>
      </c>
      <c r="E30" s="3">
        <v>1137</v>
      </c>
      <c r="F30" s="3">
        <v>193</v>
      </c>
      <c r="G30" s="3">
        <v>0</v>
      </c>
      <c r="H30" s="5">
        <v>4.08</v>
      </c>
      <c r="I30" s="5">
        <v>0.42</v>
      </c>
      <c r="O30" s="5">
        <f t="shared" si="0"/>
        <v>342.23699999999997</v>
      </c>
    </row>
    <row r="31" spans="1:15" x14ac:dyDescent="0.25">
      <c r="A31" s="5" t="s">
        <v>50</v>
      </c>
      <c r="B31" s="178">
        <v>308</v>
      </c>
      <c r="C31" s="3">
        <v>12.5</v>
      </c>
      <c r="D31" s="3">
        <v>11</v>
      </c>
      <c r="E31" s="3">
        <v>572</v>
      </c>
      <c r="F31" s="3">
        <v>223</v>
      </c>
      <c r="G31" s="3">
        <v>6.7</v>
      </c>
      <c r="H31" s="5">
        <v>0</v>
      </c>
      <c r="I31" s="5">
        <v>0.34</v>
      </c>
      <c r="O31" s="5">
        <f t="shared" si="0"/>
        <v>172.172</v>
      </c>
    </row>
    <row r="32" spans="1:15" x14ac:dyDescent="0.25">
      <c r="A32" s="5" t="s">
        <v>52</v>
      </c>
      <c r="B32" s="178">
        <v>90</v>
      </c>
      <c r="C32" s="3">
        <v>6.5</v>
      </c>
      <c r="D32" s="3">
        <v>13</v>
      </c>
      <c r="E32" s="3">
        <v>298</v>
      </c>
      <c r="F32" s="3">
        <v>115</v>
      </c>
      <c r="G32" s="3">
        <v>0</v>
      </c>
      <c r="H32" s="5">
        <v>5.5499999999999989</v>
      </c>
      <c r="I32" s="3">
        <v>0.42</v>
      </c>
      <c r="O32" s="5">
        <f t="shared" si="0"/>
        <v>89.697999999999993</v>
      </c>
    </row>
    <row r="33" spans="1:15" x14ac:dyDescent="0.25">
      <c r="A33" s="5" t="s">
        <v>76</v>
      </c>
      <c r="B33" s="178">
        <v>155</v>
      </c>
      <c r="C33" s="3">
        <v>11</v>
      </c>
      <c r="D33" s="3">
        <v>3</v>
      </c>
      <c r="E33" s="3">
        <v>306</v>
      </c>
      <c r="F33" s="3">
        <v>197</v>
      </c>
      <c r="G33" s="3">
        <v>0</v>
      </c>
      <c r="H33" s="5">
        <v>0</v>
      </c>
      <c r="I33" s="3">
        <v>0.74</v>
      </c>
      <c r="O33" s="5">
        <f t="shared" si="0"/>
        <v>92.105999999999995</v>
      </c>
    </row>
    <row r="34" spans="1:15" x14ac:dyDescent="0.25">
      <c r="A34" s="5" t="s">
        <v>82</v>
      </c>
      <c r="B34" s="178">
        <v>900</v>
      </c>
      <c r="C34" s="3">
        <v>12.2</v>
      </c>
      <c r="D34" s="3">
        <v>11</v>
      </c>
      <c r="E34" s="3">
        <v>1681</v>
      </c>
      <c r="F34" s="3">
        <v>216</v>
      </c>
      <c r="G34" s="3">
        <v>6.6</v>
      </c>
      <c r="H34" s="5">
        <v>2.67</v>
      </c>
      <c r="I34" s="5">
        <v>0.36</v>
      </c>
      <c r="O34" s="5">
        <f t="shared" si="0"/>
        <v>505.98099999999999</v>
      </c>
    </row>
    <row r="35" spans="1:15" x14ac:dyDescent="0.25">
      <c r="A35" s="5" t="s">
        <v>55</v>
      </c>
      <c r="B35" s="178">
        <v>1291</v>
      </c>
      <c r="C35" s="3">
        <v>35.700000000000003</v>
      </c>
      <c r="D35" s="3">
        <v>0</v>
      </c>
      <c r="E35" s="3">
        <v>1043</v>
      </c>
      <c r="F35" s="3">
        <v>634</v>
      </c>
      <c r="G35" s="3">
        <v>0</v>
      </c>
      <c r="H35" s="5">
        <v>3.21</v>
      </c>
      <c r="I35" s="5">
        <v>0.72</v>
      </c>
      <c r="O35" s="5">
        <f t="shared" si="0"/>
        <v>313.94299999999998</v>
      </c>
    </row>
    <row r="36" spans="1:15" x14ac:dyDescent="0.25">
      <c r="A36" s="5" t="s">
        <v>77</v>
      </c>
      <c r="B36" s="178">
        <v>177</v>
      </c>
      <c r="C36" s="3">
        <v>34.1</v>
      </c>
      <c r="D36" s="3">
        <v>0</v>
      </c>
      <c r="E36" s="3">
        <v>142</v>
      </c>
      <c r="F36" s="3">
        <v>607</v>
      </c>
      <c r="G36" s="3">
        <v>0</v>
      </c>
      <c r="H36" s="5">
        <v>4.2699999999999996</v>
      </c>
      <c r="I36" s="3">
        <v>0.8</v>
      </c>
      <c r="O36" s="5">
        <f t="shared" si="0"/>
        <v>42.741999999999997</v>
      </c>
    </row>
    <row r="37" spans="1:15" x14ac:dyDescent="0.25">
      <c r="A37" s="5" t="s">
        <v>78</v>
      </c>
      <c r="B37" s="178">
        <v>707</v>
      </c>
      <c r="C37" s="3">
        <v>43.6</v>
      </c>
      <c r="D37" s="3">
        <v>0</v>
      </c>
      <c r="E37" s="3">
        <v>463</v>
      </c>
      <c r="F37" s="3">
        <v>775</v>
      </c>
      <c r="G37" s="3">
        <v>0</v>
      </c>
      <c r="H37" s="5">
        <v>0</v>
      </c>
      <c r="I37" s="5">
        <v>0.8</v>
      </c>
      <c r="O37" s="5">
        <f t="shared" si="0"/>
        <v>139.363</v>
      </c>
    </row>
    <row r="38" spans="1:15" x14ac:dyDescent="0.25">
      <c r="A38" s="5" t="s">
        <v>59</v>
      </c>
      <c r="B38" s="178">
        <v>155</v>
      </c>
      <c r="C38" s="3">
        <v>16</v>
      </c>
      <c r="D38" s="3">
        <v>4</v>
      </c>
      <c r="E38" s="3">
        <v>145</v>
      </c>
      <c r="F38" s="3">
        <v>89</v>
      </c>
      <c r="G38" s="3">
        <v>9.5</v>
      </c>
      <c r="H38" s="5">
        <v>5.9499999999999993</v>
      </c>
      <c r="I38" s="5">
        <v>0.69</v>
      </c>
      <c r="O38" s="5">
        <f t="shared" si="0"/>
        <v>43.644999999999996</v>
      </c>
    </row>
    <row r="39" spans="1:15" x14ac:dyDescent="0.25">
      <c r="A39" s="5" t="s">
        <v>79</v>
      </c>
      <c r="B39" s="178">
        <v>362</v>
      </c>
      <c r="C39" s="3">
        <v>20.6</v>
      </c>
      <c r="D39" s="3">
        <v>11</v>
      </c>
      <c r="E39" s="3">
        <v>397</v>
      </c>
      <c r="F39" s="3">
        <v>367</v>
      </c>
      <c r="G39" s="3">
        <v>0</v>
      </c>
      <c r="H39" s="5">
        <v>2.83</v>
      </c>
      <c r="I39" s="3">
        <v>0.74</v>
      </c>
      <c r="O39" s="5">
        <f t="shared" si="0"/>
        <v>119.497</v>
      </c>
    </row>
    <row r="40" spans="1:15" x14ac:dyDescent="0.25">
      <c r="A40" s="5" t="s">
        <v>80</v>
      </c>
      <c r="B40" s="178">
        <v>542</v>
      </c>
      <c r="C40" s="3">
        <v>15.2</v>
      </c>
      <c r="D40" s="3">
        <v>9</v>
      </c>
      <c r="E40" s="3">
        <v>878</v>
      </c>
      <c r="F40" s="3">
        <v>271</v>
      </c>
      <c r="G40" s="3">
        <v>11.9</v>
      </c>
      <c r="H40" s="5">
        <v>0</v>
      </c>
      <c r="I40" s="5">
        <v>0.56999999999999995</v>
      </c>
      <c r="O40" s="5">
        <f t="shared" si="0"/>
        <v>264.27799999999996</v>
      </c>
    </row>
    <row r="41" spans="1:15" x14ac:dyDescent="0.25">
      <c r="A41" s="5" t="s">
        <v>81</v>
      </c>
      <c r="B41" s="178">
        <v>85</v>
      </c>
      <c r="C41" s="3">
        <v>5.4</v>
      </c>
      <c r="D41" s="3">
        <v>5</v>
      </c>
      <c r="E41" s="3">
        <v>361</v>
      </c>
      <c r="F41" s="3">
        <v>97</v>
      </c>
      <c r="G41" s="3">
        <v>12.4</v>
      </c>
      <c r="H41" s="5">
        <v>2.91</v>
      </c>
      <c r="I41" s="5">
        <v>0.23</v>
      </c>
      <c r="O41" s="5">
        <f t="shared" si="0"/>
        <v>108.661</v>
      </c>
    </row>
    <row r="42" spans="1:15" x14ac:dyDescent="0.25">
      <c r="A42" s="5" t="s">
        <v>83</v>
      </c>
      <c r="B42" s="178">
        <v>181</v>
      </c>
      <c r="C42" s="3">
        <v>11.6</v>
      </c>
      <c r="D42" s="3">
        <v>14</v>
      </c>
      <c r="E42" s="3">
        <v>260</v>
      </c>
      <c r="F42" s="3">
        <v>65</v>
      </c>
      <c r="G42" s="3">
        <v>6.6</v>
      </c>
      <c r="H42" s="5">
        <v>2.64</v>
      </c>
      <c r="I42" s="5">
        <v>0.44</v>
      </c>
      <c r="O42" s="5">
        <f t="shared" si="0"/>
        <v>78.259999999999991</v>
      </c>
    </row>
    <row r="43" spans="1:15" x14ac:dyDescent="0.25">
      <c r="A43" s="5" t="s">
        <v>84</v>
      </c>
      <c r="B43" s="178">
        <v>1113</v>
      </c>
      <c r="C43" s="3">
        <v>19.8</v>
      </c>
      <c r="D43" s="3">
        <v>14</v>
      </c>
      <c r="E43" s="3">
        <v>1517</v>
      </c>
      <c r="F43" s="3">
        <v>352</v>
      </c>
      <c r="G43" s="3">
        <v>6.6</v>
      </c>
      <c r="H43" s="5">
        <v>3.42</v>
      </c>
      <c r="I43" s="5">
        <v>0.56999999999999995</v>
      </c>
      <c r="O43" s="5">
        <f t="shared" si="0"/>
        <v>456.61699999999996</v>
      </c>
    </row>
    <row r="44" spans="1:15" x14ac:dyDescent="0.25">
      <c r="A44" s="5" t="s">
        <v>85</v>
      </c>
      <c r="B44" s="178">
        <v>396</v>
      </c>
      <c r="C44" s="3">
        <v>15.6</v>
      </c>
      <c r="D44" s="3">
        <v>11</v>
      </c>
      <c r="E44" s="3">
        <v>620</v>
      </c>
      <c r="F44" s="3">
        <v>278</v>
      </c>
      <c r="G44" s="3">
        <v>6.6</v>
      </c>
      <c r="H44" s="85">
        <v>2.79</v>
      </c>
      <c r="I44" s="5">
        <v>0.61</v>
      </c>
      <c r="O44" s="5">
        <f t="shared" si="0"/>
        <v>186.62</v>
      </c>
    </row>
    <row r="45" spans="1:15" x14ac:dyDescent="0.25">
      <c r="A45" s="3" t="s">
        <v>623</v>
      </c>
      <c r="B45" s="177">
        <f>SUM(B2:B44)/1000</f>
        <v>19.003</v>
      </c>
    </row>
  </sheetData>
  <sortState ref="A3:I44">
    <sortCondition ref="A2"/>
  </sortState>
  <conditionalFormatting sqref="B2:B4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4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zoomScaleNormal="100" zoomScalePageLayoutView="90" workbookViewId="0">
      <pane ySplit="1" topLeftCell="A2" activePane="bottomLeft" state="frozen"/>
      <selection pane="bottomLeft" activeCell="B39" sqref="B39"/>
    </sheetView>
  </sheetViews>
  <sheetFormatPr defaultColWidth="11.42578125" defaultRowHeight="15" x14ac:dyDescent="0.25"/>
  <cols>
    <col min="1" max="1" width="23.85546875" style="84" customWidth="1"/>
    <col min="2" max="2" width="11.5703125" customWidth="1"/>
    <col min="3" max="3" width="7" style="2" customWidth="1"/>
    <col min="4" max="4" width="19.140625" customWidth="1"/>
    <col min="5" max="5" width="6.5703125" style="2" customWidth="1"/>
    <col min="6" max="6" width="11.5703125" customWidth="1"/>
    <col min="7" max="7" width="5.42578125" style="2" customWidth="1"/>
    <col min="8" max="8" width="19.5703125" style="3" customWidth="1"/>
    <col min="9" max="9" width="7.28515625" style="2" customWidth="1"/>
    <col min="10" max="10" width="21.42578125" customWidth="1"/>
    <col min="12" max="12" width="4.7109375" style="2" customWidth="1"/>
    <col min="14" max="14" width="5.42578125" style="2" customWidth="1"/>
    <col min="15" max="15" width="6.7109375" customWidth="1"/>
    <col min="17" max="17" width="8.140625" customWidth="1"/>
    <col min="19" max="19" width="21" customWidth="1"/>
  </cols>
  <sheetData>
    <row r="1" spans="1:20" s="132" customFormat="1" ht="15.75" thickBot="1" x14ac:dyDescent="0.3">
      <c r="A1" s="131" t="s">
        <v>67</v>
      </c>
      <c r="B1" s="132" t="s">
        <v>68</v>
      </c>
      <c r="C1" s="129" t="s">
        <v>263</v>
      </c>
      <c r="D1" s="132" t="s">
        <v>254</v>
      </c>
      <c r="E1" s="129" t="s">
        <v>263</v>
      </c>
      <c r="F1" s="132" t="s">
        <v>255</v>
      </c>
      <c r="G1" s="129" t="s">
        <v>263</v>
      </c>
      <c r="H1" s="130" t="s">
        <v>253</v>
      </c>
      <c r="I1" s="129" t="s">
        <v>263</v>
      </c>
      <c r="J1" s="132" t="s">
        <v>264</v>
      </c>
      <c r="K1" s="132" t="s">
        <v>256</v>
      </c>
      <c r="L1" s="129" t="s">
        <v>263</v>
      </c>
      <c r="M1" s="132" t="s">
        <v>257</v>
      </c>
      <c r="N1" s="129" t="s">
        <v>263</v>
      </c>
      <c r="O1" s="132" t="s">
        <v>619</v>
      </c>
    </row>
    <row r="2" spans="1:20" x14ac:dyDescent="0.25">
      <c r="A2" s="84" t="s">
        <v>35</v>
      </c>
      <c r="B2">
        <v>66.83</v>
      </c>
      <c r="C2" s="2">
        <v>3.26</v>
      </c>
      <c r="D2">
        <v>1.1599999999999999</v>
      </c>
      <c r="E2" s="2">
        <v>7.0000000000000007E-2</v>
      </c>
      <c r="F2" s="3">
        <v>0</v>
      </c>
      <c r="G2" s="2">
        <v>0</v>
      </c>
      <c r="H2" s="3">
        <v>1.57</v>
      </c>
      <c r="I2" s="2">
        <v>0.09</v>
      </c>
      <c r="J2" s="85">
        <v>2.2800000000000002</v>
      </c>
      <c r="K2">
        <v>0.06</v>
      </c>
      <c r="L2" s="2">
        <v>0</v>
      </c>
      <c r="M2">
        <v>0.75</v>
      </c>
      <c r="N2" s="2">
        <v>0.02</v>
      </c>
      <c r="O2" s="85"/>
      <c r="P2" s="85">
        <f>IF(ISBLANK(O2),K2,R2)</f>
        <v>0.06</v>
      </c>
      <c r="Q2" s="5"/>
    </row>
    <row r="3" spans="1:20" x14ac:dyDescent="0.25">
      <c r="A3" s="84" t="s">
        <v>33</v>
      </c>
      <c r="B3">
        <v>235.5</v>
      </c>
      <c r="C3" s="2">
        <v>11.86</v>
      </c>
      <c r="D3">
        <v>1.07</v>
      </c>
      <c r="E3" s="2">
        <v>0.08</v>
      </c>
      <c r="F3" s="3">
        <v>4.2</v>
      </c>
      <c r="G3" s="2">
        <v>1.7</v>
      </c>
      <c r="H3" s="3">
        <v>1.62</v>
      </c>
      <c r="I3" s="2">
        <v>0.06</v>
      </c>
      <c r="J3" s="85">
        <v>1.6600000000000001</v>
      </c>
      <c r="K3">
        <v>0.21</v>
      </c>
      <c r="L3" s="2">
        <v>0.01</v>
      </c>
      <c r="M3">
        <v>0.66</v>
      </c>
      <c r="N3" s="2">
        <v>0.04</v>
      </c>
      <c r="O3" s="85"/>
      <c r="P3" s="85">
        <f t="shared" ref="P3:P38" si="0">IF(ISBLANK(O3),K3,R3)</f>
        <v>0.21</v>
      </c>
      <c r="Q3" s="5"/>
    </row>
    <row r="4" spans="1:20" x14ac:dyDescent="0.25">
      <c r="A4" s="84" t="s">
        <v>34</v>
      </c>
      <c r="B4">
        <v>649.83000000000004</v>
      </c>
      <c r="C4" s="2">
        <v>16.489999999999998</v>
      </c>
      <c r="D4">
        <v>2.21</v>
      </c>
      <c r="E4" s="2">
        <v>0.08</v>
      </c>
      <c r="F4" s="3">
        <v>0</v>
      </c>
      <c r="G4" s="2">
        <v>0</v>
      </c>
      <c r="H4" s="3">
        <v>2.98</v>
      </c>
      <c r="I4" s="2">
        <v>0.09</v>
      </c>
      <c r="J4" s="85">
        <v>2.84</v>
      </c>
      <c r="K4">
        <v>0.28000000000000003</v>
      </c>
      <c r="L4" s="2">
        <v>0.01</v>
      </c>
      <c r="M4">
        <v>0.74</v>
      </c>
      <c r="N4" s="2">
        <v>0.02</v>
      </c>
      <c r="O4" s="85">
        <v>1</v>
      </c>
      <c r="P4" s="85"/>
      <c r="Q4" s="5">
        <f>IF(O4=1,K4,0)</f>
        <v>0.28000000000000003</v>
      </c>
    </row>
    <row r="5" spans="1:20" x14ac:dyDescent="0.25">
      <c r="A5" s="84" t="s">
        <v>211</v>
      </c>
      <c r="B5">
        <v>685.17</v>
      </c>
      <c r="C5" s="2">
        <v>18.37</v>
      </c>
      <c r="D5">
        <v>1.98</v>
      </c>
      <c r="E5" s="2">
        <v>0.04</v>
      </c>
      <c r="F5" s="3">
        <v>0.6</v>
      </c>
      <c r="G5" s="2">
        <v>0.6</v>
      </c>
      <c r="H5" s="3">
        <v>2.4700000000000002</v>
      </c>
      <c r="I5" s="2">
        <v>7.0000000000000007E-2</v>
      </c>
      <c r="J5" s="85">
        <v>0</v>
      </c>
      <c r="K5">
        <v>0.33</v>
      </c>
      <c r="L5" s="2">
        <v>0.01</v>
      </c>
      <c r="M5">
        <v>0.8</v>
      </c>
      <c r="N5" s="2">
        <v>0.02</v>
      </c>
      <c r="O5" s="85"/>
      <c r="P5" s="85">
        <f t="shared" si="0"/>
        <v>0.33</v>
      </c>
      <c r="Q5" s="5"/>
      <c r="S5" s="5"/>
      <c r="T5" s="5"/>
    </row>
    <row r="6" spans="1:20" x14ac:dyDescent="0.25">
      <c r="A6" s="84" t="s">
        <v>214</v>
      </c>
      <c r="B6">
        <v>2670.83</v>
      </c>
      <c r="C6" s="2">
        <v>95.48</v>
      </c>
      <c r="D6">
        <v>3.4</v>
      </c>
      <c r="E6" s="2">
        <v>0.06</v>
      </c>
      <c r="F6" s="3">
        <v>3.6</v>
      </c>
      <c r="G6" s="2">
        <v>3.5</v>
      </c>
      <c r="H6" s="3">
        <v>5.0999999999999996</v>
      </c>
      <c r="I6" s="2">
        <v>0.08</v>
      </c>
      <c r="J6" s="85">
        <v>3.7600000000000002</v>
      </c>
      <c r="K6">
        <v>0.74</v>
      </c>
      <c r="L6" s="2">
        <v>0.03</v>
      </c>
      <c r="M6">
        <v>0.67</v>
      </c>
      <c r="N6" s="2">
        <v>0.02</v>
      </c>
      <c r="O6" s="85">
        <v>1</v>
      </c>
      <c r="P6" s="85"/>
      <c r="Q6" s="5">
        <f t="shared" ref="Q6:Q32" si="1">IF(O6=1,K6,0)</f>
        <v>0.74</v>
      </c>
    </row>
    <row r="7" spans="1:20" s="87" customFormat="1" x14ac:dyDescent="0.25">
      <c r="A7" s="134" t="s">
        <v>252</v>
      </c>
      <c r="B7" s="87">
        <v>271.17</v>
      </c>
      <c r="C7" s="135">
        <v>15.9</v>
      </c>
      <c r="D7" s="87">
        <v>1.39</v>
      </c>
      <c r="E7" s="135">
        <v>0.13</v>
      </c>
      <c r="F7" s="122">
        <v>9.17</v>
      </c>
      <c r="G7" s="135">
        <v>2.0499999999999998</v>
      </c>
      <c r="H7" s="122">
        <v>2.4900000000000002</v>
      </c>
      <c r="I7" s="135">
        <v>0.38</v>
      </c>
      <c r="K7" s="87">
        <v>0.16</v>
      </c>
      <c r="L7" s="135">
        <v>0.11</v>
      </c>
      <c r="M7" s="87">
        <v>0.57999999999999996</v>
      </c>
      <c r="N7" s="135">
        <v>0.06</v>
      </c>
      <c r="O7" s="136"/>
      <c r="P7" s="85"/>
      <c r="Q7" s="5"/>
    </row>
    <row r="8" spans="1:20" x14ac:dyDescent="0.25">
      <c r="A8" s="84" t="s">
        <v>14</v>
      </c>
      <c r="B8">
        <v>131.83000000000001</v>
      </c>
      <c r="C8" s="2">
        <v>3.24</v>
      </c>
      <c r="D8">
        <v>1.34</v>
      </c>
      <c r="E8" s="2">
        <v>0.1</v>
      </c>
      <c r="F8" s="3">
        <v>9</v>
      </c>
      <c r="G8" s="2">
        <v>1.1000000000000001</v>
      </c>
      <c r="H8" s="3">
        <v>2.81</v>
      </c>
      <c r="I8" s="2">
        <v>0.09</v>
      </c>
      <c r="J8" s="85">
        <v>1.3699999999999999</v>
      </c>
      <c r="K8">
        <v>0.09</v>
      </c>
      <c r="L8" s="2">
        <v>0.01</v>
      </c>
      <c r="M8">
        <v>0.48</v>
      </c>
      <c r="N8" s="2">
        <v>0.05</v>
      </c>
      <c r="O8" s="85">
        <v>1</v>
      </c>
      <c r="P8" s="85"/>
      <c r="Q8" s="5">
        <f t="shared" si="1"/>
        <v>0.09</v>
      </c>
    </row>
    <row r="9" spans="1:20" x14ac:dyDescent="0.25">
      <c r="A9" s="84" t="s">
        <v>227</v>
      </c>
      <c r="B9">
        <v>19.5</v>
      </c>
      <c r="C9" s="2">
        <v>0.67</v>
      </c>
      <c r="D9">
        <v>1.18</v>
      </c>
      <c r="E9" s="2">
        <v>7.0000000000000007E-2</v>
      </c>
      <c r="F9" s="3">
        <v>5.7</v>
      </c>
      <c r="G9" s="2">
        <v>1.6</v>
      </c>
      <c r="H9" s="3">
        <v>1.74</v>
      </c>
      <c r="I9" s="2">
        <v>0.09</v>
      </c>
      <c r="J9" s="85">
        <v>1.21</v>
      </c>
      <c r="K9">
        <v>0.02</v>
      </c>
      <c r="L9" s="2">
        <v>0</v>
      </c>
      <c r="M9">
        <v>0.68</v>
      </c>
      <c r="N9" s="2">
        <v>0.02</v>
      </c>
      <c r="O9" s="85"/>
      <c r="P9" s="85">
        <f t="shared" si="0"/>
        <v>0.02</v>
      </c>
      <c r="Q9" s="5"/>
    </row>
    <row r="10" spans="1:20" x14ac:dyDescent="0.25">
      <c r="A10" s="84" t="s">
        <v>223</v>
      </c>
      <c r="B10">
        <v>463.83</v>
      </c>
      <c r="C10" s="2">
        <v>10.87</v>
      </c>
      <c r="D10">
        <v>0.97</v>
      </c>
      <c r="E10" s="2">
        <v>0.06</v>
      </c>
      <c r="F10" s="3">
        <v>19.3</v>
      </c>
      <c r="G10" s="2">
        <v>1.9</v>
      </c>
      <c r="H10" s="3">
        <v>3.22</v>
      </c>
      <c r="I10" s="2">
        <v>0.05</v>
      </c>
      <c r="J10" s="85">
        <v>0.9</v>
      </c>
      <c r="K10">
        <v>0.44</v>
      </c>
      <c r="L10" s="2">
        <v>0.03</v>
      </c>
      <c r="M10">
        <v>0.3</v>
      </c>
      <c r="N10" s="2">
        <v>0.02</v>
      </c>
      <c r="O10" s="85"/>
      <c r="P10" s="85">
        <f t="shared" si="0"/>
        <v>0.44</v>
      </c>
      <c r="Q10" s="5"/>
    </row>
    <row r="11" spans="1:20" x14ac:dyDescent="0.25">
      <c r="A11" s="84" t="s">
        <v>262</v>
      </c>
      <c r="B11">
        <v>29.67</v>
      </c>
      <c r="C11" s="2">
        <v>1.69</v>
      </c>
      <c r="D11">
        <v>0.89</v>
      </c>
      <c r="E11" s="2">
        <v>0.03</v>
      </c>
      <c r="F11" s="3">
        <v>7.5</v>
      </c>
      <c r="G11" s="2">
        <v>2.1</v>
      </c>
      <c r="H11" s="3">
        <v>1.81</v>
      </c>
      <c r="I11" s="2">
        <v>0.19</v>
      </c>
      <c r="J11" s="85">
        <v>1.08</v>
      </c>
      <c r="K11">
        <v>0.03</v>
      </c>
      <c r="L11" s="2">
        <v>0</v>
      </c>
      <c r="M11">
        <v>0.51</v>
      </c>
      <c r="N11" s="2">
        <v>0.04</v>
      </c>
      <c r="O11" s="85"/>
      <c r="P11" s="85">
        <f t="shared" si="0"/>
        <v>0.03</v>
      </c>
      <c r="Q11" s="5"/>
    </row>
    <row r="12" spans="1:20" x14ac:dyDescent="0.25">
      <c r="A12" s="84" t="s">
        <v>352</v>
      </c>
      <c r="B12">
        <v>1031.17</v>
      </c>
      <c r="C12" s="2">
        <v>30.53</v>
      </c>
      <c r="D12">
        <v>1.56</v>
      </c>
      <c r="E12" s="2">
        <v>0.14000000000000001</v>
      </c>
      <c r="F12" s="3">
        <v>14.2</v>
      </c>
      <c r="G12" s="2">
        <v>3.6</v>
      </c>
      <c r="H12" s="3">
        <v>3.42</v>
      </c>
      <c r="I12" s="2">
        <v>0.08</v>
      </c>
      <c r="J12" s="85">
        <v>1.25</v>
      </c>
      <c r="K12">
        <v>0.62</v>
      </c>
      <c r="L12" s="2">
        <v>0.05</v>
      </c>
      <c r="M12">
        <v>0.46</v>
      </c>
      <c r="N12" s="2">
        <v>0.05</v>
      </c>
      <c r="O12" s="85">
        <v>1</v>
      </c>
      <c r="P12" s="85"/>
      <c r="Q12" s="5">
        <f t="shared" si="1"/>
        <v>0.62</v>
      </c>
      <c r="S12" s="5"/>
      <c r="T12" s="5"/>
    </row>
    <row r="13" spans="1:20" x14ac:dyDescent="0.25">
      <c r="A13" s="84" t="s">
        <v>351</v>
      </c>
      <c r="B13">
        <v>849.17</v>
      </c>
      <c r="C13" s="2">
        <v>24.18</v>
      </c>
      <c r="D13">
        <v>1.61</v>
      </c>
      <c r="E13" s="2">
        <v>0.13</v>
      </c>
      <c r="F13" s="3">
        <v>14</v>
      </c>
      <c r="G13" s="2">
        <v>3.9</v>
      </c>
      <c r="H13" s="3">
        <v>3.61</v>
      </c>
      <c r="I13" s="2">
        <v>0.06</v>
      </c>
      <c r="J13" s="85">
        <v>1.46</v>
      </c>
      <c r="K13">
        <v>0.49</v>
      </c>
      <c r="L13" s="2">
        <v>0.04</v>
      </c>
      <c r="M13">
        <v>0.45</v>
      </c>
      <c r="N13" s="2">
        <v>0.04</v>
      </c>
      <c r="O13" s="85">
        <v>1</v>
      </c>
      <c r="P13" s="85"/>
      <c r="Q13" s="5">
        <f t="shared" si="1"/>
        <v>0.49</v>
      </c>
      <c r="S13" s="5"/>
      <c r="T13" s="5"/>
    </row>
    <row r="14" spans="1:20" x14ac:dyDescent="0.25">
      <c r="A14" s="84" t="s">
        <v>30</v>
      </c>
      <c r="B14">
        <v>1992.33</v>
      </c>
      <c r="C14" s="2">
        <v>47.38</v>
      </c>
      <c r="D14">
        <v>2.4300000000000002</v>
      </c>
      <c r="E14" s="2">
        <v>0.11</v>
      </c>
      <c r="F14" s="3">
        <v>0.6</v>
      </c>
      <c r="G14" s="2">
        <v>0.8</v>
      </c>
      <c r="H14" s="3">
        <v>3.64</v>
      </c>
      <c r="I14" s="2">
        <v>0.16</v>
      </c>
      <c r="J14" s="85">
        <v>1.9899999999999998</v>
      </c>
      <c r="K14">
        <v>0.79</v>
      </c>
      <c r="L14" s="2">
        <v>0.05</v>
      </c>
      <c r="M14">
        <v>0.67</v>
      </c>
      <c r="N14" s="2">
        <v>0.05</v>
      </c>
      <c r="O14" s="85"/>
      <c r="P14" s="85">
        <f t="shared" si="0"/>
        <v>0.79</v>
      </c>
      <c r="Q14" s="5"/>
      <c r="S14" s="5"/>
      <c r="T14" s="5"/>
    </row>
    <row r="15" spans="1:20" x14ac:dyDescent="0.25">
      <c r="A15" s="84" t="s">
        <v>213</v>
      </c>
      <c r="B15">
        <v>521</v>
      </c>
      <c r="C15" s="2">
        <v>31.66</v>
      </c>
      <c r="D15">
        <v>1.92</v>
      </c>
      <c r="E15" s="2">
        <v>0.11</v>
      </c>
      <c r="F15" s="3" t="s">
        <v>260</v>
      </c>
      <c r="G15" s="2">
        <v>0.7</v>
      </c>
      <c r="H15" s="3">
        <v>2.5499999999999998</v>
      </c>
      <c r="I15" s="2">
        <v>0.17</v>
      </c>
      <c r="J15" s="85">
        <v>1.1800000000000002</v>
      </c>
      <c r="K15">
        <v>0.26</v>
      </c>
      <c r="L15" s="2">
        <v>0.01</v>
      </c>
      <c r="M15">
        <v>0.56000000000000005</v>
      </c>
      <c r="N15" s="2">
        <v>0.03</v>
      </c>
      <c r="O15" s="85"/>
      <c r="P15" s="85">
        <f t="shared" si="0"/>
        <v>0.26</v>
      </c>
      <c r="Q15" s="5"/>
    </row>
    <row r="16" spans="1:20" x14ac:dyDescent="0.25">
      <c r="A16" s="84" t="s">
        <v>259</v>
      </c>
      <c r="B16">
        <v>276</v>
      </c>
      <c r="C16" s="2">
        <v>38.68</v>
      </c>
      <c r="D16">
        <v>2.64</v>
      </c>
      <c r="E16" s="2">
        <v>0.08</v>
      </c>
      <c r="F16" s="3">
        <v>0</v>
      </c>
      <c r="G16" s="2">
        <v>0</v>
      </c>
      <c r="H16" s="3">
        <v>3.47</v>
      </c>
      <c r="I16" s="2">
        <v>0.14000000000000001</v>
      </c>
      <c r="J16" s="85">
        <v>2.93</v>
      </c>
      <c r="K16">
        <v>0.1</v>
      </c>
      <c r="L16" s="2">
        <v>0.02</v>
      </c>
      <c r="M16">
        <v>0.76</v>
      </c>
      <c r="N16" s="2">
        <v>0.02</v>
      </c>
      <c r="O16" s="85">
        <v>1</v>
      </c>
      <c r="P16" s="85"/>
      <c r="Q16" s="5">
        <f t="shared" si="1"/>
        <v>0.1</v>
      </c>
    </row>
    <row r="17" spans="1:20" x14ac:dyDescent="0.25">
      <c r="A17" s="84" t="s">
        <v>258</v>
      </c>
      <c r="B17">
        <v>173</v>
      </c>
      <c r="C17" s="2">
        <v>27.68</v>
      </c>
      <c r="D17">
        <v>2.57</v>
      </c>
      <c r="E17" s="2">
        <v>0.13</v>
      </c>
      <c r="F17" s="3">
        <v>0</v>
      </c>
      <c r="G17" s="2">
        <v>0</v>
      </c>
      <c r="H17" s="3">
        <v>3.04</v>
      </c>
      <c r="I17" s="2">
        <v>0.15</v>
      </c>
      <c r="J17" s="85">
        <v>3.0300000000000002</v>
      </c>
      <c r="K17">
        <v>0.06</v>
      </c>
      <c r="L17" s="2">
        <v>0.01</v>
      </c>
      <c r="M17">
        <v>0.84</v>
      </c>
      <c r="N17" s="2">
        <v>0.01</v>
      </c>
      <c r="O17" s="85">
        <v>1</v>
      </c>
      <c r="P17" s="85"/>
      <c r="Q17" s="5">
        <f t="shared" si="1"/>
        <v>0.06</v>
      </c>
    </row>
    <row r="18" spans="1:20" s="87" customFormat="1" x14ac:dyDescent="0.25">
      <c r="A18" s="134" t="s">
        <v>270</v>
      </c>
      <c r="B18" s="87">
        <v>1256.67</v>
      </c>
      <c r="C18" s="135">
        <v>735.67</v>
      </c>
      <c r="D18" s="87">
        <v>2.1800000000000002</v>
      </c>
      <c r="E18" s="135">
        <v>0.25</v>
      </c>
      <c r="F18" s="122" t="s">
        <v>261</v>
      </c>
      <c r="G18" s="135">
        <v>0.83</v>
      </c>
      <c r="H18" s="122">
        <v>3.09</v>
      </c>
      <c r="I18" s="135">
        <v>0.54</v>
      </c>
      <c r="K18" s="87">
        <v>0.52</v>
      </c>
      <c r="L18" s="135">
        <v>0.26</v>
      </c>
      <c r="M18" s="87">
        <v>0.72</v>
      </c>
      <c r="N18" s="135">
        <v>0.04</v>
      </c>
      <c r="O18" s="136"/>
      <c r="P18" s="85"/>
      <c r="Q18" s="5"/>
    </row>
    <row r="19" spans="1:20" s="87" customFormat="1" x14ac:dyDescent="0.25">
      <c r="A19" s="134" t="s">
        <v>207</v>
      </c>
      <c r="B19" s="87">
        <v>402.3</v>
      </c>
      <c r="C19" s="135">
        <v>118.84</v>
      </c>
      <c r="D19" s="87">
        <v>1.28</v>
      </c>
      <c r="E19" s="135">
        <v>0.39</v>
      </c>
      <c r="F19" s="122">
        <v>0.94</v>
      </c>
      <c r="G19" s="135">
        <v>0.81</v>
      </c>
      <c r="H19" s="122">
        <v>2.42</v>
      </c>
      <c r="I19" s="135">
        <v>0.37</v>
      </c>
      <c r="K19" s="87">
        <v>0.2</v>
      </c>
      <c r="L19" s="135">
        <v>0.05</v>
      </c>
      <c r="M19" s="87">
        <v>0.75</v>
      </c>
      <c r="N19" s="135">
        <v>0.03</v>
      </c>
      <c r="O19" s="136"/>
      <c r="P19" s="85"/>
      <c r="Q19" s="5"/>
    </row>
    <row r="20" spans="1:20" s="87" customFormat="1" x14ac:dyDescent="0.25">
      <c r="A20" s="134" t="s">
        <v>269</v>
      </c>
      <c r="B20" s="87">
        <v>1300.6400000000001</v>
      </c>
      <c r="C20" s="135">
        <v>369.73</v>
      </c>
      <c r="D20" s="87">
        <v>3.19</v>
      </c>
      <c r="E20" s="135">
        <v>0.4</v>
      </c>
      <c r="F20" s="122">
        <v>1.02</v>
      </c>
      <c r="G20" s="135">
        <v>0.67</v>
      </c>
      <c r="H20" s="122">
        <v>4.3</v>
      </c>
      <c r="I20" s="135">
        <v>0.48</v>
      </c>
      <c r="K20" s="87">
        <v>0.41</v>
      </c>
      <c r="L20" s="135">
        <v>0.1</v>
      </c>
      <c r="M20" s="87">
        <v>0.74</v>
      </c>
      <c r="N20" s="135">
        <v>0.03</v>
      </c>
      <c r="O20" s="136"/>
      <c r="P20" s="85"/>
      <c r="Q20" s="5"/>
    </row>
    <row r="21" spans="1:20" s="87" customFormat="1" x14ac:dyDescent="0.25">
      <c r="A21" s="134" t="s">
        <v>268</v>
      </c>
      <c r="B21" s="87">
        <v>1365.08</v>
      </c>
      <c r="C21" s="135">
        <v>419.75</v>
      </c>
      <c r="D21" s="87">
        <v>1.76</v>
      </c>
      <c r="E21" s="135">
        <v>0.6</v>
      </c>
      <c r="F21" s="122">
        <v>21.25</v>
      </c>
      <c r="G21" s="135">
        <v>4.17</v>
      </c>
      <c r="H21" s="122">
        <v>4.38</v>
      </c>
      <c r="I21" s="135">
        <v>1.17</v>
      </c>
      <c r="K21" s="87">
        <v>0.69</v>
      </c>
      <c r="L21" s="135">
        <v>0.02</v>
      </c>
      <c r="M21" s="87">
        <v>0.39</v>
      </c>
      <c r="N21" s="135">
        <v>0.03</v>
      </c>
      <c r="O21" s="136"/>
      <c r="P21" s="85"/>
      <c r="Q21" s="5"/>
    </row>
    <row r="22" spans="1:20" s="87" customFormat="1" x14ac:dyDescent="0.25">
      <c r="A22" s="134" t="s">
        <v>272</v>
      </c>
      <c r="B22" s="87">
        <v>711.83</v>
      </c>
      <c r="C22" s="135">
        <v>250.48</v>
      </c>
      <c r="D22" s="87">
        <v>1.49</v>
      </c>
      <c r="E22" s="135">
        <v>0.2</v>
      </c>
      <c r="F22" s="122">
        <v>16.77</v>
      </c>
      <c r="G22" s="135">
        <v>4.83</v>
      </c>
      <c r="H22" s="122">
        <v>3.01</v>
      </c>
      <c r="I22" s="135">
        <v>0.18</v>
      </c>
      <c r="K22" s="87">
        <v>0.42</v>
      </c>
      <c r="L22" s="135">
        <v>0.14000000000000001</v>
      </c>
      <c r="M22" s="87">
        <v>0.5</v>
      </c>
      <c r="N22" s="135">
        <v>0.06</v>
      </c>
      <c r="O22" s="136"/>
      <c r="P22" s="85"/>
      <c r="Q22" s="5"/>
    </row>
    <row r="23" spans="1:20" s="87" customFormat="1" x14ac:dyDescent="0.25">
      <c r="A23" s="134" t="s">
        <v>271</v>
      </c>
      <c r="B23" s="87">
        <v>890.81</v>
      </c>
      <c r="C23" s="135">
        <v>261.32</v>
      </c>
      <c r="D23" s="87">
        <v>2.72</v>
      </c>
      <c r="E23" s="135">
        <v>0.37</v>
      </c>
      <c r="F23" s="122">
        <v>5.69</v>
      </c>
      <c r="G23" s="135">
        <v>2.33</v>
      </c>
      <c r="H23" s="122">
        <v>4.1399999999999997</v>
      </c>
      <c r="I23" s="135">
        <v>0.31</v>
      </c>
      <c r="K23" s="87">
        <v>0.33</v>
      </c>
      <c r="L23" s="135">
        <v>0.08</v>
      </c>
      <c r="M23" s="87">
        <v>0.65</v>
      </c>
      <c r="N23" s="135">
        <v>0.06</v>
      </c>
      <c r="O23" s="136"/>
      <c r="P23" s="85"/>
      <c r="Q23" s="5"/>
    </row>
    <row r="24" spans="1:20" x14ac:dyDescent="0.25">
      <c r="A24" s="84" t="s">
        <v>216</v>
      </c>
      <c r="B24">
        <v>377</v>
      </c>
      <c r="C24" s="2">
        <v>17.21</v>
      </c>
      <c r="D24">
        <v>3.5</v>
      </c>
      <c r="E24" s="2">
        <v>0.08</v>
      </c>
      <c r="F24" s="3">
        <v>1</v>
      </c>
      <c r="G24" s="2">
        <v>1</v>
      </c>
      <c r="H24" s="3">
        <v>4.3099999999999996</v>
      </c>
      <c r="I24" s="2">
        <v>0.12</v>
      </c>
      <c r="J24" s="85">
        <v>0</v>
      </c>
      <c r="K24">
        <v>0.1</v>
      </c>
      <c r="L24" s="2">
        <v>0.01</v>
      </c>
      <c r="M24">
        <v>0.81</v>
      </c>
      <c r="N24" s="2">
        <v>0.01</v>
      </c>
      <c r="O24" s="85"/>
      <c r="P24" s="85">
        <f t="shared" si="0"/>
        <v>0.1</v>
      </c>
      <c r="Q24" s="5"/>
      <c r="S24" s="5"/>
      <c r="T24" s="5"/>
    </row>
    <row r="25" spans="1:20" x14ac:dyDescent="0.25">
      <c r="A25" s="84" t="s">
        <v>225</v>
      </c>
      <c r="B25">
        <v>124.67</v>
      </c>
      <c r="C25" s="2">
        <v>4.45</v>
      </c>
      <c r="D25">
        <v>0.82</v>
      </c>
      <c r="E25" s="2">
        <v>0.02</v>
      </c>
      <c r="F25" s="3">
        <v>12.6</v>
      </c>
      <c r="G25" s="2">
        <v>2.8</v>
      </c>
      <c r="H25" s="3">
        <v>2.92</v>
      </c>
      <c r="I25" s="2">
        <v>0.11</v>
      </c>
      <c r="J25" s="85">
        <v>0.86</v>
      </c>
      <c r="K25">
        <v>0.14000000000000001</v>
      </c>
      <c r="L25" s="2">
        <v>0.01</v>
      </c>
      <c r="M25">
        <v>0.28000000000000003</v>
      </c>
      <c r="N25" s="2">
        <v>0.01</v>
      </c>
      <c r="O25" s="85"/>
      <c r="P25" s="85">
        <f t="shared" si="0"/>
        <v>0.14000000000000001</v>
      </c>
      <c r="Q25" s="5"/>
      <c r="S25" s="5"/>
      <c r="T25" s="5"/>
    </row>
    <row r="26" spans="1:20" x14ac:dyDescent="0.25">
      <c r="A26" s="84" t="s">
        <v>226</v>
      </c>
      <c r="B26">
        <v>177.5</v>
      </c>
      <c r="C26" s="2">
        <v>7.01</v>
      </c>
      <c r="D26">
        <v>0.89</v>
      </c>
      <c r="E26" s="2">
        <v>0.08</v>
      </c>
      <c r="F26" s="3">
        <v>20</v>
      </c>
      <c r="G26" s="2">
        <v>3.1</v>
      </c>
      <c r="H26" s="3">
        <v>2.76</v>
      </c>
      <c r="I26" s="2">
        <v>0.04</v>
      </c>
      <c r="J26" s="86">
        <v>0.76</v>
      </c>
      <c r="K26">
        <v>0.19</v>
      </c>
      <c r="L26" s="2">
        <v>0.02</v>
      </c>
      <c r="M26">
        <v>0.32</v>
      </c>
      <c r="N26" s="2">
        <v>0.03</v>
      </c>
      <c r="O26" s="85"/>
      <c r="P26" s="85">
        <f t="shared" si="0"/>
        <v>0.19</v>
      </c>
      <c r="Q26" s="5"/>
    </row>
    <row r="27" spans="1:20" x14ac:dyDescent="0.25">
      <c r="A27" s="84" t="s">
        <v>251</v>
      </c>
      <c r="B27">
        <v>371.56</v>
      </c>
      <c r="C27" s="2">
        <v>117.83</v>
      </c>
      <c r="D27">
        <v>1.19</v>
      </c>
      <c r="E27" s="2">
        <v>0.15</v>
      </c>
      <c r="F27" s="3">
        <v>14.88</v>
      </c>
      <c r="G27" s="2">
        <v>2.21</v>
      </c>
      <c r="H27" s="3">
        <v>3.04</v>
      </c>
      <c r="I27" s="2">
        <v>0.22</v>
      </c>
      <c r="J27" s="5"/>
      <c r="K27">
        <v>0.27</v>
      </c>
      <c r="L27" s="2">
        <v>7.0000000000000007E-2</v>
      </c>
      <c r="M27">
        <v>0.4</v>
      </c>
      <c r="N27" s="2">
        <v>0.05</v>
      </c>
      <c r="O27" s="85"/>
      <c r="P27" s="85">
        <f t="shared" si="0"/>
        <v>0.27</v>
      </c>
      <c r="Q27" s="5"/>
    </row>
    <row r="28" spans="1:20" x14ac:dyDescent="0.25">
      <c r="A28" s="84" t="s">
        <v>250</v>
      </c>
      <c r="B28">
        <v>397.5</v>
      </c>
      <c r="C28" s="2">
        <v>16.87</v>
      </c>
      <c r="D28">
        <v>1.37</v>
      </c>
      <c r="E28" s="2">
        <v>7.0000000000000007E-2</v>
      </c>
      <c r="F28" s="3">
        <v>16.399999999999999</v>
      </c>
      <c r="G28" s="2">
        <v>3.2</v>
      </c>
      <c r="H28" s="3">
        <v>4.08</v>
      </c>
      <c r="I28" s="2">
        <v>7.0000000000000007E-2</v>
      </c>
      <c r="J28" s="86">
        <v>1.25</v>
      </c>
      <c r="K28">
        <v>0.26</v>
      </c>
      <c r="L28" s="2">
        <v>0.01</v>
      </c>
      <c r="M28">
        <v>0.34</v>
      </c>
      <c r="N28" s="2">
        <v>0.02</v>
      </c>
      <c r="O28" s="85">
        <v>1</v>
      </c>
      <c r="P28" s="85"/>
      <c r="Q28" s="5">
        <f t="shared" si="1"/>
        <v>0.26</v>
      </c>
      <c r="S28" s="5"/>
      <c r="T28" s="3"/>
    </row>
    <row r="29" spans="1:20" x14ac:dyDescent="0.25">
      <c r="A29" s="84" t="s">
        <v>212</v>
      </c>
      <c r="B29">
        <v>1784.83</v>
      </c>
      <c r="C29" s="2">
        <v>296.10000000000002</v>
      </c>
      <c r="D29">
        <v>2.36</v>
      </c>
      <c r="E29" s="2">
        <v>0.23</v>
      </c>
      <c r="F29" s="3">
        <v>17.100000000000001</v>
      </c>
      <c r="G29" s="2">
        <v>0.8</v>
      </c>
      <c r="H29" s="3">
        <v>5.55</v>
      </c>
      <c r="I29" s="2">
        <v>0.26</v>
      </c>
      <c r="J29" s="85">
        <v>2.38</v>
      </c>
      <c r="K29">
        <v>0.67</v>
      </c>
      <c r="L29" s="2">
        <v>7.0000000000000007E-2</v>
      </c>
      <c r="M29">
        <v>0.42</v>
      </c>
      <c r="N29" s="2">
        <v>0.02</v>
      </c>
      <c r="O29" s="85"/>
      <c r="P29" s="85">
        <f t="shared" si="0"/>
        <v>0.67</v>
      </c>
      <c r="Q29" s="5"/>
      <c r="S29" s="5"/>
      <c r="T29" s="3"/>
    </row>
    <row r="30" spans="1:20" x14ac:dyDescent="0.25">
      <c r="A30" s="84" t="s">
        <v>6</v>
      </c>
      <c r="B30">
        <v>945.33</v>
      </c>
      <c r="C30" s="2">
        <v>33.229999999999997</v>
      </c>
      <c r="D30">
        <v>1.1599999999999999</v>
      </c>
      <c r="E30" s="2">
        <v>0.1</v>
      </c>
      <c r="F30" s="3">
        <v>25.4</v>
      </c>
      <c r="G30" s="2">
        <v>4</v>
      </c>
      <c r="H30" s="3">
        <v>3.21</v>
      </c>
      <c r="I30" s="2">
        <v>0.11</v>
      </c>
      <c r="J30" s="86">
        <v>1.22</v>
      </c>
      <c r="K30">
        <v>0.71</v>
      </c>
      <c r="L30" s="2">
        <v>0.05</v>
      </c>
      <c r="M30">
        <v>0.36</v>
      </c>
      <c r="N30" s="2">
        <v>0.04</v>
      </c>
      <c r="O30" s="85">
        <v>1</v>
      </c>
      <c r="P30" s="85"/>
      <c r="Q30" s="5">
        <f t="shared" si="1"/>
        <v>0.71</v>
      </c>
      <c r="S30" s="5"/>
      <c r="T30" s="3"/>
    </row>
    <row r="31" spans="1:20" x14ac:dyDescent="0.25">
      <c r="A31" s="84" t="s">
        <v>3</v>
      </c>
      <c r="B31">
        <v>1452.83</v>
      </c>
      <c r="C31" s="2">
        <v>39.840000000000003</v>
      </c>
      <c r="D31">
        <v>3.09</v>
      </c>
      <c r="E31" s="2">
        <v>0.13</v>
      </c>
      <c r="F31" s="3">
        <v>2.1</v>
      </c>
      <c r="G31" s="2">
        <v>2</v>
      </c>
      <c r="H31" s="3">
        <v>4.2699999999999996</v>
      </c>
      <c r="I31" s="2">
        <v>0.12</v>
      </c>
      <c r="J31" s="86">
        <v>3.5700000000000003</v>
      </c>
      <c r="K31">
        <v>0.45</v>
      </c>
      <c r="L31" s="2">
        <v>0.02</v>
      </c>
      <c r="M31">
        <v>0.72</v>
      </c>
      <c r="N31" s="2">
        <v>0.02</v>
      </c>
      <c r="O31" s="85">
        <v>1</v>
      </c>
      <c r="P31" s="85"/>
      <c r="Q31" s="5">
        <f t="shared" si="1"/>
        <v>0.45</v>
      </c>
    </row>
    <row r="32" spans="1:20" x14ac:dyDescent="0.25">
      <c r="A32" s="84" t="s">
        <v>2</v>
      </c>
      <c r="B32">
        <v>789.83</v>
      </c>
      <c r="C32" s="2">
        <v>33.17</v>
      </c>
      <c r="D32">
        <v>4.7699999999999996</v>
      </c>
      <c r="E32" s="2">
        <v>0.05</v>
      </c>
      <c r="F32" s="3">
        <v>0</v>
      </c>
      <c r="G32" s="2">
        <v>0</v>
      </c>
      <c r="H32" s="3">
        <v>5.95</v>
      </c>
      <c r="I32" s="2">
        <v>0.09</v>
      </c>
      <c r="J32" s="86">
        <v>4.3600000000000003</v>
      </c>
      <c r="K32">
        <v>0.16</v>
      </c>
      <c r="L32" s="2">
        <v>0.02</v>
      </c>
      <c r="M32">
        <v>0.8</v>
      </c>
      <c r="N32" s="2">
        <v>0.01</v>
      </c>
      <c r="O32" s="85">
        <v>1</v>
      </c>
      <c r="P32" s="85"/>
      <c r="Q32" s="5">
        <f t="shared" si="1"/>
        <v>0.16</v>
      </c>
      <c r="S32" s="5"/>
      <c r="T32" s="3"/>
    </row>
    <row r="33" spans="1:20" x14ac:dyDescent="0.25">
      <c r="A33" s="84" t="s">
        <v>249</v>
      </c>
      <c r="B33">
        <v>134.66999999999999</v>
      </c>
      <c r="C33" s="2">
        <v>4.57</v>
      </c>
      <c r="D33">
        <v>1.97</v>
      </c>
      <c r="E33" s="2">
        <v>0.19</v>
      </c>
      <c r="F33" s="3">
        <v>3.9</v>
      </c>
      <c r="G33" s="2">
        <v>2.4</v>
      </c>
      <c r="H33" s="3">
        <v>2.83</v>
      </c>
      <c r="I33" s="2">
        <v>0.19</v>
      </c>
      <c r="J33" s="86">
        <v>1.6</v>
      </c>
      <c r="K33">
        <v>7.0000000000000007E-2</v>
      </c>
      <c r="L33" s="2">
        <v>0.01</v>
      </c>
      <c r="M33">
        <v>0.69</v>
      </c>
      <c r="N33" s="2">
        <v>0.04</v>
      </c>
      <c r="O33" s="85"/>
      <c r="P33" s="85">
        <f t="shared" si="0"/>
        <v>7.0000000000000007E-2</v>
      </c>
      <c r="S33" s="5"/>
      <c r="T33" s="3"/>
    </row>
    <row r="34" spans="1:20" x14ac:dyDescent="0.25">
      <c r="A34" s="84" t="s">
        <v>13</v>
      </c>
      <c r="B34">
        <v>662.17</v>
      </c>
      <c r="C34" s="2">
        <v>17.7</v>
      </c>
      <c r="D34">
        <v>1.64</v>
      </c>
      <c r="E34" s="2">
        <v>7.0000000000000007E-2</v>
      </c>
      <c r="F34" s="3">
        <v>12.8</v>
      </c>
      <c r="G34" s="2">
        <v>1.2</v>
      </c>
      <c r="H34" s="3">
        <v>2.91</v>
      </c>
      <c r="I34" s="2">
        <v>0.04</v>
      </c>
      <c r="J34" s="86">
        <v>1.52</v>
      </c>
      <c r="K34">
        <v>0.38</v>
      </c>
      <c r="L34" s="2">
        <v>0.02</v>
      </c>
      <c r="M34">
        <v>0.56999999999999995</v>
      </c>
      <c r="N34" s="2">
        <v>0.03</v>
      </c>
      <c r="O34" s="85"/>
      <c r="P34" s="85">
        <f t="shared" si="0"/>
        <v>0.38</v>
      </c>
    </row>
    <row r="35" spans="1:20" x14ac:dyDescent="0.25">
      <c r="A35" s="84" t="s">
        <v>15</v>
      </c>
      <c r="B35">
        <v>135.83000000000001</v>
      </c>
      <c r="C35" s="2">
        <v>9.7100000000000009</v>
      </c>
      <c r="D35">
        <v>0.6</v>
      </c>
      <c r="E35" s="2">
        <v>0.04</v>
      </c>
      <c r="F35" s="3">
        <v>26</v>
      </c>
      <c r="G35" s="2">
        <v>7.3</v>
      </c>
      <c r="H35" s="3">
        <v>2.67</v>
      </c>
      <c r="I35" s="2">
        <v>0.01</v>
      </c>
      <c r="J35" s="86">
        <v>0.54</v>
      </c>
      <c r="K35">
        <v>0.19</v>
      </c>
      <c r="L35" s="2">
        <v>0.03</v>
      </c>
      <c r="M35">
        <v>0.23</v>
      </c>
      <c r="N35" s="2">
        <v>0.01</v>
      </c>
      <c r="O35" s="85"/>
      <c r="P35" s="85">
        <f t="shared" si="0"/>
        <v>0.19</v>
      </c>
      <c r="S35" s="5"/>
      <c r="T35" s="3"/>
    </row>
    <row r="36" spans="1:20" x14ac:dyDescent="0.25">
      <c r="A36" s="84" t="s">
        <v>9</v>
      </c>
      <c r="B36">
        <v>170.67</v>
      </c>
      <c r="C36" s="2">
        <v>15.53</v>
      </c>
      <c r="D36">
        <v>1.1399999999999999</v>
      </c>
      <c r="E36" s="2">
        <v>0.08</v>
      </c>
      <c r="F36" s="3">
        <v>6.9</v>
      </c>
      <c r="G36" s="2">
        <v>1.2</v>
      </c>
      <c r="H36" s="3">
        <v>2.64</v>
      </c>
      <c r="I36" s="2">
        <v>0.16</v>
      </c>
      <c r="J36" s="86">
        <v>1.1599999999999999</v>
      </c>
      <c r="K36">
        <v>0.14000000000000001</v>
      </c>
      <c r="L36" s="2">
        <v>0.01</v>
      </c>
      <c r="M36">
        <v>0.44</v>
      </c>
      <c r="N36" s="2">
        <v>0.04</v>
      </c>
      <c r="O36" s="85"/>
      <c r="P36" s="85">
        <f t="shared" si="0"/>
        <v>0.14000000000000001</v>
      </c>
    </row>
    <row r="37" spans="1:20" x14ac:dyDescent="0.25">
      <c r="A37" s="84" t="s">
        <v>8</v>
      </c>
      <c r="B37">
        <v>1288.83</v>
      </c>
      <c r="C37" s="2">
        <v>41.22</v>
      </c>
      <c r="D37">
        <v>1.96</v>
      </c>
      <c r="E37" s="2">
        <v>0.12</v>
      </c>
      <c r="F37" s="3">
        <v>10</v>
      </c>
      <c r="G37" s="2">
        <v>3.3</v>
      </c>
      <c r="H37" s="3">
        <v>3.42</v>
      </c>
      <c r="I37" s="2">
        <v>0.08</v>
      </c>
      <c r="J37" s="86">
        <v>1.98</v>
      </c>
      <c r="K37">
        <v>0.62</v>
      </c>
      <c r="L37" s="2">
        <v>0.05</v>
      </c>
      <c r="M37">
        <v>0.56999999999999995</v>
      </c>
      <c r="N37" s="2">
        <v>0.04</v>
      </c>
      <c r="O37" s="85"/>
      <c r="P37" s="85">
        <f t="shared" si="0"/>
        <v>0.62</v>
      </c>
    </row>
    <row r="38" spans="1:20" x14ac:dyDescent="0.25">
      <c r="A38" s="84" t="s">
        <v>265</v>
      </c>
      <c r="B38">
        <v>442.5</v>
      </c>
      <c r="C38" s="2">
        <v>44.81</v>
      </c>
      <c r="D38">
        <v>1.7</v>
      </c>
      <c r="E38" s="2">
        <v>0.04</v>
      </c>
      <c r="F38" s="3">
        <v>24.7</v>
      </c>
      <c r="G38" s="2">
        <v>3.4</v>
      </c>
      <c r="H38" s="3">
        <v>2.79</v>
      </c>
      <c r="I38" s="2">
        <v>0.09</v>
      </c>
      <c r="J38" s="86">
        <v>1.56</v>
      </c>
      <c r="K38">
        <v>0.22</v>
      </c>
      <c r="L38" s="2">
        <v>0.02</v>
      </c>
      <c r="M38">
        <v>0.61</v>
      </c>
      <c r="N38" s="2">
        <v>0.02</v>
      </c>
      <c r="O38" s="85"/>
      <c r="P38" s="85">
        <f t="shared" si="0"/>
        <v>0.22</v>
      </c>
      <c r="S38" s="5"/>
      <c r="T38" s="3"/>
    </row>
    <row r="39" spans="1:20" x14ac:dyDescent="0.25">
      <c r="B39">
        <f>SUM(B2:B6,B8:B17,B24:B38)</f>
        <v>19051.379999999997</v>
      </c>
      <c r="O39" t="s">
        <v>620</v>
      </c>
      <c r="P39" s="85">
        <f>SUM(P2:P38)</f>
        <v>5.13</v>
      </c>
      <c r="Q39" s="85">
        <f>SUM(Q2:Q38)</f>
        <v>3.96</v>
      </c>
    </row>
    <row r="40" spans="1:20" x14ac:dyDescent="0.25">
      <c r="O40" t="s">
        <v>621</v>
      </c>
      <c r="P40" s="85">
        <f>AVERAGE(P2:P38)</f>
        <v>0.27</v>
      </c>
      <c r="Q40" s="85">
        <f>AVERAGE(Q2:Q38)</f>
        <v>0.36</v>
      </c>
    </row>
    <row r="41" spans="1:20" x14ac:dyDescent="0.25">
      <c r="P41">
        <f>_xlfn.STDEV.P(P2:P38)</f>
        <v>0.21562638252798585</v>
      </c>
      <c r="Q41" s="5">
        <f>_xlfn.STDEV.P(Q2:Q38)</f>
        <v>0.2424121209090758</v>
      </c>
    </row>
  </sheetData>
  <sortState ref="A3:N39">
    <sortCondition ref="A3"/>
  </sortState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H12" sqref="H12"/>
    </sheetView>
  </sheetViews>
  <sheetFormatPr defaultRowHeight="15" x14ac:dyDescent="0.25"/>
  <cols>
    <col min="1" max="1" width="15.85546875" customWidth="1"/>
    <col min="2" max="2" width="11" customWidth="1"/>
    <col min="5" max="5" width="14.42578125" customWidth="1"/>
  </cols>
  <sheetData>
    <row r="1" spans="1:5" x14ac:dyDescent="0.25">
      <c r="A1" t="s">
        <v>625</v>
      </c>
      <c r="B1" s="231" t="s">
        <v>68</v>
      </c>
      <c r="C1" s="232" t="s">
        <v>263</v>
      </c>
    </row>
    <row r="2" spans="1:5" x14ac:dyDescent="0.25">
      <c r="A2" t="s">
        <v>629</v>
      </c>
    </row>
    <row r="3" spans="1:5" x14ac:dyDescent="0.25">
      <c r="A3" s="5" t="s">
        <v>270</v>
      </c>
      <c r="B3" s="5">
        <v>1256.67</v>
      </c>
      <c r="C3" s="5">
        <v>735.67</v>
      </c>
    </row>
    <row r="4" spans="1:5" x14ac:dyDescent="0.25">
      <c r="A4" s="5" t="s">
        <v>207</v>
      </c>
      <c r="B4" s="5">
        <v>402.3</v>
      </c>
      <c r="C4" s="5">
        <v>118.84</v>
      </c>
    </row>
    <row r="5" spans="1:5" s="5" customFormat="1" x14ac:dyDescent="0.25">
      <c r="A5" s="5" t="s">
        <v>269</v>
      </c>
      <c r="B5" s="5">
        <v>1300.6400000000001</v>
      </c>
      <c r="C5" s="5">
        <v>369.73</v>
      </c>
    </row>
    <row r="6" spans="1:5" s="5" customFormat="1" x14ac:dyDescent="0.25">
      <c r="A6" s="5" t="s">
        <v>268</v>
      </c>
      <c r="B6" s="5">
        <v>1365.08</v>
      </c>
      <c r="C6" s="5">
        <v>419.75</v>
      </c>
    </row>
    <row r="7" spans="1:5" x14ac:dyDescent="0.25">
      <c r="E7">
        <f>SUM(B3:B6)/1000</f>
        <v>4.3246900000000004</v>
      </c>
    </row>
    <row r="8" spans="1:5" x14ac:dyDescent="0.25">
      <c r="A8" t="s">
        <v>628</v>
      </c>
    </row>
    <row r="9" spans="1:5" x14ac:dyDescent="0.25">
      <c r="A9" t="s">
        <v>626</v>
      </c>
      <c r="B9" s="5">
        <v>711.83</v>
      </c>
      <c r="C9" s="5">
        <v>250.48</v>
      </c>
    </row>
    <row r="10" spans="1:5" x14ac:dyDescent="0.25">
      <c r="A10" t="s">
        <v>627</v>
      </c>
      <c r="B10" s="5">
        <v>890.81</v>
      </c>
      <c r="C10" s="5">
        <v>261.32</v>
      </c>
    </row>
    <row r="12" spans="1:5" x14ac:dyDescent="0.25">
      <c r="A12" t="s">
        <v>624</v>
      </c>
    </row>
    <row r="13" spans="1:5" x14ac:dyDescent="0.25">
      <c r="A13" s="5" t="s">
        <v>252</v>
      </c>
      <c r="B13" s="5">
        <v>271.17</v>
      </c>
      <c r="C13" s="5">
        <v>15.9</v>
      </c>
    </row>
    <row r="15" spans="1:5" x14ac:dyDescent="0.25">
      <c r="A15" t="s">
        <v>630</v>
      </c>
    </row>
    <row r="17" spans="1:3" x14ac:dyDescent="0.25">
      <c r="A17" t="s">
        <v>631</v>
      </c>
      <c r="B17">
        <f>SUM(B3:B13)</f>
        <v>6198.5</v>
      </c>
      <c r="C17">
        <f>SUM(C3:C13)</f>
        <v>2171.69</v>
      </c>
    </row>
    <row r="18" spans="1:3" x14ac:dyDescent="0.25">
      <c r="A18" t="s">
        <v>632</v>
      </c>
      <c r="B18" s="5">
        <v>19051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Pelvis</vt:lpstr>
      <vt:lpstr>Femur</vt:lpstr>
      <vt:lpstr>Tibia</vt:lpstr>
      <vt:lpstr>Foot</vt:lpstr>
      <vt:lpstr>MuscleGroupProperties</vt:lpstr>
      <vt:lpstr>Johnson2011Data</vt:lpstr>
      <vt:lpstr>Johnson2011Matlab</vt:lpstr>
      <vt:lpstr>Eng2008MuscleData</vt:lpstr>
      <vt:lpstr>Segment Masses</vt:lpstr>
      <vt:lpstr>Joints_Fischer02Paper</vt:lpstr>
      <vt:lpstr>AnimatlabOutput</vt:lpstr>
      <vt:lpstr>LengthTension</vt:lpstr>
      <vt:lpstr>Damping</vt:lpstr>
      <vt:lpstr>MuscleProperties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Fletcher</dc:creator>
  <cp:lastModifiedBy>Fletcher Young</cp:lastModifiedBy>
  <cp:lastPrinted>2018-10-08T22:08:49Z</cp:lastPrinted>
  <dcterms:created xsi:type="dcterms:W3CDTF">2018-03-20T22:51:32Z</dcterms:created>
  <dcterms:modified xsi:type="dcterms:W3CDTF">2021-06-02T19:24:37Z</dcterms:modified>
</cp:coreProperties>
</file>