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ames\OneDrive\"/>
    </mc:Choice>
  </mc:AlternateContent>
  <bookViews>
    <workbookView xWindow="0" yWindow="0" windowWidth="20490" windowHeight="7530" activeTab="4"/>
  </bookViews>
  <sheets>
    <sheet name="Classificação" sheetId="4" r:id="rId1"/>
    <sheet name="Por time" sheetId="5" r:id="rId2"/>
    <sheet name="Geral" sheetId="6" r:id="rId3"/>
    <sheet name="Dados" sheetId="3" r:id="rId4"/>
    <sheet name="Jogos" sheetId="2" r:id="rId5"/>
    <sheet name="Importação" sheetId="1" r:id="rId6"/>
  </sheets>
  <definedNames>
    <definedName name="_xlnm._FilterDatabase" localSheetId="3" hidden="1">Dados!$A$1:$O$23</definedName>
    <definedName name="_xlnm._FilterDatabase" localSheetId="2" hidden="1">Geral!$C$16:$D$44</definedName>
    <definedName name="_xlnm._FilterDatabase" localSheetId="4" hidden="1">Jogos!$A$1:$I$381</definedName>
    <definedName name="_xlnm._FilterDatabase" localSheetId="1" hidden="1">'Por time'!$A$18:$G$56</definedName>
    <definedName name="Emblemas">INDEX(Dados!$Q$2:$Q$21,MATCH('Por time'!$E$2,Dados!$B$2:$B$21,0))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6" l="1"/>
  <c r="C52" i="6"/>
  <c r="C53" i="6"/>
  <c r="C50" i="6"/>
  <c r="C51" i="6"/>
  <c r="C57" i="6"/>
  <c r="C58" i="6"/>
  <c r="C59" i="6"/>
  <c r="C54" i="6"/>
  <c r="C49" i="6"/>
  <c r="C55" i="6"/>
  <c r="C56" i="6"/>
  <c r="C62" i="6"/>
  <c r="C60" i="6"/>
  <c r="C61" i="6"/>
  <c r="C63" i="6"/>
  <c r="C71" i="6"/>
  <c r="C72" i="6"/>
  <c r="C67" i="6"/>
  <c r="C74" i="6"/>
  <c r="C66" i="6"/>
  <c r="C68" i="6"/>
  <c r="C76" i="6"/>
  <c r="C65" i="6"/>
  <c r="C69" i="6"/>
  <c r="C75" i="6"/>
  <c r="C77" i="6"/>
  <c r="C73" i="6"/>
  <c r="C78" i="6"/>
  <c r="C79" i="6"/>
  <c r="C70" i="6"/>
  <c r="C48" i="6"/>
  <c r="D13" i="6" l="1"/>
  <c r="D12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17" i="6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L2" i="2"/>
  <c r="M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O382" i="2" l="1"/>
  <c r="N382" i="2"/>
  <c r="D44" i="6"/>
  <c r="M3" i="2"/>
  <c r="F14" i="5"/>
  <c r="E14" i="5"/>
  <c r="F13" i="5"/>
  <c r="E13" i="5"/>
  <c r="F9" i="5"/>
  <c r="E9" i="5"/>
  <c r="D4" i="5"/>
  <c r="M4" i="2" l="1"/>
  <c r="M5" i="2" s="1"/>
  <c r="F15" i="5"/>
  <c r="E15" i="5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I3" i="3"/>
  <c r="I4" i="3"/>
  <c r="I6" i="3"/>
  <c r="I8" i="3"/>
  <c r="I10" i="3"/>
  <c r="I11" i="3"/>
  <c r="I14" i="3"/>
  <c r="I15" i="3"/>
  <c r="I20" i="3"/>
  <c r="I5" i="3"/>
  <c r="I7" i="3"/>
  <c r="I9" i="3"/>
  <c r="I12" i="3"/>
  <c r="I13" i="3"/>
  <c r="I16" i="3"/>
  <c r="I17" i="3"/>
  <c r="I18" i="3"/>
  <c r="I19" i="3"/>
  <c r="I21" i="3"/>
  <c r="I2" i="3"/>
  <c r="H3" i="3"/>
  <c r="J3" i="3" s="1"/>
  <c r="H4" i="3"/>
  <c r="J4" i="3" s="1"/>
  <c r="H6" i="3"/>
  <c r="J6" i="3" s="1"/>
  <c r="H8" i="3"/>
  <c r="H10" i="3"/>
  <c r="H11" i="3"/>
  <c r="J11" i="3" s="1"/>
  <c r="H14" i="3"/>
  <c r="J14" i="3" s="1"/>
  <c r="H15" i="3"/>
  <c r="J15" i="3" s="1"/>
  <c r="H20" i="3"/>
  <c r="H5" i="3"/>
  <c r="H7" i="3"/>
  <c r="J7" i="3" s="1"/>
  <c r="H9" i="3"/>
  <c r="H12" i="3"/>
  <c r="J12" i="3" s="1"/>
  <c r="H13" i="3"/>
  <c r="H16" i="3"/>
  <c r="J16" i="3" s="1"/>
  <c r="H17" i="3"/>
  <c r="H18" i="3"/>
  <c r="J18" i="3" s="1"/>
  <c r="H19" i="3"/>
  <c r="J19" i="3" s="1"/>
  <c r="H21" i="3"/>
  <c r="J21" i="3" s="1"/>
  <c r="H2" i="3"/>
  <c r="D3" i="3"/>
  <c r="D4" i="3"/>
  <c r="D6" i="3"/>
  <c r="D8" i="3"/>
  <c r="D10" i="3"/>
  <c r="D11" i="3"/>
  <c r="D14" i="3"/>
  <c r="D15" i="3"/>
  <c r="D20" i="3"/>
  <c r="D5" i="3"/>
  <c r="D7" i="3"/>
  <c r="D9" i="3"/>
  <c r="D12" i="3"/>
  <c r="D13" i="3"/>
  <c r="D16" i="3"/>
  <c r="D17" i="3"/>
  <c r="D18" i="3"/>
  <c r="D19" i="3"/>
  <c r="D21" i="3"/>
  <c r="D2" i="3"/>
  <c r="J10" i="3" l="1"/>
  <c r="J13" i="3"/>
  <c r="J20" i="3"/>
  <c r="D23" i="3"/>
  <c r="D22" i="3"/>
  <c r="J2" i="3"/>
  <c r="H23" i="3"/>
  <c r="E7" i="6" s="1"/>
  <c r="F7" i="6" s="1"/>
  <c r="H22" i="3"/>
  <c r="C7" i="6" s="1"/>
  <c r="D7" i="6" s="1"/>
  <c r="I22" i="3"/>
  <c r="E8" i="6" s="1"/>
  <c r="F8" i="6" s="1"/>
  <c r="I23" i="3"/>
  <c r="C8" i="6" s="1"/>
  <c r="D8" i="6" s="1"/>
  <c r="D9" i="5"/>
  <c r="D14" i="5"/>
  <c r="M6" i="2"/>
  <c r="J5" i="3"/>
  <c r="D15" i="5" s="1"/>
  <c r="D13" i="5"/>
  <c r="F12" i="5"/>
  <c r="F10" i="5"/>
  <c r="F11" i="5"/>
  <c r="E12" i="5"/>
  <c r="E10" i="5"/>
  <c r="E11" i="5"/>
  <c r="J9" i="3"/>
  <c r="J17" i="3"/>
  <c r="J8" i="3"/>
  <c r="G8" i="3"/>
  <c r="G16" i="3"/>
  <c r="G14" i="3"/>
  <c r="G2" i="3"/>
  <c r="G19" i="3"/>
  <c r="G13" i="3"/>
  <c r="G5" i="3"/>
  <c r="G11" i="3"/>
  <c r="G4" i="3"/>
  <c r="G17" i="3"/>
  <c r="G15" i="3"/>
  <c r="G21" i="3"/>
  <c r="G7" i="3"/>
  <c r="G18" i="3"/>
  <c r="G12" i="3"/>
  <c r="G20" i="3"/>
  <c r="G10" i="3"/>
  <c r="G3" i="3"/>
  <c r="G9" i="3"/>
  <c r="E6" i="3"/>
  <c r="E2" i="3"/>
  <c r="E17" i="3"/>
  <c r="E9" i="3"/>
  <c r="E15" i="3"/>
  <c r="E8" i="3"/>
  <c r="F2" i="3"/>
  <c r="F17" i="3"/>
  <c r="F9" i="3"/>
  <c r="F15" i="3"/>
  <c r="F8" i="3"/>
  <c r="E21" i="3"/>
  <c r="E16" i="3"/>
  <c r="E7" i="3"/>
  <c r="E14" i="3"/>
  <c r="F21" i="3"/>
  <c r="F16" i="3"/>
  <c r="F7" i="3"/>
  <c r="F14" i="3"/>
  <c r="F6" i="3"/>
  <c r="G6" i="3"/>
  <c r="E19" i="3"/>
  <c r="E13" i="3"/>
  <c r="E5" i="3"/>
  <c r="E11" i="3"/>
  <c r="E4" i="3"/>
  <c r="F19" i="3"/>
  <c r="F13" i="3"/>
  <c r="F5" i="3"/>
  <c r="F11" i="3"/>
  <c r="F4" i="3"/>
  <c r="E18" i="3"/>
  <c r="E12" i="3"/>
  <c r="E20" i="3"/>
  <c r="E10" i="3"/>
  <c r="E3" i="3"/>
  <c r="F18" i="3"/>
  <c r="F12" i="3"/>
  <c r="F20" i="3"/>
  <c r="F10" i="3"/>
  <c r="F3" i="3"/>
  <c r="D2" i="1"/>
  <c r="D3" i="1"/>
  <c r="D4" i="1"/>
  <c r="D5" i="1"/>
  <c r="D6" i="1"/>
  <c r="D11" i="1"/>
  <c r="D10" i="1"/>
  <c r="D9" i="1"/>
  <c r="D8" i="1"/>
  <c r="D7" i="1"/>
  <c r="C3" i="1"/>
  <c r="I3" i="1" s="1"/>
  <c r="E3" i="1"/>
  <c r="L3" i="1" s="1"/>
  <c r="F3" i="1"/>
  <c r="G3" i="1"/>
  <c r="P3" i="1" s="1"/>
  <c r="C4" i="1"/>
  <c r="I4" i="1" s="1"/>
  <c r="E4" i="1"/>
  <c r="L4" i="1" s="1"/>
  <c r="F4" i="1"/>
  <c r="G4" i="1"/>
  <c r="P4" i="1" s="1"/>
  <c r="C5" i="1"/>
  <c r="I5" i="1" s="1"/>
  <c r="E5" i="1"/>
  <c r="L5" i="1" s="1"/>
  <c r="F5" i="1"/>
  <c r="G5" i="1"/>
  <c r="P5" i="1" s="1"/>
  <c r="C6" i="1"/>
  <c r="I6" i="1" s="1"/>
  <c r="E6" i="1"/>
  <c r="L6" i="1" s="1"/>
  <c r="F6" i="1"/>
  <c r="G6" i="1"/>
  <c r="P6" i="1" s="1"/>
  <c r="C7" i="1"/>
  <c r="I7" i="1" s="1"/>
  <c r="E7" i="1"/>
  <c r="L7" i="1" s="1"/>
  <c r="F7" i="1"/>
  <c r="G7" i="1"/>
  <c r="P7" i="1" s="1"/>
  <c r="C8" i="1"/>
  <c r="I8" i="1" s="1"/>
  <c r="E8" i="1"/>
  <c r="L8" i="1" s="1"/>
  <c r="F8" i="1"/>
  <c r="G8" i="1"/>
  <c r="P8" i="1" s="1"/>
  <c r="C9" i="1"/>
  <c r="I9" i="1" s="1"/>
  <c r="E9" i="1"/>
  <c r="L9" i="1" s="1"/>
  <c r="F9" i="1"/>
  <c r="G9" i="1"/>
  <c r="P9" i="1" s="1"/>
  <c r="C10" i="1"/>
  <c r="I10" i="1" s="1"/>
  <c r="E10" i="1"/>
  <c r="L10" i="1" s="1"/>
  <c r="F10" i="1"/>
  <c r="G10" i="1"/>
  <c r="P10" i="1" s="1"/>
  <c r="C11" i="1"/>
  <c r="I11" i="1" s="1"/>
  <c r="E11" i="1"/>
  <c r="L11" i="1" s="1"/>
  <c r="F11" i="1"/>
  <c r="G11" i="1"/>
  <c r="P11" i="1" s="1"/>
  <c r="G2" i="1"/>
  <c r="P2" i="1" s="1"/>
  <c r="F2" i="1"/>
  <c r="E2" i="1"/>
  <c r="L2" i="1" s="1"/>
  <c r="C2" i="1"/>
  <c r="I2" i="1" s="1"/>
  <c r="J9" i="1" l="1"/>
  <c r="K9" i="1"/>
  <c r="K10" i="1"/>
  <c r="J10" i="1"/>
  <c r="J4" i="1"/>
  <c r="K4" i="1"/>
  <c r="J7" i="1"/>
  <c r="K7" i="1"/>
  <c r="J11" i="1"/>
  <c r="K11" i="1"/>
  <c r="J3" i="1"/>
  <c r="K3" i="1"/>
  <c r="J5" i="1"/>
  <c r="K5" i="1"/>
  <c r="J8" i="1"/>
  <c r="K8" i="1"/>
  <c r="J6" i="1"/>
  <c r="K6" i="1"/>
  <c r="K2" i="1"/>
  <c r="J2" i="1"/>
  <c r="D10" i="5"/>
  <c r="D11" i="5"/>
  <c r="N2" i="1"/>
  <c r="M2" i="1"/>
  <c r="O2" i="1"/>
  <c r="N11" i="1"/>
  <c r="M11" i="1"/>
  <c r="O11" i="1"/>
  <c r="O10" i="1"/>
  <c r="N10" i="1"/>
  <c r="M10" i="1"/>
  <c r="O9" i="1"/>
  <c r="N9" i="1"/>
  <c r="M9" i="1"/>
  <c r="N8" i="1"/>
  <c r="M8" i="1"/>
  <c r="O8" i="1"/>
  <c r="N7" i="1"/>
  <c r="M7" i="1"/>
  <c r="O7" i="1"/>
  <c r="M6" i="1"/>
  <c r="O6" i="1"/>
  <c r="N6" i="1"/>
  <c r="O5" i="1"/>
  <c r="N5" i="1"/>
  <c r="M5" i="1"/>
  <c r="N4" i="1"/>
  <c r="M4" i="1"/>
  <c r="O4" i="1"/>
  <c r="N3" i="1"/>
  <c r="M3" i="1"/>
  <c r="O3" i="1"/>
  <c r="F22" i="3"/>
  <c r="E5" i="6" s="1"/>
  <c r="F5" i="6" s="1"/>
  <c r="F23" i="3"/>
  <c r="C5" i="6" s="1"/>
  <c r="D5" i="6" s="1"/>
  <c r="J22" i="3"/>
  <c r="E22" i="3"/>
  <c r="C4" i="6" s="1"/>
  <c r="D4" i="6" s="1"/>
  <c r="E23" i="3"/>
  <c r="E4" i="6" s="1"/>
  <c r="F4" i="6" s="1"/>
  <c r="G22" i="3"/>
  <c r="E6" i="6" s="1"/>
  <c r="F6" i="6" s="1"/>
  <c r="G23" i="3"/>
  <c r="C6" i="6" s="1"/>
  <c r="D6" i="6" s="1"/>
  <c r="J23" i="3"/>
  <c r="D12" i="5"/>
  <c r="M7" i="2"/>
  <c r="E8" i="5"/>
  <c r="E16" i="5" s="1"/>
  <c r="F8" i="5"/>
  <c r="F16" i="5" s="1"/>
  <c r="C12" i="3"/>
  <c r="C11" i="3"/>
  <c r="C15" i="3"/>
  <c r="C6" i="3"/>
  <c r="C20" i="3"/>
  <c r="C4" i="3"/>
  <c r="C19" i="3"/>
  <c r="C3" i="3"/>
  <c r="C18" i="3"/>
  <c r="C5" i="3"/>
  <c r="C21" i="3"/>
  <c r="C9" i="3"/>
  <c r="C10" i="3"/>
  <c r="C13" i="3"/>
  <c r="C14" i="3"/>
  <c r="C17" i="3"/>
  <c r="C16" i="3"/>
  <c r="C7" i="3"/>
  <c r="C8" i="3"/>
  <c r="C2" i="3"/>
  <c r="L2" i="3" l="1"/>
  <c r="L17" i="3"/>
  <c r="L9" i="3"/>
  <c r="L6" i="3"/>
  <c r="L3" i="3"/>
  <c r="L7" i="3"/>
  <c r="L13" i="3"/>
  <c r="L5" i="3"/>
  <c r="L4" i="3"/>
  <c r="L11" i="3"/>
  <c r="L16" i="3"/>
  <c r="L10" i="3"/>
  <c r="L18" i="3"/>
  <c r="L20" i="3"/>
  <c r="L12" i="3"/>
  <c r="L8" i="3"/>
  <c r="L14" i="3"/>
  <c r="L21" i="3"/>
  <c r="L19" i="3"/>
  <c r="L15" i="3"/>
  <c r="C23" i="3"/>
  <c r="E3" i="6" s="1"/>
  <c r="F3" i="6" s="1"/>
  <c r="C22" i="3"/>
  <c r="C3" i="6" s="1"/>
  <c r="D3" i="6" s="1"/>
  <c r="D8" i="5"/>
  <c r="M8" i="2"/>
  <c r="K2" i="3"/>
  <c r="K3" i="3"/>
  <c r="K8" i="3"/>
  <c r="K15" i="3"/>
  <c r="K16" i="3"/>
  <c r="K17" i="3"/>
  <c r="K9" i="3"/>
  <c r="K6" i="3"/>
  <c r="K14" i="3"/>
  <c r="K21" i="3"/>
  <c r="K19" i="3"/>
  <c r="K7" i="3"/>
  <c r="K13" i="3"/>
  <c r="K5" i="3"/>
  <c r="K4" i="3"/>
  <c r="K11" i="3"/>
  <c r="K10" i="3"/>
  <c r="K18" i="3"/>
  <c r="K20" i="3"/>
  <c r="K12" i="3"/>
  <c r="D16" i="5" l="1"/>
  <c r="K22" i="3"/>
  <c r="C9" i="6" s="1"/>
  <c r="D9" i="6" s="1"/>
  <c r="K23" i="3"/>
  <c r="E9" i="6" s="1"/>
  <c r="F9" i="6" s="1"/>
  <c r="M9" i="2"/>
  <c r="A20" i="3"/>
  <c r="A10" i="3"/>
  <c r="A4" i="3"/>
  <c r="A12" i="3"/>
  <c r="A11" i="3"/>
  <c r="A7" i="3"/>
  <c r="A17" i="3"/>
  <c r="A15" i="3"/>
  <c r="A13" i="3"/>
  <c r="A18" i="3"/>
  <c r="A5" i="3"/>
  <c r="A21" i="3"/>
  <c r="A6" i="3"/>
  <c r="A3" i="3"/>
  <c r="A19" i="3"/>
  <c r="A9" i="3"/>
  <c r="A2" i="3"/>
  <c r="A14" i="3"/>
  <c r="A16" i="3"/>
  <c r="A8" i="3"/>
  <c r="I4" i="4" l="1"/>
  <c r="M10" i="2"/>
  <c r="E5" i="4"/>
  <c r="I5" i="4"/>
  <c r="F6" i="4"/>
  <c r="J6" i="4"/>
  <c r="G7" i="4"/>
  <c r="K7" i="4"/>
  <c r="H8" i="4"/>
  <c r="E9" i="4"/>
  <c r="I9" i="4"/>
  <c r="F10" i="4"/>
  <c r="J10" i="4"/>
  <c r="G11" i="4"/>
  <c r="K11" i="4"/>
  <c r="H12" i="4"/>
  <c r="E13" i="4"/>
  <c r="I13" i="4"/>
  <c r="F14" i="4"/>
  <c r="J14" i="4"/>
  <c r="G15" i="4"/>
  <c r="K15" i="4"/>
  <c r="H16" i="4"/>
  <c r="E17" i="4"/>
  <c r="I17" i="4"/>
  <c r="F18" i="4"/>
  <c r="J18" i="4"/>
  <c r="G19" i="4"/>
  <c r="K19" i="4"/>
  <c r="H20" i="4"/>
  <c r="E21" i="4"/>
  <c r="I21" i="4"/>
  <c r="F22" i="4"/>
  <c r="J22" i="4"/>
  <c r="G23" i="4"/>
  <c r="K23" i="4"/>
  <c r="H4" i="4"/>
  <c r="D5" i="4"/>
  <c r="D9" i="4"/>
  <c r="D13" i="4"/>
  <c r="D17" i="4"/>
  <c r="D21" i="4"/>
  <c r="C5" i="4"/>
  <c r="C9" i="4"/>
  <c r="C13" i="4"/>
  <c r="C17" i="4"/>
  <c r="C21" i="4"/>
  <c r="B23" i="4"/>
  <c r="B8" i="4"/>
  <c r="B12" i="4"/>
  <c r="B16" i="4"/>
  <c r="B20" i="4"/>
  <c r="F5" i="4"/>
  <c r="J5" i="4"/>
  <c r="G6" i="4"/>
  <c r="K6" i="4"/>
  <c r="H7" i="4"/>
  <c r="E8" i="4"/>
  <c r="I8" i="4"/>
  <c r="F9" i="4"/>
  <c r="J9" i="4"/>
  <c r="G10" i="4"/>
  <c r="K10" i="4"/>
  <c r="H11" i="4"/>
  <c r="E12" i="4"/>
  <c r="I12" i="4"/>
  <c r="F13" i="4"/>
  <c r="J13" i="4"/>
  <c r="G14" i="4"/>
  <c r="K14" i="4"/>
  <c r="H15" i="4"/>
  <c r="E16" i="4"/>
  <c r="I16" i="4"/>
  <c r="F17" i="4"/>
  <c r="J17" i="4"/>
  <c r="G18" i="4"/>
  <c r="K18" i="4"/>
  <c r="H19" i="4"/>
  <c r="E20" i="4"/>
  <c r="I20" i="4"/>
  <c r="F21" i="4"/>
  <c r="J21" i="4"/>
  <c r="G22" i="4"/>
  <c r="K22" i="4"/>
  <c r="H23" i="4"/>
  <c r="K4" i="4"/>
  <c r="G4" i="4"/>
  <c r="D6" i="4"/>
  <c r="D10" i="4"/>
  <c r="D14" i="4"/>
  <c r="D18" i="4"/>
  <c r="D22" i="4"/>
  <c r="C6" i="4"/>
  <c r="C10" i="4"/>
  <c r="C14" i="4"/>
  <c r="C18" i="4"/>
  <c r="C22" i="4"/>
  <c r="B5" i="4"/>
  <c r="B9" i="4"/>
  <c r="B13" i="4"/>
  <c r="B17" i="4"/>
  <c r="G5" i="4"/>
  <c r="K5" i="4"/>
  <c r="H6" i="4"/>
  <c r="E7" i="4"/>
  <c r="I7" i="4"/>
  <c r="F8" i="4"/>
  <c r="J8" i="4"/>
  <c r="G9" i="4"/>
  <c r="K9" i="4"/>
  <c r="H10" i="4"/>
  <c r="E11" i="4"/>
  <c r="I11" i="4"/>
  <c r="F12" i="4"/>
  <c r="J12" i="4"/>
  <c r="G13" i="4"/>
  <c r="K13" i="4"/>
  <c r="H14" i="4"/>
  <c r="E15" i="4"/>
  <c r="I15" i="4"/>
  <c r="F16" i="4"/>
  <c r="J16" i="4"/>
  <c r="G17" i="4"/>
  <c r="K17" i="4"/>
  <c r="H18" i="4"/>
  <c r="E19" i="4"/>
  <c r="I19" i="4"/>
  <c r="F20" i="4"/>
  <c r="J20" i="4"/>
  <c r="G21" i="4"/>
  <c r="K21" i="4"/>
  <c r="H22" i="4"/>
  <c r="E23" i="4"/>
  <c r="I23" i="4"/>
  <c r="J4" i="4"/>
  <c r="F4" i="4"/>
  <c r="D7" i="4"/>
  <c r="D11" i="4"/>
  <c r="D15" i="4"/>
  <c r="D19" i="4"/>
  <c r="D23" i="4"/>
  <c r="C7" i="4"/>
  <c r="C11" i="4"/>
  <c r="C15" i="4"/>
  <c r="C19" i="4"/>
  <c r="C23" i="4"/>
  <c r="B6" i="4"/>
  <c r="B10" i="4"/>
  <c r="B14" i="4"/>
  <c r="B18" i="4"/>
  <c r="B22" i="4"/>
  <c r="H5" i="4"/>
  <c r="E6" i="4"/>
  <c r="I6" i="4"/>
  <c r="F7" i="4"/>
  <c r="J7" i="4"/>
  <c r="G8" i="4"/>
  <c r="K8" i="4"/>
  <c r="H9" i="4"/>
  <c r="E10" i="4"/>
  <c r="I10" i="4"/>
  <c r="F11" i="4"/>
  <c r="J11" i="4"/>
  <c r="G12" i="4"/>
  <c r="K12" i="4"/>
  <c r="H13" i="4"/>
  <c r="E14" i="4"/>
  <c r="I14" i="4"/>
  <c r="F15" i="4"/>
  <c r="J15" i="4"/>
  <c r="G16" i="4"/>
  <c r="K16" i="4"/>
  <c r="H17" i="4"/>
  <c r="E18" i="4"/>
  <c r="I18" i="4"/>
  <c r="F19" i="4"/>
  <c r="J19" i="4"/>
  <c r="G20" i="4"/>
  <c r="K20" i="4"/>
  <c r="H21" i="4"/>
  <c r="E22" i="4"/>
  <c r="I22" i="4"/>
  <c r="F23" i="4"/>
  <c r="J23" i="4"/>
  <c r="E4" i="4"/>
  <c r="D8" i="4"/>
  <c r="D12" i="4"/>
  <c r="D16" i="4"/>
  <c r="D20" i="4"/>
  <c r="D4" i="4"/>
  <c r="C8" i="4"/>
  <c r="C12" i="4"/>
  <c r="C16" i="4"/>
  <c r="C20" i="4"/>
  <c r="C4" i="4"/>
  <c r="B7" i="4"/>
  <c r="B11" i="4"/>
  <c r="B15" i="4"/>
  <c r="B19" i="4"/>
  <c r="B4" i="4"/>
  <c r="D5" i="5" s="1"/>
  <c r="B21" i="4"/>
  <c r="M11" i="2" l="1"/>
  <c r="M12" i="2" l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D56" i="5" l="1"/>
  <c r="D29" i="5"/>
  <c r="C39" i="5"/>
  <c r="E26" i="5"/>
  <c r="D36" i="5"/>
  <c r="B20" i="5"/>
  <c r="E32" i="5"/>
  <c r="D42" i="5"/>
  <c r="C56" i="5"/>
  <c r="C28" i="5"/>
  <c r="D27" i="5"/>
  <c r="D44" i="5"/>
  <c r="C54" i="5"/>
  <c r="E52" i="5"/>
  <c r="E24" i="5"/>
  <c r="C30" i="5"/>
  <c r="B40" i="5"/>
  <c r="B47" i="5"/>
  <c r="E35" i="5"/>
  <c r="D49" i="5"/>
  <c r="D21" i="5"/>
  <c r="D46" i="5"/>
  <c r="C43" i="5"/>
  <c r="E21" i="5"/>
  <c r="D47" i="5"/>
  <c r="E23" i="5"/>
  <c r="B24" i="5"/>
  <c r="D54" i="5"/>
  <c r="E34" i="5"/>
  <c r="E44" i="5"/>
  <c r="D35" i="5"/>
  <c r="C33" i="5"/>
  <c r="E45" i="5"/>
  <c r="C50" i="5"/>
  <c r="B51" i="5"/>
  <c r="C19" i="5"/>
  <c r="D43" i="5"/>
  <c r="D34" i="5"/>
  <c r="D52" i="5"/>
  <c r="C23" i="5"/>
  <c r="C55" i="5"/>
  <c r="C53" i="5"/>
  <c r="C29" i="5"/>
  <c r="D24" i="5"/>
  <c r="E50" i="5"/>
  <c r="B31" i="5"/>
  <c r="D28" i="5"/>
  <c r="D19" i="5"/>
  <c r="C47" i="5"/>
  <c r="B19" i="5"/>
  <c r="E55" i="5"/>
  <c r="B43" i="5"/>
  <c r="C34" i="5"/>
  <c r="D32" i="5"/>
  <c r="C25" i="5"/>
  <c r="C45" i="5"/>
  <c r="C46" i="5"/>
  <c r="D37" i="5"/>
  <c r="D38" i="5"/>
  <c r="E47" i="5"/>
  <c r="E54" i="5"/>
  <c r="B53" i="5"/>
  <c r="C52" i="5"/>
  <c r="E42" i="5"/>
  <c r="C37" i="5"/>
  <c r="B46" i="5"/>
  <c r="B48" i="5"/>
  <c r="E53" i="5"/>
  <c r="C36" i="5"/>
  <c r="C32" i="5"/>
  <c r="D20" i="5"/>
  <c r="D22" i="5"/>
  <c r="B34" i="5"/>
  <c r="B35" i="5"/>
  <c r="C31" i="5"/>
  <c r="D26" i="5"/>
  <c r="D23" i="5"/>
  <c r="B21" i="5"/>
  <c r="E48" i="5"/>
  <c r="B42" i="5"/>
  <c r="B50" i="5"/>
  <c r="E27" i="5"/>
  <c r="B23" i="5"/>
  <c r="C49" i="5"/>
  <c r="D31" i="5"/>
  <c r="B28" i="5"/>
  <c r="E25" i="5"/>
  <c r="B33" i="5"/>
  <c r="B54" i="5"/>
  <c r="D55" i="5"/>
  <c r="E49" i="5"/>
  <c r="B22" i="5"/>
  <c r="C35" i="5"/>
  <c r="D45" i="5"/>
  <c r="C20" i="5"/>
  <c r="C38" i="5"/>
  <c r="B41" i="5"/>
  <c r="E28" i="5"/>
  <c r="B30" i="5"/>
  <c r="C26" i="5"/>
  <c r="E31" i="5"/>
  <c r="C40" i="5"/>
  <c r="E19" i="5"/>
  <c r="E20" i="5"/>
  <c r="C48" i="5"/>
  <c r="E33" i="5"/>
  <c r="C24" i="5"/>
  <c r="B32" i="5"/>
  <c r="E56" i="5"/>
  <c r="E41" i="5"/>
  <c r="E46" i="5"/>
  <c r="E39" i="5"/>
  <c r="B27" i="5"/>
  <c r="B36" i="5"/>
  <c r="B52" i="5"/>
  <c r="F52" i="5" s="1"/>
  <c r="G52" i="5" s="1"/>
  <c r="D41" i="5"/>
  <c r="D51" i="5"/>
  <c r="B55" i="5"/>
  <c r="B26" i="5"/>
  <c r="B45" i="5"/>
  <c r="C51" i="5"/>
  <c r="C41" i="5"/>
  <c r="D25" i="5"/>
  <c r="C44" i="5"/>
  <c r="E51" i="5"/>
  <c r="B56" i="5"/>
  <c r="F56" i="5" s="1"/>
  <c r="G56" i="5" s="1"/>
  <c r="D40" i="5"/>
  <c r="D50" i="5"/>
  <c r="B39" i="5"/>
  <c r="C27" i="5"/>
  <c r="C21" i="5"/>
  <c r="B37" i="5"/>
  <c r="B44" i="5"/>
  <c r="E38" i="5"/>
  <c r="E40" i="5"/>
  <c r="E43" i="5"/>
  <c r="D33" i="5"/>
  <c r="E29" i="5"/>
  <c r="D39" i="5"/>
  <c r="B25" i="5"/>
  <c r="D30" i="5"/>
  <c r="D48" i="5"/>
  <c r="E22" i="5"/>
  <c r="E37" i="5"/>
  <c r="E36" i="5"/>
  <c r="B49" i="5"/>
  <c r="B38" i="5"/>
  <c r="D53" i="5"/>
  <c r="B29" i="5"/>
  <c r="E30" i="5"/>
  <c r="C42" i="5"/>
  <c r="C22" i="5"/>
  <c r="F21" i="5" l="1"/>
  <c r="G21" i="5" s="1"/>
  <c r="F46" i="5"/>
  <c r="G46" i="5" s="1"/>
  <c r="F34" i="5"/>
  <c r="G34" i="5" s="1"/>
  <c r="F45" i="5"/>
  <c r="G45" i="5" s="1"/>
  <c r="F36" i="5"/>
  <c r="G36" i="5" s="1"/>
  <c r="F37" i="5"/>
  <c r="G37" i="5" s="1"/>
  <c r="F41" i="5"/>
  <c r="G41" i="5" s="1"/>
  <c r="F33" i="5"/>
  <c r="G33" i="5" s="1"/>
  <c r="F42" i="5"/>
  <c r="G42" i="5" s="1"/>
  <c r="F26" i="5"/>
  <c r="G26" i="5" s="1"/>
  <c r="F22" i="5"/>
  <c r="G22" i="5" s="1"/>
  <c r="F24" i="5"/>
  <c r="G24" i="5" s="1"/>
  <c r="F23" i="5"/>
  <c r="G23" i="5" s="1"/>
  <c r="F31" i="5"/>
  <c r="G31" i="5" s="1"/>
  <c r="F55" i="5"/>
  <c r="G55" i="5" s="1"/>
  <c r="F43" i="5"/>
  <c r="G43" i="5" s="1"/>
  <c r="F32" i="5"/>
  <c r="G32" i="5" s="1"/>
  <c r="F53" i="5"/>
  <c r="G53" i="5" s="1"/>
  <c r="F48" i="5"/>
  <c r="G48" i="5" s="1"/>
  <c r="F38" i="5"/>
  <c r="G38" i="5" s="1"/>
  <c r="F20" i="5"/>
  <c r="G20" i="5" s="1"/>
  <c r="F49" i="5"/>
  <c r="G49" i="5" s="1"/>
  <c r="F19" i="5"/>
  <c r="F30" i="5"/>
  <c r="G30" i="5" s="1"/>
  <c r="F44" i="5"/>
  <c r="G44" i="5" s="1"/>
  <c r="F40" i="5"/>
  <c r="G40" i="5" s="1"/>
  <c r="F54" i="5"/>
  <c r="G54" i="5" s="1"/>
  <c r="F25" i="5"/>
  <c r="G25" i="5" s="1"/>
  <c r="F39" i="5"/>
  <c r="G39" i="5" s="1"/>
  <c r="F50" i="5"/>
  <c r="G50" i="5" s="1"/>
  <c r="F35" i="5"/>
  <c r="G35" i="5" s="1"/>
  <c r="F28" i="5"/>
  <c r="G28" i="5" s="1"/>
  <c r="F27" i="5"/>
  <c r="G27" i="5" s="1"/>
  <c r="F47" i="5"/>
  <c r="G47" i="5" s="1"/>
  <c r="F51" i="5"/>
  <c r="G51" i="5" s="1"/>
  <c r="F29" i="5"/>
  <c r="G29" i="5" s="1"/>
  <c r="F57" i="5" l="1"/>
  <c r="G19" i="5"/>
  <c r="G57" i="5" s="1"/>
</calcChain>
</file>

<file path=xl/sharedStrings.xml><?xml version="1.0" encoding="utf-8"?>
<sst xmlns="http://schemas.openxmlformats.org/spreadsheetml/2006/main" count="2209" uniqueCount="235">
  <si>
    <t>ARENA DA BAIXADA</t>
  </si>
  <si>
    <t>ARENA CONDÁ</t>
  </si>
  <si>
    <t>MINEIRÃO</t>
  </si>
  <si>
    <t>GIULITE COUTINHO</t>
  </si>
  <si>
    <t>GRÊMIO ARENA</t>
  </si>
  <si>
    <t>MOISÉS LUCARELLI</t>
  </si>
  <si>
    <t>VILA BELMIRO</t>
  </si>
  <si>
    <t>PACAEMBU</t>
  </si>
  <si>
    <t>ILHA DO RETIRO</t>
  </si>
  <si>
    <t>BARRADÃO</t>
  </si>
  <si>
    <t> SPT</t>
  </si>
  <si>
    <t>INDEPENDÊNCIA</t>
  </si>
  <si>
    <t>BOT </t>
  </si>
  <si>
    <t> PON</t>
  </si>
  <si>
    <t>ARENA BOTAFOGO</t>
  </si>
  <si>
    <t>COR </t>
  </si>
  <si>
    <t>0 - 0</t>
  </si>
  <si>
    <t> CAP</t>
  </si>
  <si>
    <t>ARENA CORINTHIANS</t>
  </si>
  <si>
    <t>CAM </t>
  </si>
  <si>
    <t> SAO</t>
  </si>
  <si>
    <t>FLA </t>
  </si>
  <si>
    <t> SAN</t>
  </si>
  <si>
    <t>MARACANÃ</t>
  </si>
  <si>
    <t>INT </t>
  </si>
  <si>
    <t>1 - 0</t>
  </si>
  <si>
    <t> CRU</t>
  </si>
  <si>
    <t>BEIRA RIO</t>
  </si>
  <si>
    <t>PAL </t>
  </si>
  <si>
    <t> CHA</t>
  </si>
  <si>
    <t>ALLIANZ PARQUE</t>
  </si>
  <si>
    <t>FIG </t>
  </si>
  <si>
    <t> FLU</t>
  </si>
  <si>
    <t>ORLANDO SCARPELLI</t>
  </si>
  <si>
    <t>STC </t>
  </si>
  <si>
    <t> GRE</t>
  </si>
  <si>
    <t>ARRUDA</t>
  </si>
  <si>
    <t>CFC </t>
  </si>
  <si>
    <t>0 - 1</t>
  </si>
  <si>
    <t> VIT</t>
  </si>
  <si>
    <t>COUTO PEREIRA</t>
  </si>
  <si>
    <t>MORUMBI</t>
  </si>
  <si>
    <t>DURIVAL DE BRITTO</t>
  </si>
  <si>
    <t>ARENA PANTANAL</t>
  </si>
  <si>
    <t>ARENA FONTE LUMINOSA</t>
  </si>
  <si>
    <t>RAULINO DE OLIVEIRA</t>
  </si>
  <si>
    <t>ARENA FONTE NOVA</t>
  </si>
  <si>
    <t>ESTÁDIO DO CAFÉ</t>
  </si>
  <si>
    <t>KLEBER ANDRADE</t>
  </si>
  <si>
    <t>ARENA PERNAMBUCO</t>
  </si>
  <si>
    <t>MANÉ GARRINCHA</t>
  </si>
  <si>
    <t>MÁRIO HELÊNIO</t>
  </si>
  <si>
    <t>JÓIA DA PRINCESA</t>
  </si>
  <si>
    <t>ARENA DAS DUNAS</t>
  </si>
  <si>
    <t>Rodada</t>
  </si>
  <si>
    <t>Mandante</t>
  </si>
  <si>
    <t>Visitante</t>
  </si>
  <si>
    <t>Data</t>
  </si>
  <si>
    <t>Estádio</t>
  </si>
  <si>
    <t>Gols M</t>
  </si>
  <si>
    <t>Gols V</t>
  </si>
  <si>
    <t>Dia semana</t>
  </si>
  <si>
    <t>Hora</t>
  </si>
  <si>
    <t>Time</t>
  </si>
  <si>
    <t>Pontos</t>
  </si>
  <si>
    <t>Jogos</t>
  </si>
  <si>
    <t>Vitórias</t>
  </si>
  <si>
    <t>Empates</t>
  </si>
  <si>
    <t>Derrotas</t>
  </si>
  <si>
    <t>Gols pró</t>
  </si>
  <si>
    <t>Gols contra</t>
  </si>
  <si>
    <t>Saldo de gols</t>
  </si>
  <si>
    <t>Aproveitamento</t>
  </si>
  <si>
    <t>AMG</t>
  </si>
  <si>
    <t>BOT</t>
  </si>
  <si>
    <t>CAM</t>
  </si>
  <si>
    <t>CFC</t>
  </si>
  <si>
    <t>COR</t>
  </si>
  <si>
    <t>FIG</t>
  </si>
  <si>
    <t>FLA</t>
  </si>
  <si>
    <t>INT</t>
  </si>
  <si>
    <t>PAL</t>
  </si>
  <si>
    <t>STC</t>
  </si>
  <si>
    <t>CAP</t>
  </si>
  <si>
    <t>CHA</t>
  </si>
  <si>
    <t>CRU</t>
  </si>
  <si>
    <t>FLU</t>
  </si>
  <si>
    <t>GRE</t>
  </si>
  <si>
    <t>PON</t>
  </si>
  <si>
    <t>SAN</t>
  </si>
  <si>
    <t>SPT</t>
  </si>
  <si>
    <t>VIT</t>
  </si>
  <si>
    <t>SAO</t>
  </si>
  <si>
    <t>Resultado M</t>
  </si>
  <si>
    <t>Resultado V</t>
  </si>
  <si>
    <t>DOM</t>
  </si>
  <si>
    <t>16:00</t>
  </si>
  <si>
    <t>11:00</t>
  </si>
  <si>
    <t>SÁB</t>
  </si>
  <si>
    <t>18:30</t>
  </si>
  <si>
    <t>21:00</t>
  </si>
  <si>
    <t>QUA</t>
  </si>
  <si>
    <t>19:30</t>
  </si>
  <si>
    <t>QUI</t>
  </si>
  <si>
    <t>21:45</t>
  </si>
  <si>
    <t>20:30</t>
  </si>
  <si>
    <t>19:00</t>
  </si>
  <si>
    <t>20:00</t>
  </si>
  <si>
    <t>18:00</t>
  </si>
  <si>
    <t>21:30</t>
  </si>
  <si>
    <t>15:00</t>
  </si>
  <si>
    <t>19:15</t>
  </si>
  <si>
    <t>TER</t>
  </si>
  <si>
    <t>SEG</t>
  </si>
  <si>
    <t>16:30</t>
  </si>
  <si>
    <t>16:15</t>
  </si>
  <si>
    <t>SEX</t>
  </si>
  <si>
    <t>17:00</t>
  </si>
  <si>
    <t>Pontuação ponderada</t>
  </si>
  <si>
    <t>Classificação</t>
  </si>
  <si>
    <t>Sigla time</t>
  </si>
  <si>
    <t>América-MG</t>
  </si>
  <si>
    <t>Botafogo</t>
  </si>
  <si>
    <t>Palmeiras</t>
  </si>
  <si>
    <t>Flamengo</t>
  </si>
  <si>
    <t>Santos</t>
  </si>
  <si>
    <t>Atlético-MG</t>
  </si>
  <si>
    <t>Atlético-PR</t>
  </si>
  <si>
    <t>Corinthians</t>
  </si>
  <si>
    <t>Grêmio</t>
  </si>
  <si>
    <t>Chapecoense</t>
  </si>
  <si>
    <t>Ponte Preta</t>
  </si>
  <si>
    <t>São Paulo</t>
  </si>
  <si>
    <t>Fluminense</t>
  </si>
  <si>
    <t>Cruzeiro</t>
  </si>
  <si>
    <t>Coritiba</t>
  </si>
  <si>
    <t>Vitória</t>
  </si>
  <si>
    <t>Internacional</t>
  </si>
  <si>
    <t>Figueirense</t>
  </si>
  <si>
    <t>Santa Cruz</t>
  </si>
  <si>
    <t>Sport</t>
  </si>
  <si>
    <t>UF</t>
  </si>
  <si>
    <t>SP</t>
  </si>
  <si>
    <t>RJ</t>
  </si>
  <si>
    <t>MG</t>
  </si>
  <si>
    <t>PR</t>
  </si>
  <si>
    <t>RS</t>
  </si>
  <si>
    <t>SC</t>
  </si>
  <si>
    <t>BA</t>
  </si>
  <si>
    <t>PE</t>
  </si>
  <si>
    <t>Selecione o time:</t>
  </si>
  <si>
    <t>Pontos:</t>
  </si>
  <si>
    <t>Jogos:</t>
  </si>
  <si>
    <t>Vitórias:</t>
  </si>
  <si>
    <t>Empates:</t>
  </si>
  <si>
    <t>Derrotas:</t>
  </si>
  <si>
    <t>Gols pró:</t>
  </si>
  <si>
    <t>Gols contra:</t>
  </si>
  <si>
    <t>Saldo de gols:</t>
  </si>
  <si>
    <t>Aproveitamento:</t>
  </si>
  <si>
    <t>Total</t>
  </si>
  <si>
    <t>Em casa</t>
  </si>
  <si>
    <t>Fora de casa</t>
  </si>
  <si>
    <t>Cidade sede</t>
  </si>
  <si>
    <t>Rio de Janeiro</t>
  </si>
  <si>
    <t>Belo Horizonte</t>
  </si>
  <si>
    <t>Curitiba</t>
  </si>
  <si>
    <t>Chapecó</t>
  </si>
  <si>
    <t>Porto Alegre</t>
  </si>
  <si>
    <t>Recife</t>
  </si>
  <si>
    <t>Salvador</t>
  </si>
  <si>
    <t>Campinas</t>
  </si>
  <si>
    <t>Florianópolis</t>
  </si>
  <si>
    <t>Marcar time</t>
  </si>
  <si>
    <t>Rodada time</t>
  </si>
  <si>
    <t>Vistante</t>
  </si>
  <si>
    <t>Geral</t>
  </si>
  <si>
    <t>SG</t>
  </si>
  <si>
    <t>SG partida</t>
  </si>
  <si>
    <t>Gols partida</t>
  </si>
  <si>
    <t>Máximo</t>
  </si>
  <si>
    <t>Mínimo</t>
  </si>
  <si>
    <t>Times por estado</t>
  </si>
  <si>
    <t>Estado</t>
  </si>
  <si>
    <t>Times</t>
  </si>
  <si>
    <t>Capital x interior</t>
  </si>
  <si>
    <t>AC</t>
  </si>
  <si>
    <t>AL</t>
  </si>
  <si>
    <t>AM</t>
  </si>
  <si>
    <t>DF</t>
  </si>
  <si>
    <t>PA</t>
  </si>
  <si>
    <t>MA</t>
  </si>
  <si>
    <t>GO</t>
  </si>
  <si>
    <t>RN</t>
  </si>
  <si>
    <t>CE</t>
  </si>
  <si>
    <t>PI</t>
  </si>
  <si>
    <t>RO</t>
  </si>
  <si>
    <t>RR</t>
  </si>
  <si>
    <t>AP</t>
  </si>
  <si>
    <t>SE</t>
  </si>
  <si>
    <t>ES</t>
  </si>
  <si>
    <t>TO</t>
  </si>
  <si>
    <t>MS</t>
  </si>
  <si>
    <t>MT</t>
  </si>
  <si>
    <t>Times capital x interior</t>
  </si>
  <si>
    <t>Capital</t>
  </si>
  <si>
    <t>Interior</t>
  </si>
  <si>
    <t>Ataque (Gols pró):</t>
  </si>
  <si>
    <t>Defesa (gols contra):</t>
  </si>
  <si>
    <t>Melhor</t>
  </si>
  <si>
    <t>Pior</t>
  </si>
  <si>
    <t>Valor</t>
  </si>
  <si>
    <t>Emblema</t>
  </si>
  <si>
    <t>Dados extraídos brutos</t>
  </si>
  <si>
    <t>Dados processados</t>
  </si>
  <si>
    <t>Texto importado da rodada</t>
  </si>
  <si>
    <t>Fonte: Lance net.</t>
  </si>
  <si>
    <t>http://www.lance.com.br/tabela/brasileirao/</t>
  </si>
  <si>
    <t>2 - 2</t>
  </si>
  <si>
    <t>SÁB 26/11/2016 20:00</t>
  </si>
  <si>
    <t>1 - 1</t>
  </si>
  <si>
    <t>SÁB 26/11/2016 21:00</t>
  </si>
  <si>
    <t>1 - 2</t>
  </si>
  <si>
    <t>DOM 27/11/2016 17:00</t>
  </si>
  <si>
    <t>2 - 0</t>
  </si>
  <si>
    <t>DOM 27/11/2016 19:30</t>
  </si>
  <si>
    <t>5 - 1</t>
  </si>
  <si>
    <t>SEG 28/11/2016 20:00</t>
  </si>
  <si>
    <t>http://radames.manosso.nom.br/bitabit</t>
  </si>
  <si>
    <t>Classificação:</t>
  </si>
  <si>
    <t>Partidas</t>
  </si>
  <si>
    <t>Copie e cole dados acima como valor na rodada respectiva da planilha jogos.</t>
  </si>
  <si>
    <t>Campeonato Brasileiro de Futebol - Série A - 2016</t>
  </si>
  <si>
    <t>AMG </t>
  </si>
  <si>
    <t>senha proteção: capomelhor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</si>
</sst>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164" fontId="0" fillId="0" borderId="1" xfId="1" applyNumberFormat="1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6" fillId="0" borderId="0" xfId="2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4" borderId="0" xfId="0" applyFill="1" applyProtection="1">
      <protection hidden="1"/>
    </xf>
    <xf numFmtId="0" fontId="0" fillId="4" borderId="0" xfId="0" applyFill="1" applyAlignment="1" applyProtection="1">
      <alignment horizontal="right"/>
      <protection hidden="1"/>
    </xf>
    <xf numFmtId="0" fontId="0" fillId="4" borderId="0" xfId="0" applyFill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0" fillId="0" borderId="0" xfId="0" applyBorder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0" fillId="0" borderId="1" xfId="0" applyBorder="1" applyAlignment="1" applyProtection="1">
      <alignment horizontal="right"/>
      <protection hidden="1"/>
    </xf>
    <xf numFmtId="0" fontId="0" fillId="0" borderId="0" xfId="0" applyNumberFormat="1" applyAlignment="1" applyProtection="1">
      <alignment horizontal="center"/>
      <protection hidden="1"/>
    </xf>
    <xf numFmtId="0" fontId="4" fillId="5" borderId="1" xfId="0" applyFont="1" applyFill="1" applyBorder="1" applyProtection="1">
      <protection hidden="1"/>
    </xf>
    <xf numFmtId="0" fontId="4" fillId="5" borderId="1" xfId="0" applyFont="1" applyFill="1" applyBorder="1" applyAlignment="1" applyProtection="1">
      <alignment horizontal="right"/>
      <protection hidden="1"/>
    </xf>
    <xf numFmtId="0" fontId="2" fillId="2" borderId="1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3" fillId="0" borderId="0" xfId="0" applyFont="1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  <xf numFmtId="164" fontId="0" fillId="0" borderId="0" xfId="1" applyNumberFormat="1" applyFont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164" fontId="0" fillId="0" borderId="3" xfId="1" applyNumberFormat="1" applyFont="1" applyBorder="1" applyAlignment="1" applyProtection="1">
      <alignment horizontal="center"/>
      <protection hidden="1"/>
    </xf>
    <xf numFmtId="0" fontId="0" fillId="0" borderId="3" xfId="0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164" fontId="0" fillId="0" borderId="0" xfId="1" applyNumberFormat="1" applyFont="1" applyFill="1" applyBorder="1" applyAlignment="1" applyProtection="1">
      <alignment horizontal="center"/>
      <protection hidden="1"/>
    </xf>
    <xf numFmtId="0" fontId="6" fillId="0" borderId="0" xfId="2" applyAlignment="1" applyProtection="1">
      <alignment horizontal="left"/>
      <protection hidden="1"/>
    </xf>
    <xf numFmtId="1" fontId="2" fillId="2" borderId="0" xfId="0" applyNumberFormat="1" applyFont="1" applyFill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 hidden="1"/>
    </xf>
    <xf numFmtId="1" fontId="0" fillId="0" borderId="0" xfId="0" applyNumberFormat="1" applyAlignment="1" applyProtection="1">
      <alignment horizontal="center"/>
      <protection locked="0" hidden="1"/>
    </xf>
    <xf numFmtId="14" fontId="0" fillId="0" borderId="0" xfId="0" applyNumberForma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0" fillId="6" borderId="0" xfId="0" applyFill="1" applyProtection="1">
      <protection hidden="1"/>
    </xf>
    <xf numFmtId="0" fontId="0" fillId="0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164" fontId="0" fillId="3" borderId="1" xfId="1" applyNumberFormat="1" applyFont="1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164" fontId="0" fillId="7" borderId="1" xfId="1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5" borderId="0" xfId="0" applyFill="1" applyAlignment="1" applyProtection="1">
      <alignment horizontal="center"/>
      <protection locked="0" hidden="1"/>
    </xf>
    <xf numFmtId="0" fontId="2" fillId="2" borderId="0" xfId="0" applyFont="1" applyFill="1" applyAlignment="1" applyProtection="1">
      <alignment horizontal="center"/>
      <protection hidden="1"/>
    </xf>
  </cellXfs>
  <cellStyles count="3">
    <cellStyle name="Hiperlink" xfId="2" builtinId="8"/>
    <cellStyle name="Normal" xfId="0" builtinId="0"/>
    <cellStyle name="Porcentagem" xfId="1" builtinId="5"/>
  </cellStyles>
  <dxfs count="47"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protection locked="1" hidden="1"/>
    </dxf>
    <dxf>
      <protection hidden="1"/>
    </dxf>
    <dxf>
      <numFmt numFmtId="19" formatCode="dd/mm/yyyy"/>
      <alignment horizontal="center" vertical="bottom" textRotation="0" wrapText="0" indent="0" justifyLastLine="0" shrinkToFit="0" readingOrder="0"/>
      <protection locked="1" hidden="1"/>
    </dxf>
    <dxf>
      <numFmt numFmtId="19" formatCode="dd/mm/yyyy"/>
      <alignment horizontal="center" vertical="bottom" textRotation="0" wrapText="0" indent="0" justifyLastLine="0" shrinkToFit="0" readingOrder="0"/>
      <protection hidden="1"/>
    </dxf>
    <dxf>
      <numFmt numFmtId="19" formatCode="dd/mm/yyyy"/>
      <alignment horizontal="center" vertical="bottom" textRotation="0" wrapText="0" indent="0" justifyLastLine="0" shrinkToFit="0" readingOrder="0"/>
      <protection locked="1" hidden="1"/>
    </dxf>
    <dxf>
      <numFmt numFmtId="19" formatCode="dd/mm/yyyy"/>
      <alignment horizontal="center" vertical="bottom" textRotation="0" wrapText="0" indent="0" justifyLastLine="0" shrinkToFit="0" readingOrder="0"/>
      <protection hidden="1"/>
    </dxf>
    <dxf>
      <numFmt numFmtId="19" formatCode="dd/mm/yyyy"/>
      <alignment horizontal="center" vertical="bottom" textRotation="0" wrapText="0" indent="0" justifyLastLine="0" shrinkToFit="0" readingOrder="0"/>
      <protection locked="1" hidden="1"/>
    </dxf>
    <dxf>
      <numFmt numFmtId="19" formatCode="dd/mm/yyyy"/>
      <alignment horizontal="center" vertical="bottom" textRotation="0" wrapText="0" indent="0" justifyLastLine="0" shrinkToFit="0" readingOrder="0"/>
      <protection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hidden="1"/>
    </dxf>
    <dxf>
      <numFmt numFmtId="1" formatCode="0"/>
      <alignment horizontal="center" vertical="bottom" textRotation="0" wrapText="0" indent="0" justifyLastLine="0" shrinkToFit="0" readingOrder="0"/>
      <protection locked="1" hidden="1"/>
    </dxf>
    <dxf>
      <numFmt numFmtId="1" formatCode="0"/>
      <alignment horizontal="center" vertical="bottom" textRotation="0" wrapText="0" indent="0" justifyLastLine="0" shrinkToFit="0" readingOrder="0"/>
      <protection hidden="1"/>
    </dxf>
    <dxf>
      <numFmt numFmtId="1" formatCode="0"/>
      <alignment horizontal="center" vertical="bottom" textRotation="0" wrapText="0" indent="0" justifyLastLine="0" shrinkToFit="0" readingOrder="0"/>
      <protection locked="1" hidden="1"/>
    </dxf>
    <dxf>
      <numFmt numFmtId="1" formatCode="0"/>
      <alignment horizontal="center" vertical="bottom" textRotation="0" wrapText="0" indent="0" justifyLastLine="0" shrinkToFit="0" readingOrder="0"/>
      <protection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hidden="1"/>
    </dxf>
    <dxf>
      <protection hidden="1"/>
    </dxf>
    <dxf>
      <protection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radames.manosso.nom.br/bitabit" TargetMode="External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1</xdr:row>
      <xdr:rowOff>142075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6C55C4-2038-4F30-960C-38D93789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0"/>
          <a:ext cx="1152525" cy="45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</xdr:row>
          <xdr:rowOff>85725</xdr:rowOff>
        </xdr:from>
        <xdr:to>
          <xdr:col>4</xdr:col>
          <xdr:colOff>942975</xdr:colOff>
          <xdr:row>3</xdr:row>
          <xdr:rowOff>771525</xdr:rowOff>
        </xdr:to>
        <xdr:pic>
          <xdr:nvPicPr>
            <xdr:cNvPr id="12" name="Imagem 11" descr="http://s.glbimg.com/es/sde/f/equipes/2016/06/08/America-MG_65_YAXGu0v.png">
              <a:extLst>
                <a:ext uri="{FF2B5EF4-FFF2-40B4-BE49-F238E27FC236}">
                  <a16:creationId xmlns:a16="http://schemas.microsoft.com/office/drawing/2014/main" id="{FC5BEFE3-63D4-43DC-ACDD-0C19A3C202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mblemas" spid="_x0000_s21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90875" y="1038225"/>
              <a:ext cx="800100" cy="685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9525</xdr:colOff>
      <xdr:row>0</xdr:row>
      <xdr:rowOff>9526</xdr:rowOff>
    </xdr:from>
    <xdr:to>
      <xdr:col>1</xdr:col>
      <xdr:colOff>552450</xdr:colOff>
      <xdr:row>3</xdr:row>
      <xdr:rowOff>94451</xdr:rowOff>
    </xdr:to>
    <xdr:pic>
      <xdr:nvPicPr>
        <xdr:cNvPr id="2" name="Imagem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66D455-E368-4319-BBE3-0CF247241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6"/>
          <a:ext cx="1152525" cy="45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1</xdr:row>
      <xdr:rowOff>265900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62C91-704F-4AE4-9823-9898079BB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2525" cy="45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1</xdr:row>
      <xdr:rowOff>38100</xdr:rowOff>
    </xdr:from>
    <xdr:to>
      <xdr:col>16</xdr:col>
      <xdr:colOff>657225</xdr:colOff>
      <xdr:row>1</xdr:row>
      <xdr:rowOff>657225</xdr:rowOff>
    </xdr:to>
    <xdr:pic>
      <xdr:nvPicPr>
        <xdr:cNvPr id="16" name="Imagem 15" descr="http://s.glbimg.com/es/sde/f/equipes/2016/06/08/America-MG_65_YAXGu0v.png">
          <a:extLst>
            <a:ext uri="{FF2B5EF4-FFF2-40B4-BE49-F238E27FC236}">
              <a16:creationId xmlns:a16="http://schemas.microsoft.com/office/drawing/2014/main" id="{31739BFD-A03A-46B5-A21E-F3A90137F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175" y="2286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47625</xdr:colOff>
      <xdr:row>2</xdr:row>
      <xdr:rowOff>28575</xdr:rowOff>
    </xdr:from>
    <xdr:to>
      <xdr:col>16</xdr:col>
      <xdr:colOff>619125</xdr:colOff>
      <xdr:row>2</xdr:row>
      <xdr:rowOff>600075</xdr:rowOff>
    </xdr:to>
    <xdr:pic>
      <xdr:nvPicPr>
        <xdr:cNvPr id="18" name="Imagem 17" descr="http://s.glbimg.com/es/sde/f/equipes/2014/04/14/botafogo_60x60.png">
          <a:extLst>
            <a:ext uri="{FF2B5EF4-FFF2-40B4-BE49-F238E27FC236}">
              <a16:creationId xmlns:a16="http://schemas.microsoft.com/office/drawing/2014/main" id="{DACA0013-7178-40FE-87E6-78F8D553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9048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</xdr:colOff>
      <xdr:row>3</xdr:row>
      <xdr:rowOff>28575</xdr:rowOff>
    </xdr:from>
    <xdr:to>
      <xdr:col>16</xdr:col>
      <xdr:colOff>609600</xdr:colOff>
      <xdr:row>3</xdr:row>
      <xdr:rowOff>600075</xdr:rowOff>
    </xdr:to>
    <xdr:pic>
      <xdr:nvPicPr>
        <xdr:cNvPr id="19" name="Imagem 18" descr="http://s.glbimg.com/es/sde/f/equipes/2014/04/14/atletico_mg_60x60.png">
          <a:extLst>
            <a:ext uri="{FF2B5EF4-FFF2-40B4-BE49-F238E27FC236}">
              <a16:creationId xmlns:a16="http://schemas.microsoft.com/office/drawing/2014/main" id="{25FF0A21-E9CE-477A-ABF4-0E6067D5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175" y="1590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4</xdr:row>
      <xdr:rowOff>28575</xdr:rowOff>
    </xdr:from>
    <xdr:to>
      <xdr:col>16</xdr:col>
      <xdr:colOff>609600</xdr:colOff>
      <xdr:row>4</xdr:row>
      <xdr:rowOff>609600</xdr:rowOff>
    </xdr:to>
    <xdr:pic>
      <xdr:nvPicPr>
        <xdr:cNvPr id="21" name="Imagem 20" descr="http://s.glbimg.com/es/sde/f/equipes/2015/06/24/atletico-pr_2015_65.png">
          <a:extLst>
            <a:ext uri="{FF2B5EF4-FFF2-40B4-BE49-F238E27FC236}">
              <a16:creationId xmlns:a16="http://schemas.microsoft.com/office/drawing/2014/main" id="{D75EE261-6961-40E7-A053-89015F40A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227647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571500</xdr:colOff>
      <xdr:row>5</xdr:row>
      <xdr:rowOff>571500</xdr:rowOff>
    </xdr:to>
    <xdr:pic>
      <xdr:nvPicPr>
        <xdr:cNvPr id="23" name="Imagem 22" descr="http://s.glbimg.com/es/sde/f/equipes/2014/04/14/coritiba_60x60.png">
          <a:extLst>
            <a:ext uri="{FF2B5EF4-FFF2-40B4-BE49-F238E27FC236}">
              <a16:creationId xmlns:a16="http://schemas.microsoft.com/office/drawing/2014/main" id="{4C2A146F-AAD0-4AF8-8CE1-5812AE1B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933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619125</xdr:colOff>
      <xdr:row>6</xdr:row>
      <xdr:rowOff>619125</xdr:rowOff>
    </xdr:to>
    <xdr:pic>
      <xdr:nvPicPr>
        <xdr:cNvPr id="25" name="Imagem 24" descr="http://s.glbimg.com/es/sde/f/equipes/2015/08/03/Escudo-Chape-165.png">
          <a:extLst>
            <a:ext uri="{FF2B5EF4-FFF2-40B4-BE49-F238E27FC236}">
              <a16:creationId xmlns:a16="http://schemas.microsoft.com/office/drawing/2014/main" id="{21C4590C-6B9A-4989-A57D-EEB923CA6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36195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571500</xdr:colOff>
      <xdr:row>7</xdr:row>
      <xdr:rowOff>571500</xdr:rowOff>
    </xdr:to>
    <xdr:pic>
      <xdr:nvPicPr>
        <xdr:cNvPr id="27" name="Imagem 26" descr="http://s.glbimg.com/es/sde/f/equipes/2014/04/14/corinthians_60x60.png">
          <a:extLst>
            <a:ext uri="{FF2B5EF4-FFF2-40B4-BE49-F238E27FC236}">
              <a16:creationId xmlns:a16="http://schemas.microsoft.com/office/drawing/2014/main" id="{6BB949DD-7959-4CDA-84AA-598A3FA06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43053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619125</xdr:colOff>
      <xdr:row>8</xdr:row>
      <xdr:rowOff>619125</xdr:rowOff>
    </xdr:to>
    <xdr:pic>
      <xdr:nvPicPr>
        <xdr:cNvPr id="28" name="Imagem 27" descr="http://s.glbimg.com/es/sde/f/equipes/2015/04/29/cruzeiro_65.png">
          <a:extLst>
            <a:ext uri="{FF2B5EF4-FFF2-40B4-BE49-F238E27FC236}">
              <a16:creationId xmlns:a16="http://schemas.microsoft.com/office/drawing/2014/main" id="{07F83492-C077-4AFE-990E-E33747D38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49911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571500</xdr:colOff>
      <xdr:row>9</xdr:row>
      <xdr:rowOff>571500</xdr:rowOff>
    </xdr:to>
    <xdr:pic>
      <xdr:nvPicPr>
        <xdr:cNvPr id="30" name="Imagem 29" descr="http://s.glbimg.com/es/sde/f/equipes/2014/04/14/figueirense_60x60.png">
          <a:extLst>
            <a:ext uri="{FF2B5EF4-FFF2-40B4-BE49-F238E27FC236}">
              <a16:creationId xmlns:a16="http://schemas.microsoft.com/office/drawing/2014/main" id="{18D028B3-60DC-476E-A9B9-FAFB86981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56769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571500</xdr:colOff>
      <xdr:row>10</xdr:row>
      <xdr:rowOff>571500</xdr:rowOff>
    </xdr:to>
    <xdr:pic>
      <xdr:nvPicPr>
        <xdr:cNvPr id="32" name="Imagem 31" descr="http://s.glbimg.com/es/sde/f/equipes/2014/04/14/flamengo_60x60.png">
          <a:extLst>
            <a:ext uri="{FF2B5EF4-FFF2-40B4-BE49-F238E27FC236}">
              <a16:creationId xmlns:a16="http://schemas.microsoft.com/office/drawing/2014/main" id="{681659FF-A600-4938-84DD-3A5A0FDD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6362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571500</xdr:colOff>
      <xdr:row>11</xdr:row>
      <xdr:rowOff>571500</xdr:rowOff>
    </xdr:to>
    <xdr:pic>
      <xdr:nvPicPr>
        <xdr:cNvPr id="33" name="Imagem 32" descr="http://s.glbimg.com/es/sde/f/equipes/2015/07/21/fluminense_60x60.png">
          <a:extLst>
            <a:ext uri="{FF2B5EF4-FFF2-40B4-BE49-F238E27FC236}">
              <a16:creationId xmlns:a16="http://schemas.microsoft.com/office/drawing/2014/main" id="{B0A1D7EA-C260-4B25-BE93-21A3661A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7048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571500</xdr:colOff>
      <xdr:row>12</xdr:row>
      <xdr:rowOff>571500</xdr:rowOff>
    </xdr:to>
    <xdr:pic>
      <xdr:nvPicPr>
        <xdr:cNvPr id="35" name="Imagem 34" descr="http://s.glbimg.com/es/sde/f/equipes/2014/04/14/gremio_60x60.png">
          <a:extLst>
            <a:ext uri="{FF2B5EF4-FFF2-40B4-BE49-F238E27FC236}">
              <a16:creationId xmlns:a16="http://schemas.microsoft.com/office/drawing/2014/main" id="{E6E6FF79-49D4-4CB3-8D64-13CF3605C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77343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619125</xdr:colOff>
      <xdr:row>13</xdr:row>
      <xdr:rowOff>619125</xdr:rowOff>
    </xdr:to>
    <xdr:pic>
      <xdr:nvPicPr>
        <xdr:cNvPr id="37" name="Imagem 36" descr="http://s.glbimg.com/es/sde/f/equipes/2016/05/03/inter65.png">
          <a:extLst>
            <a:ext uri="{FF2B5EF4-FFF2-40B4-BE49-F238E27FC236}">
              <a16:creationId xmlns:a16="http://schemas.microsoft.com/office/drawing/2014/main" id="{07A0F6E9-C67E-45E6-9933-A400A9FF4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84201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571500</xdr:colOff>
      <xdr:row>14</xdr:row>
      <xdr:rowOff>571500</xdr:rowOff>
    </xdr:to>
    <xdr:pic>
      <xdr:nvPicPr>
        <xdr:cNvPr id="39" name="Imagem 38" descr="http://s.glbimg.com/es/sde/f/equipes/2014/04/14/palmeiras_60x60.png">
          <a:extLst>
            <a:ext uri="{FF2B5EF4-FFF2-40B4-BE49-F238E27FC236}">
              <a16:creationId xmlns:a16="http://schemas.microsoft.com/office/drawing/2014/main" id="{4BD01D3C-4B56-4FBD-85FE-733464A3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91059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571500</xdr:colOff>
      <xdr:row>15</xdr:row>
      <xdr:rowOff>571500</xdr:rowOff>
    </xdr:to>
    <xdr:pic>
      <xdr:nvPicPr>
        <xdr:cNvPr id="41" name="Imagem 40" descr="http://s.glbimg.com/es/sde/f/equipes/2014/04/14/ponte_preta_60x60.png">
          <a:extLst>
            <a:ext uri="{FF2B5EF4-FFF2-40B4-BE49-F238E27FC236}">
              <a16:creationId xmlns:a16="http://schemas.microsoft.com/office/drawing/2014/main" id="{45DE063A-5D66-490D-A001-4D41416AB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9791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571500</xdr:colOff>
      <xdr:row>16</xdr:row>
      <xdr:rowOff>571500</xdr:rowOff>
    </xdr:to>
    <xdr:pic>
      <xdr:nvPicPr>
        <xdr:cNvPr id="43" name="Imagem 42" descr="http://s.glbimg.com/es/sde/f/equipes/2014/04/14/santos_60x60.png">
          <a:extLst>
            <a:ext uri="{FF2B5EF4-FFF2-40B4-BE49-F238E27FC236}">
              <a16:creationId xmlns:a16="http://schemas.microsoft.com/office/drawing/2014/main" id="{2C32168D-A084-496A-977C-842622727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0477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571500</xdr:colOff>
      <xdr:row>17</xdr:row>
      <xdr:rowOff>571500</xdr:rowOff>
    </xdr:to>
    <xdr:pic>
      <xdr:nvPicPr>
        <xdr:cNvPr id="44" name="Imagem 43" descr="http://s.glbimg.com/es/sde/f/equipes/2014/04/14/sao_paulo_60x60.png">
          <a:extLst>
            <a:ext uri="{FF2B5EF4-FFF2-40B4-BE49-F238E27FC236}">
              <a16:creationId xmlns:a16="http://schemas.microsoft.com/office/drawing/2014/main" id="{FC32D617-4128-4D7E-A7E7-0C062DBF5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11633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571500</xdr:colOff>
      <xdr:row>18</xdr:row>
      <xdr:rowOff>619125</xdr:rowOff>
    </xdr:to>
    <xdr:pic>
      <xdr:nvPicPr>
        <xdr:cNvPr id="46" name="Imagem 45" descr="http://s.glbimg.com/es/sde/f/equipes/2015/07/21/sport65.png">
          <a:extLst>
            <a:ext uri="{FF2B5EF4-FFF2-40B4-BE49-F238E27FC236}">
              <a16:creationId xmlns:a16="http://schemas.microsoft.com/office/drawing/2014/main" id="{FC4DA526-87E4-4DE5-B476-DAADAB2F0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1849100"/>
          <a:ext cx="5715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19</xdr:row>
      <xdr:rowOff>0</xdr:rowOff>
    </xdr:from>
    <xdr:to>
      <xdr:col>16</xdr:col>
      <xdr:colOff>571500</xdr:colOff>
      <xdr:row>19</xdr:row>
      <xdr:rowOff>571500</xdr:rowOff>
    </xdr:to>
    <xdr:pic>
      <xdr:nvPicPr>
        <xdr:cNvPr id="48" name="Imagem 47" descr="http://s.glbimg.com/es/sde/f/organizacoes/2014/04/14/santa_cruz_60x60.png">
          <a:extLst>
            <a:ext uri="{FF2B5EF4-FFF2-40B4-BE49-F238E27FC236}">
              <a16:creationId xmlns:a16="http://schemas.microsoft.com/office/drawing/2014/main" id="{76C6A3CA-A9CE-4A33-A8BD-B04993D1A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25349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571500</xdr:colOff>
      <xdr:row>20</xdr:row>
      <xdr:rowOff>571500</xdr:rowOff>
    </xdr:to>
    <xdr:pic>
      <xdr:nvPicPr>
        <xdr:cNvPr id="50" name="Imagem 49" descr="http://s.glbimg.com/es/sde/f/equipes/2014/04/14/vitoria_60x60.png">
          <a:extLst>
            <a:ext uri="{FF2B5EF4-FFF2-40B4-BE49-F238E27FC236}">
              <a16:creationId xmlns:a16="http://schemas.microsoft.com/office/drawing/2014/main" id="{93B9C51B-0232-4D4F-B909-23236864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32207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78</xdr:row>
      <xdr:rowOff>0</xdr:rowOff>
    </xdr:from>
    <xdr:to>
      <xdr:col>0</xdr:col>
      <xdr:colOff>1152525</xdr:colOff>
      <xdr:row>79</xdr:row>
      <xdr:rowOff>18250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FD2127-ED5F-468F-95C9-A892E2F9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59000"/>
          <a:ext cx="1152525" cy="4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3:K23" totalsRowShown="0" headerRowDxfId="46" dataDxfId="45" tableBorderDxfId="44">
  <tableColumns count="11">
    <tableColumn id="1" name="Classificação" dataDxfId="43"/>
    <tableColumn id="2" name="Time" dataDxfId="42">
      <calculatedColumnFormula>VLOOKUP(A4,Dados!A$1:N$21,13,FALSE)</calculatedColumnFormula>
    </tableColumn>
    <tableColumn id="3" name="Pontos" dataDxfId="41">
      <calculatedColumnFormula>VLOOKUP(A4,Dados!A$1:N$21,3,FALSE)</calculatedColumnFormula>
    </tableColumn>
    <tableColumn id="4" name="Jogos" dataDxfId="40">
      <calculatedColumnFormula>VLOOKUP(A4,Dados!A$1:N$21,4,FALSE)</calculatedColumnFormula>
    </tableColumn>
    <tableColumn id="5" name="Vitórias" dataDxfId="39">
      <calculatedColumnFormula>VLOOKUP(A4,Dados!A$1:N$21,5,FALSE)</calculatedColumnFormula>
    </tableColumn>
    <tableColumn id="6" name="Empates" dataDxfId="38">
      <calculatedColumnFormula>VLOOKUP(A4,Dados!A$1:N$21,6,FALSE)</calculatedColumnFormula>
    </tableColumn>
    <tableColumn id="7" name="Derrotas" dataDxfId="37">
      <calculatedColumnFormula>VLOOKUP(A4,Dados!A$1:N$21,7,FALSE)</calculatedColumnFormula>
    </tableColumn>
    <tableColumn id="8" name="Gols pró" dataDxfId="36">
      <calculatedColumnFormula>VLOOKUP(A4,Dados!A$1:N$21,8,FALSE)</calculatedColumnFormula>
    </tableColumn>
    <tableColumn id="9" name="Gols contra" dataDxfId="35">
      <calculatedColumnFormula>VLOOKUP(A4,Dados!A$1:N$21,9,FALSE)</calculatedColumnFormula>
    </tableColumn>
    <tableColumn id="10" name="Saldo de gols" dataDxfId="34">
      <calculatedColumnFormula>VLOOKUP(A4,Dados!A$1:N$21,10,FALSE)</calculatedColumnFormula>
    </tableColumn>
    <tableColumn id="11" name="Aproveitamento" dataDxfId="33" dataCellStyle="Porcentagem">
      <calculatedColumnFormula>VLOOKUP(A4,Dados!A$1:N$21,11,FALSE)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O382" totalsRowCount="1" headerRowDxfId="32" dataDxfId="31" totalsRowDxfId="30">
  <autoFilter ref="A1:O381"/>
  <tableColumns count="15">
    <tableColumn id="1" name="Rodada" dataDxfId="29" totalsRowDxfId="28"/>
    <tableColumn id="2" name="Mandante" dataDxfId="27" totalsRowDxfId="26"/>
    <tableColumn id="6" name="Gols M" dataDxfId="25" totalsRowDxfId="24"/>
    <tableColumn id="7" name="Gols V" dataDxfId="23" totalsRowDxfId="22"/>
    <tableColumn id="8" name="Visitante" dataDxfId="21" totalsRowDxfId="20"/>
    <tableColumn id="23" name="Dia semana" dataDxfId="19" totalsRowDxfId="18"/>
    <tableColumn id="24" name="Data" dataDxfId="17" totalsRowDxfId="16"/>
    <tableColumn id="25" name="Hora" dataDxfId="15" totalsRowDxfId="14"/>
    <tableColumn id="14" name="Estádio" dataDxfId="13" totalsRowDxfId="12"/>
    <tableColumn id="17" name="Resultado M" dataDxfId="11" totalsRowDxfId="10">
      <calculatedColumnFormula>IF(Tabela2[[#This Row],[Gols M]]&lt;&gt;"",IF(Tabela2[[#This Row],[Gols M]]-Tabela2[[#This Row],[Gols V]]&gt;=0,IF(Tabela2[[#This Row],[Gols M]]-Tabela2[[#This Row],[Gols V]]&gt;0,"V","E"),"D"),"")</calculatedColumnFormula>
    </tableColumn>
    <tableColumn id="18" name="Resultado V" dataDxfId="9" totalsRowDxfId="8">
      <calculatedColumnFormula>IF(Tabela2[[#This Row],[Gols M]]&lt;&gt;"",IF(Tabela2[[#This Row],[Gols V]]-Tabela2[[#This Row],[Gols M]]&gt;=0,IF(Tabela2[[#This Row],[Gols V]]-Tabela2[[#This Row],[Gols M]]&gt;0,"V","E"),"D"),"")</calculatedColumnFormula>
    </tableColumn>
    <tableColumn id="3" name="Marcar time" dataDxfId="7" totalsRowDxfId="6">
      <calculatedColumnFormula>IF(OR('Por time'!E$2=Tabela2[[#This Row],[Mandante]], 'Por time'!E$2=Tabela2[[#This Row],[Visitante]]),1,0)</calculatedColumnFormula>
    </tableColumn>
    <tableColumn id="4" name="Rodada time" dataDxfId="5" totalsRowDxfId="4">
      <calculatedColumnFormula>Tabela2[[#This Row],[Marcar time]]+Tabela2[[#Headers],[Rodada time]]</calculatedColumnFormula>
    </tableColumn>
    <tableColumn id="5" name="SG partida" totalsRowFunction="max" dataDxfId="3" totalsRowDxfId="2">
      <calculatedColumnFormula>IMABS(Tabela2[[#This Row],[Gols M]]-Tabela2[[#This Row],[Gols V]])</calculatedColumnFormula>
    </tableColumn>
    <tableColumn id="9" name="Gols partida" totalsRowFunction="max" dataDxfId="1" totalsRowDxfId="0">
      <calculatedColumnFormula>Tabela2[[#This Row],[Gols M]]+Tabela2[[#This Row],[Gols 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.docs.live.net/112450e89b9b08ba/Imagens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.docs.live.net/112450e89b9b08ba/Imagens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.docs.live.net/112450e89b9b08ba/Imagen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radames.manosso.nom.br/bitab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radames.manosso.nom.br/bitab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opLeftCell="A4" zoomScaleNormal="100" workbookViewId="0">
      <selection activeCell="D13" sqref="D13"/>
    </sheetView>
  </sheetViews>
  <sheetFormatPr defaultRowHeight="15" x14ac:dyDescent="0.25"/>
  <cols>
    <col min="1" max="1" width="14.28515625" style="3" customWidth="1"/>
    <col min="2" max="2" width="14.42578125" style="3" customWidth="1"/>
    <col min="3" max="3" width="9.28515625" style="3" customWidth="1"/>
    <col min="4" max="4" width="9.140625" style="3"/>
    <col min="5" max="5" width="10" style="3" customWidth="1"/>
    <col min="6" max="7" width="10.7109375" style="3" customWidth="1"/>
    <col min="8" max="8" width="10.5703125" style="3" customWidth="1"/>
    <col min="9" max="9" width="13.140625" style="3" customWidth="1"/>
    <col min="10" max="10" width="14.7109375" style="3" customWidth="1"/>
    <col min="11" max="11" width="17.7109375" style="3" customWidth="1"/>
    <col min="12" max="16384" width="9.140625" style="3"/>
  </cols>
  <sheetData>
    <row r="1" spans="1:11" ht="24.75" customHeight="1" x14ac:dyDescent="0.3">
      <c r="C1" s="4" t="s">
        <v>232</v>
      </c>
    </row>
    <row r="3" spans="1:11" x14ac:dyDescent="0.25">
      <c r="A3" s="5" t="s">
        <v>119</v>
      </c>
      <c r="B3" s="5" t="s">
        <v>63</v>
      </c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6" t="s">
        <v>72</v>
      </c>
    </row>
    <row r="4" spans="1:11" x14ac:dyDescent="0.25">
      <c r="A4" s="7">
        <v>1</v>
      </c>
      <c r="B4" s="8" t="str">
        <f>VLOOKUP(A4,Dados!A$1:N$21,13,FALSE)</f>
        <v>Palmeiras</v>
      </c>
      <c r="C4" s="7">
        <f>VLOOKUP(A4,Dados!A$1:N$21,3,FALSE)</f>
        <v>80</v>
      </c>
      <c r="D4" s="7">
        <f>VLOOKUP(A4,Dados!A$1:N$21,4,FALSE)</f>
        <v>38</v>
      </c>
      <c r="E4" s="7">
        <f>VLOOKUP(A4,Dados!A$1:N$21,5,FALSE)</f>
        <v>24</v>
      </c>
      <c r="F4" s="7">
        <f>VLOOKUP(A4,Dados!A$1:N$21,6,FALSE)</f>
        <v>8</v>
      </c>
      <c r="G4" s="7">
        <f>VLOOKUP(A4,Dados!A$1:N$21,7,FALSE)</f>
        <v>6</v>
      </c>
      <c r="H4" s="7">
        <f>VLOOKUP(A4,Dados!A$1:N$21,8,FALSE)</f>
        <v>62</v>
      </c>
      <c r="I4" s="7">
        <f>VLOOKUP(A4,Dados!A$1:N$21,9,FALSE)</f>
        <v>32</v>
      </c>
      <c r="J4" s="7">
        <f>VLOOKUP(A4,Dados!A$1:N$21,10,FALSE)</f>
        <v>30</v>
      </c>
      <c r="K4" s="9">
        <f>VLOOKUP(A4,Dados!A$1:N$21,11,FALSE)</f>
        <v>0.70175438596491224</v>
      </c>
    </row>
    <row r="5" spans="1:11" x14ac:dyDescent="0.25">
      <c r="A5" s="7">
        <v>2</v>
      </c>
      <c r="B5" s="8" t="str">
        <f>VLOOKUP(A5,Dados!A$1:N$21,13,FALSE)</f>
        <v>Santos</v>
      </c>
      <c r="C5" s="7">
        <f>VLOOKUP(A5,Dados!A$1:N$21,3,FALSE)</f>
        <v>71</v>
      </c>
      <c r="D5" s="7">
        <f>VLOOKUP(A5,Dados!A$1:N$21,4,FALSE)</f>
        <v>38</v>
      </c>
      <c r="E5" s="7">
        <f>VLOOKUP(A5,Dados!A$1:N$21,5,FALSE)</f>
        <v>22</v>
      </c>
      <c r="F5" s="7">
        <f>VLOOKUP(A5,Dados!A$1:N$21,6,FALSE)</f>
        <v>5</v>
      </c>
      <c r="G5" s="7">
        <f>VLOOKUP(A5,Dados!A$1:N$21,7,FALSE)</f>
        <v>11</v>
      </c>
      <c r="H5" s="7">
        <f>VLOOKUP(A5,Dados!A$1:N$21,8,FALSE)</f>
        <v>59</v>
      </c>
      <c r="I5" s="7">
        <f>VLOOKUP(A5,Dados!A$1:N$21,9,FALSE)</f>
        <v>35</v>
      </c>
      <c r="J5" s="7">
        <f>VLOOKUP(A5,Dados!A$1:N$21,10,FALSE)</f>
        <v>24</v>
      </c>
      <c r="K5" s="9">
        <f>VLOOKUP(A5,Dados!A$1:N$21,11,FALSE)</f>
        <v>0.6228070175438597</v>
      </c>
    </row>
    <row r="6" spans="1:11" x14ac:dyDescent="0.25">
      <c r="A6" s="7">
        <v>3</v>
      </c>
      <c r="B6" s="8" t="str">
        <f>VLOOKUP(A6,Dados!A$1:N$21,13,FALSE)</f>
        <v>Flamengo</v>
      </c>
      <c r="C6" s="7">
        <f>VLOOKUP(A6,Dados!A$1:N$21,3,FALSE)</f>
        <v>71</v>
      </c>
      <c r="D6" s="7">
        <f>VLOOKUP(A6,Dados!A$1:N$21,4,FALSE)</f>
        <v>38</v>
      </c>
      <c r="E6" s="7">
        <f>VLOOKUP(A6,Dados!A$1:N$21,5,FALSE)</f>
        <v>20</v>
      </c>
      <c r="F6" s="7">
        <f>VLOOKUP(A6,Dados!A$1:N$21,6,FALSE)</f>
        <v>11</v>
      </c>
      <c r="G6" s="7">
        <f>VLOOKUP(A6,Dados!A$1:N$21,7,FALSE)</f>
        <v>7</v>
      </c>
      <c r="H6" s="7">
        <f>VLOOKUP(A6,Dados!A$1:N$21,8,FALSE)</f>
        <v>52</v>
      </c>
      <c r="I6" s="7">
        <f>VLOOKUP(A6,Dados!A$1:N$21,9,FALSE)</f>
        <v>35</v>
      </c>
      <c r="J6" s="7">
        <f>VLOOKUP(A6,Dados!A$1:N$21,10,FALSE)</f>
        <v>17</v>
      </c>
      <c r="K6" s="9">
        <f>VLOOKUP(A6,Dados!A$1:N$21,11,FALSE)</f>
        <v>0.6228070175438597</v>
      </c>
    </row>
    <row r="7" spans="1:11" x14ac:dyDescent="0.25">
      <c r="A7" s="7">
        <v>4</v>
      </c>
      <c r="B7" s="8" t="str">
        <f>VLOOKUP(A7,Dados!A$1:N$21,13,FALSE)</f>
        <v>Atlético-MG</v>
      </c>
      <c r="C7" s="7">
        <f>VLOOKUP(A7,Dados!A$1:N$21,3,FALSE)</f>
        <v>62</v>
      </c>
      <c r="D7" s="7">
        <f>VLOOKUP(A7,Dados!A$1:N$21,4,FALSE)</f>
        <v>37</v>
      </c>
      <c r="E7" s="7">
        <f>VLOOKUP(A7,Dados!A$1:N$21,5,FALSE)</f>
        <v>17</v>
      </c>
      <c r="F7" s="7">
        <f>VLOOKUP(A7,Dados!A$1:N$21,6,FALSE)</f>
        <v>11</v>
      </c>
      <c r="G7" s="7">
        <f>VLOOKUP(A7,Dados!A$1:N$21,7,FALSE)</f>
        <v>9</v>
      </c>
      <c r="H7" s="7">
        <f>VLOOKUP(A7,Dados!A$1:N$21,8,FALSE)</f>
        <v>61</v>
      </c>
      <c r="I7" s="7">
        <f>VLOOKUP(A7,Dados!A$1:N$21,9,FALSE)</f>
        <v>50</v>
      </c>
      <c r="J7" s="7">
        <f>VLOOKUP(A7,Dados!A$1:N$21,10,FALSE)</f>
        <v>11</v>
      </c>
      <c r="K7" s="9">
        <f>VLOOKUP(A7,Dados!A$1:N$21,11,FALSE)</f>
        <v>0.55855855855855852</v>
      </c>
    </row>
    <row r="8" spans="1:11" x14ac:dyDescent="0.25">
      <c r="A8" s="7">
        <v>5</v>
      </c>
      <c r="B8" s="8" t="str">
        <f>VLOOKUP(A8,Dados!A$1:N$21,13,FALSE)</f>
        <v>Botafogo</v>
      </c>
      <c r="C8" s="7">
        <f>VLOOKUP(A8,Dados!A$1:N$21,3,FALSE)</f>
        <v>59</v>
      </c>
      <c r="D8" s="7">
        <f>VLOOKUP(A8,Dados!A$1:N$21,4,FALSE)</f>
        <v>38</v>
      </c>
      <c r="E8" s="7">
        <f>VLOOKUP(A8,Dados!A$1:N$21,5,FALSE)</f>
        <v>17</v>
      </c>
      <c r="F8" s="7">
        <f>VLOOKUP(A8,Dados!A$1:N$21,6,FALSE)</f>
        <v>8</v>
      </c>
      <c r="G8" s="7">
        <f>VLOOKUP(A8,Dados!A$1:N$21,7,FALSE)</f>
        <v>13</v>
      </c>
      <c r="H8" s="7">
        <f>VLOOKUP(A8,Dados!A$1:N$21,8,FALSE)</f>
        <v>43</v>
      </c>
      <c r="I8" s="7">
        <f>VLOOKUP(A8,Dados!A$1:N$21,9,FALSE)</f>
        <v>39</v>
      </c>
      <c r="J8" s="7">
        <f>VLOOKUP(A8,Dados!A$1:N$21,10,FALSE)</f>
        <v>4</v>
      </c>
      <c r="K8" s="9">
        <f>VLOOKUP(A8,Dados!A$1:N$21,11,FALSE)</f>
        <v>0.51754385964912286</v>
      </c>
    </row>
    <row r="9" spans="1:11" x14ac:dyDescent="0.25">
      <c r="A9" s="7">
        <v>6</v>
      </c>
      <c r="B9" s="8" t="str">
        <f>VLOOKUP(A9,Dados!A$1:N$21,13,FALSE)</f>
        <v>Atlético-PR</v>
      </c>
      <c r="C9" s="7">
        <f>VLOOKUP(A9,Dados!A$1:N$21,3,FALSE)</f>
        <v>57</v>
      </c>
      <c r="D9" s="7">
        <f>VLOOKUP(A9,Dados!A$1:N$21,4,FALSE)</f>
        <v>38</v>
      </c>
      <c r="E9" s="7">
        <f>VLOOKUP(A9,Dados!A$1:N$21,5,FALSE)</f>
        <v>17</v>
      </c>
      <c r="F9" s="7">
        <f>VLOOKUP(A9,Dados!A$1:N$21,6,FALSE)</f>
        <v>6</v>
      </c>
      <c r="G9" s="7">
        <f>VLOOKUP(A9,Dados!A$1:N$21,7,FALSE)</f>
        <v>15</v>
      </c>
      <c r="H9" s="7">
        <f>VLOOKUP(A9,Dados!A$1:N$21,8,FALSE)</f>
        <v>38</v>
      </c>
      <c r="I9" s="7">
        <f>VLOOKUP(A9,Dados!A$1:N$21,9,FALSE)</f>
        <v>32</v>
      </c>
      <c r="J9" s="7">
        <f>VLOOKUP(A9,Dados!A$1:N$21,10,FALSE)</f>
        <v>6</v>
      </c>
      <c r="K9" s="9">
        <f>VLOOKUP(A9,Dados!A$1:N$21,11,FALSE)</f>
        <v>0.5</v>
      </c>
    </row>
    <row r="10" spans="1:11" x14ac:dyDescent="0.25">
      <c r="A10" s="7">
        <v>7</v>
      </c>
      <c r="B10" s="8" t="str">
        <f>VLOOKUP(A10,Dados!A$1:N$21,13,FALSE)</f>
        <v>Corinthians</v>
      </c>
      <c r="C10" s="7">
        <f>VLOOKUP(A10,Dados!A$1:N$21,3,FALSE)</f>
        <v>55</v>
      </c>
      <c r="D10" s="7">
        <f>VLOOKUP(A10,Dados!A$1:N$21,4,FALSE)</f>
        <v>38</v>
      </c>
      <c r="E10" s="7">
        <f>VLOOKUP(A10,Dados!A$1:N$21,5,FALSE)</f>
        <v>15</v>
      </c>
      <c r="F10" s="7">
        <f>VLOOKUP(A10,Dados!A$1:N$21,6,FALSE)</f>
        <v>10</v>
      </c>
      <c r="G10" s="7">
        <f>VLOOKUP(A10,Dados!A$1:N$21,7,FALSE)</f>
        <v>13</v>
      </c>
      <c r="H10" s="7">
        <f>VLOOKUP(A10,Dados!A$1:N$21,8,FALSE)</f>
        <v>48</v>
      </c>
      <c r="I10" s="7">
        <f>VLOOKUP(A10,Dados!A$1:N$21,9,FALSE)</f>
        <v>42</v>
      </c>
      <c r="J10" s="7">
        <f>VLOOKUP(A10,Dados!A$1:N$21,10,FALSE)</f>
        <v>6</v>
      </c>
      <c r="K10" s="9">
        <f>VLOOKUP(A10,Dados!A$1:N$21,11,FALSE)</f>
        <v>0.48245614035087719</v>
      </c>
    </row>
    <row r="11" spans="1:11" x14ac:dyDescent="0.25">
      <c r="A11" s="7">
        <v>8</v>
      </c>
      <c r="B11" s="8" t="str">
        <f>VLOOKUP(A11,Dados!A$1:N$21,13,FALSE)</f>
        <v>Ponte Preta</v>
      </c>
      <c r="C11" s="7">
        <f>VLOOKUP(A11,Dados!A$1:N$21,3,FALSE)</f>
        <v>53</v>
      </c>
      <c r="D11" s="7">
        <f>VLOOKUP(A11,Dados!A$1:N$21,4,FALSE)</f>
        <v>38</v>
      </c>
      <c r="E11" s="7">
        <f>VLOOKUP(A11,Dados!A$1:N$21,5,FALSE)</f>
        <v>15</v>
      </c>
      <c r="F11" s="7">
        <f>VLOOKUP(A11,Dados!A$1:N$21,6,FALSE)</f>
        <v>8</v>
      </c>
      <c r="G11" s="7">
        <f>VLOOKUP(A11,Dados!A$1:N$21,7,FALSE)</f>
        <v>15</v>
      </c>
      <c r="H11" s="7">
        <f>VLOOKUP(A11,Dados!A$1:N$21,8,FALSE)</f>
        <v>48</v>
      </c>
      <c r="I11" s="7">
        <f>VLOOKUP(A11,Dados!A$1:N$21,9,FALSE)</f>
        <v>52</v>
      </c>
      <c r="J11" s="7">
        <f>VLOOKUP(A11,Dados!A$1:N$21,10,FALSE)</f>
        <v>-4</v>
      </c>
      <c r="K11" s="9">
        <f>VLOOKUP(A11,Dados!A$1:N$21,11,FALSE)</f>
        <v>0.46491228070175439</v>
      </c>
    </row>
    <row r="12" spans="1:11" x14ac:dyDescent="0.25">
      <c r="A12" s="7">
        <v>9</v>
      </c>
      <c r="B12" s="8" t="str">
        <f>VLOOKUP(A12,Dados!A$1:N$21,13,FALSE)</f>
        <v>Grêmio</v>
      </c>
      <c r="C12" s="7">
        <f>VLOOKUP(A12,Dados!A$1:N$21,3,FALSE)</f>
        <v>53</v>
      </c>
      <c r="D12" s="7">
        <f>VLOOKUP(A12,Dados!A$1:N$21,4,FALSE)</f>
        <v>38</v>
      </c>
      <c r="E12" s="7">
        <f>VLOOKUP(A12,Dados!A$1:N$21,5,FALSE)</f>
        <v>14</v>
      </c>
      <c r="F12" s="7">
        <f>VLOOKUP(A12,Dados!A$1:N$21,6,FALSE)</f>
        <v>11</v>
      </c>
      <c r="G12" s="7">
        <f>VLOOKUP(A12,Dados!A$1:N$21,7,FALSE)</f>
        <v>13</v>
      </c>
      <c r="H12" s="7">
        <f>VLOOKUP(A12,Dados!A$1:N$21,8,FALSE)</f>
        <v>41</v>
      </c>
      <c r="I12" s="7">
        <f>VLOOKUP(A12,Dados!A$1:N$21,9,FALSE)</f>
        <v>44</v>
      </c>
      <c r="J12" s="7">
        <f>VLOOKUP(A12,Dados!A$1:N$21,10,FALSE)</f>
        <v>-3</v>
      </c>
      <c r="K12" s="9">
        <f>VLOOKUP(A12,Dados!A$1:N$21,11,FALSE)</f>
        <v>0.46491228070175439</v>
      </c>
    </row>
    <row r="13" spans="1:11" x14ac:dyDescent="0.25">
      <c r="A13" s="7">
        <v>10</v>
      </c>
      <c r="B13" s="8" t="str">
        <f>VLOOKUP(A13,Dados!A$1:N$21,13,FALSE)</f>
        <v>São Paulo</v>
      </c>
      <c r="C13" s="7">
        <f>VLOOKUP(A13,Dados!A$1:N$21,3,FALSE)</f>
        <v>52</v>
      </c>
      <c r="D13" s="7">
        <f>VLOOKUP(A13,Dados!A$1:N$21,4,FALSE)</f>
        <v>38</v>
      </c>
      <c r="E13" s="7">
        <f>VLOOKUP(A13,Dados!A$1:N$21,5,FALSE)</f>
        <v>14</v>
      </c>
      <c r="F13" s="7">
        <f>VLOOKUP(A13,Dados!A$1:N$21,6,FALSE)</f>
        <v>10</v>
      </c>
      <c r="G13" s="7">
        <f>VLOOKUP(A13,Dados!A$1:N$21,7,FALSE)</f>
        <v>14</v>
      </c>
      <c r="H13" s="7">
        <f>VLOOKUP(A13,Dados!A$1:N$21,8,FALSE)</f>
        <v>44</v>
      </c>
      <c r="I13" s="7">
        <f>VLOOKUP(A13,Dados!A$1:N$21,9,FALSE)</f>
        <v>36</v>
      </c>
      <c r="J13" s="7">
        <f>VLOOKUP(A13,Dados!A$1:N$21,10,FALSE)</f>
        <v>8</v>
      </c>
      <c r="K13" s="9">
        <f>VLOOKUP(A13,Dados!A$1:N$21,11,FALSE)</f>
        <v>0.45614035087719296</v>
      </c>
    </row>
    <row r="14" spans="1:11" x14ac:dyDescent="0.25">
      <c r="A14" s="7">
        <v>11</v>
      </c>
      <c r="B14" s="8" t="str">
        <f>VLOOKUP(A14,Dados!A$1:N$21,13,FALSE)</f>
        <v>Chapecoense</v>
      </c>
      <c r="C14" s="7">
        <f>VLOOKUP(A14,Dados!A$1:N$21,3,FALSE)</f>
        <v>52</v>
      </c>
      <c r="D14" s="7">
        <f>VLOOKUP(A14,Dados!A$1:N$21,4,FALSE)</f>
        <v>37</v>
      </c>
      <c r="E14" s="7">
        <f>VLOOKUP(A14,Dados!A$1:N$21,5,FALSE)</f>
        <v>13</v>
      </c>
      <c r="F14" s="7">
        <f>VLOOKUP(A14,Dados!A$1:N$21,6,FALSE)</f>
        <v>13</v>
      </c>
      <c r="G14" s="7">
        <f>VLOOKUP(A14,Dados!A$1:N$21,7,FALSE)</f>
        <v>11</v>
      </c>
      <c r="H14" s="7">
        <f>VLOOKUP(A14,Dados!A$1:N$21,8,FALSE)</f>
        <v>49</v>
      </c>
      <c r="I14" s="7">
        <f>VLOOKUP(A14,Dados!A$1:N$21,9,FALSE)</f>
        <v>53</v>
      </c>
      <c r="J14" s="7">
        <f>VLOOKUP(A14,Dados!A$1:N$21,10,FALSE)</f>
        <v>-4</v>
      </c>
      <c r="K14" s="9">
        <f>VLOOKUP(A14,Dados!A$1:N$21,11,FALSE)</f>
        <v>0.46846846846846846</v>
      </c>
    </row>
    <row r="15" spans="1:11" x14ac:dyDescent="0.25">
      <c r="A15" s="7">
        <v>12</v>
      </c>
      <c r="B15" s="8" t="str">
        <f>VLOOKUP(A15,Dados!A$1:N$21,13,FALSE)</f>
        <v>Cruzeiro</v>
      </c>
      <c r="C15" s="7">
        <f>VLOOKUP(A15,Dados!A$1:N$21,3,FALSE)</f>
        <v>51</v>
      </c>
      <c r="D15" s="7">
        <f>VLOOKUP(A15,Dados!A$1:N$21,4,FALSE)</f>
        <v>38</v>
      </c>
      <c r="E15" s="7">
        <f>VLOOKUP(A15,Dados!A$1:N$21,5,FALSE)</f>
        <v>14</v>
      </c>
      <c r="F15" s="7">
        <f>VLOOKUP(A15,Dados!A$1:N$21,6,FALSE)</f>
        <v>9</v>
      </c>
      <c r="G15" s="7">
        <f>VLOOKUP(A15,Dados!A$1:N$21,7,FALSE)</f>
        <v>15</v>
      </c>
      <c r="H15" s="7">
        <f>VLOOKUP(A15,Dados!A$1:N$21,8,FALSE)</f>
        <v>48</v>
      </c>
      <c r="I15" s="7">
        <f>VLOOKUP(A15,Dados!A$1:N$21,9,FALSE)</f>
        <v>49</v>
      </c>
      <c r="J15" s="7">
        <f>VLOOKUP(A15,Dados!A$1:N$21,10,FALSE)</f>
        <v>-1</v>
      </c>
      <c r="K15" s="9">
        <f>VLOOKUP(A15,Dados!A$1:N$21,11,FALSE)</f>
        <v>0.44736842105263158</v>
      </c>
    </row>
    <row r="16" spans="1:11" x14ac:dyDescent="0.25">
      <c r="A16" s="7">
        <v>13</v>
      </c>
      <c r="B16" s="8" t="str">
        <f>VLOOKUP(A16,Dados!A$1:N$21,13,FALSE)</f>
        <v>Fluminense</v>
      </c>
      <c r="C16" s="7">
        <f>VLOOKUP(A16,Dados!A$1:N$21,3,FALSE)</f>
        <v>50</v>
      </c>
      <c r="D16" s="7">
        <f>VLOOKUP(A16,Dados!A$1:N$21,4,FALSE)</f>
        <v>38</v>
      </c>
      <c r="E16" s="7">
        <f>VLOOKUP(A16,Dados!A$1:N$21,5,FALSE)</f>
        <v>13</v>
      </c>
      <c r="F16" s="7">
        <f>VLOOKUP(A16,Dados!A$1:N$21,6,FALSE)</f>
        <v>11</v>
      </c>
      <c r="G16" s="7">
        <f>VLOOKUP(A16,Dados!A$1:N$21,7,FALSE)</f>
        <v>14</v>
      </c>
      <c r="H16" s="7">
        <f>VLOOKUP(A16,Dados!A$1:N$21,8,FALSE)</f>
        <v>45</v>
      </c>
      <c r="I16" s="7">
        <f>VLOOKUP(A16,Dados!A$1:N$21,9,FALSE)</f>
        <v>45</v>
      </c>
      <c r="J16" s="7">
        <f>VLOOKUP(A16,Dados!A$1:N$21,10,FALSE)</f>
        <v>0</v>
      </c>
      <c r="K16" s="9">
        <f>VLOOKUP(A16,Dados!A$1:N$21,11,FALSE)</f>
        <v>0.43859649122807015</v>
      </c>
    </row>
    <row r="17" spans="1:11" x14ac:dyDescent="0.25">
      <c r="A17" s="7">
        <v>14</v>
      </c>
      <c r="B17" s="8" t="str">
        <f>VLOOKUP(A17,Dados!A$1:N$21,13,FALSE)</f>
        <v>Sport</v>
      </c>
      <c r="C17" s="7">
        <f>VLOOKUP(A17,Dados!A$1:N$21,3,FALSE)</f>
        <v>47</v>
      </c>
      <c r="D17" s="7">
        <f>VLOOKUP(A17,Dados!A$1:N$21,4,FALSE)</f>
        <v>38</v>
      </c>
      <c r="E17" s="7">
        <f>VLOOKUP(A17,Dados!A$1:N$21,5,FALSE)</f>
        <v>13</v>
      </c>
      <c r="F17" s="7">
        <f>VLOOKUP(A17,Dados!A$1:N$21,6,FALSE)</f>
        <v>8</v>
      </c>
      <c r="G17" s="7">
        <f>VLOOKUP(A17,Dados!A$1:N$21,7,FALSE)</f>
        <v>17</v>
      </c>
      <c r="H17" s="7">
        <f>VLOOKUP(A17,Dados!A$1:N$21,8,FALSE)</f>
        <v>49</v>
      </c>
      <c r="I17" s="7">
        <f>VLOOKUP(A17,Dados!A$1:N$21,9,FALSE)</f>
        <v>55</v>
      </c>
      <c r="J17" s="7">
        <f>VLOOKUP(A17,Dados!A$1:N$21,10,FALSE)</f>
        <v>-6</v>
      </c>
      <c r="K17" s="9">
        <f>VLOOKUP(A17,Dados!A$1:N$21,11,FALSE)</f>
        <v>0.41228070175438597</v>
      </c>
    </row>
    <row r="18" spans="1:11" x14ac:dyDescent="0.25">
      <c r="A18" s="7">
        <v>15</v>
      </c>
      <c r="B18" s="8" t="str">
        <f>VLOOKUP(A18,Dados!A$1:N$21,13,FALSE)</f>
        <v>Coritiba</v>
      </c>
      <c r="C18" s="7">
        <f>VLOOKUP(A18,Dados!A$1:N$21,3,FALSE)</f>
        <v>46</v>
      </c>
      <c r="D18" s="7">
        <f>VLOOKUP(A18,Dados!A$1:N$21,4,FALSE)</f>
        <v>38</v>
      </c>
      <c r="E18" s="7">
        <f>VLOOKUP(A18,Dados!A$1:N$21,5,FALSE)</f>
        <v>11</v>
      </c>
      <c r="F18" s="7">
        <f>VLOOKUP(A18,Dados!A$1:N$21,6,FALSE)</f>
        <v>13</v>
      </c>
      <c r="G18" s="7">
        <f>VLOOKUP(A18,Dados!A$1:N$21,7,FALSE)</f>
        <v>14</v>
      </c>
      <c r="H18" s="7">
        <f>VLOOKUP(A18,Dados!A$1:N$21,8,FALSE)</f>
        <v>41</v>
      </c>
      <c r="I18" s="7">
        <f>VLOOKUP(A18,Dados!A$1:N$21,9,FALSE)</f>
        <v>42</v>
      </c>
      <c r="J18" s="7">
        <f>VLOOKUP(A18,Dados!A$1:N$21,10,FALSE)</f>
        <v>-1</v>
      </c>
      <c r="K18" s="9">
        <f>VLOOKUP(A18,Dados!A$1:N$21,11,FALSE)</f>
        <v>0.40350877192982454</v>
      </c>
    </row>
    <row r="19" spans="1:11" x14ac:dyDescent="0.25">
      <c r="A19" s="7">
        <v>16</v>
      </c>
      <c r="B19" s="8" t="str">
        <f>VLOOKUP(A19,Dados!A$1:N$21,13,FALSE)</f>
        <v>Vitória</v>
      </c>
      <c r="C19" s="7">
        <f>VLOOKUP(A19,Dados!A$1:N$21,3,FALSE)</f>
        <v>45</v>
      </c>
      <c r="D19" s="7">
        <f>VLOOKUP(A19,Dados!A$1:N$21,4,FALSE)</f>
        <v>38</v>
      </c>
      <c r="E19" s="7">
        <f>VLOOKUP(A19,Dados!A$1:N$21,5,FALSE)</f>
        <v>12</v>
      </c>
      <c r="F19" s="7">
        <f>VLOOKUP(A19,Dados!A$1:N$21,6,FALSE)</f>
        <v>9</v>
      </c>
      <c r="G19" s="7">
        <f>VLOOKUP(A19,Dados!A$1:N$21,7,FALSE)</f>
        <v>17</v>
      </c>
      <c r="H19" s="7">
        <f>VLOOKUP(A19,Dados!A$1:N$21,8,FALSE)</f>
        <v>51</v>
      </c>
      <c r="I19" s="7">
        <f>VLOOKUP(A19,Dados!A$1:N$21,9,FALSE)</f>
        <v>53</v>
      </c>
      <c r="J19" s="7">
        <f>VLOOKUP(A19,Dados!A$1:N$21,10,FALSE)</f>
        <v>-2</v>
      </c>
      <c r="K19" s="9">
        <f>VLOOKUP(A19,Dados!A$1:N$21,11,FALSE)</f>
        <v>0.39473684210526316</v>
      </c>
    </row>
    <row r="20" spans="1:11" x14ac:dyDescent="0.25">
      <c r="A20" s="7">
        <v>17</v>
      </c>
      <c r="B20" s="8" t="str">
        <f>VLOOKUP(A20,Dados!A$1:N$21,13,FALSE)</f>
        <v>Internacional</v>
      </c>
      <c r="C20" s="7">
        <f>VLOOKUP(A20,Dados!A$1:N$21,3,FALSE)</f>
        <v>43</v>
      </c>
      <c r="D20" s="7">
        <f>VLOOKUP(A20,Dados!A$1:N$21,4,FALSE)</f>
        <v>38</v>
      </c>
      <c r="E20" s="7">
        <f>VLOOKUP(A20,Dados!A$1:N$21,5,FALSE)</f>
        <v>11</v>
      </c>
      <c r="F20" s="7">
        <f>VLOOKUP(A20,Dados!A$1:N$21,6,FALSE)</f>
        <v>10</v>
      </c>
      <c r="G20" s="7">
        <f>VLOOKUP(A20,Dados!A$1:N$21,7,FALSE)</f>
        <v>17</v>
      </c>
      <c r="H20" s="7">
        <f>VLOOKUP(A20,Dados!A$1:N$21,8,FALSE)</f>
        <v>35</v>
      </c>
      <c r="I20" s="7">
        <f>VLOOKUP(A20,Dados!A$1:N$21,9,FALSE)</f>
        <v>41</v>
      </c>
      <c r="J20" s="7">
        <f>VLOOKUP(A20,Dados!A$1:N$21,10,FALSE)</f>
        <v>-6</v>
      </c>
      <c r="K20" s="9">
        <f>VLOOKUP(A20,Dados!A$1:N$21,11,FALSE)</f>
        <v>0.37719298245614036</v>
      </c>
    </row>
    <row r="21" spans="1:11" x14ac:dyDescent="0.25">
      <c r="A21" s="7">
        <v>18</v>
      </c>
      <c r="B21" s="8" t="str">
        <f>VLOOKUP(A21,Dados!A$1:N$21,13,FALSE)</f>
        <v>Figueirense</v>
      </c>
      <c r="C21" s="7">
        <f>VLOOKUP(A21,Dados!A$1:N$21,3,FALSE)</f>
        <v>37</v>
      </c>
      <c r="D21" s="7">
        <f>VLOOKUP(A21,Dados!A$1:N$21,4,FALSE)</f>
        <v>38</v>
      </c>
      <c r="E21" s="7">
        <f>VLOOKUP(A21,Dados!A$1:N$21,5,FALSE)</f>
        <v>8</v>
      </c>
      <c r="F21" s="7">
        <f>VLOOKUP(A21,Dados!A$1:N$21,6,FALSE)</f>
        <v>13</v>
      </c>
      <c r="G21" s="7">
        <f>VLOOKUP(A21,Dados!A$1:N$21,7,FALSE)</f>
        <v>17</v>
      </c>
      <c r="H21" s="7">
        <f>VLOOKUP(A21,Dados!A$1:N$21,8,FALSE)</f>
        <v>30</v>
      </c>
      <c r="I21" s="7">
        <f>VLOOKUP(A21,Dados!A$1:N$21,9,FALSE)</f>
        <v>50</v>
      </c>
      <c r="J21" s="7">
        <f>VLOOKUP(A21,Dados!A$1:N$21,10,FALSE)</f>
        <v>-20</v>
      </c>
      <c r="K21" s="9">
        <f>VLOOKUP(A21,Dados!A$1:N$21,11,FALSE)</f>
        <v>0.32456140350877194</v>
      </c>
    </row>
    <row r="22" spans="1:11" x14ac:dyDescent="0.25">
      <c r="A22" s="7">
        <v>19</v>
      </c>
      <c r="B22" s="8" t="str">
        <f>VLOOKUP(A22,Dados!A$1:N$21,13,FALSE)</f>
        <v>Santa Cruz</v>
      </c>
      <c r="C22" s="7">
        <f>VLOOKUP(A22,Dados!A$1:N$21,3,FALSE)</f>
        <v>31</v>
      </c>
      <c r="D22" s="7">
        <f>VLOOKUP(A22,Dados!A$1:N$21,4,FALSE)</f>
        <v>38</v>
      </c>
      <c r="E22" s="7">
        <f>VLOOKUP(A22,Dados!A$1:N$21,5,FALSE)</f>
        <v>8</v>
      </c>
      <c r="F22" s="7">
        <f>VLOOKUP(A22,Dados!A$1:N$21,6,FALSE)</f>
        <v>7</v>
      </c>
      <c r="G22" s="7">
        <f>VLOOKUP(A22,Dados!A$1:N$21,7,FALSE)</f>
        <v>23</v>
      </c>
      <c r="H22" s="7">
        <f>VLOOKUP(A22,Dados!A$1:N$21,8,FALSE)</f>
        <v>45</v>
      </c>
      <c r="I22" s="7">
        <f>VLOOKUP(A22,Dados!A$1:N$21,9,FALSE)</f>
        <v>69</v>
      </c>
      <c r="J22" s="7">
        <f>VLOOKUP(A22,Dados!A$1:N$21,10,FALSE)</f>
        <v>-24</v>
      </c>
      <c r="K22" s="9">
        <f>VLOOKUP(A22,Dados!A$1:N$21,11,FALSE)</f>
        <v>0.27192982456140352</v>
      </c>
    </row>
    <row r="23" spans="1:11" x14ac:dyDescent="0.25">
      <c r="A23" s="10">
        <v>20</v>
      </c>
      <c r="B23" s="11" t="str">
        <f>VLOOKUP(A23,Dados!A$1:N$21,13,FALSE)</f>
        <v>América-MG</v>
      </c>
      <c r="C23" s="10">
        <f>VLOOKUP(A23,Dados!A$1:N$21,3,FALSE)</f>
        <v>28</v>
      </c>
      <c r="D23" s="10">
        <f>VLOOKUP(A23,Dados!A$1:N$21,4,FALSE)</f>
        <v>38</v>
      </c>
      <c r="E23" s="10">
        <f>VLOOKUP(A23,Dados!A$1:N$21,5,FALSE)</f>
        <v>7</v>
      </c>
      <c r="F23" s="10">
        <f>VLOOKUP(A23,Dados!A$1:N$21,6,FALSE)</f>
        <v>7</v>
      </c>
      <c r="G23" s="10">
        <f>VLOOKUP(A23,Dados!A$1:N$21,7,FALSE)</f>
        <v>24</v>
      </c>
      <c r="H23" s="10">
        <f>VLOOKUP(A23,Dados!A$1:N$21,8,FALSE)</f>
        <v>23</v>
      </c>
      <c r="I23" s="10">
        <f>VLOOKUP(A23,Dados!A$1:N$21,9,FALSE)</f>
        <v>58</v>
      </c>
      <c r="J23" s="10">
        <f>VLOOKUP(A23,Dados!A$1:N$21,10,FALSE)</f>
        <v>-35</v>
      </c>
      <c r="K23" s="9">
        <f>VLOOKUP(A23,Dados!A$1:N$21,11,FALSE)</f>
        <v>0.24561403508771928</v>
      </c>
    </row>
    <row r="25" spans="1:11" x14ac:dyDescent="0.25">
      <c r="A25" s="12" t="s">
        <v>228</v>
      </c>
    </row>
  </sheetData>
  <sheetProtection algorithmName="SHA-512" hashValue="bq40s70SHLWE5XxrLiduE3r+LnAsmb8E0lZ/mJ5egf3IhDT/nB3MS0CZz3+youv3lGoymOOO9wFSEVltOXY5bg==" saltValue="BTGYZ58JUo04UuOd++668g==" spinCount="100000" sheet="1" objects="1" scenarios="1"/>
  <hyperlinks>
    <hyperlink ref="A25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"/>
  <sheetViews>
    <sheetView showGridLines="0" topLeftCell="A31" zoomScaleNormal="100" workbookViewId="0">
      <selection activeCell="E2" sqref="E2"/>
    </sheetView>
  </sheetViews>
  <sheetFormatPr defaultRowHeight="15" x14ac:dyDescent="0.25"/>
  <cols>
    <col min="1" max="1" width="9.140625" style="3"/>
    <col min="2" max="2" width="10.140625" style="13" bestFit="1" customWidth="1"/>
    <col min="3" max="3" width="16.28515625" style="19" bestFit="1" customWidth="1"/>
    <col min="4" max="4" width="11.5703125" style="19" customWidth="1"/>
    <col min="5" max="5" width="15.5703125" style="19" customWidth="1"/>
    <col min="6" max="6" width="11.7109375" style="3" bestFit="1" customWidth="1"/>
    <col min="7" max="7" width="9.140625" style="3"/>
    <col min="8" max="8" width="10" style="3" bestFit="1" customWidth="1"/>
    <col min="9" max="9" width="4.85546875" style="3" customWidth="1"/>
    <col min="10" max="10" width="5.85546875" style="3" customWidth="1"/>
    <col min="11" max="16384" width="9.140625" style="3"/>
  </cols>
  <sheetData>
    <row r="1" spans="2:6" ht="6.75" customHeight="1" x14ac:dyDescent="0.25">
      <c r="C1" s="14"/>
      <c r="D1" s="15"/>
      <c r="E1" s="16"/>
      <c r="F1" s="16"/>
    </row>
    <row r="2" spans="2:6" x14ac:dyDescent="0.25">
      <c r="C2" s="14"/>
      <c r="D2" s="15" t="s">
        <v>150</v>
      </c>
      <c r="E2" s="59" t="s">
        <v>83</v>
      </c>
      <c r="F2" s="16"/>
    </row>
    <row r="3" spans="2:6" ht="7.5" customHeight="1" x14ac:dyDescent="0.25">
      <c r="C3" s="14"/>
      <c r="D3" s="15"/>
      <c r="E3" s="15"/>
      <c r="F3" s="16"/>
    </row>
    <row r="4" spans="2:6" ht="61.5" customHeight="1" x14ac:dyDescent="0.25">
      <c r="C4" s="17"/>
      <c r="D4" s="18" t="str">
        <f>INDEX(Dados!B$2:M$21,MATCH(E2,Dados!B$2:B$21,0),12)</f>
        <v>Atlético-PR</v>
      </c>
    </row>
    <row r="5" spans="2:6" ht="18.75" customHeight="1" x14ac:dyDescent="0.25">
      <c r="B5" s="18"/>
      <c r="C5" s="20" t="s">
        <v>229</v>
      </c>
      <c r="D5" s="21">
        <f>INDEX(Tabela1[],MATCH('Por time'!D4,Tabela1[Time],0),1)</f>
        <v>6</v>
      </c>
      <c r="E5" s="20"/>
      <c r="F5" s="20"/>
    </row>
    <row r="7" spans="2:6" x14ac:dyDescent="0.25">
      <c r="B7" s="22"/>
      <c r="C7" s="23"/>
      <c r="D7" s="23" t="s">
        <v>176</v>
      </c>
      <c r="E7" s="23" t="s">
        <v>161</v>
      </c>
      <c r="F7" s="23" t="s">
        <v>162</v>
      </c>
    </row>
    <row r="8" spans="2:6" x14ac:dyDescent="0.25">
      <c r="B8" s="22"/>
      <c r="C8" s="24" t="s">
        <v>151</v>
      </c>
      <c r="D8" s="7">
        <f>INDEX(Dados!B$2:M$21,MATCH(E$2,Dados!B$2:B$21,0),2)</f>
        <v>57</v>
      </c>
      <c r="E8" s="7">
        <f>E10*3 + E11</f>
        <v>48</v>
      </c>
      <c r="F8" s="7">
        <f>F10*3 + F11</f>
        <v>9</v>
      </c>
    </row>
    <row r="9" spans="2:6" x14ac:dyDescent="0.25">
      <c r="B9" s="22"/>
      <c r="C9" s="24" t="s">
        <v>152</v>
      </c>
      <c r="D9" s="7">
        <f>INDEX(Dados!B$2:M$21,MATCH(E$2,Dados!B$2:B$21,0),3)</f>
        <v>38</v>
      </c>
      <c r="E9" s="7">
        <f>COUNTIFS(Jogos!B$2:B$381,E$2,Jogos!C$2:C$381,"&lt;&gt;"&amp;"")</f>
        <v>19</v>
      </c>
      <c r="F9" s="7">
        <f>COUNTIFS(Jogos!E$2:E$381,E$2,Jogos!C$2:C$381,"&lt;&gt;"&amp;"")</f>
        <v>19</v>
      </c>
    </row>
    <row r="10" spans="2:6" x14ac:dyDescent="0.25">
      <c r="B10" s="22"/>
      <c r="C10" s="24" t="s">
        <v>153</v>
      </c>
      <c r="D10" s="7">
        <f>INDEX(Dados!B$2:M$21,MATCH(E$2,Dados!B$2:B$21,0),4)</f>
        <v>17</v>
      </c>
      <c r="E10" s="7">
        <f>COUNTIFS(Tabela2[Mandante],E2,Tabela2[Resultado M],"V")</f>
        <v>15</v>
      </c>
      <c r="F10" s="7">
        <f>COUNTIFS(Tabela2[Visitante],E2,Tabela2[Resultado V],"V")</f>
        <v>2</v>
      </c>
    </row>
    <row r="11" spans="2:6" x14ac:dyDescent="0.25">
      <c r="B11" s="22"/>
      <c r="C11" s="24" t="s">
        <v>154</v>
      </c>
      <c r="D11" s="7">
        <f>INDEX(Dados!B$2:M$21,MATCH(E$2,Dados!B$2:B$21,0),5)</f>
        <v>6</v>
      </c>
      <c r="E11" s="7">
        <f>COUNTIFS(Tabela2[Mandante],E2,Tabela2[Resultado M],"E")</f>
        <v>3</v>
      </c>
      <c r="F11" s="7">
        <f>COUNTIFS(Tabela2[Visitante],E2,Tabela2[Resultado V],"E")</f>
        <v>3</v>
      </c>
    </row>
    <row r="12" spans="2:6" x14ac:dyDescent="0.25">
      <c r="B12" s="22"/>
      <c r="C12" s="24" t="s">
        <v>155</v>
      </c>
      <c r="D12" s="7">
        <f>INDEX(Dados!B$2:M$21,MATCH(E$2,Dados!B$2:B$21,0),6)</f>
        <v>15</v>
      </c>
      <c r="E12" s="7">
        <f>COUNTIFS(Tabela2[Mandante],E2,Tabela2[Resultado M],"D")</f>
        <v>1</v>
      </c>
      <c r="F12" s="7">
        <f>COUNTIFS(Tabela2[Visitante],E2,Tabela2[Resultado V],"D")</f>
        <v>14</v>
      </c>
    </row>
    <row r="13" spans="2:6" x14ac:dyDescent="0.25">
      <c r="B13" s="22"/>
      <c r="C13" s="24" t="s">
        <v>156</v>
      </c>
      <c r="D13" s="7">
        <f>INDEX(Dados!B$2:M$21,MATCH(E$2,Dados!B$2:B$21,0),7)</f>
        <v>38</v>
      </c>
      <c r="E13" s="7">
        <f>SUMIF(Tabela2[Mandante],E2,Tabela2[Gols M])</f>
        <v>27</v>
      </c>
      <c r="F13" s="7">
        <f>SUMIF(Tabela2[Visitante],E2,Tabela2[Gols V])</f>
        <v>11</v>
      </c>
    </row>
    <row r="14" spans="2:6" x14ac:dyDescent="0.25">
      <c r="B14" s="22"/>
      <c r="C14" s="24" t="s">
        <v>157</v>
      </c>
      <c r="D14" s="7">
        <f>INDEX(Dados!B$2:M$21,MATCH(E$2,Dados!B$2:B$21,0),8)</f>
        <v>32</v>
      </c>
      <c r="E14" s="7">
        <f>SUMIF(Tabela2[Mandante],E2,Tabela2[Gols V])</f>
        <v>6</v>
      </c>
      <c r="F14" s="7">
        <f>SUMIF(Tabela2[Visitante],E2,Tabela2[Gols M])</f>
        <v>26</v>
      </c>
    </row>
    <row r="15" spans="2:6" x14ac:dyDescent="0.25">
      <c r="B15" s="22"/>
      <c r="C15" s="24" t="s">
        <v>158</v>
      </c>
      <c r="D15" s="7">
        <f>INDEX(Dados!B$2:M$21,MATCH(E$2,Dados!B$2:B$21,0),9)</f>
        <v>6</v>
      </c>
      <c r="E15" s="7">
        <f>E13-E14</f>
        <v>21</v>
      </c>
      <c r="F15" s="7">
        <f>F13-F14</f>
        <v>-15</v>
      </c>
    </row>
    <row r="16" spans="2:6" x14ac:dyDescent="0.25">
      <c r="B16" s="22"/>
      <c r="C16" s="24" t="s">
        <v>159</v>
      </c>
      <c r="D16" s="9">
        <f>INDEX(Dados!B$2:M$21,MATCH(E$2,Dados!B$2:B$21,0),10)</f>
        <v>0.5</v>
      </c>
      <c r="E16" s="9">
        <f>E8/(E9*3)</f>
        <v>0.84210526315789469</v>
      </c>
      <c r="F16" s="9">
        <f>F8/(F9*3)</f>
        <v>0.15789473684210525</v>
      </c>
    </row>
    <row r="18" spans="1:7" x14ac:dyDescent="0.25">
      <c r="A18" s="23" t="s">
        <v>54</v>
      </c>
      <c r="B18" s="23" t="s">
        <v>55</v>
      </c>
      <c r="C18" s="23"/>
      <c r="D18" s="23"/>
      <c r="E18" s="23" t="s">
        <v>175</v>
      </c>
      <c r="F18" s="23" t="s">
        <v>177</v>
      </c>
      <c r="G18" s="23" t="s">
        <v>64</v>
      </c>
    </row>
    <row r="19" spans="1:7" x14ac:dyDescent="0.25">
      <c r="A19" s="7">
        <v>1</v>
      </c>
      <c r="B19" s="7" t="str">
        <f>IFERROR(INDEX(Tabela2[],MATCH(A19,Tabela2[Rodada time],0),2),"")</f>
        <v>PAL</v>
      </c>
      <c r="C19" s="7">
        <f>IFERROR(IF(INDEX(Tabela2[],MATCH(A19,Tabela2[Rodada time],0),3)&lt;&gt;"",INDEX(Tabela2[],MATCH(A19,Tabela2[Rodada time],0),3),""),"")</f>
        <v>4</v>
      </c>
      <c r="D19" s="7">
        <f>IFERROR(IF(INDEX(Tabela2[],MATCH(A19,Tabela2[Rodada time],0),4)&lt;&gt;"",INDEX(Tabela2[],MATCH(A19,Tabela2[Rodada time],0),4),""),"")</f>
        <v>0</v>
      </c>
      <c r="E19" s="7" t="str">
        <f>IFERROR(INDEX(Tabela2[],MATCH(A19,Tabela2[Rodada time],0),5),"")</f>
        <v>CAP</v>
      </c>
      <c r="F19" s="7">
        <f t="shared" ref="F19:F56" si="0">IFERROR(IF(B19=E$2,C19-D19,D19-C19),"")</f>
        <v>-4</v>
      </c>
      <c r="G19" s="7">
        <f>IF(F19&lt;&gt;"",IF(F19&lt;&gt;0,IF(F19&gt;0,3,0),1),"")</f>
        <v>0</v>
      </c>
    </row>
    <row r="20" spans="1:7" x14ac:dyDescent="0.25">
      <c r="A20" s="7">
        <v>2</v>
      </c>
      <c r="B20" s="7" t="str">
        <f>IFERROR(INDEX(Tabela2[],MATCH(A20,Tabela2[Rodada time],0),2),"")</f>
        <v>CAP</v>
      </c>
      <c r="C20" s="7">
        <f>IFERROR(IF(INDEX(Tabela2[],MATCH(A20,Tabela2[Rodada time],0),3)&lt;&gt;"",INDEX(Tabela2[],MATCH(A20,Tabela2[Rodada time],0),3),""),"")</f>
        <v>1</v>
      </c>
      <c r="D20" s="7">
        <f>IFERROR(IF(INDEX(Tabela2[],MATCH(A20,Tabela2[Rodada time],0),4)&lt;&gt;"",INDEX(Tabela2[],MATCH(A20,Tabela2[Rodada time],0),4),""),"")</f>
        <v>1</v>
      </c>
      <c r="E20" s="7" t="str">
        <f>IFERROR(INDEX(Tabela2[],MATCH(A20,Tabela2[Rodada time],0),5),"")</f>
        <v>CAM</v>
      </c>
      <c r="F20" s="7">
        <f t="shared" si="0"/>
        <v>0</v>
      </c>
      <c r="G20" s="7">
        <f t="shared" ref="G20:G56" si="1">IF(F20&lt;&gt;"",IF(F20&lt;&gt;0,IF(F20&gt;0,3,0),1),"")</f>
        <v>1</v>
      </c>
    </row>
    <row r="21" spans="1:7" x14ac:dyDescent="0.25">
      <c r="A21" s="7">
        <v>3</v>
      </c>
      <c r="B21" s="7" t="str">
        <f>IFERROR(INDEX(Tabela2[],MATCH(A21,Tabela2[Rodada time],0),2),"")</f>
        <v>BOT</v>
      </c>
      <c r="C21" s="7">
        <f>IFERROR(IF(INDEX(Tabela2[],MATCH(A21,Tabela2[Rodada time],0),3)&lt;&gt;"",INDEX(Tabela2[],MATCH(A21,Tabela2[Rodada time],0),3),""),"")</f>
        <v>2</v>
      </c>
      <c r="D21" s="7">
        <f>IFERROR(IF(INDEX(Tabela2[],MATCH(A21,Tabela2[Rodada time],0),4)&lt;&gt;"",INDEX(Tabela2[],MATCH(A21,Tabela2[Rodada time],0),4),""),"")</f>
        <v>1</v>
      </c>
      <c r="E21" s="7" t="str">
        <f>IFERROR(INDEX(Tabela2[],MATCH(A21,Tabela2[Rodada time],0),5),"")</f>
        <v>CAP</v>
      </c>
      <c r="F21" s="7">
        <f t="shared" si="0"/>
        <v>-1</v>
      </c>
      <c r="G21" s="7">
        <f t="shared" si="1"/>
        <v>0</v>
      </c>
    </row>
    <row r="22" spans="1:7" x14ac:dyDescent="0.25">
      <c r="A22" s="7">
        <v>4</v>
      </c>
      <c r="B22" s="7" t="str">
        <f>IFERROR(INDEX(Tabela2[],MATCH(A22,Tabela2[Rodada time],0),2),"")</f>
        <v>CAP</v>
      </c>
      <c r="C22" s="7">
        <f>IFERROR(IF(INDEX(Tabela2[],MATCH(A22,Tabela2[Rodada time],0),3)&lt;&gt;"",INDEX(Tabela2[],MATCH(A22,Tabela2[Rodada time],0),3),""),"")</f>
        <v>2</v>
      </c>
      <c r="D22" s="7">
        <f>IFERROR(IF(INDEX(Tabela2[],MATCH(A22,Tabela2[Rodada time],0),4)&lt;&gt;"",INDEX(Tabela2[],MATCH(A22,Tabela2[Rodada time],0),4),""),"")</f>
        <v>1</v>
      </c>
      <c r="E22" s="7" t="str">
        <f>IFERROR(INDEX(Tabela2[],MATCH(A22,Tabela2[Rodada time],0),5),"")</f>
        <v>FIG</v>
      </c>
      <c r="F22" s="7">
        <f t="shared" si="0"/>
        <v>1</v>
      </c>
      <c r="G22" s="7">
        <f t="shared" si="1"/>
        <v>3</v>
      </c>
    </row>
    <row r="23" spans="1:7" x14ac:dyDescent="0.25">
      <c r="A23" s="7">
        <v>5</v>
      </c>
      <c r="B23" s="7" t="str">
        <f>IFERROR(INDEX(Tabela2[],MATCH(A23,Tabela2[Rodada time],0),2),"")</f>
        <v>INT</v>
      </c>
      <c r="C23" s="7">
        <f>IFERROR(IF(INDEX(Tabela2[],MATCH(A23,Tabela2[Rodada time],0),3)&lt;&gt;"",INDEX(Tabela2[],MATCH(A23,Tabela2[Rodada time],0),3),""),"")</f>
        <v>1</v>
      </c>
      <c r="D23" s="7">
        <f>IFERROR(IF(INDEX(Tabela2[],MATCH(A23,Tabela2[Rodada time],0),4)&lt;&gt;"",INDEX(Tabela2[],MATCH(A23,Tabela2[Rodada time],0),4),""),"")</f>
        <v>0</v>
      </c>
      <c r="E23" s="7" t="str">
        <f>IFERROR(INDEX(Tabela2[],MATCH(A23,Tabela2[Rodada time],0),5),"")</f>
        <v>CAP</v>
      </c>
      <c r="F23" s="7">
        <f t="shared" si="0"/>
        <v>-1</v>
      </c>
      <c r="G23" s="7">
        <f t="shared" si="1"/>
        <v>0</v>
      </c>
    </row>
    <row r="24" spans="1:7" x14ac:dyDescent="0.25">
      <c r="A24" s="7">
        <v>6</v>
      </c>
      <c r="B24" s="7" t="str">
        <f>IFERROR(INDEX(Tabela2[],MATCH(A24,Tabela2[Rodada time],0),2),"")</f>
        <v>CAP</v>
      </c>
      <c r="C24" s="7">
        <f>IFERROR(IF(INDEX(Tabela2[],MATCH(A24,Tabela2[Rodada time],0),3)&lt;&gt;"",INDEX(Tabela2[],MATCH(A24,Tabela2[Rodada time],0),3),""),"")</f>
        <v>1</v>
      </c>
      <c r="D24" s="7">
        <f>IFERROR(IF(INDEX(Tabela2[],MATCH(A24,Tabela2[Rodada time],0),4)&lt;&gt;"",INDEX(Tabela2[],MATCH(A24,Tabela2[Rodada time],0),4),""),"")</f>
        <v>0</v>
      </c>
      <c r="E24" s="7" t="str">
        <f>IFERROR(INDEX(Tabela2[],MATCH(A24,Tabela2[Rodada time],0),5),"")</f>
        <v>STC</v>
      </c>
      <c r="F24" s="7">
        <f t="shared" si="0"/>
        <v>1</v>
      </c>
      <c r="G24" s="7">
        <f t="shared" si="1"/>
        <v>3</v>
      </c>
    </row>
    <row r="25" spans="1:7" x14ac:dyDescent="0.25">
      <c r="A25" s="7">
        <v>7</v>
      </c>
      <c r="B25" s="7" t="str">
        <f>IFERROR(INDEX(Tabela2[],MATCH(A25,Tabela2[Rodada time],0),2),"")</f>
        <v>SAO</v>
      </c>
      <c r="C25" s="7">
        <f>IFERROR(IF(INDEX(Tabela2[],MATCH(A25,Tabela2[Rodada time],0),3)&lt;&gt;"",INDEX(Tabela2[],MATCH(A25,Tabela2[Rodada time],0),3),""),"")</f>
        <v>1</v>
      </c>
      <c r="D25" s="7">
        <f>IFERROR(IF(INDEX(Tabela2[],MATCH(A25,Tabela2[Rodada time],0),4)&lt;&gt;"",INDEX(Tabela2[],MATCH(A25,Tabela2[Rodada time],0),4),""),"")</f>
        <v>2</v>
      </c>
      <c r="E25" s="7" t="str">
        <f>IFERROR(INDEX(Tabela2[],MATCH(A25,Tabela2[Rodada time],0),5),"")</f>
        <v>CAP</v>
      </c>
      <c r="F25" s="7">
        <f t="shared" si="0"/>
        <v>1</v>
      </c>
      <c r="G25" s="7">
        <f t="shared" si="1"/>
        <v>3</v>
      </c>
    </row>
    <row r="26" spans="1:7" x14ac:dyDescent="0.25">
      <c r="A26" s="7">
        <v>8</v>
      </c>
      <c r="B26" s="7" t="str">
        <f>IFERROR(INDEX(Tabela2[],MATCH(A26,Tabela2[Rodada time],0),2),"")</f>
        <v>PON</v>
      </c>
      <c r="C26" s="7">
        <f>IFERROR(IF(INDEX(Tabela2[],MATCH(A26,Tabela2[Rodada time],0),3)&lt;&gt;"",INDEX(Tabela2[],MATCH(A26,Tabela2[Rodada time],0),3),""),"")</f>
        <v>3</v>
      </c>
      <c r="D26" s="7">
        <f>IFERROR(IF(INDEX(Tabela2[],MATCH(A26,Tabela2[Rodada time],0),4)&lt;&gt;"",INDEX(Tabela2[],MATCH(A26,Tabela2[Rodada time],0),4),""),"")</f>
        <v>2</v>
      </c>
      <c r="E26" s="7" t="str">
        <f>IFERROR(INDEX(Tabela2[],MATCH(A26,Tabela2[Rodada time],0),5),"")</f>
        <v>CAP</v>
      </c>
      <c r="F26" s="7">
        <f t="shared" si="0"/>
        <v>-1</v>
      </c>
      <c r="G26" s="7">
        <f t="shared" si="1"/>
        <v>0</v>
      </c>
    </row>
    <row r="27" spans="1:7" x14ac:dyDescent="0.25">
      <c r="A27" s="7">
        <v>9</v>
      </c>
      <c r="B27" s="7" t="str">
        <f>IFERROR(INDEX(Tabela2[],MATCH(A27,Tabela2[Rodada time],0),2),"")</f>
        <v>CAP</v>
      </c>
      <c r="C27" s="7">
        <f>IFERROR(IF(INDEX(Tabela2[],MATCH(A27,Tabela2[Rodada time],0),3)&lt;&gt;"",INDEX(Tabela2[],MATCH(A27,Tabela2[Rodada time],0),3),""),"")</f>
        <v>1</v>
      </c>
      <c r="D27" s="7">
        <f>IFERROR(IF(INDEX(Tabela2[],MATCH(A27,Tabela2[Rodada time],0),4)&lt;&gt;"",INDEX(Tabela2[],MATCH(A27,Tabela2[Rodada time],0),4),""),"")</f>
        <v>0</v>
      </c>
      <c r="E27" s="7" t="str">
        <f>IFERROR(INDEX(Tabela2[],MATCH(A27,Tabela2[Rodada time],0),5),"")</f>
        <v>SAN</v>
      </c>
      <c r="F27" s="7">
        <f t="shared" si="0"/>
        <v>1</v>
      </c>
      <c r="G27" s="7">
        <f t="shared" si="1"/>
        <v>3</v>
      </c>
    </row>
    <row r="28" spans="1:7" x14ac:dyDescent="0.25">
      <c r="A28" s="7">
        <v>10</v>
      </c>
      <c r="B28" s="7" t="str">
        <f>IFERROR(INDEX(Tabela2[],MATCH(A28,Tabela2[Rodada time],0),2),"")</f>
        <v>CHA</v>
      </c>
      <c r="C28" s="7">
        <f>IFERROR(IF(INDEX(Tabela2[],MATCH(A28,Tabela2[Rodada time],0),3)&lt;&gt;"",INDEX(Tabela2[],MATCH(A28,Tabela2[Rodada time],0),3),""),"")</f>
        <v>0</v>
      </c>
      <c r="D28" s="7">
        <f>IFERROR(IF(INDEX(Tabela2[],MATCH(A28,Tabela2[Rodada time],0),4)&lt;&gt;"",INDEX(Tabela2[],MATCH(A28,Tabela2[Rodada time],0),4),""),"")</f>
        <v>0</v>
      </c>
      <c r="E28" s="7" t="str">
        <f>IFERROR(INDEX(Tabela2[],MATCH(A28,Tabela2[Rodada time],0),5),"")</f>
        <v>CAP</v>
      </c>
      <c r="F28" s="7">
        <f t="shared" si="0"/>
        <v>0</v>
      </c>
      <c r="G28" s="7">
        <f t="shared" si="1"/>
        <v>1</v>
      </c>
    </row>
    <row r="29" spans="1:7" x14ac:dyDescent="0.25">
      <c r="A29" s="7">
        <v>11</v>
      </c>
      <c r="B29" s="7" t="str">
        <f>IFERROR(INDEX(Tabela2[],MATCH(A29,Tabela2[Rodada time],0),2),"")</f>
        <v>CAP</v>
      </c>
      <c r="C29" s="7">
        <f>IFERROR(IF(INDEX(Tabela2[],MATCH(A29,Tabela2[Rodada time],0),3)&lt;&gt;"",INDEX(Tabela2[],MATCH(A29,Tabela2[Rodada time],0),3),""),"")</f>
        <v>2</v>
      </c>
      <c r="D29" s="7">
        <f>IFERROR(IF(INDEX(Tabela2[],MATCH(A29,Tabela2[Rodada time],0),4)&lt;&gt;"",INDEX(Tabela2[],MATCH(A29,Tabela2[Rodada time],0),4),""),"")</f>
        <v>0</v>
      </c>
      <c r="E29" s="7" t="str">
        <f>IFERROR(INDEX(Tabela2[],MATCH(A29,Tabela2[Rodada time],0),5),"")</f>
        <v>GRE</v>
      </c>
      <c r="F29" s="7">
        <f t="shared" si="0"/>
        <v>2</v>
      </c>
      <c r="G29" s="7">
        <f t="shared" si="1"/>
        <v>3</v>
      </c>
    </row>
    <row r="30" spans="1:7" x14ac:dyDescent="0.25">
      <c r="A30" s="7">
        <v>12</v>
      </c>
      <c r="B30" s="7" t="str">
        <f>IFERROR(INDEX(Tabela2[],MATCH(A30,Tabela2[Rodada time],0),2),"")</f>
        <v>CFC</v>
      </c>
      <c r="C30" s="7">
        <f>IFERROR(IF(INDEX(Tabela2[],MATCH(A30,Tabela2[Rodada time],0),3)&lt;&gt;"",INDEX(Tabela2[],MATCH(A30,Tabela2[Rodada time],0),3),""),"")</f>
        <v>1</v>
      </c>
      <c r="D30" s="7">
        <f>IFERROR(IF(INDEX(Tabela2[],MATCH(A30,Tabela2[Rodada time],0),4)&lt;&gt;"",INDEX(Tabela2[],MATCH(A30,Tabela2[Rodada time],0),4),""),"")</f>
        <v>0</v>
      </c>
      <c r="E30" s="7" t="str">
        <f>IFERROR(INDEX(Tabela2[],MATCH(A30,Tabela2[Rodada time],0),5),"")</f>
        <v>CAP</v>
      </c>
      <c r="F30" s="7">
        <f t="shared" si="0"/>
        <v>-1</v>
      </c>
      <c r="G30" s="7">
        <f t="shared" si="1"/>
        <v>0</v>
      </c>
    </row>
    <row r="31" spans="1:7" x14ac:dyDescent="0.25">
      <c r="A31" s="7">
        <v>13</v>
      </c>
      <c r="B31" s="7" t="str">
        <f>IFERROR(INDEX(Tabela2[],MATCH(A31,Tabela2[Rodada time],0),2),"")</f>
        <v>CAP</v>
      </c>
      <c r="C31" s="7">
        <f>IFERROR(IF(INDEX(Tabela2[],MATCH(A31,Tabela2[Rodada time],0),3)&lt;&gt;"",INDEX(Tabela2[],MATCH(A31,Tabela2[Rodada time],0),3),""),"")</f>
        <v>1</v>
      </c>
      <c r="D31" s="7">
        <f>IFERROR(IF(INDEX(Tabela2[],MATCH(A31,Tabela2[Rodada time],0),4)&lt;&gt;"",INDEX(Tabela2[],MATCH(A31,Tabela2[Rodada time],0),4),""),"")</f>
        <v>0</v>
      </c>
      <c r="E31" s="7" t="str">
        <f>IFERROR(INDEX(Tabela2[],MATCH(A31,Tabela2[Rodada time],0),5),"")</f>
        <v>AMG</v>
      </c>
      <c r="F31" s="7">
        <f t="shared" si="0"/>
        <v>1</v>
      </c>
      <c r="G31" s="7">
        <f t="shared" si="1"/>
        <v>3</v>
      </c>
    </row>
    <row r="32" spans="1:7" x14ac:dyDescent="0.25">
      <c r="A32" s="7">
        <v>14</v>
      </c>
      <c r="B32" s="7" t="str">
        <f>IFERROR(INDEX(Tabela2[],MATCH(A32,Tabela2[Rodada time],0),2),"")</f>
        <v>CRU</v>
      </c>
      <c r="C32" s="7">
        <f>IFERROR(IF(INDEX(Tabela2[],MATCH(A32,Tabela2[Rodada time],0),3)&lt;&gt;"",INDEX(Tabela2[],MATCH(A32,Tabela2[Rodada time],0),3),""),"")</f>
        <v>0</v>
      </c>
      <c r="D32" s="7">
        <f>IFERROR(IF(INDEX(Tabela2[],MATCH(A32,Tabela2[Rodada time],0),4)&lt;&gt;"",INDEX(Tabela2[],MATCH(A32,Tabela2[Rodada time],0),4),""),"")</f>
        <v>3</v>
      </c>
      <c r="E32" s="7" t="str">
        <f>IFERROR(INDEX(Tabela2[],MATCH(A32,Tabela2[Rodada time],0),5),"")</f>
        <v>CAP</v>
      </c>
      <c r="F32" s="7">
        <f t="shared" si="0"/>
        <v>3</v>
      </c>
      <c r="G32" s="7">
        <f t="shared" si="1"/>
        <v>3</v>
      </c>
    </row>
    <row r="33" spans="1:7" x14ac:dyDescent="0.25">
      <c r="A33" s="7">
        <v>15</v>
      </c>
      <c r="B33" s="7" t="str">
        <f>IFERROR(INDEX(Tabela2[],MATCH(A33,Tabela2[Rodada time],0),2),"")</f>
        <v>CAP</v>
      </c>
      <c r="C33" s="7">
        <f>IFERROR(IF(INDEX(Tabela2[],MATCH(A33,Tabela2[Rodada time],0),3)&lt;&gt;"",INDEX(Tabela2[],MATCH(A33,Tabela2[Rodada time],0),3),""),"")</f>
        <v>1</v>
      </c>
      <c r="D33" s="7">
        <f>IFERROR(IF(INDEX(Tabela2[],MATCH(A33,Tabela2[Rodada time],0),4)&lt;&gt;"",INDEX(Tabela2[],MATCH(A33,Tabela2[Rodada time],0),4),""),"")</f>
        <v>1</v>
      </c>
      <c r="E33" s="7" t="str">
        <f>IFERROR(INDEX(Tabela2[],MATCH(A33,Tabela2[Rodada time],0),5),"")</f>
        <v>VIT</v>
      </c>
      <c r="F33" s="7">
        <f t="shared" si="0"/>
        <v>0</v>
      </c>
      <c r="G33" s="7">
        <f t="shared" si="1"/>
        <v>1</v>
      </c>
    </row>
    <row r="34" spans="1:7" x14ac:dyDescent="0.25">
      <c r="A34" s="7">
        <v>16</v>
      </c>
      <c r="B34" s="7" t="str">
        <f>IFERROR(INDEX(Tabela2[],MATCH(A34,Tabela2[Rodada time],0),2),"")</f>
        <v>CAP</v>
      </c>
      <c r="C34" s="7">
        <f>IFERROR(IF(INDEX(Tabela2[],MATCH(A34,Tabela2[Rodada time],0),3)&lt;&gt;"",INDEX(Tabela2[],MATCH(A34,Tabela2[Rodada time],0),3),""),"")</f>
        <v>1</v>
      </c>
      <c r="D34" s="7">
        <f>IFERROR(IF(INDEX(Tabela2[],MATCH(A34,Tabela2[Rodada time],0),4)&lt;&gt;"",INDEX(Tabela2[],MATCH(A34,Tabela2[Rodada time],0),4),""),"")</f>
        <v>0</v>
      </c>
      <c r="E34" s="7" t="str">
        <f>IFERROR(INDEX(Tabela2[],MATCH(A34,Tabela2[Rodada time],0),5),"")</f>
        <v>FLU</v>
      </c>
      <c r="F34" s="7">
        <f t="shared" si="0"/>
        <v>1</v>
      </c>
      <c r="G34" s="7">
        <f t="shared" si="1"/>
        <v>3</v>
      </c>
    </row>
    <row r="35" spans="1:7" x14ac:dyDescent="0.25">
      <c r="A35" s="7">
        <v>17</v>
      </c>
      <c r="B35" s="7" t="str">
        <f>IFERROR(INDEX(Tabela2[],MATCH(A35,Tabela2[Rodada time],0),2),"")</f>
        <v>SPT</v>
      </c>
      <c r="C35" s="7">
        <f>IFERROR(IF(INDEX(Tabela2[],MATCH(A35,Tabela2[Rodada time],0),3)&lt;&gt;"",INDEX(Tabela2[],MATCH(A35,Tabela2[Rodada time],0),3),""),"")</f>
        <v>2</v>
      </c>
      <c r="D35" s="7">
        <f>IFERROR(IF(INDEX(Tabela2[],MATCH(A35,Tabela2[Rodada time],0),4)&lt;&gt;"",INDEX(Tabela2[],MATCH(A35,Tabela2[Rodada time],0),4),""),"")</f>
        <v>0</v>
      </c>
      <c r="E35" s="7" t="str">
        <f>IFERROR(INDEX(Tabela2[],MATCH(A35,Tabela2[Rodada time],0),5),"")</f>
        <v>CAP</v>
      </c>
      <c r="F35" s="7">
        <f t="shared" si="0"/>
        <v>-2</v>
      </c>
      <c r="G35" s="7">
        <f t="shared" si="1"/>
        <v>0</v>
      </c>
    </row>
    <row r="36" spans="1:7" x14ac:dyDescent="0.25">
      <c r="A36" s="7">
        <v>18</v>
      </c>
      <c r="B36" s="7" t="str">
        <f>IFERROR(INDEX(Tabela2[],MATCH(A36,Tabela2[Rodada time],0),2),"")</f>
        <v>CAP</v>
      </c>
      <c r="C36" s="7">
        <f>IFERROR(IF(INDEX(Tabela2[],MATCH(A36,Tabela2[Rodada time],0),3)&lt;&gt;"",INDEX(Tabela2[],MATCH(A36,Tabela2[Rodada time],0),3),""),"")</f>
        <v>2</v>
      </c>
      <c r="D36" s="7">
        <f>IFERROR(IF(INDEX(Tabela2[],MATCH(A36,Tabela2[Rodada time],0),4)&lt;&gt;"",INDEX(Tabela2[],MATCH(A36,Tabela2[Rodada time],0),4),""),"")</f>
        <v>0</v>
      </c>
      <c r="E36" s="7" t="str">
        <f>IFERROR(INDEX(Tabela2[],MATCH(A36,Tabela2[Rodada time],0),5),"")</f>
        <v>COR</v>
      </c>
      <c r="F36" s="7">
        <f t="shared" si="0"/>
        <v>2</v>
      </c>
      <c r="G36" s="7">
        <f t="shared" si="1"/>
        <v>3</v>
      </c>
    </row>
    <row r="37" spans="1:7" x14ac:dyDescent="0.25">
      <c r="A37" s="7">
        <v>19</v>
      </c>
      <c r="B37" s="7" t="str">
        <f>IFERROR(INDEX(Tabela2[],MATCH(A37,Tabela2[Rodada time],0),2),"")</f>
        <v>FLA</v>
      </c>
      <c r="C37" s="7">
        <f>IFERROR(IF(INDEX(Tabela2[],MATCH(A37,Tabela2[Rodada time],0),3)&lt;&gt;"",INDEX(Tabela2[],MATCH(A37,Tabela2[Rodada time],0),3),""),"")</f>
        <v>1</v>
      </c>
      <c r="D37" s="7">
        <f>IFERROR(IF(INDEX(Tabela2[],MATCH(A37,Tabela2[Rodada time],0),4)&lt;&gt;"",INDEX(Tabela2[],MATCH(A37,Tabela2[Rodada time],0),4),""),"")</f>
        <v>0</v>
      </c>
      <c r="E37" s="7" t="str">
        <f>IFERROR(INDEX(Tabela2[],MATCH(A37,Tabela2[Rodada time],0),5),"")</f>
        <v>CAP</v>
      </c>
      <c r="F37" s="7">
        <f t="shared" si="0"/>
        <v>-1</v>
      </c>
      <c r="G37" s="7">
        <f t="shared" si="1"/>
        <v>0</v>
      </c>
    </row>
    <row r="38" spans="1:7" x14ac:dyDescent="0.25">
      <c r="A38" s="7">
        <v>20</v>
      </c>
      <c r="B38" s="7" t="str">
        <f>IFERROR(INDEX(Tabela2[],MATCH(A38,Tabela2[Rodada time],0),2),"")</f>
        <v>CAP</v>
      </c>
      <c r="C38" s="7">
        <f>IFERROR(IF(INDEX(Tabela2[],MATCH(A38,Tabela2[Rodada time],0),3)&lt;&gt;"",INDEX(Tabela2[],MATCH(A38,Tabela2[Rodada time],0),3),""),"")</f>
        <v>0</v>
      </c>
      <c r="D38" s="7">
        <f>IFERROR(IF(INDEX(Tabela2[],MATCH(A38,Tabela2[Rodada time],0),4)&lt;&gt;"",INDEX(Tabela2[],MATCH(A38,Tabela2[Rodada time],0),4),""),"")</f>
        <v>1</v>
      </c>
      <c r="E38" s="7" t="str">
        <f>IFERROR(INDEX(Tabela2[],MATCH(A38,Tabela2[Rodada time],0),5),"")</f>
        <v>PAL</v>
      </c>
      <c r="F38" s="7">
        <f t="shared" si="0"/>
        <v>-1</v>
      </c>
      <c r="G38" s="7">
        <f t="shared" si="1"/>
        <v>0</v>
      </c>
    </row>
    <row r="39" spans="1:7" x14ac:dyDescent="0.25">
      <c r="A39" s="7">
        <v>21</v>
      </c>
      <c r="B39" s="7" t="str">
        <f>IFERROR(INDEX(Tabela2[],MATCH(A39,Tabela2[Rodada time],0),2),"")</f>
        <v>CAM</v>
      </c>
      <c r="C39" s="7">
        <f>IFERROR(IF(INDEX(Tabela2[],MATCH(A39,Tabela2[Rodada time],0),3)&lt;&gt;"",INDEX(Tabela2[],MATCH(A39,Tabela2[Rodada time],0),3),""),"")</f>
        <v>1</v>
      </c>
      <c r="D39" s="7">
        <f>IFERROR(IF(INDEX(Tabela2[],MATCH(A39,Tabela2[Rodada time],0),4)&lt;&gt;"",INDEX(Tabela2[],MATCH(A39,Tabela2[Rodada time],0),4),""),"")</f>
        <v>0</v>
      </c>
      <c r="E39" s="7" t="str">
        <f>IFERROR(INDEX(Tabela2[],MATCH(A39,Tabela2[Rodada time],0),5),"")</f>
        <v>CAP</v>
      </c>
      <c r="F39" s="7">
        <f t="shared" si="0"/>
        <v>-1</v>
      </c>
      <c r="G39" s="7">
        <f t="shared" si="1"/>
        <v>0</v>
      </c>
    </row>
    <row r="40" spans="1:7" x14ac:dyDescent="0.25">
      <c r="A40" s="7">
        <v>22</v>
      </c>
      <c r="B40" s="7" t="str">
        <f>IFERROR(INDEX(Tabela2[],MATCH(A40,Tabela2[Rodada time],0),2),"")</f>
        <v>CAP</v>
      </c>
      <c r="C40" s="7">
        <f>IFERROR(IF(INDEX(Tabela2[],MATCH(A40,Tabela2[Rodada time],0),3)&lt;&gt;"",INDEX(Tabela2[],MATCH(A40,Tabela2[Rodada time],0),3),""),"")</f>
        <v>1</v>
      </c>
      <c r="D40" s="7">
        <f>IFERROR(IF(INDEX(Tabela2[],MATCH(A40,Tabela2[Rodada time],0),4)&lt;&gt;"",INDEX(Tabela2[],MATCH(A40,Tabela2[Rodada time],0),4),""),"")</f>
        <v>0</v>
      </c>
      <c r="E40" s="7" t="str">
        <f>IFERROR(INDEX(Tabela2[],MATCH(A40,Tabela2[Rodada time],0),5),"")</f>
        <v>BOT</v>
      </c>
      <c r="F40" s="7">
        <f t="shared" si="0"/>
        <v>1</v>
      </c>
      <c r="G40" s="7">
        <f t="shared" si="1"/>
        <v>3</v>
      </c>
    </row>
    <row r="41" spans="1:7" x14ac:dyDescent="0.25">
      <c r="A41" s="7">
        <v>23</v>
      </c>
      <c r="B41" s="7" t="str">
        <f>IFERROR(INDEX(Tabela2[],MATCH(A41,Tabela2[Rodada time],0),2),"")</f>
        <v>FIG</v>
      </c>
      <c r="C41" s="7">
        <f>IFERROR(IF(INDEX(Tabela2[],MATCH(A41,Tabela2[Rodada time],0),3)&lt;&gt;"",INDEX(Tabela2[],MATCH(A41,Tabela2[Rodada time],0),3),""),"")</f>
        <v>1</v>
      </c>
      <c r="D41" s="7">
        <f>IFERROR(IF(INDEX(Tabela2[],MATCH(A41,Tabela2[Rodada time],0),4)&lt;&gt;"",INDEX(Tabela2[],MATCH(A41,Tabela2[Rodada time],0),4),""),"")</f>
        <v>0</v>
      </c>
      <c r="E41" s="7" t="str">
        <f>IFERROR(INDEX(Tabela2[],MATCH(A41,Tabela2[Rodada time],0),5),"")</f>
        <v>CAP</v>
      </c>
      <c r="F41" s="7">
        <f t="shared" si="0"/>
        <v>-1</v>
      </c>
      <c r="G41" s="7">
        <f t="shared" si="1"/>
        <v>0</v>
      </c>
    </row>
    <row r="42" spans="1:7" x14ac:dyDescent="0.25">
      <c r="A42" s="7">
        <v>24</v>
      </c>
      <c r="B42" s="7" t="str">
        <f>IFERROR(INDEX(Tabela2[],MATCH(A42,Tabela2[Rodada time],0),2),"")</f>
        <v>CAP</v>
      </c>
      <c r="C42" s="7">
        <f>IFERROR(IF(INDEX(Tabela2[],MATCH(A42,Tabela2[Rodada time],0),3)&lt;&gt;"",INDEX(Tabela2[],MATCH(A42,Tabela2[Rodada time],0),3),""),"")</f>
        <v>2</v>
      </c>
      <c r="D42" s="7">
        <f>IFERROR(IF(INDEX(Tabela2[],MATCH(A42,Tabela2[Rodada time],0),4)&lt;&gt;"",INDEX(Tabela2[],MATCH(A42,Tabela2[Rodada time],0),4),""),"")</f>
        <v>1</v>
      </c>
      <c r="E42" s="7" t="str">
        <f>IFERROR(INDEX(Tabela2[],MATCH(A42,Tabela2[Rodada time],0),5),"")</f>
        <v>INT</v>
      </c>
      <c r="F42" s="7">
        <f t="shared" si="0"/>
        <v>1</v>
      </c>
      <c r="G42" s="7">
        <f t="shared" si="1"/>
        <v>3</v>
      </c>
    </row>
    <row r="43" spans="1:7" x14ac:dyDescent="0.25">
      <c r="A43" s="7">
        <v>25</v>
      </c>
      <c r="B43" s="7" t="str">
        <f>IFERROR(INDEX(Tabela2[],MATCH(A43,Tabela2[Rodada time],0),2),"")</f>
        <v>STC</v>
      </c>
      <c r="C43" s="7">
        <f>IFERROR(IF(INDEX(Tabela2[],MATCH(A43,Tabela2[Rodada time],0),3)&lt;&gt;"",INDEX(Tabela2[],MATCH(A43,Tabela2[Rodada time],0),3),""),"")</f>
        <v>1</v>
      </c>
      <c r="D43" s="7">
        <f>IFERROR(IF(INDEX(Tabela2[],MATCH(A43,Tabela2[Rodada time],0),4)&lt;&gt;"",INDEX(Tabela2[],MATCH(A43,Tabela2[Rodada time],0),4),""),"")</f>
        <v>0</v>
      </c>
      <c r="E43" s="7" t="str">
        <f>IFERROR(INDEX(Tabela2[],MATCH(A43,Tabela2[Rodada time],0),5),"")</f>
        <v>CAP</v>
      </c>
      <c r="F43" s="7">
        <f t="shared" si="0"/>
        <v>-1</v>
      </c>
      <c r="G43" s="7">
        <f t="shared" si="1"/>
        <v>0</v>
      </c>
    </row>
    <row r="44" spans="1:7" x14ac:dyDescent="0.25">
      <c r="A44" s="7">
        <v>26</v>
      </c>
      <c r="B44" s="7" t="str">
        <f>IFERROR(INDEX(Tabela2[],MATCH(A44,Tabela2[Rodada time],0),2),"")</f>
        <v>CAP</v>
      </c>
      <c r="C44" s="7">
        <f>IFERROR(IF(INDEX(Tabela2[],MATCH(A44,Tabela2[Rodada time],0),3)&lt;&gt;"",INDEX(Tabela2[],MATCH(A44,Tabela2[Rodada time],0),3),""),"")</f>
        <v>1</v>
      </c>
      <c r="D44" s="7">
        <f>IFERROR(IF(INDEX(Tabela2[],MATCH(A44,Tabela2[Rodada time],0),4)&lt;&gt;"",INDEX(Tabela2[],MATCH(A44,Tabela2[Rodada time],0),4),""),"")</f>
        <v>0</v>
      </c>
      <c r="E44" s="7" t="str">
        <f>IFERROR(INDEX(Tabela2[],MATCH(A44,Tabela2[Rodada time],0),5),"")</f>
        <v>SAO</v>
      </c>
      <c r="F44" s="7">
        <f t="shared" si="0"/>
        <v>1</v>
      </c>
      <c r="G44" s="7">
        <f t="shared" si="1"/>
        <v>3</v>
      </c>
    </row>
    <row r="45" spans="1:7" x14ac:dyDescent="0.25">
      <c r="A45" s="7">
        <v>27</v>
      </c>
      <c r="B45" s="7" t="str">
        <f>IFERROR(INDEX(Tabela2[],MATCH(A45,Tabela2[Rodada time],0),2),"")</f>
        <v>CAP</v>
      </c>
      <c r="C45" s="7">
        <f>IFERROR(IF(INDEX(Tabela2[],MATCH(A45,Tabela2[Rodada time],0),3)&lt;&gt;"",INDEX(Tabela2[],MATCH(A45,Tabela2[Rodada time],0),3),""),"")</f>
        <v>3</v>
      </c>
      <c r="D45" s="7">
        <f>IFERROR(IF(INDEX(Tabela2[],MATCH(A45,Tabela2[Rodada time],0),4)&lt;&gt;"",INDEX(Tabela2[],MATCH(A45,Tabela2[Rodada time],0),4),""),"")</f>
        <v>0</v>
      </c>
      <c r="E45" s="7" t="str">
        <f>IFERROR(INDEX(Tabela2[],MATCH(A45,Tabela2[Rodada time],0),5),"")</f>
        <v>PON</v>
      </c>
      <c r="F45" s="7">
        <f t="shared" si="0"/>
        <v>3</v>
      </c>
      <c r="G45" s="7">
        <f t="shared" si="1"/>
        <v>3</v>
      </c>
    </row>
    <row r="46" spans="1:7" x14ac:dyDescent="0.25">
      <c r="A46" s="7">
        <v>28</v>
      </c>
      <c r="B46" s="7" t="str">
        <f>IFERROR(INDEX(Tabela2[],MATCH(A46,Tabela2[Rodada time],0),2),"")</f>
        <v>SAN</v>
      </c>
      <c r="C46" s="7">
        <f>IFERROR(IF(INDEX(Tabela2[],MATCH(A46,Tabela2[Rodada time],0),3)&lt;&gt;"",INDEX(Tabela2[],MATCH(A46,Tabela2[Rodada time],0),3),""),"")</f>
        <v>2</v>
      </c>
      <c r="D46" s="7">
        <f>IFERROR(IF(INDEX(Tabela2[],MATCH(A46,Tabela2[Rodada time],0),4)&lt;&gt;"",INDEX(Tabela2[],MATCH(A46,Tabela2[Rodada time],0),4),""),"")</f>
        <v>0</v>
      </c>
      <c r="E46" s="7" t="str">
        <f>IFERROR(INDEX(Tabela2[],MATCH(A46,Tabela2[Rodada time],0),5),"")</f>
        <v>CAP</v>
      </c>
      <c r="F46" s="7">
        <f t="shared" si="0"/>
        <v>-2</v>
      </c>
      <c r="G46" s="7">
        <f t="shared" si="1"/>
        <v>0</v>
      </c>
    </row>
    <row r="47" spans="1:7" x14ac:dyDescent="0.25">
      <c r="A47" s="7">
        <v>29</v>
      </c>
      <c r="B47" s="7" t="str">
        <f>IFERROR(INDEX(Tabela2[],MATCH(A47,Tabela2[Rodada time],0),2),"")</f>
        <v>CAP</v>
      </c>
      <c r="C47" s="7">
        <f>IFERROR(IF(INDEX(Tabela2[],MATCH(A47,Tabela2[Rodada time],0),3)&lt;&gt;"",INDEX(Tabela2[],MATCH(A47,Tabela2[Rodada time],0),3),""),"")</f>
        <v>3</v>
      </c>
      <c r="D47" s="7">
        <f>IFERROR(IF(INDEX(Tabela2[],MATCH(A47,Tabela2[Rodada time],0),4)&lt;&gt;"",INDEX(Tabela2[],MATCH(A47,Tabela2[Rodada time],0),4),""),"")</f>
        <v>1</v>
      </c>
      <c r="E47" s="7" t="str">
        <f>IFERROR(INDEX(Tabela2[],MATCH(A47,Tabela2[Rodada time],0),5),"")</f>
        <v>CHA</v>
      </c>
      <c r="F47" s="7">
        <f t="shared" si="0"/>
        <v>2</v>
      </c>
      <c r="G47" s="7">
        <f t="shared" si="1"/>
        <v>3</v>
      </c>
    </row>
    <row r="48" spans="1:7" x14ac:dyDescent="0.25">
      <c r="A48" s="7">
        <v>30</v>
      </c>
      <c r="B48" s="7" t="str">
        <f>IFERROR(INDEX(Tabela2[],MATCH(A48,Tabela2[Rodada time],0),2),"")</f>
        <v>GRE</v>
      </c>
      <c r="C48" s="7">
        <f>IFERROR(IF(INDEX(Tabela2[],MATCH(A48,Tabela2[Rodada time],0),3)&lt;&gt;"",INDEX(Tabela2[],MATCH(A48,Tabela2[Rodada time],0),3),""),"")</f>
        <v>1</v>
      </c>
      <c r="D48" s="7">
        <f>IFERROR(IF(INDEX(Tabela2[],MATCH(A48,Tabela2[Rodada time],0),4)&lt;&gt;"",INDEX(Tabela2[],MATCH(A48,Tabela2[Rodada time],0),4),""),"")</f>
        <v>0</v>
      </c>
      <c r="E48" s="7" t="str">
        <f>IFERROR(INDEX(Tabela2[],MATCH(A48,Tabela2[Rodada time],0),5),"")</f>
        <v>CAP</v>
      </c>
      <c r="F48" s="7">
        <f t="shared" si="0"/>
        <v>-1</v>
      </c>
      <c r="G48" s="7">
        <f t="shared" si="1"/>
        <v>0</v>
      </c>
    </row>
    <row r="49" spans="1:7" x14ac:dyDescent="0.25">
      <c r="A49" s="7">
        <v>31</v>
      </c>
      <c r="B49" s="7" t="str">
        <f>IFERROR(INDEX(Tabela2[],MATCH(A49,Tabela2[Rodada time],0),2),"")</f>
        <v>CAP</v>
      </c>
      <c r="C49" s="7">
        <f>IFERROR(IF(INDEX(Tabela2[],MATCH(A49,Tabela2[Rodada time],0),3)&lt;&gt;"",INDEX(Tabela2[],MATCH(A49,Tabela2[Rodada time],0),3),""),"")</f>
        <v>2</v>
      </c>
      <c r="D49" s="7">
        <f>IFERROR(IF(INDEX(Tabela2[],MATCH(A49,Tabela2[Rodada time],0),4)&lt;&gt;"",INDEX(Tabela2[],MATCH(A49,Tabela2[Rodada time],0),4),""),"")</f>
        <v>0</v>
      </c>
      <c r="E49" s="7" t="str">
        <f>IFERROR(INDEX(Tabela2[],MATCH(A49,Tabela2[Rodada time],0),5),"")</f>
        <v>CFC</v>
      </c>
      <c r="F49" s="7">
        <f t="shared" si="0"/>
        <v>2</v>
      </c>
      <c r="G49" s="7">
        <f t="shared" si="1"/>
        <v>3</v>
      </c>
    </row>
    <row r="50" spans="1:7" x14ac:dyDescent="0.25">
      <c r="A50" s="7">
        <v>32</v>
      </c>
      <c r="B50" s="7" t="str">
        <f>IFERROR(INDEX(Tabela2[],MATCH(A50,Tabela2[Rodada time],0),2),"")</f>
        <v>AMG</v>
      </c>
      <c r="C50" s="7">
        <f>IFERROR(IF(INDEX(Tabela2[],MATCH(A50,Tabela2[Rodada time],0),3)&lt;&gt;"",INDEX(Tabela2[],MATCH(A50,Tabela2[Rodada time],0),3),""),"")</f>
        <v>1</v>
      </c>
      <c r="D50" s="7">
        <f>IFERROR(IF(INDEX(Tabela2[],MATCH(A50,Tabela2[Rodada time],0),4)&lt;&gt;"",INDEX(Tabela2[],MATCH(A50,Tabela2[Rodada time],0),4),""),"")</f>
        <v>0</v>
      </c>
      <c r="E50" s="7" t="str">
        <f>IFERROR(INDEX(Tabela2[],MATCH(A50,Tabela2[Rodada time],0),5),"")</f>
        <v>CAP</v>
      </c>
      <c r="F50" s="7">
        <f t="shared" si="0"/>
        <v>-1</v>
      </c>
      <c r="G50" s="7">
        <f t="shared" si="1"/>
        <v>0</v>
      </c>
    </row>
    <row r="51" spans="1:7" x14ac:dyDescent="0.25">
      <c r="A51" s="7">
        <v>33</v>
      </c>
      <c r="B51" s="7" t="str">
        <f>IFERROR(INDEX(Tabela2[],MATCH(A51,Tabela2[Rodada time],0),2),"")</f>
        <v>CAP</v>
      </c>
      <c r="C51" s="7">
        <f>IFERROR(IF(INDEX(Tabela2[],MATCH(A51,Tabela2[Rodada time],0),3)&lt;&gt;"",INDEX(Tabela2[],MATCH(A51,Tabela2[Rodada time],0),3),""),"")</f>
        <v>1</v>
      </c>
      <c r="D51" s="7">
        <f>IFERROR(IF(INDEX(Tabela2[],MATCH(A51,Tabela2[Rodada time],0),4)&lt;&gt;"",INDEX(Tabela2[],MATCH(A51,Tabela2[Rodada time],0),4),""),"")</f>
        <v>0</v>
      </c>
      <c r="E51" s="7" t="str">
        <f>IFERROR(INDEX(Tabela2[],MATCH(A51,Tabela2[Rodada time],0),5),"")</f>
        <v>CRU</v>
      </c>
      <c r="F51" s="7">
        <f t="shared" si="0"/>
        <v>1</v>
      </c>
      <c r="G51" s="7">
        <f t="shared" si="1"/>
        <v>3</v>
      </c>
    </row>
    <row r="52" spans="1:7" x14ac:dyDescent="0.25">
      <c r="A52" s="7">
        <v>34</v>
      </c>
      <c r="B52" s="7" t="str">
        <f>IFERROR(INDEX(Tabela2[],MATCH(A52,Tabela2[Rodada time],0),2),"")</f>
        <v>VIT</v>
      </c>
      <c r="C52" s="7">
        <f>IFERROR(IF(INDEX(Tabela2[],MATCH(A52,Tabela2[Rodada time],0),3)&lt;&gt;"",INDEX(Tabela2[],MATCH(A52,Tabela2[Rodada time],0),3),""),"")</f>
        <v>3</v>
      </c>
      <c r="D52" s="7">
        <f>IFERROR(IF(INDEX(Tabela2[],MATCH(A52,Tabela2[Rodada time],0),4)&lt;&gt;"",INDEX(Tabela2[],MATCH(A52,Tabela2[Rodada time],0),4),""),"")</f>
        <v>2</v>
      </c>
      <c r="E52" s="7" t="str">
        <f>IFERROR(INDEX(Tabela2[],MATCH(A52,Tabela2[Rodada time],0),5),"")</f>
        <v>CAP</v>
      </c>
      <c r="F52" s="7">
        <f t="shared" si="0"/>
        <v>-1</v>
      </c>
      <c r="G52" s="7">
        <f t="shared" si="1"/>
        <v>0</v>
      </c>
    </row>
    <row r="53" spans="1:7" x14ac:dyDescent="0.25">
      <c r="A53" s="7">
        <v>35</v>
      </c>
      <c r="B53" s="7" t="str">
        <f>IFERROR(INDEX(Tabela2[],MATCH(A53,Tabela2[Rodada time],0),2),"")</f>
        <v>FLU</v>
      </c>
      <c r="C53" s="7">
        <f>IFERROR(IF(INDEX(Tabela2[],MATCH(A53,Tabela2[Rodada time],0),3)&lt;&gt;"",INDEX(Tabela2[],MATCH(A53,Tabela2[Rodada time],0),3),""),"")</f>
        <v>1</v>
      </c>
      <c r="D53" s="7">
        <f>IFERROR(IF(INDEX(Tabela2[],MATCH(A53,Tabela2[Rodada time],0),4)&lt;&gt;"",INDEX(Tabela2[],MATCH(A53,Tabela2[Rodada time],0),4),""),"")</f>
        <v>1</v>
      </c>
      <c r="E53" s="7" t="str">
        <f>IFERROR(INDEX(Tabela2[],MATCH(A53,Tabela2[Rodada time],0),5),"")</f>
        <v>CAP</v>
      </c>
      <c r="F53" s="7">
        <f t="shared" si="0"/>
        <v>0</v>
      </c>
      <c r="G53" s="7">
        <f t="shared" si="1"/>
        <v>1</v>
      </c>
    </row>
    <row r="54" spans="1:7" x14ac:dyDescent="0.25">
      <c r="A54" s="7">
        <v>36</v>
      </c>
      <c r="B54" s="7" t="str">
        <f>IFERROR(INDEX(Tabela2[],MATCH(A54,Tabela2[Rodada time],0),2),"")</f>
        <v>CAP</v>
      </c>
      <c r="C54" s="7">
        <f>IFERROR(IF(INDEX(Tabela2[],MATCH(A54,Tabela2[Rodada time],0),3)&lt;&gt;"",INDEX(Tabela2[],MATCH(A54,Tabela2[Rodada time],0),3),""),"")</f>
        <v>2</v>
      </c>
      <c r="D54" s="7">
        <f>IFERROR(IF(INDEX(Tabela2[],MATCH(A54,Tabela2[Rodada time],0),4)&lt;&gt;"",INDEX(Tabela2[],MATCH(A54,Tabela2[Rodada time],0),4),""),"")</f>
        <v>0</v>
      </c>
      <c r="E54" s="7" t="str">
        <f>IFERROR(INDEX(Tabela2[],MATCH(A54,Tabela2[Rodada time],0),5),"")</f>
        <v>SPT</v>
      </c>
      <c r="F54" s="7">
        <f t="shared" si="0"/>
        <v>2</v>
      </c>
      <c r="G54" s="7">
        <f t="shared" si="1"/>
        <v>3</v>
      </c>
    </row>
    <row r="55" spans="1:7" x14ac:dyDescent="0.25">
      <c r="A55" s="7">
        <v>37</v>
      </c>
      <c r="B55" s="7" t="str">
        <f>IFERROR(INDEX(Tabela2[],MATCH(A55,Tabela2[Rodada time],0),2),"")</f>
        <v>COR</v>
      </c>
      <c r="C55" s="7">
        <f>IFERROR(IF(INDEX(Tabela2[],MATCH(A55,Tabela2[Rodada time],0),3)&lt;&gt;"",INDEX(Tabela2[],MATCH(A55,Tabela2[Rodada time],0),3),""),"")</f>
        <v>0</v>
      </c>
      <c r="D55" s="7">
        <f>IFERROR(IF(INDEX(Tabela2[],MATCH(A55,Tabela2[Rodada time],0),4)&lt;&gt;"",INDEX(Tabela2[],MATCH(A55,Tabela2[Rodada time],0),4),""),"")</f>
        <v>0</v>
      </c>
      <c r="E55" s="7" t="str">
        <f>IFERROR(INDEX(Tabela2[],MATCH(A55,Tabela2[Rodada time],0),5),"")</f>
        <v>CAP</v>
      </c>
      <c r="F55" s="7">
        <f t="shared" si="0"/>
        <v>0</v>
      </c>
      <c r="G55" s="7">
        <f t="shared" si="1"/>
        <v>1</v>
      </c>
    </row>
    <row r="56" spans="1:7" x14ac:dyDescent="0.25">
      <c r="A56" s="7">
        <v>38</v>
      </c>
      <c r="B56" s="7" t="str">
        <f>IFERROR(INDEX(Tabela2[],MATCH(A56,Tabela2[Rodada time],0),2),"")</f>
        <v>CAP</v>
      </c>
      <c r="C56" s="7">
        <f>IFERROR(IF(INDEX(Tabela2[],MATCH(A56,Tabela2[Rodada time],0),3)&lt;&gt;"",INDEX(Tabela2[],MATCH(A56,Tabela2[Rodada time],0),3),""),"")</f>
        <v>0</v>
      </c>
      <c r="D56" s="7">
        <f>IFERROR(IF(INDEX(Tabela2[],MATCH(A56,Tabela2[Rodada time],0),4)&lt;&gt;"",INDEX(Tabela2[],MATCH(A56,Tabela2[Rodada time],0),4),""),"")</f>
        <v>0</v>
      </c>
      <c r="E56" s="7" t="str">
        <f>IFERROR(INDEX(Tabela2[],MATCH(A56,Tabela2[Rodada time],0),5),"")</f>
        <v>FLA</v>
      </c>
      <c r="F56" s="7">
        <f t="shared" si="0"/>
        <v>0</v>
      </c>
      <c r="G56" s="7">
        <f t="shared" si="1"/>
        <v>1</v>
      </c>
    </row>
    <row r="57" spans="1:7" x14ac:dyDescent="0.25">
      <c r="B57" s="3"/>
      <c r="C57" s="3"/>
      <c r="D57" s="3"/>
      <c r="E57" s="3"/>
      <c r="F57" s="19">
        <f>SUM(F19:F56)</f>
        <v>6</v>
      </c>
      <c r="G57" s="25">
        <f>SUM(G19:G56)</f>
        <v>57</v>
      </c>
    </row>
    <row r="58" spans="1:7" x14ac:dyDescent="0.25">
      <c r="A58" s="12" t="s">
        <v>228</v>
      </c>
    </row>
  </sheetData>
  <sheetProtection algorithmName="SHA-512" hashValue="mcCzewPf4q+o211syXmv1Rw4DjUsasUAPa+L/vBunSfgecuIJjOIY8vHRT14FdyXdItzAmEal73E6UIFowfirg==" saltValue="kIgw8+wi3jH1kzbIbbVKsw==" spinCount="100000" sheet="1" objects="1" scenarios="1"/>
  <hyperlinks>
    <hyperlink ref="A58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Dados!$B$2:$B$21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17"/>
  <sheetViews>
    <sheetView showGridLines="0" topLeftCell="A66" workbookViewId="0">
      <selection activeCell="D4" sqref="D4"/>
    </sheetView>
  </sheetViews>
  <sheetFormatPr defaultRowHeight="15" x14ac:dyDescent="0.25"/>
  <cols>
    <col min="1" max="1" width="9.140625" style="3"/>
    <col min="2" max="2" width="12.85546875" style="3" customWidth="1"/>
    <col min="3" max="3" width="9.140625" style="3"/>
    <col min="4" max="4" width="14" style="19" customWidth="1"/>
    <col min="5" max="5" width="9.5703125" style="19" bestFit="1" customWidth="1"/>
    <col min="6" max="6" width="12" style="19" bestFit="1" customWidth="1"/>
    <col min="7" max="16384" width="9.140625" style="3"/>
  </cols>
  <sheetData>
    <row r="1" spans="1:6" x14ac:dyDescent="0.25">
      <c r="C1" s="60" t="s">
        <v>209</v>
      </c>
      <c r="D1" s="60"/>
      <c r="E1" s="60" t="s">
        <v>210</v>
      </c>
      <c r="F1" s="60"/>
    </row>
    <row r="2" spans="1:6" ht="24.75" customHeight="1" x14ac:dyDescent="0.25">
      <c r="C2" s="23" t="s">
        <v>211</v>
      </c>
      <c r="D2" s="23" t="s">
        <v>63</v>
      </c>
      <c r="E2" s="23" t="s">
        <v>211</v>
      </c>
      <c r="F2" s="23" t="s">
        <v>63</v>
      </c>
    </row>
    <row r="3" spans="1:6" x14ac:dyDescent="0.25">
      <c r="A3" s="26"/>
      <c r="B3" s="27" t="s">
        <v>151</v>
      </c>
      <c r="C3" s="54">
        <f>Dados!C22</f>
        <v>80</v>
      </c>
      <c r="D3" s="54" t="str">
        <f>INDEX(Dados!A1:P21,MATCH(C3,Dados!C2:C21,0)+1,13)</f>
        <v>Palmeiras</v>
      </c>
      <c r="E3" s="56">
        <f>Dados!C23</f>
        <v>28</v>
      </c>
      <c r="F3" s="56" t="str">
        <f>INDEX(Dados!A1:P21,MATCH(E3,Dados!C2:C21,0)+1,13)</f>
        <v>América-MG</v>
      </c>
    </row>
    <row r="4" spans="1:6" x14ac:dyDescent="0.25">
      <c r="A4" s="26"/>
      <c r="B4" s="27" t="s">
        <v>153</v>
      </c>
      <c r="C4" s="54">
        <f>Dados!E22</f>
        <v>24</v>
      </c>
      <c r="D4" s="54" t="str">
        <f>INDEX(Dados!A1:P21,MATCH(C4,Dados!E2:E21,0)+1,13)</f>
        <v>Palmeiras</v>
      </c>
      <c r="E4" s="56">
        <f>Dados!E23</f>
        <v>7</v>
      </c>
      <c r="F4" s="56" t="str">
        <f>INDEX(Dados!A1:P21,MATCH(E4,Dados!E2:E21,0)+1,13)</f>
        <v>América-MG</v>
      </c>
    </row>
    <row r="5" spans="1:6" x14ac:dyDescent="0.25">
      <c r="A5" s="26"/>
      <c r="B5" s="27" t="s">
        <v>154</v>
      </c>
      <c r="C5" s="54">
        <f>Dados!F23</f>
        <v>5</v>
      </c>
      <c r="D5" s="54" t="str">
        <f>INDEX(Dados!A1:P21,MATCH(C5,Dados!F2:F21,0)+1,13)</f>
        <v>Santos</v>
      </c>
      <c r="E5" s="56">
        <f>Dados!F22</f>
        <v>13</v>
      </c>
      <c r="F5" s="56" t="str">
        <f>INDEX(Dados!A1:P21,MATCH(E5,Dados!F2:F21,0)+1,13)</f>
        <v>Coritiba</v>
      </c>
    </row>
    <row r="6" spans="1:6" x14ac:dyDescent="0.25">
      <c r="A6" s="26"/>
      <c r="B6" s="27" t="s">
        <v>155</v>
      </c>
      <c r="C6" s="54">
        <f>Dados!G23</f>
        <v>6</v>
      </c>
      <c r="D6" s="54" t="str">
        <f>INDEX(Dados!A1:P21,MATCH(C6,Dados!G2:G21,0)+1,13)</f>
        <v>Palmeiras</v>
      </c>
      <c r="E6" s="56">
        <f>Dados!G22</f>
        <v>24</v>
      </c>
      <c r="F6" s="56" t="str">
        <f>INDEX(Dados!A1:P21,MATCH(E6,Dados!G2:G21,0)+1,13)</f>
        <v>América-MG</v>
      </c>
    </row>
    <row r="7" spans="1:6" x14ac:dyDescent="0.25">
      <c r="A7" s="26"/>
      <c r="B7" s="27" t="s">
        <v>207</v>
      </c>
      <c r="C7" s="54">
        <f>Dados!H22</f>
        <v>62</v>
      </c>
      <c r="D7" s="54" t="str">
        <f>INDEX(Dados!A1:P21,MATCH(C7,Dados!H2:H21,0)+1,13)</f>
        <v>Palmeiras</v>
      </c>
      <c r="E7" s="56">
        <f>Dados!H23</f>
        <v>23</v>
      </c>
      <c r="F7" s="56" t="str">
        <f>INDEX(Dados!A1:P21,MATCH(E7,Dados!H2:H21,0)+1,13)</f>
        <v>América-MG</v>
      </c>
    </row>
    <row r="8" spans="1:6" x14ac:dyDescent="0.25">
      <c r="A8" s="26"/>
      <c r="B8" s="27" t="s">
        <v>208</v>
      </c>
      <c r="C8" s="54">
        <f>Dados!I23</f>
        <v>32</v>
      </c>
      <c r="D8" s="54" t="str">
        <f>INDEX(Dados!A1:P21,MATCH(C8,Dados!I2:I21,0)+1,13)</f>
        <v>Atlético-PR</v>
      </c>
      <c r="E8" s="56">
        <f>Dados!I22</f>
        <v>69</v>
      </c>
      <c r="F8" s="56" t="str">
        <f>INDEX(Dados!A1:P21,MATCH(E8,Dados!I2:I21,0)+1,13)</f>
        <v>Santa Cruz</v>
      </c>
    </row>
    <row r="9" spans="1:6" x14ac:dyDescent="0.25">
      <c r="A9" s="26"/>
      <c r="B9" s="27" t="s">
        <v>159</v>
      </c>
      <c r="C9" s="55">
        <f>Dados!K22</f>
        <v>0.70175438596491224</v>
      </c>
      <c r="D9" s="54" t="str">
        <f>INDEX(Dados!A1:P21,MATCH(C9,Dados!K2:K21,0)+1,13)</f>
        <v>Palmeiras</v>
      </c>
      <c r="E9" s="57">
        <f>Dados!K23</f>
        <v>0.24561403508771928</v>
      </c>
      <c r="F9" s="56" t="str">
        <f>INDEX(Dados!A1:P21,MATCH(E9,Dados!K2:K21,0)+1,13)</f>
        <v>América-MG</v>
      </c>
    </row>
    <row r="11" spans="1:6" x14ac:dyDescent="0.25">
      <c r="C11" s="28" t="s">
        <v>204</v>
      </c>
      <c r="D11" s="28"/>
    </row>
    <row r="12" spans="1:6" x14ac:dyDescent="0.25">
      <c r="C12" s="29" t="s">
        <v>205</v>
      </c>
      <c r="D12" s="29">
        <f>COUNTIF(Dados!P2:P21,C12)</f>
        <v>17</v>
      </c>
    </row>
    <row r="13" spans="1:6" x14ac:dyDescent="0.25">
      <c r="C13" s="30" t="s">
        <v>206</v>
      </c>
      <c r="D13" s="30">
        <f>COUNTIF(Dados!P2:P21,C13)</f>
        <v>3</v>
      </c>
    </row>
    <row r="15" spans="1:6" x14ac:dyDescent="0.25">
      <c r="C15" s="31" t="s">
        <v>182</v>
      </c>
      <c r="D15" s="3"/>
    </row>
    <row r="16" spans="1:6" x14ac:dyDescent="0.25">
      <c r="C16" s="28" t="s">
        <v>183</v>
      </c>
      <c r="D16" s="28" t="s">
        <v>184</v>
      </c>
    </row>
    <row r="17" spans="3:6" customFormat="1" hidden="1" x14ac:dyDescent="0.25">
      <c r="C17" s="2" t="s">
        <v>186</v>
      </c>
      <c r="D17" s="2">
        <f>COUNTIF(Dados!N$2:N$21,C17)</f>
        <v>0</v>
      </c>
      <c r="E17" s="1"/>
      <c r="F17" s="1"/>
    </row>
    <row r="18" spans="3:6" customFormat="1" hidden="1" x14ac:dyDescent="0.25">
      <c r="C18" s="2" t="s">
        <v>187</v>
      </c>
      <c r="D18" s="2">
        <f>COUNTIF(Dados!N$2:N$21,C18)</f>
        <v>0</v>
      </c>
      <c r="E18" s="1"/>
      <c r="F18" s="1"/>
    </row>
    <row r="19" spans="3:6" customFormat="1" hidden="1" x14ac:dyDescent="0.25">
      <c r="C19" s="2" t="s">
        <v>188</v>
      </c>
      <c r="D19" s="2">
        <f>COUNTIF(Dados!N$2:N$21,C19)</f>
        <v>0</v>
      </c>
      <c r="E19" s="1"/>
      <c r="F19" s="1"/>
    </row>
    <row r="20" spans="3:6" customFormat="1" hidden="1" x14ac:dyDescent="0.25">
      <c r="C20" s="2" t="s">
        <v>188</v>
      </c>
      <c r="D20" s="2">
        <f>COUNTIF(Dados!N$2:N$21,C20)</f>
        <v>0</v>
      </c>
      <c r="E20" s="1"/>
      <c r="F20" s="1"/>
    </row>
    <row r="21" spans="3:6" customFormat="1" hidden="1" x14ac:dyDescent="0.25">
      <c r="C21" s="2" t="s">
        <v>198</v>
      </c>
      <c r="D21" s="2">
        <f>COUNTIF(Dados!N$2:N$21,C21)</f>
        <v>0</v>
      </c>
      <c r="E21" s="1"/>
      <c r="F21" s="1"/>
    </row>
    <row r="22" spans="3:6" x14ac:dyDescent="0.25">
      <c r="C22" s="32" t="s">
        <v>148</v>
      </c>
      <c r="D22" s="32">
        <f>COUNTIF(Dados!N$2:N$21,C22)</f>
        <v>1</v>
      </c>
    </row>
    <row r="23" spans="3:6" customFormat="1" hidden="1" x14ac:dyDescent="0.25">
      <c r="C23" s="2" t="s">
        <v>194</v>
      </c>
      <c r="D23" s="2">
        <f>COUNTIF(Dados!N$2:N$21,C23)</f>
        <v>0</v>
      </c>
      <c r="E23" s="1"/>
      <c r="F23" s="1"/>
    </row>
    <row r="24" spans="3:6" customFormat="1" hidden="1" x14ac:dyDescent="0.25">
      <c r="C24" s="2" t="s">
        <v>189</v>
      </c>
      <c r="D24" s="2">
        <f>COUNTIF(Dados!N$2:N$21,C24)</f>
        <v>0</v>
      </c>
      <c r="E24" s="1"/>
      <c r="F24" s="1"/>
    </row>
    <row r="25" spans="3:6" customFormat="1" hidden="1" x14ac:dyDescent="0.25">
      <c r="C25" s="2" t="s">
        <v>200</v>
      </c>
      <c r="D25" s="2">
        <f>COUNTIF(Dados!N$2:N$21,C25)</f>
        <v>0</v>
      </c>
      <c r="E25" s="1"/>
      <c r="F25" s="1"/>
    </row>
    <row r="26" spans="3:6" customFormat="1" hidden="1" x14ac:dyDescent="0.25">
      <c r="C26" s="2" t="s">
        <v>192</v>
      </c>
      <c r="D26" s="2">
        <f>COUNTIF(Dados!N$2:N$21,C26)</f>
        <v>0</v>
      </c>
      <c r="E26" s="1"/>
      <c r="F26" s="1"/>
    </row>
    <row r="27" spans="3:6" customFormat="1" hidden="1" x14ac:dyDescent="0.25">
      <c r="C27" s="2" t="s">
        <v>191</v>
      </c>
      <c r="D27" s="2">
        <f>COUNTIF(Dados!N$2:N$21,C27)</f>
        <v>0</v>
      </c>
      <c r="E27" s="1"/>
      <c r="F27" s="1"/>
    </row>
    <row r="28" spans="3:6" x14ac:dyDescent="0.25">
      <c r="C28" s="32" t="s">
        <v>144</v>
      </c>
      <c r="D28" s="32">
        <f>COUNTIF(Dados!N$2:N$21,C28)</f>
        <v>3</v>
      </c>
    </row>
    <row r="29" spans="3:6" customFormat="1" hidden="1" x14ac:dyDescent="0.25">
      <c r="C29" s="2" t="s">
        <v>202</v>
      </c>
      <c r="D29" s="2">
        <f>COUNTIF(Dados!N$2:N$21,C29)</f>
        <v>0</v>
      </c>
      <c r="E29" s="1"/>
      <c r="F29" s="1"/>
    </row>
    <row r="30" spans="3:6" customFormat="1" hidden="1" x14ac:dyDescent="0.25">
      <c r="C30" s="2" t="s">
        <v>203</v>
      </c>
      <c r="D30" s="2">
        <f>COUNTIF(Dados!N$2:N$21,C30)</f>
        <v>0</v>
      </c>
      <c r="E30" s="1"/>
      <c r="F30" s="1"/>
    </row>
    <row r="31" spans="3:6" customFormat="1" hidden="1" x14ac:dyDescent="0.25">
      <c r="C31" s="2" t="s">
        <v>190</v>
      </c>
      <c r="D31" s="2">
        <f>COUNTIF(Dados!N$2:N$21,C31)</f>
        <v>0</v>
      </c>
      <c r="E31" s="1"/>
      <c r="F31" s="1"/>
    </row>
    <row r="32" spans="3:6" x14ac:dyDescent="0.25">
      <c r="C32" s="32" t="s">
        <v>149</v>
      </c>
      <c r="D32" s="32">
        <f>COUNTIF(Dados!N$2:N$21,C32)</f>
        <v>2</v>
      </c>
    </row>
    <row r="33" spans="3:6" customFormat="1" hidden="1" x14ac:dyDescent="0.25">
      <c r="C33" s="2" t="s">
        <v>195</v>
      </c>
      <c r="D33" s="2">
        <f>COUNTIF(Dados!N$2:N$21,C33)</f>
        <v>0</v>
      </c>
      <c r="E33" s="1"/>
      <c r="F33" s="1"/>
    </row>
    <row r="34" spans="3:6" x14ac:dyDescent="0.25">
      <c r="C34" s="32" t="s">
        <v>145</v>
      </c>
      <c r="D34" s="32">
        <f>COUNTIF(Dados!N$2:N$21,C34)</f>
        <v>2</v>
      </c>
    </row>
    <row r="35" spans="3:6" x14ac:dyDescent="0.25">
      <c r="C35" s="32" t="s">
        <v>143</v>
      </c>
      <c r="D35" s="32">
        <f>COUNTIF(Dados!N$2:N$21,C35)</f>
        <v>3</v>
      </c>
    </row>
    <row r="36" spans="3:6" customFormat="1" hidden="1" x14ac:dyDescent="0.25">
      <c r="C36" s="2" t="s">
        <v>193</v>
      </c>
      <c r="D36" s="2">
        <f>COUNTIF(Dados!N$2:N$21,C36)</f>
        <v>0</v>
      </c>
      <c r="E36" s="1"/>
      <c r="F36" s="1"/>
    </row>
    <row r="37" spans="3:6" customFormat="1" hidden="1" x14ac:dyDescent="0.25">
      <c r="C37" s="2" t="s">
        <v>196</v>
      </c>
      <c r="D37" s="2">
        <f>COUNTIF(Dados!N$2:N$21,C37)</f>
        <v>0</v>
      </c>
      <c r="E37" s="1"/>
      <c r="F37" s="1"/>
    </row>
    <row r="38" spans="3:6" customFormat="1" hidden="1" x14ac:dyDescent="0.25">
      <c r="C38" s="2" t="s">
        <v>197</v>
      </c>
      <c r="D38" s="2">
        <f>COUNTIF(Dados!N$2:N$21,C38)</f>
        <v>0</v>
      </c>
      <c r="E38" s="1"/>
      <c r="F38" s="1"/>
    </row>
    <row r="39" spans="3:6" x14ac:dyDescent="0.25">
      <c r="C39" s="32" t="s">
        <v>146</v>
      </c>
      <c r="D39" s="32">
        <f>COUNTIF(Dados!N$2:N$21,C39)</f>
        <v>2</v>
      </c>
    </row>
    <row r="40" spans="3:6" x14ac:dyDescent="0.25">
      <c r="C40" s="32" t="s">
        <v>147</v>
      </c>
      <c r="D40" s="32">
        <f>COUNTIF(Dados!N$2:N$21,C40)</f>
        <v>2</v>
      </c>
    </row>
    <row r="41" spans="3:6" customFormat="1" hidden="1" x14ac:dyDescent="0.25">
      <c r="C41" s="2" t="s">
        <v>199</v>
      </c>
      <c r="D41" s="2">
        <f>COUNTIF(Dados!N$2:N$21,C41)</f>
        <v>0</v>
      </c>
      <c r="E41" s="1"/>
      <c r="F41" s="1"/>
    </row>
    <row r="42" spans="3:6" x14ac:dyDescent="0.25">
      <c r="C42" s="32" t="s">
        <v>142</v>
      </c>
      <c r="D42" s="32">
        <f>COUNTIF(Dados!N$2:N$21,C42)</f>
        <v>5</v>
      </c>
    </row>
    <row r="43" spans="3:6" customFormat="1" hidden="1" x14ac:dyDescent="0.25">
      <c r="C43" s="2" t="s">
        <v>201</v>
      </c>
      <c r="D43" s="2">
        <f>COUNTIF(Dados!N$2:N$21,C43)</f>
        <v>0</v>
      </c>
      <c r="E43" s="1"/>
      <c r="F43" s="1"/>
    </row>
    <row r="44" spans="3:6" x14ac:dyDescent="0.25">
      <c r="C44" s="7" t="s">
        <v>160</v>
      </c>
      <c r="D44" s="7">
        <f>SUM(D17:D43)</f>
        <v>20</v>
      </c>
    </row>
    <row r="47" spans="3:6" x14ac:dyDescent="0.25">
      <c r="C47" s="28" t="s">
        <v>230</v>
      </c>
      <c r="D47" s="33" t="s">
        <v>58</v>
      </c>
      <c r="E47" s="34"/>
    </row>
    <row r="48" spans="3:6" x14ac:dyDescent="0.25">
      <c r="C48" s="32">
        <f>COUNTIF(Tabela2[Estádio],D48)</f>
        <v>34</v>
      </c>
      <c r="D48" s="35" t="s">
        <v>11</v>
      </c>
      <c r="E48" s="32"/>
    </row>
    <row r="49" spans="3:5" x14ac:dyDescent="0.25">
      <c r="C49" s="32">
        <f>COUNTIF(Tabela2[Estádio],D49)</f>
        <v>22</v>
      </c>
      <c r="D49" s="35" t="s">
        <v>2</v>
      </c>
      <c r="E49" s="32"/>
    </row>
    <row r="50" spans="3:5" x14ac:dyDescent="0.25">
      <c r="C50" s="32">
        <f>COUNTIF(Tabela2[Estádio],D50)</f>
        <v>19</v>
      </c>
      <c r="D50" s="35" t="s">
        <v>33</v>
      </c>
      <c r="E50" s="32"/>
    </row>
    <row r="51" spans="3:5" x14ac:dyDescent="0.25">
      <c r="C51" s="32">
        <f>COUNTIF(Tabela2[Estádio],D51)</f>
        <v>19</v>
      </c>
      <c r="D51" s="35" t="s">
        <v>27</v>
      </c>
      <c r="E51" s="32"/>
    </row>
    <row r="52" spans="3:5" x14ac:dyDescent="0.25">
      <c r="C52" s="32">
        <f>COUNTIF(Tabela2[Estádio],D52)</f>
        <v>18</v>
      </c>
      <c r="D52" s="35" t="s">
        <v>40</v>
      </c>
      <c r="E52" s="32"/>
    </row>
    <row r="53" spans="3:5" x14ac:dyDescent="0.25">
      <c r="C53" s="32">
        <f>COUNTIF(Tabela2[Estádio],D53)</f>
        <v>18</v>
      </c>
      <c r="D53" s="35" t="s">
        <v>18</v>
      </c>
      <c r="E53" s="32"/>
    </row>
    <row r="54" spans="3:5" x14ac:dyDescent="0.25">
      <c r="C54" s="32">
        <f>COUNTIF(Tabela2[Estádio],D54)</f>
        <v>19</v>
      </c>
      <c r="D54" s="35" t="s">
        <v>1</v>
      </c>
      <c r="E54" s="32"/>
    </row>
    <row r="55" spans="3:5" x14ac:dyDescent="0.25">
      <c r="C55" s="32">
        <f>COUNTIF(Tabela2[Estádio],D55)</f>
        <v>19</v>
      </c>
      <c r="D55" s="35" t="s">
        <v>4</v>
      </c>
      <c r="E55" s="32"/>
    </row>
    <row r="56" spans="3:5" x14ac:dyDescent="0.25">
      <c r="C56" s="32">
        <f>COUNTIF(Tabela2[Estádio],D56)</f>
        <v>19</v>
      </c>
      <c r="D56" s="35" t="s">
        <v>5</v>
      </c>
      <c r="E56" s="32"/>
    </row>
    <row r="57" spans="3:5" x14ac:dyDescent="0.25">
      <c r="C57" s="32">
        <f>COUNTIF(Tabela2[Estádio],D57)</f>
        <v>17</v>
      </c>
      <c r="D57" s="35" t="s">
        <v>30</v>
      </c>
      <c r="E57" s="32"/>
    </row>
    <row r="58" spans="3:5" x14ac:dyDescent="0.25">
      <c r="C58" s="32">
        <f>COUNTIF(Tabela2[Estádio],D58)</f>
        <v>17</v>
      </c>
      <c r="D58" s="35" t="s">
        <v>36</v>
      </c>
      <c r="E58" s="32"/>
    </row>
    <row r="59" spans="3:5" x14ac:dyDescent="0.25">
      <c r="C59" s="32">
        <f>COUNTIF(Tabela2[Estádio],D59)</f>
        <v>18</v>
      </c>
      <c r="D59" s="35" t="s">
        <v>0</v>
      </c>
      <c r="E59" s="32"/>
    </row>
    <row r="60" spans="3:5" x14ac:dyDescent="0.25">
      <c r="C60" s="32">
        <f>COUNTIF(Tabela2[Estádio],D60)</f>
        <v>17</v>
      </c>
      <c r="D60" s="35" t="s">
        <v>41</v>
      </c>
      <c r="E60" s="32"/>
    </row>
    <row r="61" spans="3:5" x14ac:dyDescent="0.25">
      <c r="C61" s="32">
        <f>COUNTIF(Tabela2[Estádio],D61)</f>
        <v>17</v>
      </c>
      <c r="D61" s="35" t="s">
        <v>8</v>
      </c>
      <c r="E61" s="32"/>
    </row>
    <row r="62" spans="3:5" x14ac:dyDescent="0.25">
      <c r="C62" s="32">
        <f>COUNTIF(Tabela2[Estádio],D62)</f>
        <v>15</v>
      </c>
      <c r="D62" s="35" t="s">
        <v>6</v>
      </c>
      <c r="E62" s="32"/>
    </row>
    <row r="63" spans="3:5" x14ac:dyDescent="0.25">
      <c r="C63" s="32">
        <f>COUNTIF(Tabela2[Estádio],D63)</f>
        <v>15</v>
      </c>
      <c r="D63" s="35" t="s">
        <v>9</v>
      </c>
      <c r="E63" s="32"/>
    </row>
    <row r="64" spans="3:5" x14ac:dyDescent="0.25">
      <c r="C64" s="32">
        <f>COUNTIF(Tabela2[Estádio],D64)</f>
        <v>11</v>
      </c>
      <c r="D64" s="35" t="s">
        <v>45</v>
      </c>
      <c r="E64" s="32"/>
    </row>
    <row r="65" spans="3:5" x14ac:dyDescent="0.25">
      <c r="C65" s="32">
        <f>COUNTIF(Tabela2[Estádio],D65)</f>
        <v>11</v>
      </c>
      <c r="D65" s="35" t="s">
        <v>14</v>
      </c>
      <c r="E65" s="32"/>
    </row>
    <row r="66" spans="3:5" x14ac:dyDescent="0.25">
      <c r="C66" s="32">
        <f>COUNTIF(Tabela2[Estádio],D66)</f>
        <v>9</v>
      </c>
      <c r="D66" s="35" t="s">
        <v>7</v>
      </c>
      <c r="E66" s="32"/>
    </row>
    <row r="67" spans="3:5" x14ac:dyDescent="0.25">
      <c r="C67" s="32">
        <f>COUNTIF(Tabela2[Estádio],D67)</f>
        <v>7</v>
      </c>
      <c r="D67" s="35" t="s">
        <v>50</v>
      </c>
      <c r="E67" s="32"/>
    </row>
    <row r="68" spans="3:5" x14ac:dyDescent="0.25">
      <c r="C68" s="32">
        <f>COUNTIF(Tabela2[Estádio],D68)</f>
        <v>7</v>
      </c>
      <c r="D68" s="35" t="s">
        <v>48</v>
      </c>
      <c r="E68" s="32"/>
    </row>
    <row r="69" spans="3:5" x14ac:dyDescent="0.25">
      <c r="C69" s="32">
        <f>COUNTIF(Tabela2[Estádio],D69)</f>
        <v>8</v>
      </c>
      <c r="D69" s="35" t="s">
        <v>3</v>
      </c>
      <c r="E69" s="32"/>
    </row>
    <row r="70" spans="3:5" x14ac:dyDescent="0.25">
      <c r="C70" s="32">
        <f>COUNTIF(Tabela2[Estádio],D70)</f>
        <v>6</v>
      </c>
      <c r="D70" s="35" t="s">
        <v>23</v>
      </c>
      <c r="E70" s="32"/>
    </row>
    <row r="71" spans="3:5" x14ac:dyDescent="0.25">
      <c r="C71" s="32">
        <f>COUNTIF(Tabela2[Estádio],D71)</f>
        <v>4</v>
      </c>
      <c r="D71" s="35" t="s">
        <v>51</v>
      </c>
      <c r="E71" s="32"/>
    </row>
    <row r="72" spans="3:5" x14ac:dyDescent="0.25">
      <c r="C72" s="32">
        <f>COUNTIF(Tabela2[Estádio],D72)</f>
        <v>3</v>
      </c>
      <c r="D72" s="35" t="s">
        <v>46</v>
      </c>
      <c r="E72" s="32"/>
    </row>
    <row r="73" spans="3:5" x14ac:dyDescent="0.25">
      <c r="C73" s="32">
        <f>COUNTIF(Tabela2[Estádio],D73)</f>
        <v>3</v>
      </c>
      <c r="D73" s="35" t="s">
        <v>49</v>
      </c>
      <c r="E73" s="32"/>
    </row>
    <row r="74" spans="3:5" x14ac:dyDescent="0.25">
      <c r="C74" s="32">
        <f>COUNTIF(Tabela2[Estádio],D74)</f>
        <v>2</v>
      </c>
      <c r="D74" s="35" t="s">
        <v>42</v>
      </c>
      <c r="E74" s="32"/>
    </row>
    <row r="75" spans="3:5" x14ac:dyDescent="0.25">
      <c r="C75" s="32">
        <f>COUNTIF(Tabela2[Estádio],D75)</f>
        <v>2</v>
      </c>
      <c r="D75" s="35" t="s">
        <v>43</v>
      </c>
      <c r="E75" s="32"/>
    </row>
    <row r="76" spans="3:5" x14ac:dyDescent="0.25">
      <c r="C76" s="32">
        <f>COUNTIF(Tabela2[Estádio],D76)</f>
        <v>1</v>
      </c>
      <c r="D76" s="35" t="s">
        <v>53</v>
      </c>
      <c r="E76" s="32"/>
    </row>
    <row r="77" spans="3:5" x14ac:dyDescent="0.25">
      <c r="C77" s="32">
        <f>COUNTIF(Tabela2[Estádio],D77)</f>
        <v>1</v>
      </c>
      <c r="D77" s="35" t="s">
        <v>52</v>
      </c>
      <c r="E77" s="32"/>
    </row>
    <row r="78" spans="3:5" x14ac:dyDescent="0.25">
      <c r="C78" s="32">
        <f>COUNTIF(Tabela2[Estádio],D78)</f>
        <v>1</v>
      </c>
      <c r="D78" s="35" t="s">
        <v>47</v>
      </c>
      <c r="E78" s="32"/>
    </row>
    <row r="79" spans="3:5" x14ac:dyDescent="0.25">
      <c r="C79" s="32">
        <f>COUNTIF(Tabela2[Estádio],D79)</f>
        <v>1</v>
      </c>
      <c r="D79" s="35" t="s">
        <v>44</v>
      </c>
      <c r="E79" s="32"/>
    </row>
    <row r="80" spans="3:5" x14ac:dyDescent="0.25">
      <c r="D80" s="3"/>
    </row>
    <row r="81" spans="1:4" x14ac:dyDescent="0.25">
      <c r="A81" s="12" t="s">
        <v>228</v>
      </c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</sheetData>
  <sheetProtection algorithmName="SHA-512" hashValue="0MBQnWfkUwVZR3tH9HoUtrVGiZOA9TKKRxs73Li4dnaOFTSjJvHS59ZQnlkJnSZdQpHFrHticVpUXwibqgIENQ==" saltValue="EOhJxOLBI5ty+FWWZgrFvQ==" spinCount="100000" sheet="1" objects="1" scenarios="1"/>
  <autoFilter ref="C16:D44">
    <filterColumn colId="1">
      <filters>
        <filter val="1"/>
        <filter val="2"/>
        <filter val="20"/>
        <filter val="3"/>
        <filter val="5"/>
      </filters>
    </filterColumn>
  </autoFilter>
  <sortState ref="C49:D80">
    <sortCondition descending="1" ref="C48"/>
  </sortState>
  <mergeCells count="2">
    <mergeCell ref="C1:D1"/>
    <mergeCell ref="E1:F1"/>
  </mergeCells>
  <hyperlinks>
    <hyperlink ref="A81" r:id="rId1"/>
  </hyperlinks>
  <pageMargins left="0.511811024" right="0.511811024" top="0.78740157499999996" bottom="0.78740157499999996" header="0.31496062000000002" footer="0.31496062000000002"/>
  <ignoredErrors>
    <ignoredError sqref="E3:E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2.140625" style="19" bestFit="1" customWidth="1"/>
    <col min="2" max="3" width="9.140625" style="3"/>
    <col min="4" max="7" width="9.140625" style="19"/>
    <col min="8" max="8" width="9.140625" style="3"/>
    <col min="9" max="9" width="10.85546875" style="3" bestFit="1" customWidth="1"/>
    <col min="10" max="10" width="12.5703125" style="19" bestFit="1" customWidth="1"/>
    <col min="11" max="11" width="15.7109375" style="3" bestFit="1" customWidth="1"/>
    <col min="12" max="12" width="12.85546875" style="19" customWidth="1"/>
    <col min="13" max="13" width="15.7109375" style="3" bestFit="1" customWidth="1"/>
    <col min="14" max="14" width="9.140625" style="19"/>
    <col min="15" max="15" width="17" style="3" bestFit="1" customWidth="1"/>
    <col min="16" max="16" width="9.140625" style="19"/>
    <col min="17" max="17" width="12" style="3" customWidth="1"/>
    <col min="18" max="16384" width="9.140625" style="3"/>
  </cols>
  <sheetData>
    <row r="1" spans="1:17" x14ac:dyDescent="0.25">
      <c r="A1" s="23" t="s">
        <v>119</v>
      </c>
      <c r="B1" s="23" t="s">
        <v>120</v>
      </c>
      <c r="C1" s="5" t="s">
        <v>64</v>
      </c>
      <c r="D1" s="23" t="s">
        <v>65</v>
      </c>
      <c r="E1" s="23" t="s">
        <v>66</v>
      </c>
      <c r="F1" s="23" t="s">
        <v>67</v>
      </c>
      <c r="G1" s="23" t="s">
        <v>68</v>
      </c>
      <c r="H1" s="5" t="s">
        <v>69</v>
      </c>
      <c r="I1" s="5" t="s">
        <v>70</v>
      </c>
      <c r="J1" s="23" t="s">
        <v>71</v>
      </c>
      <c r="K1" s="5" t="s">
        <v>72</v>
      </c>
      <c r="L1" s="36" t="s">
        <v>118</v>
      </c>
      <c r="M1" s="5" t="s">
        <v>63</v>
      </c>
      <c r="N1" s="23" t="s">
        <v>141</v>
      </c>
      <c r="O1" s="23" t="s">
        <v>163</v>
      </c>
      <c r="P1" s="23" t="s">
        <v>185</v>
      </c>
      <c r="Q1" s="23" t="s">
        <v>212</v>
      </c>
    </row>
    <row r="2" spans="1:17" ht="54" customHeight="1" x14ac:dyDescent="0.25">
      <c r="A2" s="19">
        <f t="shared" ref="A2:A21" si="0">_xlfn.RANK.EQ(L2,L$2:L$21,0)</f>
        <v>20</v>
      </c>
      <c r="B2" s="19" t="s">
        <v>73</v>
      </c>
      <c r="C2" s="19">
        <f t="shared" ref="C2:C21" si="1">E2*3+F2</f>
        <v>28</v>
      </c>
      <c r="D2" s="19">
        <f>COUNTIFS(Jogos!B$2:B$381,B2,Jogos!C$2:C$381,"&lt;&gt;"&amp;"")+COUNTIFS(Jogos!E$2:E$381,B2,Jogos!C$2:C$381,"&lt;&gt;"&amp;"")</f>
        <v>38</v>
      </c>
      <c r="E2" s="19">
        <f>COUNTIFS(Tabela2[Mandante],B2,Tabela2[Resultado M],"V")+COUNTIFS(Tabela2[Visitante],B2,Tabela2[Resultado V],"V")</f>
        <v>7</v>
      </c>
      <c r="F2" s="19">
        <f>COUNTIFS(Tabela2[Mandante],B2,Tabela2[Resultado M],"E")+COUNTIFS(Tabela2[Visitante],B2,Tabela2[Resultado V],"E")</f>
        <v>7</v>
      </c>
      <c r="G2" s="19">
        <f>COUNTIFS(Tabela2[Mandante],B2,Tabela2[Resultado M],"D")+COUNTIFS(Tabela2[Visitante],B2,Tabela2[Resultado V],"D")</f>
        <v>24</v>
      </c>
      <c r="H2" s="19">
        <f>SUMIF(Tabela2[Mandante],B2,Tabela2[Gols M])+SUMIF(Tabela2[Visitante],B2,Tabela2[Gols V])</f>
        <v>23</v>
      </c>
      <c r="I2" s="19">
        <f>SUMIF(Tabela2[Mandante],B2,Tabela2[Gols V])+SUMIF(Tabela2[Visitante],B2,Tabela2[Gols M])</f>
        <v>58</v>
      </c>
      <c r="J2" s="19">
        <f t="shared" ref="J2:J21" si="2">H2-I2</f>
        <v>-35</v>
      </c>
      <c r="K2" s="37">
        <f t="shared" ref="K2:K21" si="3">C2/(D2*3)</f>
        <v>0.24561403508771928</v>
      </c>
      <c r="L2" s="19">
        <f>C2*1000000 + E2*10000 + (J2+J$23)*100 + H2+ ROW()*0.01</f>
        <v>28070023.02</v>
      </c>
      <c r="M2" s="3" t="s">
        <v>121</v>
      </c>
      <c r="N2" s="19" t="s">
        <v>144</v>
      </c>
      <c r="O2" s="3" t="s">
        <v>165</v>
      </c>
      <c r="P2" s="19" t="s">
        <v>205</v>
      </c>
    </row>
    <row r="3" spans="1:17" ht="54" customHeight="1" x14ac:dyDescent="0.25">
      <c r="A3" s="19">
        <f t="shared" si="0"/>
        <v>5</v>
      </c>
      <c r="B3" s="19" t="s">
        <v>74</v>
      </c>
      <c r="C3" s="19">
        <f t="shared" si="1"/>
        <v>59</v>
      </c>
      <c r="D3" s="19">
        <f>COUNTIFS(Jogos!B$2:B$381,B3,Jogos!C$2:C$381,"&lt;&gt;"&amp;"")+COUNTIFS(Jogos!E$2:E$381,B3,Jogos!C$2:C$381,"&lt;&gt;"&amp;"")</f>
        <v>38</v>
      </c>
      <c r="E3" s="19">
        <f>COUNTIFS(Tabela2[Mandante],B3,Tabela2[Resultado M],"V")+COUNTIFS(Tabela2[Visitante],B3,Tabela2[Resultado V],"V")</f>
        <v>17</v>
      </c>
      <c r="F3" s="19">
        <f>COUNTIFS(Tabela2[Mandante],B3,Tabela2[Resultado M],"E")+COUNTIFS(Tabela2[Visitante],B3,Tabela2[Resultado V],"E")</f>
        <v>8</v>
      </c>
      <c r="G3" s="19">
        <f>COUNTIFS(Tabela2[Mandante],B3,Tabela2[Resultado M],"D")+COUNTIFS(Tabela2[Visitante],B3,Tabela2[Resultado V],"D")</f>
        <v>13</v>
      </c>
      <c r="H3" s="19">
        <f>SUMIF(Tabela2[Mandante],B3,Tabela2[Gols M])+SUMIF(Tabela2[Visitante],B3,Tabela2[Gols V])</f>
        <v>43</v>
      </c>
      <c r="I3" s="19">
        <f>SUMIF(Tabela2[Mandante],B3,Tabela2[Gols V])+SUMIF(Tabela2[Visitante],B3,Tabela2[Gols M])</f>
        <v>39</v>
      </c>
      <c r="J3" s="19">
        <f t="shared" si="2"/>
        <v>4</v>
      </c>
      <c r="K3" s="37">
        <f t="shared" si="3"/>
        <v>0.51754385964912286</v>
      </c>
      <c r="L3" s="19">
        <f t="shared" ref="L3:L21" si="4">C3*1000000 + E3*10000 + (J3+J$23)*100 + H3+ ROW()*0.01</f>
        <v>59173943.030000001</v>
      </c>
      <c r="M3" s="3" t="s">
        <v>122</v>
      </c>
      <c r="N3" s="19" t="s">
        <v>143</v>
      </c>
      <c r="O3" s="3" t="s">
        <v>164</v>
      </c>
      <c r="P3" s="19" t="s">
        <v>205</v>
      </c>
    </row>
    <row r="4" spans="1:17" ht="54" customHeight="1" x14ac:dyDescent="0.25">
      <c r="A4" s="19">
        <f t="shared" si="0"/>
        <v>4</v>
      </c>
      <c r="B4" s="19" t="s">
        <v>75</v>
      </c>
      <c r="C4" s="19">
        <f t="shared" si="1"/>
        <v>62</v>
      </c>
      <c r="D4" s="19">
        <f>COUNTIFS(Jogos!B$2:B$381,B4,Jogos!C$2:C$381,"&lt;&gt;"&amp;"")+COUNTIFS(Jogos!E$2:E$381,B4,Jogos!C$2:C$381,"&lt;&gt;"&amp;"")</f>
        <v>37</v>
      </c>
      <c r="E4" s="19">
        <f>COUNTIFS(Tabela2[Mandante],B4,Tabela2[Resultado M],"V")+COUNTIFS(Tabela2[Visitante],B4,Tabela2[Resultado V],"V")</f>
        <v>17</v>
      </c>
      <c r="F4" s="19">
        <f>COUNTIFS(Tabela2[Mandante],B4,Tabela2[Resultado M],"E")+COUNTIFS(Tabela2[Visitante],B4,Tabela2[Resultado V],"E")</f>
        <v>11</v>
      </c>
      <c r="G4" s="19">
        <f>COUNTIFS(Tabela2[Mandante],B4,Tabela2[Resultado M],"D")+COUNTIFS(Tabela2[Visitante],B4,Tabela2[Resultado V],"D")</f>
        <v>9</v>
      </c>
      <c r="H4" s="19">
        <f>SUMIF(Tabela2[Mandante],B4,Tabela2[Gols M])+SUMIF(Tabela2[Visitante],B4,Tabela2[Gols V])</f>
        <v>61</v>
      </c>
      <c r="I4" s="19">
        <f>SUMIF(Tabela2[Mandante],B4,Tabela2[Gols V])+SUMIF(Tabela2[Visitante],B4,Tabela2[Gols M])</f>
        <v>50</v>
      </c>
      <c r="J4" s="19">
        <f t="shared" si="2"/>
        <v>11</v>
      </c>
      <c r="K4" s="37">
        <f t="shared" si="3"/>
        <v>0.55855855855855852</v>
      </c>
      <c r="L4" s="19">
        <f t="shared" si="4"/>
        <v>62174661.039999999</v>
      </c>
      <c r="M4" s="3" t="s">
        <v>126</v>
      </c>
      <c r="N4" s="19" t="s">
        <v>144</v>
      </c>
      <c r="O4" s="3" t="s">
        <v>165</v>
      </c>
      <c r="P4" s="19" t="s">
        <v>205</v>
      </c>
    </row>
    <row r="5" spans="1:17" ht="54" customHeight="1" x14ac:dyDescent="0.25">
      <c r="A5" s="19">
        <f t="shared" si="0"/>
        <v>6</v>
      </c>
      <c r="B5" s="19" t="s">
        <v>83</v>
      </c>
      <c r="C5" s="19">
        <f t="shared" si="1"/>
        <v>57</v>
      </c>
      <c r="D5" s="19">
        <f>COUNTIFS(Jogos!B$2:B$381,B5,Jogos!C$2:C$381,"&lt;&gt;"&amp;"")+COUNTIFS(Jogos!E$2:E$381,B5,Jogos!C$2:C$381,"&lt;&gt;"&amp;"")</f>
        <v>38</v>
      </c>
      <c r="E5" s="19">
        <f>COUNTIFS(Tabela2[Mandante],B5,Tabela2[Resultado M],"V")+COUNTIFS(Tabela2[Visitante],B5,Tabela2[Resultado V],"V")</f>
        <v>17</v>
      </c>
      <c r="F5" s="19">
        <f>COUNTIFS(Tabela2[Mandante],B5,Tabela2[Resultado M],"E")+COUNTIFS(Tabela2[Visitante],B5,Tabela2[Resultado V],"E")</f>
        <v>6</v>
      </c>
      <c r="G5" s="19">
        <f>COUNTIFS(Tabela2[Mandante],B5,Tabela2[Resultado M],"D")+COUNTIFS(Tabela2[Visitante],B5,Tabela2[Resultado V],"D")</f>
        <v>15</v>
      </c>
      <c r="H5" s="19">
        <f>SUMIF(Tabela2[Mandante],B5,Tabela2[Gols M])+SUMIF(Tabela2[Visitante],B5,Tabela2[Gols V])</f>
        <v>38</v>
      </c>
      <c r="I5" s="19">
        <f>SUMIF(Tabela2[Mandante],B5,Tabela2[Gols V])+SUMIF(Tabela2[Visitante],B5,Tabela2[Gols M])</f>
        <v>32</v>
      </c>
      <c r="J5" s="19">
        <f t="shared" si="2"/>
        <v>6</v>
      </c>
      <c r="K5" s="37">
        <f t="shared" si="3"/>
        <v>0.5</v>
      </c>
      <c r="L5" s="19">
        <f t="shared" si="4"/>
        <v>57174138.049999997</v>
      </c>
      <c r="M5" s="3" t="s">
        <v>127</v>
      </c>
      <c r="N5" s="19" t="s">
        <v>145</v>
      </c>
      <c r="O5" s="3" t="s">
        <v>166</v>
      </c>
      <c r="P5" s="19" t="s">
        <v>205</v>
      </c>
    </row>
    <row r="6" spans="1:17" ht="54" customHeight="1" x14ac:dyDescent="0.25">
      <c r="A6" s="19">
        <f t="shared" si="0"/>
        <v>15</v>
      </c>
      <c r="B6" s="19" t="s">
        <v>76</v>
      </c>
      <c r="C6" s="19">
        <f t="shared" si="1"/>
        <v>46</v>
      </c>
      <c r="D6" s="19">
        <f>COUNTIFS(Jogos!B$2:B$381,B6,Jogos!C$2:C$381,"&lt;&gt;"&amp;"")+COUNTIFS(Jogos!E$2:E$381,B6,Jogos!C$2:C$381,"&lt;&gt;"&amp;"")</f>
        <v>38</v>
      </c>
      <c r="E6" s="19">
        <f>COUNTIFS(Tabela2[Mandante],B6,Tabela2[Resultado M],"V")+COUNTIFS(Tabela2[Visitante],B6,Tabela2[Resultado V],"V")</f>
        <v>11</v>
      </c>
      <c r="F6" s="19">
        <f>COUNTIFS(Tabela2[Mandante],B6,Tabela2[Resultado M],"E")+COUNTIFS(Tabela2[Visitante],B6,Tabela2[Resultado V],"E")</f>
        <v>13</v>
      </c>
      <c r="G6" s="19">
        <f>COUNTIFS(Tabela2[Mandante],B6,Tabela2[Resultado M],"D")+COUNTIFS(Tabela2[Visitante],B6,Tabela2[Resultado V],"D")</f>
        <v>14</v>
      </c>
      <c r="H6" s="19">
        <f>SUMIF(Tabela2[Mandante],B6,Tabela2[Gols M])+SUMIF(Tabela2[Visitante],B6,Tabela2[Gols V])</f>
        <v>41</v>
      </c>
      <c r="I6" s="19">
        <f>SUMIF(Tabela2[Mandante],B6,Tabela2[Gols V])+SUMIF(Tabela2[Visitante],B6,Tabela2[Gols M])</f>
        <v>42</v>
      </c>
      <c r="J6" s="19">
        <f t="shared" si="2"/>
        <v>-1</v>
      </c>
      <c r="K6" s="37">
        <f t="shared" si="3"/>
        <v>0.40350877192982454</v>
      </c>
      <c r="L6" s="19">
        <f t="shared" si="4"/>
        <v>46113441.060000002</v>
      </c>
      <c r="M6" s="3" t="s">
        <v>135</v>
      </c>
      <c r="N6" s="19" t="s">
        <v>145</v>
      </c>
      <c r="O6" s="3" t="s">
        <v>166</v>
      </c>
      <c r="P6" s="19" t="s">
        <v>205</v>
      </c>
    </row>
    <row r="7" spans="1:17" ht="54" customHeight="1" x14ac:dyDescent="0.25">
      <c r="A7" s="19">
        <f t="shared" si="0"/>
        <v>11</v>
      </c>
      <c r="B7" s="19" t="s">
        <v>84</v>
      </c>
      <c r="C7" s="19">
        <f t="shared" si="1"/>
        <v>52</v>
      </c>
      <c r="D7" s="19">
        <f>COUNTIFS(Jogos!B$2:B$381,B7,Jogos!C$2:C$381,"&lt;&gt;"&amp;"")+COUNTIFS(Jogos!E$2:E$381,B7,Jogos!C$2:C$381,"&lt;&gt;"&amp;"")</f>
        <v>37</v>
      </c>
      <c r="E7" s="19">
        <f>COUNTIFS(Tabela2[Mandante],B7,Tabela2[Resultado M],"V")+COUNTIFS(Tabela2[Visitante],B7,Tabela2[Resultado V],"V")</f>
        <v>13</v>
      </c>
      <c r="F7" s="19">
        <f>COUNTIFS(Tabela2[Mandante],B7,Tabela2[Resultado M],"E")+COUNTIFS(Tabela2[Visitante],B7,Tabela2[Resultado V],"E")</f>
        <v>13</v>
      </c>
      <c r="G7" s="19">
        <f>COUNTIFS(Tabela2[Mandante],B7,Tabela2[Resultado M],"D")+COUNTIFS(Tabela2[Visitante],B7,Tabela2[Resultado V],"D")</f>
        <v>11</v>
      </c>
      <c r="H7" s="19">
        <f>SUMIF(Tabela2[Mandante],B7,Tabela2[Gols M])+SUMIF(Tabela2[Visitante],B7,Tabela2[Gols V])</f>
        <v>49</v>
      </c>
      <c r="I7" s="19">
        <f>SUMIF(Tabela2[Mandante],B7,Tabela2[Gols V])+SUMIF(Tabela2[Visitante],B7,Tabela2[Gols M])</f>
        <v>53</v>
      </c>
      <c r="J7" s="19">
        <f t="shared" si="2"/>
        <v>-4</v>
      </c>
      <c r="K7" s="37">
        <f t="shared" si="3"/>
        <v>0.46846846846846846</v>
      </c>
      <c r="L7" s="19">
        <f t="shared" si="4"/>
        <v>52133149.07</v>
      </c>
      <c r="M7" s="3" t="s">
        <v>130</v>
      </c>
      <c r="N7" s="19" t="s">
        <v>147</v>
      </c>
      <c r="O7" s="3" t="s">
        <v>167</v>
      </c>
      <c r="P7" s="19" t="s">
        <v>206</v>
      </c>
    </row>
    <row r="8" spans="1:17" ht="54" customHeight="1" x14ac:dyDescent="0.25">
      <c r="A8" s="19">
        <f t="shared" si="0"/>
        <v>7</v>
      </c>
      <c r="B8" s="19" t="s">
        <v>77</v>
      </c>
      <c r="C8" s="19">
        <f t="shared" si="1"/>
        <v>55</v>
      </c>
      <c r="D8" s="19">
        <f>COUNTIFS(Jogos!B$2:B$381,B8,Jogos!C$2:C$381,"&lt;&gt;"&amp;"")+COUNTIFS(Jogos!E$2:E$381,B8,Jogos!C$2:C$381,"&lt;&gt;"&amp;"")</f>
        <v>38</v>
      </c>
      <c r="E8" s="19">
        <f>COUNTIFS(Tabela2[Mandante],B8,Tabela2[Resultado M],"V")+COUNTIFS(Tabela2[Visitante],B8,Tabela2[Resultado V],"V")</f>
        <v>15</v>
      </c>
      <c r="F8" s="19">
        <f>COUNTIFS(Tabela2[Mandante],B8,Tabela2[Resultado M],"E")+COUNTIFS(Tabela2[Visitante],B8,Tabela2[Resultado V],"E")</f>
        <v>10</v>
      </c>
      <c r="G8" s="19">
        <f>COUNTIFS(Tabela2[Mandante],B8,Tabela2[Resultado M],"D")+COUNTIFS(Tabela2[Visitante],B8,Tabela2[Resultado V],"D")</f>
        <v>13</v>
      </c>
      <c r="H8" s="19">
        <f>SUMIF(Tabela2[Mandante],B8,Tabela2[Gols M])+SUMIF(Tabela2[Visitante],B8,Tabela2[Gols V])</f>
        <v>48</v>
      </c>
      <c r="I8" s="19">
        <f>SUMIF(Tabela2[Mandante],B8,Tabela2[Gols V])+SUMIF(Tabela2[Visitante],B8,Tabela2[Gols M])</f>
        <v>42</v>
      </c>
      <c r="J8" s="19">
        <f t="shared" si="2"/>
        <v>6</v>
      </c>
      <c r="K8" s="37">
        <f t="shared" si="3"/>
        <v>0.48245614035087719</v>
      </c>
      <c r="L8" s="19">
        <f t="shared" si="4"/>
        <v>55154148.079999998</v>
      </c>
      <c r="M8" s="3" t="s">
        <v>128</v>
      </c>
      <c r="N8" s="19" t="s">
        <v>142</v>
      </c>
      <c r="O8" s="3" t="s">
        <v>132</v>
      </c>
      <c r="P8" s="19" t="s">
        <v>205</v>
      </c>
    </row>
    <row r="9" spans="1:17" ht="54" customHeight="1" x14ac:dyDescent="0.25">
      <c r="A9" s="19">
        <f t="shared" si="0"/>
        <v>12</v>
      </c>
      <c r="B9" s="19" t="s">
        <v>85</v>
      </c>
      <c r="C9" s="19">
        <f t="shared" si="1"/>
        <v>51</v>
      </c>
      <c r="D9" s="19">
        <f>COUNTIFS(Jogos!B$2:B$381,B9,Jogos!C$2:C$381,"&lt;&gt;"&amp;"")+COUNTIFS(Jogos!E$2:E$381,B9,Jogos!C$2:C$381,"&lt;&gt;"&amp;"")</f>
        <v>38</v>
      </c>
      <c r="E9" s="19">
        <f>COUNTIFS(Tabela2[Mandante],B9,Tabela2[Resultado M],"V")+COUNTIFS(Tabela2[Visitante],B9,Tabela2[Resultado V],"V")</f>
        <v>14</v>
      </c>
      <c r="F9" s="19">
        <f>COUNTIFS(Tabela2[Mandante],B9,Tabela2[Resultado M],"E")+COUNTIFS(Tabela2[Visitante],B9,Tabela2[Resultado V],"E")</f>
        <v>9</v>
      </c>
      <c r="G9" s="19">
        <f>COUNTIFS(Tabela2[Mandante],B9,Tabela2[Resultado M],"D")+COUNTIFS(Tabela2[Visitante],B9,Tabela2[Resultado V],"D")</f>
        <v>15</v>
      </c>
      <c r="H9" s="19">
        <f>SUMIF(Tabela2[Mandante],B9,Tabela2[Gols M])+SUMIF(Tabela2[Visitante],B9,Tabela2[Gols V])</f>
        <v>48</v>
      </c>
      <c r="I9" s="19">
        <f>SUMIF(Tabela2[Mandante],B9,Tabela2[Gols V])+SUMIF(Tabela2[Visitante],B9,Tabela2[Gols M])</f>
        <v>49</v>
      </c>
      <c r="J9" s="19">
        <f t="shared" si="2"/>
        <v>-1</v>
      </c>
      <c r="K9" s="37">
        <f t="shared" si="3"/>
        <v>0.44736842105263158</v>
      </c>
      <c r="L9" s="19">
        <f t="shared" si="4"/>
        <v>51143448.090000004</v>
      </c>
      <c r="M9" s="3" t="s">
        <v>134</v>
      </c>
      <c r="N9" s="19" t="s">
        <v>144</v>
      </c>
      <c r="O9" s="3" t="s">
        <v>165</v>
      </c>
      <c r="P9" s="19" t="s">
        <v>205</v>
      </c>
    </row>
    <row r="10" spans="1:17" ht="54" customHeight="1" x14ac:dyDescent="0.25">
      <c r="A10" s="19">
        <f t="shared" si="0"/>
        <v>18</v>
      </c>
      <c r="B10" s="19" t="s">
        <v>78</v>
      </c>
      <c r="C10" s="19">
        <f t="shared" si="1"/>
        <v>37</v>
      </c>
      <c r="D10" s="19">
        <f>COUNTIFS(Jogos!B$2:B$381,B10,Jogos!C$2:C$381,"&lt;&gt;"&amp;"")+COUNTIFS(Jogos!E$2:E$381,B10,Jogos!C$2:C$381,"&lt;&gt;"&amp;"")</f>
        <v>38</v>
      </c>
      <c r="E10" s="19">
        <f>COUNTIFS(Tabela2[Mandante],B10,Tabela2[Resultado M],"V")+COUNTIFS(Tabela2[Visitante],B10,Tabela2[Resultado V],"V")</f>
        <v>8</v>
      </c>
      <c r="F10" s="19">
        <f>COUNTIFS(Tabela2[Mandante],B10,Tabela2[Resultado M],"E")+COUNTIFS(Tabela2[Visitante],B10,Tabela2[Resultado V],"E")</f>
        <v>13</v>
      </c>
      <c r="G10" s="19">
        <f>COUNTIFS(Tabela2[Mandante],B10,Tabela2[Resultado M],"D")+COUNTIFS(Tabela2[Visitante],B10,Tabela2[Resultado V],"D")</f>
        <v>17</v>
      </c>
      <c r="H10" s="19">
        <f>SUMIF(Tabela2[Mandante],B10,Tabela2[Gols M])+SUMIF(Tabela2[Visitante],B10,Tabela2[Gols V])</f>
        <v>30</v>
      </c>
      <c r="I10" s="19">
        <f>SUMIF(Tabela2[Mandante],B10,Tabela2[Gols V])+SUMIF(Tabela2[Visitante],B10,Tabela2[Gols M])</f>
        <v>50</v>
      </c>
      <c r="J10" s="19">
        <f t="shared" si="2"/>
        <v>-20</v>
      </c>
      <c r="K10" s="37">
        <f t="shared" si="3"/>
        <v>0.32456140350877194</v>
      </c>
      <c r="L10" s="19">
        <f t="shared" si="4"/>
        <v>37081530.100000001</v>
      </c>
      <c r="M10" s="3" t="s">
        <v>138</v>
      </c>
      <c r="N10" s="19" t="s">
        <v>147</v>
      </c>
      <c r="O10" s="3" t="s">
        <v>172</v>
      </c>
      <c r="P10" s="19" t="s">
        <v>205</v>
      </c>
    </row>
    <row r="11" spans="1:17" ht="54" customHeight="1" x14ac:dyDescent="0.25">
      <c r="A11" s="19">
        <f t="shared" si="0"/>
        <v>3</v>
      </c>
      <c r="B11" s="19" t="s">
        <v>79</v>
      </c>
      <c r="C11" s="19">
        <f t="shared" si="1"/>
        <v>71</v>
      </c>
      <c r="D11" s="19">
        <f>COUNTIFS(Jogos!B$2:B$381,B11,Jogos!C$2:C$381,"&lt;&gt;"&amp;"")+COUNTIFS(Jogos!E$2:E$381,B11,Jogos!C$2:C$381,"&lt;&gt;"&amp;"")</f>
        <v>38</v>
      </c>
      <c r="E11" s="19">
        <f>COUNTIFS(Tabela2[Mandante],B11,Tabela2[Resultado M],"V")+COUNTIFS(Tabela2[Visitante],B11,Tabela2[Resultado V],"V")</f>
        <v>20</v>
      </c>
      <c r="F11" s="19">
        <f>COUNTIFS(Tabela2[Mandante],B11,Tabela2[Resultado M],"E")+COUNTIFS(Tabela2[Visitante],B11,Tabela2[Resultado V],"E")</f>
        <v>11</v>
      </c>
      <c r="G11" s="19">
        <f>COUNTIFS(Tabela2[Mandante],B11,Tabela2[Resultado M],"D")+COUNTIFS(Tabela2[Visitante],B11,Tabela2[Resultado V],"D")</f>
        <v>7</v>
      </c>
      <c r="H11" s="19">
        <f>SUMIF(Tabela2[Mandante],B11,Tabela2[Gols M])+SUMIF(Tabela2[Visitante],B11,Tabela2[Gols V])</f>
        <v>52</v>
      </c>
      <c r="I11" s="19">
        <f>SUMIF(Tabela2[Mandante],B11,Tabela2[Gols V])+SUMIF(Tabela2[Visitante],B11,Tabela2[Gols M])</f>
        <v>35</v>
      </c>
      <c r="J11" s="19">
        <f t="shared" si="2"/>
        <v>17</v>
      </c>
      <c r="K11" s="37">
        <f t="shared" si="3"/>
        <v>0.6228070175438597</v>
      </c>
      <c r="L11" s="19">
        <f t="shared" si="4"/>
        <v>71205252.109999999</v>
      </c>
      <c r="M11" s="3" t="s">
        <v>124</v>
      </c>
      <c r="N11" s="19" t="s">
        <v>143</v>
      </c>
      <c r="O11" s="3" t="s">
        <v>164</v>
      </c>
      <c r="P11" s="19" t="s">
        <v>205</v>
      </c>
    </row>
    <row r="12" spans="1:17" ht="54" customHeight="1" x14ac:dyDescent="0.25">
      <c r="A12" s="19">
        <f t="shared" si="0"/>
        <v>13</v>
      </c>
      <c r="B12" s="19" t="s">
        <v>86</v>
      </c>
      <c r="C12" s="19">
        <f t="shared" si="1"/>
        <v>50</v>
      </c>
      <c r="D12" s="19">
        <f>COUNTIFS(Jogos!B$2:B$381,B12,Jogos!C$2:C$381,"&lt;&gt;"&amp;"")+COUNTIFS(Jogos!E$2:E$381,B12,Jogos!C$2:C$381,"&lt;&gt;"&amp;"")</f>
        <v>38</v>
      </c>
      <c r="E12" s="19">
        <f>COUNTIFS(Tabela2[Mandante],B12,Tabela2[Resultado M],"V")+COUNTIFS(Tabela2[Visitante],B12,Tabela2[Resultado V],"V")</f>
        <v>13</v>
      </c>
      <c r="F12" s="19">
        <f>COUNTIFS(Tabela2[Mandante],B12,Tabela2[Resultado M],"E")+COUNTIFS(Tabela2[Visitante],B12,Tabela2[Resultado V],"E")</f>
        <v>11</v>
      </c>
      <c r="G12" s="19">
        <f>COUNTIFS(Tabela2[Mandante],B12,Tabela2[Resultado M],"D")+COUNTIFS(Tabela2[Visitante],B12,Tabela2[Resultado V],"D")</f>
        <v>14</v>
      </c>
      <c r="H12" s="19">
        <f>SUMIF(Tabela2[Mandante],B12,Tabela2[Gols M])+SUMIF(Tabela2[Visitante],B12,Tabela2[Gols V])</f>
        <v>45</v>
      </c>
      <c r="I12" s="19">
        <f>SUMIF(Tabela2[Mandante],B12,Tabela2[Gols V])+SUMIF(Tabela2[Visitante],B12,Tabela2[Gols M])</f>
        <v>45</v>
      </c>
      <c r="J12" s="19">
        <f t="shared" si="2"/>
        <v>0</v>
      </c>
      <c r="K12" s="37">
        <f t="shared" si="3"/>
        <v>0.43859649122807015</v>
      </c>
      <c r="L12" s="19">
        <f t="shared" si="4"/>
        <v>50133545.119999997</v>
      </c>
      <c r="M12" s="3" t="s">
        <v>133</v>
      </c>
      <c r="N12" s="19" t="s">
        <v>143</v>
      </c>
      <c r="O12" s="3" t="s">
        <v>164</v>
      </c>
      <c r="P12" s="19" t="s">
        <v>205</v>
      </c>
    </row>
    <row r="13" spans="1:17" ht="54" customHeight="1" x14ac:dyDescent="0.25">
      <c r="A13" s="19">
        <f t="shared" si="0"/>
        <v>9</v>
      </c>
      <c r="B13" s="19" t="s">
        <v>87</v>
      </c>
      <c r="C13" s="19">
        <f t="shared" si="1"/>
        <v>53</v>
      </c>
      <c r="D13" s="19">
        <f>COUNTIFS(Jogos!B$2:B$381,B13,Jogos!C$2:C$381,"&lt;&gt;"&amp;"")+COUNTIFS(Jogos!E$2:E$381,B13,Jogos!C$2:C$381,"&lt;&gt;"&amp;"")</f>
        <v>38</v>
      </c>
      <c r="E13" s="19">
        <f>COUNTIFS(Tabela2[Mandante],B13,Tabela2[Resultado M],"V")+COUNTIFS(Tabela2[Visitante],B13,Tabela2[Resultado V],"V")</f>
        <v>14</v>
      </c>
      <c r="F13" s="19">
        <f>COUNTIFS(Tabela2[Mandante],B13,Tabela2[Resultado M],"E")+COUNTIFS(Tabela2[Visitante],B13,Tabela2[Resultado V],"E")</f>
        <v>11</v>
      </c>
      <c r="G13" s="19">
        <f>COUNTIFS(Tabela2[Mandante],B13,Tabela2[Resultado M],"D")+COUNTIFS(Tabela2[Visitante],B13,Tabela2[Resultado V],"D")</f>
        <v>13</v>
      </c>
      <c r="H13" s="19">
        <f>SUMIF(Tabela2[Mandante],B13,Tabela2[Gols M])+SUMIF(Tabela2[Visitante],B13,Tabela2[Gols V])</f>
        <v>41</v>
      </c>
      <c r="I13" s="19">
        <f>SUMIF(Tabela2[Mandante],B13,Tabela2[Gols V])+SUMIF(Tabela2[Visitante],B13,Tabela2[Gols M])</f>
        <v>44</v>
      </c>
      <c r="J13" s="19">
        <f t="shared" si="2"/>
        <v>-3</v>
      </c>
      <c r="K13" s="37">
        <f t="shared" si="3"/>
        <v>0.46491228070175439</v>
      </c>
      <c r="L13" s="19">
        <f t="shared" si="4"/>
        <v>53143241.130000003</v>
      </c>
      <c r="M13" s="3" t="s">
        <v>129</v>
      </c>
      <c r="N13" s="19" t="s">
        <v>146</v>
      </c>
      <c r="O13" s="3" t="s">
        <v>168</v>
      </c>
      <c r="P13" s="19" t="s">
        <v>205</v>
      </c>
    </row>
    <row r="14" spans="1:17" ht="54" customHeight="1" x14ac:dyDescent="0.25">
      <c r="A14" s="19">
        <f t="shared" si="0"/>
        <v>17</v>
      </c>
      <c r="B14" s="19" t="s">
        <v>80</v>
      </c>
      <c r="C14" s="19">
        <f t="shared" si="1"/>
        <v>43</v>
      </c>
      <c r="D14" s="19">
        <f>COUNTIFS(Jogos!B$2:B$381,B14,Jogos!C$2:C$381,"&lt;&gt;"&amp;"")+COUNTIFS(Jogos!E$2:E$381,B14,Jogos!C$2:C$381,"&lt;&gt;"&amp;"")</f>
        <v>38</v>
      </c>
      <c r="E14" s="19">
        <f>COUNTIFS(Tabela2[Mandante],B14,Tabela2[Resultado M],"V")+COUNTIFS(Tabela2[Visitante],B14,Tabela2[Resultado V],"V")</f>
        <v>11</v>
      </c>
      <c r="F14" s="19">
        <f>COUNTIFS(Tabela2[Mandante],B14,Tabela2[Resultado M],"E")+COUNTIFS(Tabela2[Visitante],B14,Tabela2[Resultado V],"E")</f>
        <v>10</v>
      </c>
      <c r="G14" s="19">
        <f>COUNTIFS(Tabela2[Mandante],B14,Tabela2[Resultado M],"D")+COUNTIFS(Tabela2[Visitante],B14,Tabela2[Resultado V],"D")</f>
        <v>17</v>
      </c>
      <c r="H14" s="19">
        <f>SUMIF(Tabela2[Mandante],B14,Tabela2[Gols M])+SUMIF(Tabela2[Visitante],B14,Tabela2[Gols V])</f>
        <v>35</v>
      </c>
      <c r="I14" s="19">
        <f>SUMIF(Tabela2[Mandante],B14,Tabela2[Gols V])+SUMIF(Tabela2[Visitante],B14,Tabela2[Gols M])</f>
        <v>41</v>
      </c>
      <c r="J14" s="19">
        <f t="shared" si="2"/>
        <v>-6</v>
      </c>
      <c r="K14" s="37">
        <f t="shared" si="3"/>
        <v>0.37719298245614036</v>
      </c>
      <c r="L14" s="19">
        <f t="shared" si="4"/>
        <v>43112935.140000001</v>
      </c>
      <c r="M14" s="3" t="s">
        <v>137</v>
      </c>
      <c r="N14" s="19" t="s">
        <v>146</v>
      </c>
      <c r="O14" s="3" t="s">
        <v>168</v>
      </c>
      <c r="P14" s="19" t="s">
        <v>205</v>
      </c>
    </row>
    <row r="15" spans="1:17" ht="54" customHeight="1" x14ac:dyDescent="0.25">
      <c r="A15" s="19">
        <f t="shared" si="0"/>
        <v>1</v>
      </c>
      <c r="B15" s="19" t="s">
        <v>81</v>
      </c>
      <c r="C15" s="19">
        <f t="shared" si="1"/>
        <v>80</v>
      </c>
      <c r="D15" s="19">
        <f>COUNTIFS(Jogos!B$2:B$381,B15,Jogos!C$2:C$381,"&lt;&gt;"&amp;"")+COUNTIFS(Jogos!E$2:E$381,B15,Jogos!C$2:C$381,"&lt;&gt;"&amp;"")</f>
        <v>38</v>
      </c>
      <c r="E15" s="19">
        <f>COUNTIFS(Tabela2[Mandante],B15,Tabela2[Resultado M],"V")+COUNTIFS(Tabela2[Visitante],B15,Tabela2[Resultado V],"V")</f>
        <v>24</v>
      </c>
      <c r="F15" s="19">
        <f>COUNTIFS(Tabela2[Mandante],B15,Tabela2[Resultado M],"E")+COUNTIFS(Tabela2[Visitante],B15,Tabela2[Resultado V],"E")</f>
        <v>8</v>
      </c>
      <c r="G15" s="19">
        <f>COUNTIFS(Tabela2[Mandante],B15,Tabela2[Resultado M],"D")+COUNTIFS(Tabela2[Visitante],B15,Tabela2[Resultado V],"D")</f>
        <v>6</v>
      </c>
      <c r="H15" s="19">
        <f>SUMIF(Tabela2[Mandante],B15,Tabela2[Gols M])+SUMIF(Tabela2[Visitante],B15,Tabela2[Gols V])</f>
        <v>62</v>
      </c>
      <c r="I15" s="19">
        <f>SUMIF(Tabela2[Mandante],B15,Tabela2[Gols V])+SUMIF(Tabela2[Visitante],B15,Tabela2[Gols M])</f>
        <v>32</v>
      </c>
      <c r="J15" s="19">
        <f t="shared" si="2"/>
        <v>30</v>
      </c>
      <c r="K15" s="37">
        <f t="shared" si="3"/>
        <v>0.70175438596491224</v>
      </c>
      <c r="L15" s="19">
        <f t="shared" si="4"/>
        <v>80246562.150000006</v>
      </c>
      <c r="M15" s="3" t="s">
        <v>123</v>
      </c>
      <c r="N15" s="19" t="s">
        <v>142</v>
      </c>
      <c r="O15" s="3" t="s">
        <v>132</v>
      </c>
      <c r="P15" s="19" t="s">
        <v>205</v>
      </c>
    </row>
    <row r="16" spans="1:17" ht="54" customHeight="1" x14ac:dyDescent="0.25">
      <c r="A16" s="19">
        <f t="shared" si="0"/>
        <v>8</v>
      </c>
      <c r="B16" s="19" t="s">
        <v>88</v>
      </c>
      <c r="C16" s="19">
        <f t="shared" si="1"/>
        <v>53</v>
      </c>
      <c r="D16" s="19">
        <f>COUNTIFS(Jogos!B$2:B$381,B16,Jogos!C$2:C$381,"&lt;&gt;"&amp;"")+COUNTIFS(Jogos!E$2:E$381,B16,Jogos!C$2:C$381,"&lt;&gt;"&amp;"")</f>
        <v>38</v>
      </c>
      <c r="E16" s="19">
        <f>COUNTIFS(Tabela2[Mandante],B16,Tabela2[Resultado M],"V")+COUNTIFS(Tabela2[Visitante],B16,Tabela2[Resultado V],"V")</f>
        <v>15</v>
      </c>
      <c r="F16" s="19">
        <f>COUNTIFS(Tabela2[Mandante],B16,Tabela2[Resultado M],"E")+COUNTIFS(Tabela2[Visitante],B16,Tabela2[Resultado V],"E")</f>
        <v>8</v>
      </c>
      <c r="G16" s="19">
        <f>COUNTIFS(Tabela2[Mandante],B16,Tabela2[Resultado M],"D")+COUNTIFS(Tabela2[Visitante],B16,Tabela2[Resultado V],"D")</f>
        <v>15</v>
      </c>
      <c r="H16" s="19">
        <f>SUMIF(Tabela2[Mandante],B16,Tabela2[Gols M])+SUMIF(Tabela2[Visitante],B16,Tabela2[Gols V])</f>
        <v>48</v>
      </c>
      <c r="I16" s="19">
        <f>SUMIF(Tabela2[Mandante],B16,Tabela2[Gols V])+SUMIF(Tabela2[Visitante],B16,Tabela2[Gols M])</f>
        <v>52</v>
      </c>
      <c r="J16" s="19">
        <f t="shared" si="2"/>
        <v>-4</v>
      </c>
      <c r="K16" s="37">
        <f t="shared" si="3"/>
        <v>0.46491228070175439</v>
      </c>
      <c r="L16" s="19">
        <f t="shared" si="4"/>
        <v>53153148.159999996</v>
      </c>
      <c r="M16" s="3" t="s">
        <v>131</v>
      </c>
      <c r="N16" s="19" t="s">
        <v>142</v>
      </c>
      <c r="O16" s="3" t="s">
        <v>171</v>
      </c>
      <c r="P16" s="19" t="s">
        <v>206</v>
      </c>
    </row>
    <row r="17" spans="1:17" ht="54" customHeight="1" x14ac:dyDescent="0.25">
      <c r="A17" s="19">
        <f t="shared" si="0"/>
        <v>2</v>
      </c>
      <c r="B17" s="19" t="s">
        <v>89</v>
      </c>
      <c r="C17" s="19">
        <f t="shared" si="1"/>
        <v>71</v>
      </c>
      <c r="D17" s="19">
        <f>COUNTIFS(Jogos!B$2:B$381,B17,Jogos!C$2:C$381,"&lt;&gt;"&amp;"")+COUNTIFS(Jogos!E$2:E$381,B17,Jogos!C$2:C$381,"&lt;&gt;"&amp;"")</f>
        <v>38</v>
      </c>
      <c r="E17" s="19">
        <f>COUNTIFS(Tabela2[Mandante],B17,Tabela2[Resultado M],"V")+COUNTIFS(Tabela2[Visitante],B17,Tabela2[Resultado V],"V")</f>
        <v>22</v>
      </c>
      <c r="F17" s="19">
        <f>COUNTIFS(Tabela2[Mandante],B17,Tabela2[Resultado M],"E")+COUNTIFS(Tabela2[Visitante],B17,Tabela2[Resultado V],"E")</f>
        <v>5</v>
      </c>
      <c r="G17" s="19">
        <f>COUNTIFS(Tabela2[Mandante],B17,Tabela2[Resultado M],"D")+COUNTIFS(Tabela2[Visitante],B17,Tabela2[Resultado V],"D")</f>
        <v>11</v>
      </c>
      <c r="H17" s="19">
        <f>SUMIF(Tabela2[Mandante],B17,Tabela2[Gols M])+SUMIF(Tabela2[Visitante],B17,Tabela2[Gols V])</f>
        <v>59</v>
      </c>
      <c r="I17" s="19">
        <f>SUMIF(Tabela2[Mandante],B17,Tabela2[Gols V])+SUMIF(Tabela2[Visitante],B17,Tabela2[Gols M])</f>
        <v>35</v>
      </c>
      <c r="J17" s="19">
        <f t="shared" si="2"/>
        <v>24</v>
      </c>
      <c r="K17" s="37">
        <f t="shared" si="3"/>
        <v>0.6228070175438597</v>
      </c>
      <c r="L17" s="19">
        <f t="shared" si="4"/>
        <v>71225959.170000002</v>
      </c>
      <c r="M17" s="3" t="s">
        <v>125</v>
      </c>
      <c r="N17" s="19" t="s">
        <v>142</v>
      </c>
      <c r="O17" s="3" t="s">
        <v>125</v>
      </c>
      <c r="P17" s="19" t="s">
        <v>206</v>
      </c>
    </row>
    <row r="18" spans="1:17" ht="54" customHeight="1" x14ac:dyDescent="0.25">
      <c r="A18" s="19">
        <f t="shared" si="0"/>
        <v>10</v>
      </c>
      <c r="B18" s="19" t="s">
        <v>92</v>
      </c>
      <c r="C18" s="19">
        <f t="shared" si="1"/>
        <v>52</v>
      </c>
      <c r="D18" s="19">
        <f>COUNTIFS(Jogos!B$2:B$381,B18,Jogos!C$2:C$381,"&lt;&gt;"&amp;"")+COUNTIFS(Jogos!E$2:E$381,B18,Jogos!C$2:C$381,"&lt;&gt;"&amp;"")</f>
        <v>38</v>
      </c>
      <c r="E18" s="19">
        <f>COUNTIFS(Tabela2[Mandante],B18,Tabela2[Resultado M],"V")+COUNTIFS(Tabela2[Visitante],B18,Tabela2[Resultado V],"V")</f>
        <v>14</v>
      </c>
      <c r="F18" s="19">
        <f>COUNTIFS(Tabela2[Mandante],B18,Tabela2[Resultado M],"E")+COUNTIFS(Tabela2[Visitante],B18,Tabela2[Resultado V],"E")</f>
        <v>10</v>
      </c>
      <c r="G18" s="19">
        <f>COUNTIFS(Tabela2[Mandante],B18,Tabela2[Resultado M],"D")+COUNTIFS(Tabela2[Visitante],B18,Tabela2[Resultado V],"D")</f>
        <v>14</v>
      </c>
      <c r="H18" s="19">
        <f>SUMIF(Tabela2[Mandante],B18,Tabela2[Gols M])+SUMIF(Tabela2[Visitante],B18,Tabela2[Gols V])</f>
        <v>44</v>
      </c>
      <c r="I18" s="19">
        <f>SUMIF(Tabela2[Mandante],B18,Tabela2[Gols V])+SUMIF(Tabela2[Visitante],B18,Tabela2[Gols M])</f>
        <v>36</v>
      </c>
      <c r="J18" s="19">
        <f t="shared" si="2"/>
        <v>8</v>
      </c>
      <c r="K18" s="37">
        <f t="shared" si="3"/>
        <v>0.45614035087719296</v>
      </c>
      <c r="L18" s="19">
        <f t="shared" si="4"/>
        <v>52144344.18</v>
      </c>
      <c r="M18" s="3" t="s">
        <v>132</v>
      </c>
      <c r="N18" s="19" t="s">
        <v>142</v>
      </c>
      <c r="O18" s="3" t="s">
        <v>132</v>
      </c>
      <c r="P18" s="19" t="s">
        <v>205</v>
      </c>
    </row>
    <row r="19" spans="1:17" ht="54" customHeight="1" x14ac:dyDescent="0.25">
      <c r="A19" s="19">
        <f t="shared" si="0"/>
        <v>14</v>
      </c>
      <c r="B19" s="19" t="s">
        <v>90</v>
      </c>
      <c r="C19" s="19">
        <f t="shared" si="1"/>
        <v>47</v>
      </c>
      <c r="D19" s="19">
        <f>COUNTIFS(Jogos!B$2:B$381,B19,Jogos!C$2:C$381,"&lt;&gt;"&amp;"")+COUNTIFS(Jogos!E$2:E$381,B19,Jogos!C$2:C$381,"&lt;&gt;"&amp;"")</f>
        <v>38</v>
      </c>
      <c r="E19" s="19">
        <f>COUNTIFS(Tabela2[Mandante],B19,Tabela2[Resultado M],"V")+COUNTIFS(Tabela2[Visitante],B19,Tabela2[Resultado V],"V")</f>
        <v>13</v>
      </c>
      <c r="F19" s="19">
        <f>COUNTIFS(Tabela2[Mandante],B19,Tabela2[Resultado M],"E")+COUNTIFS(Tabela2[Visitante],B19,Tabela2[Resultado V],"E")</f>
        <v>8</v>
      </c>
      <c r="G19" s="19">
        <f>COUNTIFS(Tabela2[Mandante],B19,Tabela2[Resultado M],"D")+COUNTIFS(Tabela2[Visitante],B19,Tabela2[Resultado V],"D")</f>
        <v>17</v>
      </c>
      <c r="H19" s="19">
        <f>SUMIF(Tabela2[Mandante],B19,Tabela2[Gols M])+SUMIF(Tabela2[Visitante],B19,Tabela2[Gols V])</f>
        <v>49</v>
      </c>
      <c r="I19" s="19">
        <f>SUMIF(Tabela2[Mandante],B19,Tabela2[Gols V])+SUMIF(Tabela2[Visitante],B19,Tabela2[Gols M])</f>
        <v>55</v>
      </c>
      <c r="J19" s="19">
        <f t="shared" si="2"/>
        <v>-6</v>
      </c>
      <c r="K19" s="37">
        <f t="shared" si="3"/>
        <v>0.41228070175438597</v>
      </c>
      <c r="L19" s="19">
        <f t="shared" si="4"/>
        <v>47132949.189999998</v>
      </c>
      <c r="M19" s="3" t="s">
        <v>140</v>
      </c>
      <c r="N19" s="19" t="s">
        <v>149</v>
      </c>
      <c r="O19" s="3" t="s">
        <v>169</v>
      </c>
      <c r="P19" s="19" t="s">
        <v>205</v>
      </c>
    </row>
    <row r="20" spans="1:17" ht="54" customHeight="1" x14ac:dyDescent="0.25">
      <c r="A20" s="19">
        <f t="shared" si="0"/>
        <v>19</v>
      </c>
      <c r="B20" s="19" t="s">
        <v>82</v>
      </c>
      <c r="C20" s="19">
        <f t="shared" si="1"/>
        <v>31</v>
      </c>
      <c r="D20" s="19">
        <f>COUNTIFS(Jogos!B$2:B$381,B20,Jogos!C$2:C$381,"&lt;&gt;"&amp;"")+COUNTIFS(Jogos!E$2:E$381,B20,Jogos!C$2:C$381,"&lt;&gt;"&amp;"")</f>
        <v>38</v>
      </c>
      <c r="E20" s="19">
        <f>COUNTIFS(Tabela2[Mandante],B20,Tabela2[Resultado M],"V")+COUNTIFS(Tabela2[Visitante],B20,Tabela2[Resultado V],"V")</f>
        <v>8</v>
      </c>
      <c r="F20" s="19">
        <f>COUNTIFS(Tabela2[Mandante],B20,Tabela2[Resultado M],"E")+COUNTIFS(Tabela2[Visitante],B20,Tabela2[Resultado V],"E")</f>
        <v>7</v>
      </c>
      <c r="G20" s="19">
        <f>COUNTIFS(Tabela2[Mandante],B20,Tabela2[Resultado M],"D")+COUNTIFS(Tabela2[Visitante],B20,Tabela2[Resultado V],"D")</f>
        <v>23</v>
      </c>
      <c r="H20" s="19">
        <f>SUMIF(Tabela2[Mandante],B20,Tabela2[Gols M])+SUMIF(Tabela2[Visitante],B20,Tabela2[Gols V])</f>
        <v>45</v>
      </c>
      <c r="I20" s="19">
        <f>SUMIF(Tabela2[Mandante],B20,Tabela2[Gols V])+SUMIF(Tabela2[Visitante],B20,Tabela2[Gols M])</f>
        <v>69</v>
      </c>
      <c r="J20" s="19">
        <f t="shared" si="2"/>
        <v>-24</v>
      </c>
      <c r="K20" s="37">
        <f t="shared" si="3"/>
        <v>0.27192982456140352</v>
      </c>
      <c r="L20" s="19">
        <f t="shared" si="4"/>
        <v>31081145.199999999</v>
      </c>
      <c r="M20" s="3" t="s">
        <v>139</v>
      </c>
      <c r="N20" s="19" t="s">
        <v>149</v>
      </c>
      <c r="O20" s="3" t="s">
        <v>169</v>
      </c>
      <c r="P20" s="19" t="s">
        <v>205</v>
      </c>
    </row>
    <row r="21" spans="1:17" ht="54" customHeight="1" x14ac:dyDescent="0.25">
      <c r="A21" s="38">
        <f t="shared" si="0"/>
        <v>16</v>
      </c>
      <c r="B21" s="38" t="s">
        <v>91</v>
      </c>
      <c r="C21" s="38">
        <f t="shared" si="1"/>
        <v>45</v>
      </c>
      <c r="D21" s="38">
        <f>COUNTIFS(Jogos!B$2:B$381,B21,Jogos!C$2:C$381,"&lt;&gt;"&amp;"")+COUNTIFS(Jogos!E$2:E$381,B21,Jogos!C$2:C$381,"&lt;&gt;"&amp;"")</f>
        <v>38</v>
      </c>
      <c r="E21" s="38">
        <f>COUNTIFS(Tabela2[Mandante],B21,Tabela2[Resultado M],"V")+COUNTIFS(Tabela2[Visitante],B21,Tabela2[Resultado V],"V")</f>
        <v>12</v>
      </c>
      <c r="F21" s="38">
        <f>COUNTIFS(Tabela2[Mandante],B21,Tabela2[Resultado M],"E")+COUNTIFS(Tabela2[Visitante],B21,Tabela2[Resultado V],"E")</f>
        <v>9</v>
      </c>
      <c r="G21" s="38">
        <f>COUNTIFS(Tabela2[Mandante],B21,Tabela2[Resultado M],"D")+COUNTIFS(Tabela2[Visitante],B21,Tabela2[Resultado V],"D")</f>
        <v>17</v>
      </c>
      <c r="H21" s="38">
        <f>SUMIF(Tabela2[Mandante],B21,Tabela2[Gols M])+SUMIF(Tabela2[Visitante],B21,Tabela2[Gols V])</f>
        <v>51</v>
      </c>
      <c r="I21" s="38">
        <f>SUMIF(Tabela2[Mandante],B21,Tabela2[Gols V])+SUMIF(Tabela2[Visitante],B21,Tabela2[Gols M])</f>
        <v>53</v>
      </c>
      <c r="J21" s="38">
        <f t="shared" si="2"/>
        <v>-2</v>
      </c>
      <c r="K21" s="39">
        <f t="shared" si="3"/>
        <v>0.39473684210526316</v>
      </c>
      <c r="L21" s="19">
        <f t="shared" si="4"/>
        <v>45123351.210000001</v>
      </c>
      <c r="M21" s="40" t="s">
        <v>136</v>
      </c>
      <c r="N21" s="38" t="s">
        <v>148</v>
      </c>
      <c r="O21" s="40" t="s">
        <v>170</v>
      </c>
      <c r="P21" s="38" t="s">
        <v>205</v>
      </c>
      <c r="Q21" s="40"/>
    </row>
    <row r="22" spans="1:17" x14ac:dyDescent="0.25">
      <c r="A22" s="19" t="s">
        <v>180</v>
      </c>
      <c r="C22" s="41">
        <f>MAX(C2:C21)</f>
        <v>80</v>
      </c>
      <c r="D22" s="41">
        <f t="shared" ref="D22:K22" si="5">MAX(D2:D21)</f>
        <v>38</v>
      </c>
      <c r="E22" s="41">
        <f t="shared" si="5"/>
        <v>24</v>
      </c>
      <c r="F22" s="41">
        <f t="shared" si="5"/>
        <v>13</v>
      </c>
      <c r="G22" s="41">
        <f t="shared" si="5"/>
        <v>24</v>
      </c>
      <c r="H22" s="41">
        <f t="shared" si="5"/>
        <v>62</v>
      </c>
      <c r="I22" s="41">
        <f t="shared" si="5"/>
        <v>69</v>
      </c>
      <c r="J22" s="41">
        <f t="shared" si="5"/>
        <v>30</v>
      </c>
      <c r="K22" s="42">
        <f t="shared" si="5"/>
        <v>0.70175438596491224</v>
      </c>
    </row>
    <row r="23" spans="1:17" x14ac:dyDescent="0.25">
      <c r="A23" s="19" t="s">
        <v>181</v>
      </c>
      <c r="C23" s="41">
        <f>MIN(C2:C21)</f>
        <v>28</v>
      </c>
      <c r="D23" s="41">
        <f t="shared" ref="D23:I23" si="6">MIN(D2:D21)</f>
        <v>37</v>
      </c>
      <c r="E23" s="41">
        <f t="shared" si="6"/>
        <v>7</v>
      </c>
      <c r="F23" s="41">
        <f t="shared" si="6"/>
        <v>5</v>
      </c>
      <c r="G23" s="41">
        <f t="shared" si="6"/>
        <v>6</v>
      </c>
      <c r="H23" s="41">
        <f t="shared" si="6"/>
        <v>23</v>
      </c>
      <c r="I23" s="41">
        <f t="shared" si="6"/>
        <v>32</v>
      </c>
      <c r="J23" s="19">
        <f>IMABS(MIN(J2:J21))</f>
        <v>35</v>
      </c>
      <c r="K23" s="42">
        <f>MIN(K1:K21)</f>
        <v>0.24561403508771928</v>
      </c>
    </row>
    <row r="25" spans="1:17" x14ac:dyDescent="0.25">
      <c r="A25" s="43" t="s">
        <v>228</v>
      </c>
    </row>
  </sheetData>
  <sheetProtection algorithmName="SHA-512" hashValue="ioOEUFQU+eq/OtPQXHPx6Gh8E405DAmSuvDgxGfIsfm5A1TFPME1qlut+rydPQvkddHLNajoxmep5rEL5RfN2w==" saltValue="LXVDIE9n6l+gS7qCQxDAVQ==" spinCount="100000" sheet="1" objects="1" scenarios="1"/>
  <sortState ref="A2:N21">
    <sortCondition ref="B1"/>
  </sortState>
  <dataValidations count="1">
    <dataValidation type="list" allowBlank="1" showInputMessage="1" showErrorMessage="1" sqref="U2">
      <formula1>$M$2:$M$21</formula1>
    </dataValidation>
  </dataValidations>
  <hyperlinks>
    <hyperlink ref="A25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2"/>
  <sheetViews>
    <sheetView showGridLines="0" tabSelected="1" workbookViewId="0">
      <pane ySplit="1" topLeftCell="A366" activePane="bottomLeft" state="frozen"/>
      <selection pane="bottomLeft" activeCell="C373" sqref="C373"/>
    </sheetView>
  </sheetViews>
  <sheetFormatPr defaultRowHeight="15" x14ac:dyDescent="0.25"/>
  <cols>
    <col min="1" max="1" width="9.7109375" style="19" customWidth="1"/>
    <col min="2" max="2" width="12.28515625" style="19" customWidth="1"/>
    <col min="3" max="3" width="9.42578125" style="45" customWidth="1"/>
    <col min="4" max="4" width="9.140625" style="45"/>
    <col min="5" max="5" width="11.140625" style="19" customWidth="1"/>
    <col min="6" max="8" width="10.7109375" style="19" customWidth="1"/>
    <col min="9" max="9" width="21.140625" style="3" bestFit="1" customWidth="1"/>
    <col min="10" max="10" width="12.140625" style="19" customWidth="1"/>
    <col min="11" max="11" width="11.5703125" style="19" customWidth="1"/>
    <col min="12" max="12" width="11.7109375" style="19" customWidth="1"/>
    <col min="13" max="13" width="12.140625" style="3" customWidth="1"/>
    <col min="14" max="14" width="10.140625" style="3" customWidth="1"/>
    <col min="15" max="15" width="11.7109375" style="3" customWidth="1"/>
    <col min="16" max="16384" width="9.140625" style="3"/>
  </cols>
  <sheetData>
    <row r="1" spans="1:15" x14ac:dyDescent="0.25">
      <c r="A1" s="23" t="s">
        <v>54</v>
      </c>
      <c r="B1" s="23" t="s">
        <v>55</v>
      </c>
      <c r="C1" s="44" t="s">
        <v>59</v>
      </c>
      <c r="D1" s="44" t="s">
        <v>60</v>
      </c>
      <c r="E1" s="23" t="s">
        <v>56</v>
      </c>
      <c r="F1" s="23" t="s">
        <v>61</v>
      </c>
      <c r="G1" s="23" t="s">
        <v>57</v>
      </c>
      <c r="H1" s="23" t="s">
        <v>62</v>
      </c>
      <c r="I1" s="23" t="s">
        <v>58</v>
      </c>
      <c r="J1" s="23" t="s">
        <v>93</v>
      </c>
      <c r="K1" s="23" t="s">
        <v>94</v>
      </c>
      <c r="L1" s="23" t="s">
        <v>173</v>
      </c>
      <c r="M1" s="23" t="s">
        <v>174</v>
      </c>
      <c r="N1" s="23" t="s">
        <v>178</v>
      </c>
      <c r="O1" s="23" t="s">
        <v>179</v>
      </c>
    </row>
    <row r="2" spans="1:15" x14ac:dyDescent="0.25">
      <c r="A2" s="19">
        <v>1</v>
      </c>
      <c r="B2" s="19" t="s">
        <v>73</v>
      </c>
      <c r="C2" s="45">
        <v>0</v>
      </c>
      <c r="D2" s="45">
        <v>1</v>
      </c>
      <c r="E2" s="19" t="s">
        <v>86</v>
      </c>
      <c r="F2" s="46" t="s">
        <v>95</v>
      </c>
      <c r="G2" s="46">
        <v>42505</v>
      </c>
      <c r="H2" s="46" t="s">
        <v>96</v>
      </c>
      <c r="I2" s="3" t="s">
        <v>11</v>
      </c>
      <c r="J2" s="19" t="str">
        <f>IF(Tabela2[[#This Row],[Gols M]]&lt;&gt;"",IF(Tabela2[[#This Row],[Gols M]]-Tabela2[[#This Row],[Gols V]]&gt;=0,IF(Tabela2[[#This Row],[Gols M]]-Tabela2[[#This Row],[Gols V]]&gt;0,"V","E"),"D"),"")</f>
        <v>D</v>
      </c>
      <c r="K2" s="19" t="str">
        <f>IF(Tabela2[[#This Row],[Gols M]]&lt;&gt;"",IF(Tabela2[[#This Row],[Gols V]]-Tabela2[[#This Row],[Gols M]]&gt;=0,IF(Tabela2[[#This Row],[Gols V]]-Tabela2[[#This Row],[Gols M]]&gt;0,"V","E"),"D"),"")</f>
        <v>V</v>
      </c>
      <c r="L2" s="19">
        <f>IF(OR('Por time'!E$2=Tabela2[[#This Row],[Mandante]], 'Por time'!E$2=Tabela2[[#This Row],[Visitante]]),1,0)</f>
        <v>0</v>
      </c>
      <c r="M2" s="25">
        <f>Tabela2[[#This Row],[Marcar time]]</f>
        <v>0</v>
      </c>
      <c r="N2" s="25">
        <f>IMABS(Tabela2[[#This Row],[Gols M]]-Tabela2[[#This Row],[Gols V]])</f>
        <v>1</v>
      </c>
      <c r="O2" s="25">
        <f>Tabela2[[#This Row],[Gols M]]+Tabela2[[#This Row],[Gols V]]</f>
        <v>1</v>
      </c>
    </row>
    <row r="3" spans="1:15" x14ac:dyDescent="0.25">
      <c r="A3" s="19">
        <v>1</v>
      </c>
      <c r="B3" s="19" t="s">
        <v>74</v>
      </c>
      <c r="C3" s="45">
        <v>0</v>
      </c>
      <c r="D3" s="45">
        <v>1</v>
      </c>
      <c r="E3" s="19" t="s">
        <v>92</v>
      </c>
      <c r="F3" s="46" t="s">
        <v>95</v>
      </c>
      <c r="G3" s="46">
        <v>42505</v>
      </c>
      <c r="H3" s="46" t="s">
        <v>97</v>
      </c>
      <c r="I3" s="3" t="s">
        <v>45</v>
      </c>
      <c r="J3" s="19" t="str">
        <f>IF(Tabela2[[#This Row],[Gols M]]&lt;&gt;"",IF(Tabela2[[#This Row],[Gols M]]-Tabela2[[#This Row],[Gols V]]&gt;=0,IF(Tabela2[[#This Row],[Gols M]]-Tabela2[[#This Row],[Gols V]]&gt;0,"V","E"),"D"),"")</f>
        <v>D</v>
      </c>
      <c r="K3" s="19" t="str">
        <f>IF(Tabela2[[#This Row],[Gols M]]&lt;&gt;"",IF(Tabela2[[#This Row],[Gols V]]-Tabela2[[#This Row],[Gols M]]&gt;=0,IF(Tabela2[[#This Row],[Gols V]]-Tabela2[[#This Row],[Gols M]]&gt;0,"V","E"),"D"),"")</f>
        <v>V</v>
      </c>
      <c r="L3" s="19">
        <f>IF(OR('Por time'!E$2=Tabela2[[#This Row],[Mandante]], 'Por time'!E$2=Tabela2[[#This Row],[Visitante]]),1,0)</f>
        <v>0</v>
      </c>
      <c r="M3" s="25">
        <f>Tabela2[[#This Row],[Marcar time]]+M2</f>
        <v>0</v>
      </c>
      <c r="N3" s="25">
        <f>IMABS(Tabela2[[#This Row],[Gols M]]-Tabela2[[#This Row],[Gols V]])</f>
        <v>1</v>
      </c>
      <c r="O3" s="25">
        <f>Tabela2[[#This Row],[Gols M]]+Tabela2[[#This Row],[Gols V]]</f>
        <v>1</v>
      </c>
    </row>
    <row r="4" spans="1:15" x14ac:dyDescent="0.25">
      <c r="A4" s="19">
        <v>1</v>
      </c>
      <c r="B4" s="19" t="s">
        <v>75</v>
      </c>
      <c r="C4" s="45">
        <v>1</v>
      </c>
      <c r="D4" s="45">
        <v>0</v>
      </c>
      <c r="E4" s="19" t="s">
        <v>89</v>
      </c>
      <c r="F4" s="46" t="s">
        <v>98</v>
      </c>
      <c r="G4" s="46">
        <v>42504</v>
      </c>
      <c r="H4" s="46" t="s">
        <v>99</v>
      </c>
      <c r="I4" s="3" t="s">
        <v>11</v>
      </c>
      <c r="J4" s="19" t="str">
        <f>IF(Tabela2[[#This Row],[Gols M]]&lt;&gt;"",IF(Tabela2[[#This Row],[Gols M]]-Tabela2[[#This Row],[Gols V]]&gt;=0,IF(Tabela2[[#This Row],[Gols M]]-Tabela2[[#This Row],[Gols V]]&gt;0,"V","E"),"D"),"")</f>
        <v>V</v>
      </c>
      <c r="K4" s="19" t="str">
        <f>IF(Tabela2[[#This Row],[Gols M]]&lt;&gt;"",IF(Tabela2[[#This Row],[Gols V]]-Tabela2[[#This Row],[Gols M]]&gt;=0,IF(Tabela2[[#This Row],[Gols V]]-Tabela2[[#This Row],[Gols M]]&gt;0,"V","E"),"D"),"")</f>
        <v>D</v>
      </c>
      <c r="L4" s="19">
        <f>IF(OR('Por time'!E$2=Tabela2[[#This Row],[Mandante]], 'Por time'!E$2=Tabela2[[#This Row],[Visitante]]),1,0)</f>
        <v>0</v>
      </c>
      <c r="M4" s="25">
        <f>Tabela2[[#This Row],[Marcar time]]+M3</f>
        <v>0</v>
      </c>
      <c r="N4" s="25">
        <f>IMABS(Tabela2[[#This Row],[Gols M]]-Tabela2[[#This Row],[Gols V]])</f>
        <v>1</v>
      </c>
      <c r="O4" s="25">
        <f>Tabela2[[#This Row],[Gols M]]+Tabela2[[#This Row],[Gols V]]</f>
        <v>1</v>
      </c>
    </row>
    <row r="5" spans="1:15" x14ac:dyDescent="0.25">
      <c r="A5" s="19">
        <v>1</v>
      </c>
      <c r="B5" s="19" t="s">
        <v>76</v>
      </c>
      <c r="C5" s="45">
        <v>1</v>
      </c>
      <c r="D5" s="45">
        <v>0</v>
      </c>
      <c r="E5" s="19" t="s">
        <v>85</v>
      </c>
      <c r="F5" s="46" t="s">
        <v>98</v>
      </c>
      <c r="G5" s="46">
        <v>42504</v>
      </c>
      <c r="H5" s="46" t="s">
        <v>100</v>
      </c>
      <c r="I5" s="3" t="s">
        <v>40</v>
      </c>
      <c r="J5" s="19" t="str">
        <f>IF(Tabela2[[#This Row],[Gols M]]&lt;&gt;"",IF(Tabela2[[#This Row],[Gols M]]-Tabela2[[#This Row],[Gols V]]&gt;=0,IF(Tabela2[[#This Row],[Gols M]]-Tabela2[[#This Row],[Gols V]]&gt;0,"V","E"),"D"),"")</f>
        <v>V</v>
      </c>
      <c r="K5" s="19" t="str">
        <f>IF(Tabela2[[#This Row],[Gols M]]&lt;&gt;"",IF(Tabela2[[#This Row],[Gols V]]-Tabela2[[#This Row],[Gols M]]&gt;=0,IF(Tabela2[[#This Row],[Gols V]]-Tabela2[[#This Row],[Gols M]]&gt;0,"V","E"),"D"),"")</f>
        <v>D</v>
      </c>
      <c r="L5" s="19">
        <f>IF(OR('Por time'!E$2=Tabela2[[#This Row],[Mandante]], 'Por time'!E$2=Tabela2[[#This Row],[Visitante]]),1,0)</f>
        <v>0</v>
      </c>
      <c r="M5" s="25">
        <f>Tabela2[[#This Row],[Marcar time]]+M4</f>
        <v>0</v>
      </c>
      <c r="N5" s="25">
        <f>IMABS(Tabela2[[#This Row],[Gols M]]-Tabela2[[#This Row],[Gols V]])</f>
        <v>1</v>
      </c>
      <c r="O5" s="25">
        <f>Tabela2[[#This Row],[Gols M]]+Tabela2[[#This Row],[Gols V]]</f>
        <v>1</v>
      </c>
    </row>
    <row r="6" spans="1:15" x14ac:dyDescent="0.25">
      <c r="A6" s="19">
        <v>1</v>
      </c>
      <c r="B6" s="19" t="s">
        <v>77</v>
      </c>
      <c r="C6" s="45">
        <v>0</v>
      </c>
      <c r="D6" s="45">
        <v>0</v>
      </c>
      <c r="E6" s="19" t="s">
        <v>87</v>
      </c>
      <c r="F6" s="46" t="s">
        <v>95</v>
      </c>
      <c r="G6" s="46">
        <v>42505</v>
      </c>
      <c r="H6" s="46" t="s">
        <v>96</v>
      </c>
      <c r="I6" s="3" t="s">
        <v>18</v>
      </c>
      <c r="J6" s="19" t="str">
        <f>IF(Tabela2[[#This Row],[Gols M]]&lt;&gt;"",IF(Tabela2[[#This Row],[Gols M]]-Tabela2[[#This Row],[Gols V]]&gt;=0,IF(Tabela2[[#This Row],[Gols M]]-Tabela2[[#This Row],[Gols V]]&gt;0,"V","E"),"D"),"")</f>
        <v>E</v>
      </c>
      <c r="K6" s="19" t="str">
        <f>IF(Tabela2[[#This Row],[Gols M]]&lt;&gt;"",IF(Tabela2[[#This Row],[Gols V]]-Tabela2[[#This Row],[Gols M]]&gt;=0,IF(Tabela2[[#This Row],[Gols V]]-Tabela2[[#This Row],[Gols M]]&gt;0,"V","E"),"D"),"")</f>
        <v>E</v>
      </c>
      <c r="L6" s="19">
        <f>IF(OR('Por time'!E$2=Tabela2[[#This Row],[Mandante]], 'Por time'!E$2=Tabela2[[#This Row],[Visitante]]),1,0)</f>
        <v>0</v>
      </c>
      <c r="M6" s="25">
        <f>Tabela2[[#This Row],[Marcar time]]+M5</f>
        <v>0</v>
      </c>
      <c r="N6" s="25">
        <f>IMABS(Tabela2[[#This Row],[Gols M]]-Tabela2[[#This Row],[Gols V]])</f>
        <v>0</v>
      </c>
      <c r="O6" s="25">
        <f>Tabela2[[#This Row],[Gols M]]+Tabela2[[#This Row],[Gols V]]</f>
        <v>0</v>
      </c>
    </row>
    <row r="7" spans="1:15" x14ac:dyDescent="0.25">
      <c r="A7" s="19">
        <v>1</v>
      </c>
      <c r="B7" s="19" t="s">
        <v>78</v>
      </c>
      <c r="C7" s="45">
        <v>0</v>
      </c>
      <c r="D7" s="45">
        <v>0</v>
      </c>
      <c r="E7" s="19" t="s">
        <v>88</v>
      </c>
      <c r="F7" s="46" t="s">
        <v>95</v>
      </c>
      <c r="G7" s="46">
        <v>42505</v>
      </c>
      <c r="H7" s="46" t="s">
        <v>96</v>
      </c>
      <c r="I7" s="3" t="s">
        <v>33</v>
      </c>
      <c r="J7" s="19" t="str">
        <f>IF(Tabela2[[#This Row],[Gols M]]&lt;&gt;"",IF(Tabela2[[#This Row],[Gols M]]-Tabela2[[#This Row],[Gols V]]&gt;=0,IF(Tabela2[[#This Row],[Gols M]]-Tabela2[[#This Row],[Gols V]]&gt;0,"V","E"),"D"),"")</f>
        <v>E</v>
      </c>
      <c r="K7" s="19" t="str">
        <f>IF(Tabela2[[#This Row],[Gols M]]&lt;&gt;"",IF(Tabela2[[#This Row],[Gols V]]-Tabela2[[#This Row],[Gols M]]&gt;=0,IF(Tabela2[[#This Row],[Gols V]]-Tabela2[[#This Row],[Gols M]]&gt;0,"V","E"),"D"),"")</f>
        <v>E</v>
      </c>
      <c r="L7" s="19">
        <f>IF(OR('Por time'!E$2=Tabela2[[#This Row],[Mandante]], 'Por time'!E$2=Tabela2[[#This Row],[Visitante]]),1,0)</f>
        <v>0</v>
      </c>
      <c r="M7" s="25">
        <f>Tabela2[[#This Row],[Marcar time]]+M6</f>
        <v>0</v>
      </c>
      <c r="N7" s="25">
        <f>IMABS(Tabela2[[#This Row],[Gols M]]-Tabela2[[#This Row],[Gols V]])</f>
        <v>0</v>
      </c>
      <c r="O7" s="25">
        <f>Tabela2[[#This Row],[Gols M]]+Tabela2[[#This Row],[Gols V]]</f>
        <v>0</v>
      </c>
    </row>
    <row r="8" spans="1:15" x14ac:dyDescent="0.25">
      <c r="A8" s="19">
        <v>1</v>
      </c>
      <c r="B8" s="19" t="s">
        <v>79</v>
      </c>
      <c r="C8" s="45">
        <v>1</v>
      </c>
      <c r="D8" s="45">
        <v>0</v>
      </c>
      <c r="E8" s="19" t="s">
        <v>90</v>
      </c>
      <c r="F8" s="46" t="s">
        <v>98</v>
      </c>
      <c r="G8" s="46">
        <v>42504</v>
      </c>
      <c r="H8" s="46" t="s">
        <v>96</v>
      </c>
      <c r="I8" s="3" t="s">
        <v>45</v>
      </c>
      <c r="J8" s="19" t="str">
        <f>IF(Tabela2[[#This Row],[Gols M]]&lt;&gt;"",IF(Tabela2[[#This Row],[Gols M]]-Tabela2[[#This Row],[Gols V]]&gt;=0,IF(Tabela2[[#This Row],[Gols M]]-Tabela2[[#This Row],[Gols V]]&gt;0,"V","E"),"D"),"")</f>
        <v>V</v>
      </c>
      <c r="K8" s="19" t="str">
        <f>IF(Tabela2[[#This Row],[Gols M]]&lt;&gt;"",IF(Tabela2[[#This Row],[Gols V]]-Tabela2[[#This Row],[Gols M]]&gt;=0,IF(Tabela2[[#This Row],[Gols V]]-Tabela2[[#This Row],[Gols M]]&gt;0,"V","E"),"D"),"")</f>
        <v>D</v>
      </c>
      <c r="L8" s="19">
        <f>IF(OR('Por time'!E$2=Tabela2[[#This Row],[Mandante]], 'Por time'!E$2=Tabela2[[#This Row],[Visitante]]),1,0)</f>
        <v>0</v>
      </c>
      <c r="M8" s="25">
        <f>Tabela2[[#This Row],[Marcar time]]+M7</f>
        <v>0</v>
      </c>
      <c r="N8" s="25">
        <f>IMABS(Tabela2[[#This Row],[Gols M]]-Tabela2[[#This Row],[Gols V]])</f>
        <v>1</v>
      </c>
      <c r="O8" s="25">
        <f>Tabela2[[#This Row],[Gols M]]+Tabela2[[#This Row],[Gols V]]</f>
        <v>1</v>
      </c>
    </row>
    <row r="9" spans="1:15" x14ac:dyDescent="0.25">
      <c r="A9" s="19">
        <v>1</v>
      </c>
      <c r="B9" s="19" t="s">
        <v>80</v>
      </c>
      <c r="C9" s="45">
        <v>0</v>
      </c>
      <c r="D9" s="45">
        <v>0</v>
      </c>
      <c r="E9" s="19" t="s">
        <v>84</v>
      </c>
      <c r="F9" s="46" t="s">
        <v>95</v>
      </c>
      <c r="G9" s="46">
        <v>42505</v>
      </c>
      <c r="H9" s="46" t="s">
        <v>99</v>
      </c>
      <c r="I9" s="3" t="s">
        <v>27</v>
      </c>
      <c r="J9" s="19" t="str">
        <f>IF(Tabela2[[#This Row],[Gols M]]&lt;&gt;"",IF(Tabela2[[#This Row],[Gols M]]-Tabela2[[#This Row],[Gols V]]&gt;=0,IF(Tabela2[[#This Row],[Gols M]]-Tabela2[[#This Row],[Gols V]]&gt;0,"V","E"),"D"),"")</f>
        <v>E</v>
      </c>
      <c r="K9" s="19" t="str">
        <f>IF(Tabela2[[#This Row],[Gols M]]&lt;&gt;"",IF(Tabela2[[#This Row],[Gols V]]-Tabela2[[#This Row],[Gols M]]&gt;=0,IF(Tabela2[[#This Row],[Gols V]]-Tabela2[[#This Row],[Gols M]]&gt;0,"V","E"),"D"),"")</f>
        <v>E</v>
      </c>
      <c r="L9" s="19">
        <f>IF(OR('Por time'!E$2=Tabela2[[#This Row],[Mandante]], 'Por time'!E$2=Tabela2[[#This Row],[Visitante]]),1,0)</f>
        <v>0</v>
      </c>
      <c r="M9" s="25">
        <f>Tabela2[[#This Row],[Marcar time]]+M8</f>
        <v>0</v>
      </c>
      <c r="N9" s="25">
        <f>IMABS(Tabela2[[#This Row],[Gols M]]-Tabela2[[#This Row],[Gols V]])</f>
        <v>0</v>
      </c>
      <c r="O9" s="25">
        <f>Tabela2[[#This Row],[Gols M]]+Tabela2[[#This Row],[Gols V]]</f>
        <v>0</v>
      </c>
    </row>
    <row r="10" spans="1:15" x14ac:dyDescent="0.25">
      <c r="A10" s="19">
        <v>1</v>
      </c>
      <c r="B10" s="19" t="s">
        <v>81</v>
      </c>
      <c r="C10" s="45">
        <v>4</v>
      </c>
      <c r="D10" s="45">
        <v>0</v>
      </c>
      <c r="E10" s="19" t="s">
        <v>83</v>
      </c>
      <c r="F10" s="46" t="s">
        <v>98</v>
      </c>
      <c r="G10" s="46">
        <v>42504</v>
      </c>
      <c r="H10" s="46" t="s">
        <v>96</v>
      </c>
      <c r="I10" s="3" t="s">
        <v>30</v>
      </c>
      <c r="J10" s="19" t="str">
        <f>IF(Tabela2[[#This Row],[Gols M]]&lt;&gt;"",IF(Tabela2[[#This Row],[Gols M]]-Tabela2[[#This Row],[Gols V]]&gt;=0,IF(Tabela2[[#This Row],[Gols M]]-Tabela2[[#This Row],[Gols V]]&gt;0,"V","E"),"D"),"")</f>
        <v>V</v>
      </c>
      <c r="K10" s="19" t="str">
        <f>IF(Tabela2[[#This Row],[Gols M]]&lt;&gt;"",IF(Tabela2[[#This Row],[Gols V]]-Tabela2[[#This Row],[Gols M]]&gt;=0,IF(Tabela2[[#This Row],[Gols V]]-Tabela2[[#This Row],[Gols M]]&gt;0,"V","E"),"D"),"")</f>
        <v>D</v>
      </c>
      <c r="L10" s="19">
        <f>IF(OR('Por time'!E$2=Tabela2[[#This Row],[Mandante]], 'Por time'!E$2=Tabela2[[#This Row],[Visitante]]),1,0)</f>
        <v>1</v>
      </c>
      <c r="M10" s="25">
        <f>Tabela2[[#This Row],[Marcar time]]+M9</f>
        <v>1</v>
      </c>
      <c r="N10" s="25">
        <f>IMABS(Tabela2[[#This Row],[Gols M]]-Tabela2[[#This Row],[Gols V]])</f>
        <v>4</v>
      </c>
      <c r="O10" s="25">
        <f>Tabela2[[#This Row],[Gols M]]+Tabela2[[#This Row],[Gols V]]</f>
        <v>4</v>
      </c>
    </row>
    <row r="11" spans="1:15" x14ac:dyDescent="0.25">
      <c r="A11" s="19">
        <v>1</v>
      </c>
      <c r="B11" s="47" t="s">
        <v>82</v>
      </c>
      <c r="C11" s="48">
        <v>4</v>
      </c>
      <c r="D11" s="48">
        <v>1</v>
      </c>
      <c r="E11" s="47" t="s">
        <v>91</v>
      </c>
      <c r="F11" s="49" t="s">
        <v>95</v>
      </c>
      <c r="G11" s="49">
        <v>42505</v>
      </c>
      <c r="H11" s="49" t="s">
        <v>97</v>
      </c>
      <c r="I11" s="50" t="s">
        <v>36</v>
      </c>
      <c r="J11" s="19" t="str">
        <f>IF(Tabela2[[#This Row],[Gols M]]&lt;&gt;"",IF(Tabela2[[#This Row],[Gols M]]-Tabela2[[#This Row],[Gols V]]&gt;=0,IF(Tabela2[[#This Row],[Gols M]]-Tabela2[[#This Row],[Gols V]]&gt;0,"V","E"),"D"),"")</f>
        <v>V</v>
      </c>
      <c r="K11" s="19" t="str">
        <f>IF(Tabela2[[#This Row],[Gols M]]&lt;&gt;"",IF(Tabela2[[#This Row],[Gols V]]-Tabela2[[#This Row],[Gols M]]&gt;=0,IF(Tabela2[[#This Row],[Gols V]]-Tabela2[[#This Row],[Gols M]]&gt;0,"V","E"),"D"),"")</f>
        <v>D</v>
      </c>
      <c r="L11" s="19">
        <f>IF(OR('Por time'!E$2=Tabela2[[#This Row],[Mandante]], 'Por time'!E$2=Tabela2[[#This Row],[Visitante]]),1,0)</f>
        <v>0</v>
      </c>
      <c r="M11" s="25">
        <f>Tabela2[[#This Row],[Marcar time]]+M10</f>
        <v>1</v>
      </c>
      <c r="N11" s="25">
        <f>IMABS(Tabela2[[#This Row],[Gols M]]-Tabela2[[#This Row],[Gols V]])</f>
        <v>3</v>
      </c>
      <c r="O11" s="25">
        <f>Tabela2[[#This Row],[Gols M]]+Tabela2[[#This Row],[Gols V]]</f>
        <v>5</v>
      </c>
    </row>
    <row r="12" spans="1:15" x14ac:dyDescent="0.25">
      <c r="A12" s="19">
        <v>2</v>
      </c>
      <c r="B12" s="47" t="s">
        <v>83</v>
      </c>
      <c r="C12" s="48">
        <v>1</v>
      </c>
      <c r="D12" s="48">
        <v>1</v>
      </c>
      <c r="E12" s="47" t="s">
        <v>75</v>
      </c>
      <c r="F12" s="49" t="s">
        <v>95</v>
      </c>
      <c r="G12" s="49">
        <v>42512</v>
      </c>
      <c r="H12" s="49" t="s">
        <v>97</v>
      </c>
      <c r="I12" s="50" t="s">
        <v>0</v>
      </c>
      <c r="J12" s="19" t="str">
        <f>IF(Tabela2[[#This Row],[Gols M]]&lt;&gt;"",IF(Tabela2[[#This Row],[Gols M]]-Tabela2[[#This Row],[Gols V]]&gt;=0,IF(Tabela2[[#This Row],[Gols M]]-Tabela2[[#This Row],[Gols V]]&gt;0,"V","E"),"D"),"")</f>
        <v>E</v>
      </c>
      <c r="K12" s="19" t="str">
        <f>IF(Tabela2[[#This Row],[Gols M]]&lt;&gt;"",IF(Tabela2[[#This Row],[Gols V]]-Tabela2[[#This Row],[Gols M]]&gt;=0,IF(Tabela2[[#This Row],[Gols V]]-Tabela2[[#This Row],[Gols M]]&gt;0,"V","E"),"D"),"")</f>
        <v>E</v>
      </c>
      <c r="L12" s="19">
        <f>IF(OR('Por time'!E$2=Tabela2[[#This Row],[Mandante]], 'Por time'!E$2=Tabela2[[#This Row],[Visitante]]),1,0)</f>
        <v>1</v>
      </c>
      <c r="M12" s="25">
        <f>Tabela2[[#This Row],[Marcar time]]+M11</f>
        <v>2</v>
      </c>
      <c r="N12" s="25">
        <f>IMABS(Tabela2[[#This Row],[Gols M]]-Tabela2[[#This Row],[Gols V]])</f>
        <v>0</v>
      </c>
      <c r="O12" s="25">
        <f>Tabela2[[#This Row],[Gols M]]+Tabela2[[#This Row],[Gols V]]</f>
        <v>2</v>
      </c>
    </row>
    <row r="13" spans="1:15" x14ac:dyDescent="0.25">
      <c r="A13" s="19">
        <v>2</v>
      </c>
      <c r="B13" s="47" t="s">
        <v>84</v>
      </c>
      <c r="C13" s="48">
        <v>3</v>
      </c>
      <c r="D13" s="48">
        <v>1</v>
      </c>
      <c r="E13" s="47" t="s">
        <v>73</v>
      </c>
      <c r="F13" s="49" t="s">
        <v>95</v>
      </c>
      <c r="G13" s="49">
        <v>42512</v>
      </c>
      <c r="H13" s="49" t="s">
        <v>96</v>
      </c>
      <c r="I13" s="50" t="s">
        <v>1</v>
      </c>
      <c r="J13" s="19" t="str">
        <f>IF(Tabela2[[#This Row],[Gols M]]&lt;&gt;"",IF(Tabela2[[#This Row],[Gols M]]-Tabela2[[#This Row],[Gols V]]&gt;=0,IF(Tabela2[[#This Row],[Gols M]]-Tabela2[[#This Row],[Gols V]]&gt;0,"V","E"),"D"),"")</f>
        <v>V</v>
      </c>
      <c r="K13" s="19" t="str">
        <f>IF(Tabela2[[#This Row],[Gols M]]&lt;&gt;"",IF(Tabela2[[#This Row],[Gols V]]-Tabela2[[#This Row],[Gols M]]&gt;=0,IF(Tabela2[[#This Row],[Gols V]]-Tabela2[[#This Row],[Gols M]]&gt;0,"V","E"),"D"),"")</f>
        <v>D</v>
      </c>
      <c r="L13" s="19">
        <f>IF(OR('Por time'!E$2=Tabela2[[#This Row],[Mandante]], 'Por time'!E$2=Tabela2[[#This Row],[Visitante]]),1,0)</f>
        <v>0</v>
      </c>
      <c r="M13" s="25">
        <f>Tabela2[[#This Row],[Marcar time]]+M12</f>
        <v>2</v>
      </c>
      <c r="N13" s="25">
        <f>IMABS(Tabela2[[#This Row],[Gols M]]-Tabela2[[#This Row],[Gols V]])</f>
        <v>2</v>
      </c>
      <c r="O13" s="25">
        <f>Tabela2[[#This Row],[Gols M]]+Tabela2[[#This Row],[Gols V]]</f>
        <v>4</v>
      </c>
    </row>
    <row r="14" spans="1:15" x14ac:dyDescent="0.25">
      <c r="A14" s="19">
        <v>2</v>
      </c>
      <c r="B14" s="47" t="s">
        <v>85</v>
      </c>
      <c r="C14" s="48">
        <v>2</v>
      </c>
      <c r="D14" s="48">
        <v>2</v>
      </c>
      <c r="E14" s="47" t="s">
        <v>78</v>
      </c>
      <c r="F14" s="49" t="s">
        <v>98</v>
      </c>
      <c r="G14" s="49">
        <v>42511</v>
      </c>
      <c r="H14" s="49" t="s">
        <v>100</v>
      </c>
      <c r="I14" s="50" t="s">
        <v>2</v>
      </c>
      <c r="J14" s="19" t="str">
        <f>IF(Tabela2[[#This Row],[Gols M]]&lt;&gt;"",IF(Tabela2[[#This Row],[Gols M]]-Tabela2[[#This Row],[Gols V]]&gt;=0,IF(Tabela2[[#This Row],[Gols M]]-Tabela2[[#This Row],[Gols V]]&gt;0,"V","E"),"D"),"")</f>
        <v>E</v>
      </c>
      <c r="K14" s="19" t="str">
        <f>IF(Tabela2[[#This Row],[Gols M]]&lt;&gt;"",IF(Tabela2[[#This Row],[Gols V]]-Tabela2[[#This Row],[Gols M]]&gt;=0,IF(Tabela2[[#This Row],[Gols V]]-Tabela2[[#This Row],[Gols M]]&gt;0,"V","E"),"D"),"")</f>
        <v>E</v>
      </c>
      <c r="L14" s="19">
        <f>IF(OR('Por time'!E$2=Tabela2[[#This Row],[Mandante]], 'Por time'!E$2=Tabela2[[#This Row],[Visitante]]),1,0)</f>
        <v>0</v>
      </c>
      <c r="M14" s="25">
        <f>Tabela2[[#This Row],[Marcar time]]+M13</f>
        <v>2</v>
      </c>
      <c r="N14" s="25">
        <f>IMABS(Tabela2[[#This Row],[Gols M]]-Tabela2[[#This Row],[Gols V]])</f>
        <v>0</v>
      </c>
      <c r="O14" s="25">
        <f>Tabela2[[#This Row],[Gols M]]+Tabela2[[#This Row],[Gols V]]</f>
        <v>4</v>
      </c>
    </row>
    <row r="15" spans="1:15" x14ac:dyDescent="0.25">
      <c r="A15" s="19">
        <v>2</v>
      </c>
      <c r="B15" s="47" t="s">
        <v>86</v>
      </c>
      <c r="C15" s="48">
        <v>2</v>
      </c>
      <c r="D15" s="48">
        <v>2</v>
      </c>
      <c r="E15" s="47" t="s">
        <v>82</v>
      </c>
      <c r="F15" s="49" t="s">
        <v>98</v>
      </c>
      <c r="G15" s="49">
        <v>42511</v>
      </c>
      <c r="H15" s="49" t="s">
        <v>99</v>
      </c>
      <c r="I15" s="50" t="s">
        <v>45</v>
      </c>
      <c r="J15" s="19" t="str">
        <f>IF(Tabela2[[#This Row],[Gols M]]&lt;&gt;"",IF(Tabela2[[#This Row],[Gols M]]-Tabela2[[#This Row],[Gols V]]&gt;=0,IF(Tabela2[[#This Row],[Gols M]]-Tabela2[[#This Row],[Gols V]]&gt;0,"V","E"),"D"),"")</f>
        <v>E</v>
      </c>
      <c r="K15" s="19" t="str">
        <f>IF(Tabela2[[#This Row],[Gols M]]&lt;&gt;"",IF(Tabela2[[#This Row],[Gols V]]-Tabela2[[#This Row],[Gols M]]&gt;=0,IF(Tabela2[[#This Row],[Gols V]]-Tabela2[[#This Row],[Gols M]]&gt;0,"V","E"),"D"),"")</f>
        <v>E</v>
      </c>
      <c r="L15" s="19">
        <f>IF(OR('Por time'!E$2=Tabela2[[#This Row],[Mandante]], 'Por time'!E$2=Tabela2[[#This Row],[Visitante]]),1,0)</f>
        <v>0</v>
      </c>
      <c r="M15" s="25">
        <f>Tabela2[[#This Row],[Marcar time]]+M14</f>
        <v>2</v>
      </c>
      <c r="N15" s="25">
        <f>IMABS(Tabela2[[#This Row],[Gols M]]-Tabela2[[#This Row],[Gols V]])</f>
        <v>0</v>
      </c>
      <c r="O15" s="25">
        <f>Tabela2[[#This Row],[Gols M]]+Tabela2[[#This Row],[Gols V]]</f>
        <v>4</v>
      </c>
    </row>
    <row r="16" spans="1:15" x14ac:dyDescent="0.25">
      <c r="A16" s="19">
        <v>2</v>
      </c>
      <c r="B16" s="47" t="s">
        <v>87</v>
      </c>
      <c r="C16" s="48">
        <v>1</v>
      </c>
      <c r="D16" s="48">
        <v>0</v>
      </c>
      <c r="E16" s="47" t="s">
        <v>79</v>
      </c>
      <c r="F16" s="49" t="s">
        <v>95</v>
      </c>
      <c r="G16" s="49">
        <v>42512</v>
      </c>
      <c r="H16" s="49" t="s">
        <v>96</v>
      </c>
      <c r="I16" s="50" t="s">
        <v>4</v>
      </c>
      <c r="J16" s="19" t="str">
        <f>IF(Tabela2[[#This Row],[Gols M]]&lt;&gt;"",IF(Tabela2[[#This Row],[Gols M]]-Tabela2[[#This Row],[Gols V]]&gt;=0,IF(Tabela2[[#This Row],[Gols M]]-Tabela2[[#This Row],[Gols V]]&gt;0,"V","E"),"D"),"")</f>
        <v>V</v>
      </c>
      <c r="K16" s="19" t="str">
        <f>IF(Tabela2[[#This Row],[Gols M]]&lt;&gt;"",IF(Tabela2[[#This Row],[Gols V]]-Tabela2[[#This Row],[Gols M]]&gt;=0,IF(Tabela2[[#This Row],[Gols V]]-Tabela2[[#This Row],[Gols M]]&gt;0,"V","E"),"D"),"")</f>
        <v>D</v>
      </c>
      <c r="L16" s="19">
        <f>IF(OR('Por time'!E$2=Tabela2[[#This Row],[Mandante]], 'Por time'!E$2=Tabela2[[#This Row],[Visitante]]),1,0)</f>
        <v>0</v>
      </c>
      <c r="M16" s="25">
        <f>Tabela2[[#This Row],[Marcar time]]+M15</f>
        <v>2</v>
      </c>
      <c r="N16" s="25">
        <f>IMABS(Tabela2[[#This Row],[Gols M]]-Tabela2[[#This Row],[Gols V]])</f>
        <v>1</v>
      </c>
      <c r="O16" s="25">
        <f>Tabela2[[#This Row],[Gols M]]+Tabela2[[#This Row],[Gols V]]</f>
        <v>1</v>
      </c>
    </row>
    <row r="17" spans="1:15" x14ac:dyDescent="0.25">
      <c r="A17" s="19">
        <v>2</v>
      </c>
      <c r="B17" s="47" t="s">
        <v>88</v>
      </c>
      <c r="C17" s="48">
        <v>2</v>
      </c>
      <c r="D17" s="48">
        <v>1</v>
      </c>
      <c r="E17" s="47" t="s">
        <v>81</v>
      </c>
      <c r="F17" s="49" t="s">
        <v>98</v>
      </c>
      <c r="G17" s="49">
        <v>42511</v>
      </c>
      <c r="H17" s="49" t="s">
        <v>96</v>
      </c>
      <c r="I17" s="50" t="s">
        <v>5</v>
      </c>
      <c r="J17" s="19" t="str">
        <f>IF(Tabela2[[#This Row],[Gols M]]&lt;&gt;"",IF(Tabela2[[#This Row],[Gols M]]-Tabela2[[#This Row],[Gols V]]&gt;=0,IF(Tabela2[[#This Row],[Gols M]]-Tabela2[[#This Row],[Gols V]]&gt;0,"V","E"),"D"),"")</f>
        <v>V</v>
      </c>
      <c r="K17" s="19" t="str">
        <f>IF(Tabela2[[#This Row],[Gols M]]&lt;&gt;"",IF(Tabela2[[#This Row],[Gols V]]-Tabela2[[#This Row],[Gols M]]&gt;=0,IF(Tabela2[[#This Row],[Gols V]]-Tabela2[[#This Row],[Gols M]]&gt;0,"V","E"),"D"),"")</f>
        <v>D</v>
      </c>
      <c r="L17" s="19">
        <f>IF(OR('Por time'!E$2=Tabela2[[#This Row],[Mandante]], 'Por time'!E$2=Tabela2[[#This Row],[Visitante]]),1,0)</f>
        <v>0</v>
      </c>
      <c r="M17" s="25">
        <f>Tabela2[[#This Row],[Marcar time]]+M16</f>
        <v>2</v>
      </c>
      <c r="N17" s="25">
        <f>IMABS(Tabela2[[#This Row],[Gols M]]-Tabela2[[#This Row],[Gols V]])</f>
        <v>1</v>
      </c>
      <c r="O17" s="25">
        <f>Tabela2[[#This Row],[Gols M]]+Tabela2[[#This Row],[Gols V]]</f>
        <v>3</v>
      </c>
    </row>
    <row r="18" spans="1:15" x14ac:dyDescent="0.25">
      <c r="A18" s="19">
        <v>2</v>
      </c>
      <c r="B18" s="47" t="s">
        <v>89</v>
      </c>
      <c r="C18" s="48">
        <v>2</v>
      </c>
      <c r="D18" s="48">
        <v>1</v>
      </c>
      <c r="E18" s="47" t="s">
        <v>76</v>
      </c>
      <c r="F18" s="49" t="s">
        <v>95</v>
      </c>
      <c r="G18" s="49">
        <v>42512</v>
      </c>
      <c r="H18" s="49" t="s">
        <v>97</v>
      </c>
      <c r="I18" s="50" t="s">
        <v>6</v>
      </c>
      <c r="J18" s="19" t="str">
        <f>IF(Tabela2[[#This Row],[Gols M]]&lt;&gt;"",IF(Tabela2[[#This Row],[Gols M]]-Tabela2[[#This Row],[Gols V]]&gt;=0,IF(Tabela2[[#This Row],[Gols M]]-Tabela2[[#This Row],[Gols V]]&gt;0,"V","E"),"D"),"")</f>
        <v>V</v>
      </c>
      <c r="K18" s="19" t="str">
        <f>IF(Tabela2[[#This Row],[Gols M]]&lt;&gt;"",IF(Tabela2[[#This Row],[Gols V]]-Tabela2[[#This Row],[Gols M]]&gt;=0,IF(Tabela2[[#This Row],[Gols V]]-Tabela2[[#This Row],[Gols M]]&gt;0,"V","E"),"D"),"")</f>
        <v>D</v>
      </c>
      <c r="L18" s="19">
        <f>IF(OR('Por time'!E$2=Tabela2[[#This Row],[Mandante]], 'Por time'!E$2=Tabela2[[#This Row],[Visitante]]),1,0)</f>
        <v>0</v>
      </c>
      <c r="M18" s="25">
        <f>Tabela2[[#This Row],[Marcar time]]+M17</f>
        <v>2</v>
      </c>
      <c r="N18" s="25">
        <f>IMABS(Tabela2[[#This Row],[Gols M]]-Tabela2[[#This Row],[Gols V]])</f>
        <v>1</v>
      </c>
      <c r="O18" s="25">
        <f>Tabela2[[#This Row],[Gols M]]+Tabela2[[#This Row],[Gols V]]</f>
        <v>3</v>
      </c>
    </row>
    <row r="19" spans="1:15" x14ac:dyDescent="0.25">
      <c r="A19" s="19">
        <v>2</v>
      </c>
      <c r="B19" s="47" t="s">
        <v>92</v>
      </c>
      <c r="C19" s="48">
        <v>1</v>
      </c>
      <c r="D19" s="48">
        <v>2</v>
      </c>
      <c r="E19" s="47" t="s">
        <v>80</v>
      </c>
      <c r="F19" s="49" t="s">
        <v>95</v>
      </c>
      <c r="G19" s="49">
        <v>42512</v>
      </c>
      <c r="H19" s="49" t="s">
        <v>96</v>
      </c>
      <c r="I19" s="50" t="s">
        <v>41</v>
      </c>
      <c r="J19" s="19" t="str">
        <f>IF(Tabela2[[#This Row],[Gols M]]&lt;&gt;"",IF(Tabela2[[#This Row],[Gols M]]-Tabela2[[#This Row],[Gols V]]&gt;=0,IF(Tabela2[[#This Row],[Gols M]]-Tabela2[[#This Row],[Gols V]]&gt;0,"V","E"),"D"),"")</f>
        <v>D</v>
      </c>
      <c r="K19" s="19" t="str">
        <f>IF(Tabela2[[#This Row],[Gols M]]&lt;&gt;"",IF(Tabela2[[#This Row],[Gols V]]-Tabela2[[#This Row],[Gols M]]&gt;=0,IF(Tabela2[[#This Row],[Gols V]]-Tabela2[[#This Row],[Gols M]]&gt;0,"V","E"),"D"),"")</f>
        <v>V</v>
      </c>
      <c r="L19" s="19">
        <f>IF(OR('Por time'!E$2=Tabela2[[#This Row],[Mandante]], 'Por time'!E$2=Tabela2[[#This Row],[Visitante]]),1,0)</f>
        <v>0</v>
      </c>
      <c r="M19" s="25">
        <f>Tabela2[[#This Row],[Marcar time]]+M18</f>
        <v>2</v>
      </c>
      <c r="N19" s="25">
        <f>IMABS(Tabela2[[#This Row],[Gols M]]-Tabela2[[#This Row],[Gols V]])</f>
        <v>1</v>
      </c>
      <c r="O19" s="25">
        <f>Tabela2[[#This Row],[Gols M]]+Tabela2[[#This Row],[Gols V]]</f>
        <v>3</v>
      </c>
    </row>
    <row r="20" spans="1:15" x14ac:dyDescent="0.25">
      <c r="A20" s="19">
        <v>2</v>
      </c>
      <c r="B20" s="47" t="s">
        <v>90</v>
      </c>
      <c r="C20" s="48">
        <v>1</v>
      </c>
      <c r="D20" s="48">
        <v>1</v>
      </c>
      <c r="E20" s="47" t="s">
        <v>74</v>
      </c>
      <c r="F20" s="49" t="s">
        <v>95</v>
      </c>
      <c r="G20" s="49">
        <v>42512</v>
      </c>
      <c r="H20" s="49" t="s">
        <v>99</v>
      </c>
      <c r="I20" s="50" t="s">
        <v>8</v>
      </c>
      <c r="J20" s="19" t="str">
        <f>IF(Tabela2[[#This Row],[Gols M]]&lt;&gt;"",IF(Tabela2[[#This Row],[Gols M]]-Tabela2[[#This Row],[Gols V]]&gt;=0,IF(Tabela2[[#This Row],[Gols M]]-Tabela2[[#This Row],[Gols V]]&gt;0,"V","E"),"D"),"")</f>
        <v>E</v>
      </c>
      <c r="K20" s="19" t="str">
        <f>IF(Tabela2[[#This Row],[Gols M]]&lt;&gt;"",IF(Tabela2[[#This Row],[Gols V]]-Tabela2[[#This Row],[Gols M]]&gt;=0,IF(Tabela2[[#This Row],[Gols V]]-Tabela2[[#This Row],[Gols M]]&gt;0,"V","E"),"D"),"")</f>
        <v>E</v>
      </c>
      <c r="L20" s="19">
        <f>IF(OR('Por time'!E$2=Tabela2[[#This Row],[Mandante]], 'Por time'!E$2=Tabela2[[#This Row],[Visitante]]),1,0)</f>
        <v>0</v>
      </c>
      <c r="M20" s="25">
        <f>Tabela2[[#This Row],[Marcar time]]+M19</f>
        <v>2</v>
      </c>
      <c r="N20" s="25">
        <f>IMABS(Tabela2[[#This Row],[Gols M]]-Tabela2[[#This Row],[Gols V]])</f>
        <v>0</v>
      </c>
      <c r="O20" s="25">
        <f>Tabela2[[#This Row],[Gols M]]+Tabela2[[#This Row],[Gols V]]</f>
        <v>2</v>
      </c>
    </row>
    <row r="21" spans="1:15" x14ac:dyDescent="0.25">
      <c r="A21" s="19">
        <v>2</v>
      </c>
      <c r="B21" s="47" t="s">
        <v>91</v>
      </c>
      <c r="C21" s="48">
        <v>3</v>
      </c>
      <c r="D21" s="48">
        <v>2</v>
      </c>
      <c r="E21" s="47" t="s">
        <v>77</v>
      </c>
      <c r="F21" s="49" t="s">
        <v>95</v>
      </c>
      <c r="G21" s="49">
        <v>42512</v>
      </c>
      <c r="H21" s="49" t="s">
        <v>96</v>
      </c>
      <c r="I21" s="50" t="s">
        <v>9</v>
      </c>
      <c r="J21" s="19" t="str">
        <f>IF(Tabela2[[#This Row],[Gols M]]&lt;&gt;"",IF(Tabela2[[#This Row],[Gols M]]-Tabela2[[#This Row],[Gols V]]&gt;=0,IF(Tabela2[[#This Row],[Gols M]]-Tabela2[[#This Row],[Gols V]]&gt;0,"V","E"),"D"),"")</f>
        <v>V</v>
      </c>
      <c r="K21" s="19" t="str">
        <f>IF(Tabela2[[#This Row],[Gols M]]&lt;&gt;"",IF(Tabela2[[#This Row],[Gols V]]-Tabela2[[#This Row],[Gols M]]&gt;=0,IF(Tabela2[[#This Row],[Gols V]]-Tabela2[[#This Row],[Gols M]]&gt;0,"V","E"),"D"),"")</f>
        <v>D</v>
      </c>
      <c r="L21" s="19">
        <f>IF(OR('Por time'!E$2=Tabela2[[#This Row],[Mandante]], 'Por time'!E$2=Tabela2[[#This Row],[Visitante]]),1,0)</f>
        <v>0</v>
      </c>
      <c r="M21" s="25">
        <f>Tabela2[[#This Row],[Marcar time]]+M20</f>
        <v>2</v>
      </c>
      <c r="N21" s="25">
        <f>IMABS(Tabela2[[#This Row],[Gols M]]-Tabela2[[#This Row],[Gols V]])</f>
        <v>1</v>
      </c>
      <c r="O21" s="25">
        <f>Tabela2[[#This Row],[Gols M]]+Tabela2[[#This Row],[Gols V]]</f>
        <v>5</v>
      </c>
    </row>
    <row r="22" spans="1:15" x14ac:dyDescent="0.25">
      <c r="A22" s="19">
        <v>3</v>
      </c>
      <c r="B22" s="47" t="s">
        <v>73</v>
      </c>
      <c r="C22" s="48">
        <v>1</v>
      </c>
      <c r="D22" s="48">
        <v>1</v>
      </c>
      <c r="E22" s="47" t="s">
        <v>91</v>
      </c>
      <c r="F22" s="49" t="s">
        <v>101</v>
      </c>
      <c r="G22" s="49">
        <v>42515</v>
      </c>
      <c r="H22" s="49" t="s">
        <v>100</v>
      </c>
      <c r="I22" s="50" t="s">
        <v>11</v>
      </c>
      <c r="J22" s="19" t="str">
        <f>IF(Tabela2[[#This Row],[Gols M]]&lt;&gt;"",IF(Tabela2[[#This Row],[Gols M]]-Tabela2[[#This Row],[Gols V]]&gt;=0,IF(Tabela2[[#This Row],[Gols M]]-Tabela2[[#This Row],[Gols V]]&gt;0,"V","E"),"D"),"")</f>
        <v>E</v>
      </c>
      <c r="K22" s="19" t="str">
        <f>IF(Tabela2[[#This Row],[Gols M]]&lt;&gt;"",IF(Tabela2[[#This Row],[Gols V]]-Tabela2[[#This Row],[Gols M]]&gt;=0,IF(Tabela2[[#This Row],[Gols V]]-Tabela2[[#This Row],[Gols M]]&gt;0,"V","E"),"D"),"")</f>
        <v>E</v>
      </c>
      <c r="L22" s="19">
        <f>IF(OR('Por time'!E$2=Tabela2[[#This Row],[Mandante]], 'Por time'!E$2=Tabela2[[#This Row],[Visitante]]),1,0)</f>
        <v>0</v>
      </c>
      <c r="M22" s="25">
        <f>Tabela2[[#This Row],[Marcar time]]+M21</f>
        <v>2</v>
      </c>
      <c r="N22" s="25">
        <f>IMABS(Tabela2[[#This Row],[Gols M]]-Tabela2[[#This Row],[Gols V]])</f>
        <v>0</v>
      </c>
      <c r="O22" s="25">
        <f>Tabela2[[#This Row],[Gols M]]+Tabela2[[#This Row],[Gols V]]</f>
        <v>2</v>
      </c>
    </row>
    <row r="23" spans="1:15" x14ac:dyDescent="0.25">
      <c r="A23" s="19">
        <v>3</v>
      </c>
      <c r="B23" s="47" t="s">
        <v>74</v>
      </c>
      <c r="C23" s="48">
        <v>2</v>
      </c>
      <c r="D23" s="48">
        <v>1</v>
      </c>
      <c r="E23" s="47" t="s">
        <v>83</v>
      </c>
      <c r="F23" s="49" t="s">
        <v>101</v>
      </c>
      <c r="G23" s="49">
        <v>42515</v>
      </c>
      <c r="H23" s="49" t="s">
        <v>102</v>
      </c>
      <c r="I23" s="50" t="s">
        <v>51</v>
      </c>
      <c r="J23" s="19" t="str">
        <f>IF(Tabela2[[#This Row],[Gols M]]&lt;&gt;"",IF(Tabela2[[#This Row],[Gols M]]-Tabela2[[#This Row],[Gols V]]&gt;=0,IF(Tabela2[[#This Row],[Gols M]]-Tabela2[[#This Row],[Gols V]]&gt;0,"V","E"),"D"),"")</f>
        <v>V</v>
      </c>
      <c r="K23" s="19" t="str">
        <f>IF(Tabela2[[#This Row],[Gols M]]&lt;&gt;"",IF(Tabela2[[#This Row],[Gols V]]-Tabela2[[#This Row],[Gols M]]&gt;=0,IF(Tabela2[[#This Row],[Gols V]]-Tabela2[[#This Row],[Gols M]]&gt;0,"V","E"),"D"),"")</f>
        <v>D</v>
      </c>
      <c r="L23" s="19">
        <f>IF(OR('Por time'!E$2=Tabela2[[#This Row],[Mandante]], 'Por time'!E$2=Tabela2[[#This Row],[Visitante]]),1,0)</f>
        <v>1</v>
      </c>
      <c r="M23" s="25">
        <f>Tabela2[[#This Row],[Marcar time]]+M22</f>
        <v>3</v>
      </c>
      <c r="N23" s="25">
        <f>IMABS(Tabela2[[#This Row],[Gols M]]-Tabela2[[#This Row],[Gols V]])</f>
        <v>1</v>
      </c>
      <c r="O23" s="25">
        <f>Tabela2[[#This Row],[Gols M]]+Tabela2[[#This Row],[Gols V]]</f>
        <v>3</v>
      </c>
    </row>
    <row r="24" spans="1:15" x14ac:dyDescent="0.25">
      <c r="A24" s="19">
        <v>3</v>
      </c>
      <c r="B24" s="47" t="s">
        <v>75</v>
      </c>
      <c r="C24" s="48">
        <v>0</v>
      </c>
      <c r="D24" s="48">
        <v>3</v>
      </c>
      <c r="E24" s="47" t="s">
        <v>87</v>
      </c>
      <c r="F24" s="49" t="s">
        <v>103</v>
      </c>
      <c r="G24" s="49">
        <v>42516</v>
      </c>
      <c r="H24" s="49" t="s">
        <v>100</v>
      </c>
      <c r="I24" s="50" t="s">
        <v>11</v>
      </c>
      <c r="J24" s="19" t="str">
        <f>IF(Tabela2[[#This Row],[Gols M]]&lt;&gt;"",IF(Tabela2[[#This Row],[Gols M]]-Tabela2[[#This Row],[Gols V]]&gt;=0,IF(Tabela2[[#This Row],[Gols M]]-Tabela2[[#This Row],[Gols V]]&gt;0,"V","E"),"D"),"")</f>
        <v>D</v>
      </c>
      <c r="K24" s="19" t="str">
        <f>IF(Tabela2[[#This Row],[Gols M]]&lt;&gt;"",IF(Tabela2[[#This Row],[Gols V]]-Tabela2[[#This Row],[Gols M]]&gt;=0,IF(Tabela2[[#This Row],[Gols V]]-Tabela2[[#This Row],[Gols M]]&gt;0,"V","E"),"D"),"")</f>
        <v>V</v>
      </c>
      <c r="L24" s="19">
        <f>IF(OR('Por time'!E$2=Tabela2[[#This Row],[Mandante]], 'Por time'!E$2=Tabela2[[#This Row],[Visitante]]),1,0)</f>
        <v>0</v>
      </c>
      <c r="M24" s="25">
        <f>Tabela2[[#This Row],[Marcar time]]+M23</f>
        <v>3</v>
      </c>
      <c r="N24" s="25">
        <f>IMABS(Tabela2[[#This Row],[Gols M]]-Tabela2[[#This Row],[Gols V]])</f>
        <v>3</v>
      </c>
      <c r="O24" s="25">
        <f>Tabela2[[#This Row],[Gols M]]+Tabela2[[#This Row],[Gols V]]</f>
        <v>3</v>
      </c>
    </row>
    <row r="25" spans="1:15" x14ac:dyDescent="0.25">
      <c r="A25" s="19">
        <v>3</v>
      </c>
      <c r="B25" s="47" t="s">
        <v>76</v>
      </c>
      <c r="C25" s="48">
        <v>1</v>
      </c>
      <c r="D25" s="48">
        <v>1</v>
      </c>
      <c r="E25" s="47" t="s">
        <v>92</v>
      </c>
      <c r="F25" s="49" t="s">
        <v>101</v>
      </c>
      <c r="G25" s="49">
        <v>42515</v>
      </c>
      <c r="H25" s="49" t="s">
        <v>104</v>
      </c>
      <c r="I25" s="50" t="s">
        <v>40</v>
      </c>
      <c r="J25" s="19" t="str">
        <f>IF(Tabela2[[#This Row],[Gols M]]&lt;&gt;"",IF(Tabela2[[#This Row],[Gols M]]-Tabela2[[#This Row],[Gols V]]&gt;=0,IF(Tabela2[[#This Row],[Gols M]]-Tabela2[[#This Row],[Gols V]]&gt;0,"V","E"),"D"),"")</f>
        <v>E</v>
      </c>
      <c r="K25" s="19" t="str">
        <f>IF(Tabela2[[#This Row],[Gols M]]&lt;&gt;"",IF(Tabela2[[#This Row],[Gols V]]-Tabela2[[#This Row],[Gols M]]&gt;=0,IF(Tabela2[[#This Row],[Gols V]]-Tabela2[[#This Row],[Gols M]]&gt;0,"V","E"),"D"),"")</f>
        <v>E</v>
      </c>
      <c r="L25" s="19">
        <f>IF(OR('Por time'!E$2=Tabela2[[#This Row],[Mandante]], 'Por time'!E$2=Tabela2[[#This Row],[Visitante]]),1,0)</f>
        <v>0</v>
      </c>
      <c r="M25" s="25">
        <f>Tabela2[[#This Row],[Marcar time]]+M24</f>
        <v>3</v>
      </c>
      <c r="N25" s="25">
        <f>IMABS(Tabela2[[#This Row],[Gols M]]-Tabela2[[#This Row],[Gols V]])</f>
        <v>0</v>
      </c>
      <c r="O25" s="25">
        <f>Tabela2[[#This Row],[Gols M]]+Tabela2[[#This Row],[Gols V]]</f>
        <v>2</v>
      </c>
    </row>
    <row r="26" spans="1:15" x14ac:dyDescent="0.25">
      <c r="A26" s="19">
        <v>3</v>
      </c>
      <c r="B26" s="47" t="s">
        <v>77</v>
      </c>
      <c r="C26" s="48">
        <v>3</v>
      </c>
      <c r="D26" s="48">
        <v>0</v>
      </c>
      <c r="E26" s="47" t="s">
        <v>88</v>
      </c>
      <c r="F26" s="49" t="s">
        <v>103</v>
      </c>
      <c r="G26" s="49">
        <v>42516</v>
      </c>
      <c r="H26" s="49" t="s">
        <v>97</v>
      </c>
      <c r="I26" s="50" t="s">
        <v>18</v>
      </c>
      <c r="J26" s="19" t="str">
        <f>IF(Tabela2[[#This Row],[Gols M]]&lt;&gt;"",IF(Tabela2[[#This Row],[Gols M]]-Tabela2[[#This Row],[Gols V]]&gt;=0,IF(Tabela2[[#This Row],[Gols M]]-Tabela2[[#This Row],[Gols V]]&gt;0,"V","E"),"D"),"")</f>
        <v>V</v>
      </c>
      <c r="K26" s="19" t="str">
        <f>IF(Tabela2[[#This Row],[Gols M]]&lt;&gt;"",IF(Tabela2[[#This Row],[Gols V]]-Tabela2[[#This Row],[Gols M]]&gt;=0,IF(Tabela2[[#This Row],[Gols V]]-Tabela2[[#This Row],[Gols M]]&gt;0,"V","E"),"D"),"")</f>
        <v>D</v>
      </c>
      <c r="L26" s="19">
        <f>IF(OR('Por time'!E$2=Tabela2[[#This Row],[Mandante]], 'Por time'!E$2=Tabela2[[#This Row],[Visitante]]),1,0)</f>
        <v>0</v>
      </c>
      <c r="M26" s="25">
        <f>Tabela2[[#This Row],[Marcar time]]+M25</f>
        <v>3</v>
      </c>
      <c r="N26" s="25">
        <f>IMABS(Tabela2[[#This Row],[Gols M]]-Tabela2[[#This Row],[Gols V]])</f>
        <v>3</v>
      </c>
      <c r="O26" s="25">
        <f>Tabela2[[#This Row],[Gols M]]+Tabela2[[#This Row],[Gols V]]</f>
        <v>3</v>
      </c>
    </row>
    <row r="27" spans="1:15" x14ac:dyDescent="0.25">
      <c r="A27" s="19">
        <v>3</v>
      </c>
      <c r="B27" s="47" t="s">
        <v>78</v>
      </c>
      <c r="C27" s="48">
        <v>2</v>
      </c>
      <c r="D27" s="48">
        <v>2</v>
      </c>
      <c r="E27" s="47" t="s">
        <v>89</v>
      </c>
      <c r="F27" s="49" t="s">
        <v>101</v>
      </c>
      <c r="G27" s="49">
        <v>42515</v>
      </c>
      <c r="H27" s="49" t="s">
        <v>102</v>
      </c>
      <c r="I27" s="50" t="s">
        <v>33</v>
      </c>
      <c r="J27" s="19" t="str">
        <f>IF(Tabela2[[#This Row],[Gols M]]&lt;&gt;"",IF(Tabela2[[#This Row],[Gols M]]-Tabela2[[#This Row],[Gols V]]&gt;=0,IF(Tabela2[[#This Row],[Gols M]]-Tabela2[[#This Row],[Gols V]]&gt;0,"V","E"),"D"),"")</f>
        <v>E</v>
      </c>
      <c r="K27" s="19" t="str">
        <f>IF(Tabela2[[#This Row],[Gols M]]&lt;&gt;"",IF(Tabela2[[#This Row],[Gols V]]-Tabela2[[#This Row],[Gols M]]&gt;=0,IF(Tabela2[[#This Row],[Gols V]]-Tabela2[[#This Row],[Gols M]]&gt;0,"V","E"),"D"),"")</f>
        <v>E</v>
      </c>
      <c r="L27" s="19">
        <f>IF(OR('Por time'!E$2=Tabela2[[#This Row],[Mandante]], 'Por time'!E$2=Tabela2[[#This Row],[Visitante]]),1,0)</f>
        <v>0</v>
      </c>
      <c r="M27" s="25">
        <f>Tabela2[[#This Row],[Marcar time]]+M26</f>
        <v>3</v>
      </c>
      <c r="N27" s="25">
        <f>IMABS(Tabela2[[#This Row],[Gols M]]-Tabela2[[#This Row],[Gols V]])</f>
        <v>0</v>
      </c>
      <c r="O27" s="25">
        <f>Tabela2[[#This Row],[Gols M]]+Tabela2[[#This Row],[Gols V]]</f>
        <v>4</v>
      </c>
    </row>
    <row r="28" spans="1:15" x14ac:dyDescent="0.25">
      <c r="A28" s="19">
        <v>3</v>
      </c>
      <c r="B28" s="47" t="s">
        <v>79</v>
      </c>
      <c r="C28" s="48">
        <v>2</v>
      </c>
      <c r="D28" s="48">
        <v>2</v>
      </c>
      <c r="E28" s="47" t="s">
        <v>84</v>
      </c>
      <c r="F28" s="49" t="s">
        <v>101</v>
      </c>
      <c r="G28" s="49">
        <v>42515</v>
      </c>
      <c r="H28" s="49" t="s">
        <v>100</v>
      </c>
      <c r="I28" s="50" t="s">
        <v>45</v>
      </c>
      <c r="J28" s="19" t="str">
        <f>IF(Tabela2[[#This Row],[Gols M]]&lt;&gt;"",IF(Tabela2[[#This Row],[Gols M]]-Tabela2[[#This Row],[Gols V]]&gt;=0,IF(Tabela2[[#This Row],[Gols M]]-Tabela2[[#This Row],[Gols V]]&gt;0,"V","E"),"D"),"")</f>
        <v>E</v>
      </c>
      <c r="K28" s="19" t="str">
        <f>IF(Tabela2[[#This Row],[Gols M]]&lt;&gt;"",IF(Tabela2[[#This Row],[Gols V]]-Tabela2[[#This Row],[Gols M]]&gt;=0,IF(Tabela2[[#This Row],[Gols V]]-Tabela2[[#This Row],[Gols M]]&gt;0,"V","E"),"D"),"")</f>
        <v>E</v>
      </c>
      <c r="L28" s="19">
        <f>IF(OR('Por time'!E$2=Tabela2[[#This Row],[Mandante]], 'Por time'!E$2=Tabela2[[#This Row],[Visitante]]),1,0)</f>
        <v>0</v>
      </c>
      <c r="M28" s="25">
        <f>Tabela2[[#This Row],[Marcar time]]+M27</f>
        <v>3</v>
      </c>
      <c r="N28" s="25">
        <f>IMABS(Tabela2[[#This Row],[Gols M]]-Tabela2[[#This Row],[Gols V]])</f>
        <v>0</v>
      </c>
      <c r="O28" s="25">
        <f>Tabela2[[#This Row],[Gols M]]+Tabela2[[#This Row],[Gols V]]</f>
        <v>4</v>
      </c>
    </row>
    <row r="29" spans="1:15" x14ac:dyDescent="0.25">
      <c r="A29" s="19">
        <v>3</v>
      </c>
      <c r="B29" s="47" t="s">
        <v>80</v>
      </c>
      <c r="C29" s="48">
        <v>1</v>
      </c>
      <c r="D29" s="48">
        <v>0</v>
      </c>
      <c r="E29" s="47" t="s">
        <v>90</v>
      </c>
      <c r="F29" s="49" t="s">
        <v>103</v>
      </c>
      <c r="G29" s="49">
        <v>42516</v>
      </c>
      <c r="H29" s="49" t="s">
        <v>96</v>
      </c>
      <c r="I29" s="50" t="s">
        <v>27</v>
      </c>
      <c r="J29" s="19" t="str">
        <f>IF(Tabela2[[#This Row],[Gols M]]&lt;&gt;"",IF(Tabela2[[#This Row],[Gols M]]-Tabela2[[#This Row],[Gols V]]&gt;=0,IF(Tabela2[[#This Row],[Gols M]]-Tabela2[[#This Row],[Gols V]]&gt;0,"V","E"),"D"),"")</f>
        <v>V</v>
      </c>
      <c r="K29" s="19" t="str">
        <f>IF(Tabela2[[#This Row],[Gols M]]&lt;&gt;"",IF(Tabela2[[#This Row],[Gols V]]-Tabela2[[#This Row],[Gols M]]&gt;=0,IF(Tabela2[[#This Row],[Gols V]]-Tabela2[[#This Row],[Gols M]]&gt;0,"V","E"),"D"),"")</f>
        <v>D</v>
      </c>
      <c r="L29" s="19">
        <f>IF(OR('Por time'!E$2=Tabela2[[#This Row],[Mandante]], 'Por time'!E$2=Tabela2[[#This Row],[Visitante]]),1,0)</f>
        <v>0</v>
      </c>
      <c r="M29" s="25">
        <f>Tabela2[[#This Row],[Marcar time]]+M28</f>
        <v>3</v>
      </c>
      <c r="N29" s="25">
        <f>IMABS(Tabela2[[#This Row],[Gols M]]-Tabela2[[#This Row],[Gols V]])</f>
        <v>1</v>
      </c>
      <c r="O29" s="25">
        <f>Tabela2[[#This Row],[Gols M]]+Tabela2[[#This Row],[Gols V]]</f>
        <v>1</v>
      </c>
    </row>
    <row r="30" spans="1:15" x14ac:dyDescent="0.25">
      <c r="A30" s="19">
        <v>3</v>
      </c>
      <c r="B30" s="47" t="s">
        <v>81</v>
      </c>
      <c r="C30" s="48">
        <v>2</v>
      </c>
      <c r="D30" s="48">
        <v>0</v>
      </c>
      <c r="E30" s="47" t="s">
        <v>86</v>
      </c>
      <c r="F30" s="49" t="s">
        <v>101</v>
      </c>
      <c r="G30" s="49">
        <v>42515</v>
      </c>
      <c r="H30" s="49" t="s">
        <v>104</v>
      </c>
      <c r="I30" s="50" t="s">
        <v>30</v>
      </c>
      <c r="J30" s="19" t="str">
        <f>IF(Tabela2[[#This Row],[Gols M]]&lt;&gt;"",IF(Tabela2[[#This Row],[Gols M]]-Tabela2[[#This Row],[Gols V]]&gt;=0,IF(Tabela2[[#This Row],[Gols M]]-Tabela2[[#This Row],[Gols V]]&gt;0,"V","E"),"D"),"")</f>
        <v>V</v>
      </c>
      <c r="K30" s="19" t="str">
        <f>IF(Tabela2[[#This Row],[Gols M]]&lt;&gt;"",IF(Tabela2[[#This Row],[Gols V]]-Tabela2[[#This Row],[Gols M]]&gt;=0,IF(Tabela2[[#This Row],[Gols V]]-Tabela2[[#This Row],[Gols M]]&gt;0,"V","E"),"D"),"")</f>
        <v>D</v>
      </c>
      <c r="L30" s="19">
        <f>IF(OR('Por time'!E$2=Tabela2[[#This Row],[Mandante]], 'Por time'!E$2=Tabela2[[#This Row],[Visitante]]),1,0)</f>
        <v>0</v>
      </c>
      <c r="M30" s="25">
        <f>Tabela2[[#This Row],[Marcar time]]+M29</f>
        <v>3</v>
      </c>
      <c r="N30" s="25">
        <f>IMABS(Tabela2[[#This Row],[Gols M]]-Tabela2[[#This Row],[Gols V]])</f>
        <v>2</v>
      </c>
      <c r="O30" s="25">
        <f>Tabela2[[#This Row],[Gols M]]+Tabela2[[#This Row],[Gols V]]</f>
        <v>2</v>
      </c>
    </row>
    <row r="31" spans="1:15" x14ac:dyDescent="0.25">
      <c r="A31" s="19">
        <v>3</v>
      </c>
      <c r="B31" s="47" t="s">
        <v>82</v>
      </c>
      <c r="C31" s="48">
        <v>4</v>
      </c>
      <c r="D31" s="48">
        <v>1</v>
      </c>
      <c r="E31" s="47" t="s">
        <v>85</v>
      </c>
      <c r="F31" s="49" t="s">
        <v>101</v>
      </c>
      <c r="G31" s="49">
        <v>42515</v>
      </c>
      <c r="H31" s="49" t="s">
        <v>104</v>
      </c>
      <c r="I31" s="50" t="s">
        <v>36</v>
      </c>
      <c r="J31" s="19" t="str">
        <f>IF(Tabela2[[#This Row],[Gols M]]&lt;&gt;"",IF(Tabela2[[#This Row],[Gols M]]-Tabela2[[#This Row],[Gols V]]&gt;=0,IF(Tabela2[[#This Row],[Gols M]]-Tabela2[[#This Row],[Gols V]]&gt;0,"V","E"),"D"),"")</f>
        <v>V</v>
      </c>
      <c r="K31" s="19" t="str">
        <f>IF(Tabela2[[#This Row],[Gols M]]&lt;&gt;"",IF(Tabela2[[#This Row],[Gols V]]-Tabela2[[#This Row],[Gols M]]&gt;=0,IF(Tabela2[[#This Row],[Gols V]]-Tabela2[[#This Row],[Gols M]]&gt;0,"V","E"),"D"),"")</f>
        <v>D</v>
      </c>
      <c r="L31" s="19">
        <f>IF(OR('Por time'!E$2=Tabela2[[#This Row],[Mandante]], 'Por time'!E$2=Tabela2[[#This Row],[Visitante]]),1,0)</f>
        <v>0</v>
      </c>
      <c r="M31" s="25">
        <f>Tabela2[[#This Row],[Marcar time]]+M30</f>
        <v>3</v>
      </c>
      <c r="N31" s="25">
        <f>IMABS(Tabela2[[#This Row],[Gols M]]-Tabela2[[#This Row],[Gols V]])</f>
        <v>3</v>
      </c>
      <c r="O31" s="25">
        <f>Tabela2[[#This Row],[Gols M]]+Tabela2[[#This Row],[Gols V]]</f>
        <v>5</v>
      </c>
    </row>
    <row r="32" spans="1:15" x14ac:dyDescent="0.25">
      <c r="A32" s="19">
        <v>4</v>
      </c>
      <c r="B32" s="47" t="s">
        <v>83</v>
      </c>
      <c r="C32" s="48">
        <v>2</v>
      </c>
      <c r="D32" s="48">
        <v>1</v>
      </c>
      <c r="E32" s="47" t="s">
        <v>78</v>
      </c>
      <c r="F32" s="49" t="s">
        <v>98</v>
      </c>
      <c r="G32" s="49">
        <v>42518</v>
      </c>
      <c r="H32" s="49" t="s">
        <v>99</v>
      </c>
      <c r="I32" s="50" t="s">
        <v>0</v>
      </c>
      <c r="J32" s="19" t="str">
        <f>IF(Tabela2[[#This Row],[Gols M]]&lt;&gt;"",IF(Tabela2[[#This Row],[Gols M]]-Tabela2[[#This Row],[Gols V]]&gt;=0,IF(Tabela2[[#This Row],[Gols M]]-Tabela2[[#This Row],[Gols V]]&gt;0,"V","E"),"D"),"")</f>
        <v>V</v>
      </c>
      <c r="K32" s="19" t="str">
        <f>IF(Tabela2[[#This Row],[Gols M]]&lt;&gt;"",IF(Tabela2[[#This Row],[Gols V]]-Tabela2[[#This Row],[Gols M]]&gt;=0,IF(Tabela2[[#This Row],[Gols V]]-Tabela2[[#This Row],[Gols M]]&gt;0,"V","E"),"D"),"")</f>
        <v>D</v>
      </c>
      <c r="L32" s="19">
        <f>IF(OR('Por time'!E$2=Tabela2[[#This Row],[Mandante]], 'Por time'!E$2=Tabela2[[#This Row],[Visitante]]),1,0)</f>
        <v>1</v>
      </c>
      <c r="M32" s="25">
        <f>Tabela2[[#This Row],[Marcar time]]+M31</f>
        <v>4</v>
      </c>
      <c r="N32" s="25">
        <f>IMABS(Tabela2[[#This Row],[Gols M]]-Tabela2[[#This Row],[Gols V]])</f>
        <v>1</v>
      </c>
      <c r="O32" s="25">
        <f>Tabela2[[#This Row],[Gols M]]+Tabela2[[#This Row],[Gols V]]</f>
        <v>3</v>
      </c>
    </row>
    <row r="33" spans="1:15" x14ac:dyDescent="0.25">
      <c r="A33" s="19">
        <v>4</v>
      </c>
      <c r="B33" s="47" t="s">
        <v>84</v>
      </c>
      <c r="C33" s="48">
        <v>1</v>
      </c>
      <c r="D33" s="48">
        <v>1</v>
      </c>
      <c r="E33" s="47" t="s">
        <v>82</v>
      </c>
      <c r="F33" s="49" t="s">
        <v>98</v>
      </c>
      <c r="G33" s="49">
        <v>42518</v>
      </c>
      <c r="H33" s="49" t="s">
        <v>100</v>
      </c>
      <c r="I33" s="50" t="s">
        <v>1</v>
      </c>
      <c r="J33" s="19" t="str">
        <f>IF(Tabela2[[#This Row],[Gols M]]&lt;&gt;"",IF(Tabela2[[#This Row],[Gols M]]-Tabela2[[#This Row],[Gols V]]&gt;=0,IF(Tabela2[[#This Row],[Gols M]]-Tabela2[[#This Row],[Gols V]]&gt;0,"V","E"),"D"),"")</f>
        <v>E</v>
      </c>
      <c r="K33" s="19" t="str">
        <f>IF(Tabela2[[#This Row],[Gols M]]&lt;&gt;"",IF(Tabela2[[#This Row],[Gols V]]-Tabela2[[#This Row],[Gols M]]&gt;=0,IF(Tabela2[[#This Row],[Gols V]]-Tabela2[[#This Row],[Gols M]]&gt;0,"V","E"),"D"),"")</f>
        <v>E</v>
      </c>
      <c r="L33" s="19">
        <f>IF(OR('Por time'!E$2=Tabela2[[#This Row],[Mandante]], 'Por time'!E$2=Tabela2[[#This Row],[Visitante]]),1,0)</f>
        <v>0</v>
      </c>
      <c r="M33" s="25">
        <f>Tabela2[[#This Row],[Marcar time]]+M32</f>
        <v>4</v>
      </c>
      <c r="N33" s="25">
        <f>IMABS(Tabela2[[#This Row],[Gols M]]-Tabela2[[#This Row],[Gols V]])</f>
        <v>0</v>
      </c>
      <c r="O33" s="25">
        <f>Tabela2[[#This Row],[Gols M]]+Tabela2[[#This Row],[Gols V]]</f>
        <v>2</v>
      </c>
    </row>
    <row r="34" spans="1:15" x14ac:dyDescent="0.25">
      <c r="A34" s="19">
        <v>4</v>
      </c>
      <c r="B34" s="47" t="s">
        <v>85</v>
      </c>
      <c r="C34" s="48">
        <v>1</v>
      </c>
      <c r="D34" s="48">
        <v>1</v>
      </c>
      <c r="E34" s="47" t="s">
        <v>73</v>
      </c>
      <c r="F34" s="49" t="s">
        <v>98</v>
      </c>
      <c r="G34" s="49">
        <v>42518</v>
      </c>
      <c r="H34" s="49" t="s">
        <v>96</v>
      </c>
      <c r="I34" s="50" t="s">
        <v>2</v>
      </c>
      <c r="J34" s="19" t="str">
        <f>IF(Tabela2[[#This Row],[Gols M]]&lt;&gt;"",IF(Tabela2[[#This Row],[Gols M]]-Tabela2[[#This Row],[Gols V]]&gt;=0,IF(Tabela2[[#This Row],[Gols M]]-Tabela2[[#This Row],[Gols V]]&gt;0,"V","E"),"D"),"")</f>
        <v>E</v>
      </c>
      <c r="K34" s="19" t="str">
        <f>IF(Tabela2[[#This Row],[Gols M]]&lt;&gt;"",IF(Tabela2[[#This Row],[Gols V]]-Tabela2[[#This Row],[Gols M]]&gt;=0,IF(Tabela2[[#This Row],[Gols V]]-Tabela2[[#This Row],[Gols M]]&gt;0,"V","E"),"D"),"")</f>
        <v>E</v>
      </c>
      <c r="L34" s="19">
        <f>IF(OR('Por time'!E$2=Tabela2[[#This Row],[Mandante]], 'Por time'!E$2=Tabela2[[#This Row],[Visitante]]),1,0)</f>
        <v>0</v>
      </c>
      <c r="M34" s="25">
        <f>Tabela2[[#This Row],[Marcar time]]+M33</f>
        <v>4</v>
      </c>
      <c r="N34" s="25">
        <f>IMABS(Tabela2[[#This Row],[Gols M]]-Tabela2[[#This Row],[Gols V]])</f>
        <v>0</v>
      </c>
      <c r="O34" s="25">
        <f>Tabela2[[#This Row],[Gols M]]+Tabela2[[#This Row],[Gols V]]</f>
        <v>2</v>
      </c>
    </row>
    <row r="35" spans="1:15" x14ac:dyDescent="0.25">
      <c r="A35" s="19">
        <v>4</v>
      </c>
      <c r="B35" s="47" t="s">
        <v>86</v>
      </c>
      <c r="C35" s="48">
        <v>1</v>
      </c>
      <c r="D35" s="48">
        <v>0</v>
      </c>
      <c r="E35" s="47" t="s">
        <v>74</v>
      </c>
      <c r="F35" s="49" t="s">
        <v>95</v>
      </c>
      <c r="G35" s="49">
        <v>42519</v>
      </c>
      <c r="H35" s="49" t="s">
        <v>96</v>
      </c>
      <c r="I35" s="50" t="s">
        <v>45</v>
      </c>
      <c r="J35" s="19" t="str">
        <f>IF(Tabela2[[#This Row],[Gols M]]&lt;&gt;"",IF(Tabela2[[#This Row],[Gols M]]-Tabela2[[#This Row],[Gols V]]&gt;=0,IF(Tabela2[[#This Row],[Gols M]]-Tabela2[[#This Row],[Gols V]]&gt;0,"V","E"),"D"),"")</f>
        <v>V</v>
      </c>
      <c r="K35" s="19" t="str">
        <f>IF(Tabela2[[#This Row],[Gols M]]&lt;&gt;"",IF(Tabela2[[#This Row],[Gols V]]-Tabela2[[#This Row],[Gols M]]&gt;=0,IF(Tabela2[[#This Row],[Gols V]]-Tabela2[[#This Row],[Gols M]]&gt;0,"V","E"),"D"),"")</f>
        <v>D</v>
      </c>
      <c r="L35" s="19">
        <f>IF(OR('Por time'!E$2=Tabela2[[#This Row],[Mandante]], 'Por time'!E$2=Tabela2[[#This Row],[Visitante]]),1,0)</f>
        <v>0</v>
      </c>
      <c r="M35" s="25">
        <f>Tabela2[[#This Row],[Marcar time]]+M34</f>
        <v>4</v>
      </c>
      <c r="N35" s="25">
        <f>IMABS(Tabela2[[#This Row],[Gols M]]-Tabela2[[#This Row],[Gols V]])</f>
        <v>1</v>
      </c>
      <c r="O35" s="25">
        <f>Tabela2[[#This Row],[Gols M]]+Tabela2[[#This Row],[Gols V]]</f>
        <v>1</v>
      </c>
    </row>
    <row r="36" spans="1:15" x14ac:dyDescent="0.25">
      <c r="A36" s="19">
        <v>4</v>
      </c>
      <c r="B36" s="47" t="s">
        <v>87</v>
      </c>
      <c r="C36" s="48">
        <v>2</v>
      </c>
      <c r="D36" s="48">
        <v>0</v>
      </c>
      <c r="E36" s="47" t="s">
        <v>76</v>
      </c>
      <c r="F36" s="49" t="s">
        <v>95</v>
      </c>
      <c r="G36" s="49">
        <v>42519</v>
      </c>
      <c r="H36" s="49" t="s">
        <v>99</v>
      </c>
      <c r="I36" s="50" t="s">
        <v>4</v>
      </c>
      <c r="J36" s="19" t="str">
        <f>IF(Tabela2[[#This Row],[Gols M]]&lt;&gt;"",IF(Tabela2[[#This Row],[Gols M]]-Tabela2[[#This Row],[Gols V]]&gt;=0,IF(Tabela2[[#This Row],[Gols M]]-Tabela2[[#This Row],[Gols V]]&gt;0,"V","E"),"D"),"")</f>
        <v>V</v>
      </c>
      <c r="K36" s="19" t="str">
        <f>IF(Tabela2[[#This Row],[Gols M]]&lt;&gt;"",IF(Tabela2[[#This Row],[Gols V]]-Tabela2[[#This Row],[Gols M]]&gt;=0,IF(Tabela2[[#This Row],[Gols V]]-Tabela2[[#This Row],[Gols M]]&gt;0,"V","E"),"D"),"")</f>
        <v>D</v>
      </c>
      <c r="L36" s="19">
        <f>IF(OR('Por time'!E$2=Tabela2[[#This Row],[Mandante]], 'Por time'!E$2=Tabela2[[#This Row],[Visitante]]),1,0)</f>
        <v>0</v>
      </c>
      <c r="M36" s="25">
        <f>Tabela2[[#This Row],[Marcar time]]+M35</f>
        <v>4</v>
      </c>
      <c r="N36" s="25">
        <f>IMABS(Tabela2[[#This Row],[Gols M]]-Tabela2[[#This Row],[Gols V]])</f>
        <v>2</v>
      </c>
      <c r="O36" s="25">
        <f>Tabela2[[#This Row],[Gols M]]+Tabela2[[#This Row],[Gols V]]</f>
        <v>2</v>
      </c>
    </row>
    <row r="37" spans="1:15" x14ac:dyDescent="0.25">
      <c r="A37" s="19">
        <v>4</v>
      </c>
      <c r="B37" s="47" t="s">
        <v>88</v>
      </c>
      <c r="C37" s="48">
        <v>1</v>
      </c>
      <c r="D37" s="48">
        <v>2</v>
      </c>
      <c r="E37" s="47" t="s">
        <v>79</v>
      </c>
      <c r="F37" s="49" t="s">
        <v>95</v>
      </c>
      <c r="G37" s="49">
        <v>42519</v>
      </c>
      <c r="H37" s="49" t="s">
        <v>97</v>
      </c>
      <c r="I37" s="50" t="s">
        <v>5</v>
      </c>
      <c r="J37" s="19" t="str">
        <f>IF(Tabela2[[#This Row],[Gols M]]&lt;&gt;"",IF(Tabela2[[#This Row],[Gols M]]-Tabela2[[#This Row],[Gols V]]&gt;=0,IF(Tabela2[[#This Row],[Gols M]]-Tabela2[[#This Row],[Gols V]]&gt;0,"V","E"),"D"),"")</f>
        <v>D</v>
      </c>
      <c r="K37" s="19" t="str">
        <f>IF(Tabela2[[#This Row],[Gols M]]&lt;&gt;"",IF(Tabela2[[#This Row],[Gols V]]-Tabela2[[#This Row],[Gols M]]&gt;=0,IF(Tabela2[[#This Row],[Gols V]]-Tabela2[[#This Row],[Gols M]]&gt;0,"V","E"),"D"),"")</f>
        <v>V</v>
      </c>
      <c r="L37" s="19">
        <f>IF(OR('Por time'!E$2=Tabela2[[#This Row],[Mandante]], 'Por time'!E$2=Tabela2[[#This Row],[Visitante]]),1,0)</f>
        <v>0</v>
      </c>
      <c r="M37" s="25">
        <f>Tabela2[[#This Row],[Marcar time]]+M36</f>
        <v>4</v>
      </c>
      <c r="N37" s="25">
        <f>IMABS(Tabela2[[#This Row],[Gols M]]-Tabela2[[#This Row],[Gols V]])</f>
        <v>1</v>
      </c>
      <c r="O37" s="25">
        <f>Tabela2[[#This Row],[Gols M]]+Tabela2[[#This Row],[Gols V]]</f>
        <v>3</v>
      </c>
    </row>
    <row r="38" spans="1:15" x14ac:dyDescent="0.25">
      <c r="A38" s="19">
        <v>4</v>
      </c>
      <c r="B38" s="47" t="s">
        <v>89</v>
      </c>
      <c r="C38" s="48">
        <v>0</v>
      </c>
      <c r="D38" s="48">
        <v>1</v>
      </c>
      <c r="E38" s="47" t="s">
        <v>80</v>
      </c>
      <c r="F38" s="49" t="s">
        <v>95</v>
      </c>
      <c r="G38" s="49">
        <v>42519</v>
      </c>
      <c r="H38" s="49" t="s">
        <v>99</v>
      </c>
      <c r="I38" s="50" t="s">
        <v>6</v>
      </c>
      <c r="J38" s="19" t="str">
        <f>IF(Tabela2[[#This Row],[Gols M]]&lt;&gt;"",IF(Tabela2[[#This Row],[Gols M]]-Tabela2[[#This Row],[Gols V]]&gt;=0,IF(Tabela2[[#This Row],[Gols M]]-Tabela2[[#This Row],[Gols V]]&gt;0,"V","E"),"D"),"")</f>
        <v>D</v>
      </c>
      <c r="K38" s="19" t="str">
        <f>IF(Tabela2[[#This Row],[Gols M]]&lt;&gt;"",IF(Tabela2[[#This Row],[Gols V]]-Tabela2[[#This Row],[Gols M]]&gt;=0,IF(Tabela2[[#This Row],[Gols V]]-Tabela2[[#This Row],[Gols M]]&gt;0,"V","E"),"D"),"")</f>
        <v>V</v>
      </c>
      <c r="L38" s="19">
        <f>IF(OR('Por time'!E$2=Tabela2[[#This Row],[Mandante]], 'Por time'!E$2=Tabela2[[#This Row],[Visitante]]),1,0)</f>
        <v>0</v>
      </c>
      <c r="M38" s="25">
        <f>Tabela2[[#This Row],[Marcar time]]+M37</f>
        <v>4</v>
      </c>
      <c r="N38" s="25">
        <f>IMABS(Tabela2[[#This Row],[Gols M]]-Tabela2[[#This Row],[Gols V]])</f>
        <v>1</v>
      </c>
      <c r="O38" s="25">
        <f>Tabela2[[#This Row],[Gols M]]+Tabela2[[#This Row],[Gols V]]</f>
        <v>1</v>
      </c>
    </row>
    <row r="39" spans="1:15" x14ac:dyDescent="0.25">
      <c r="A39" s="19">
        <v>4</v>
      </c>
      <c r="B39" s="47" t="s">
        <v>92</v>
      </c>
      <c r="C39" s="48">
        <v>1</v>
      </c>
      <c r="D39" s="48">
        <v>0</v>
      </c>
      <c r="E39" s="47" t="s">
        <v>81</v>
      </c>
      <c r="F39" s="49" t="s">
        <v>95</v>
      </c>
      <c r="G39" s="49">
        <v>42519</v>
      </c>
      <c r="H39" s="49" t="s">
        <v>96</v>
      </c>
      <c r="I39" s="50" t="s">
        <v>41</v>
      </c>
      <c r="J39" s="19" t="str">
        <f>IF(Tabela2[[#This Row],[Gols M]]&lt;&gt;"",IF(Tabela2[[#This Row],[Gols M]]-Tabela2[[#This Row],[Gols V]]&gt;=0,IF(Tabela2[[#This Row],[Gols M]]-Tabela2[[#This Row],[Gols V]]&gt;0,"V","E"),"D"),"")</f>
        <v>V</v>
      </c>
      <c r="K39" s="19" t="str">
        <f>IF(Tabela2[[#This Row],[Gols M]]&lt;&gt;"",IF(Tabela2[[#This Row],[Gols V]]-Tabela2[[#This Row],[Gols M]]&gt;=0,IF(Tabela2[[#This Row],[Gols V]]-Tabela2[[#This Row],[Gols M]]&gt;0,"V","E"),"D"),"")</f>
        <v>D</v>
      </c>
      <c r="L39" s="19">
        <f>IF(OR('Por time'!E$2=Tabela2[[#This Row],[Mandante]], 'Por time'!E$2=Tabela2[[#This Row],[Visitante]]),1,0)</f>
        <v>0</v>
      </c>
      <c r="M39" s="25">
        <f>Tabela2[[#This Row],[Marcar time]]+M38</f>
        <v>4</v>
      </c>
      <c r="N39" s="25">
        <f>IMABS(Tabela2[[#This Row],[Gols M]]-Tabela2[[#This Row],[Gols V]])</f>
        <v>1</v>
      </c>
      <c r="O39" s="25">
        <f>Tabela2[[#This Row],[Gols M]]+Tabela2[[#This Row],[Gols V]]</f>
        <v>1</v>
      </c>
    </row>
    <row r="40" spans="1:15" x14ac:dyDescent="0.25">
      <c r="A40" s="19">
        <v>4</v>
      </c>
      <c r="B40" s="47" t="s">
        <v>90</v>
      </c>
      <c r="C40" s="48">
        <v>0</v>
      </c>
      <c r="D40" s="48">
        <v>2</v>
      </c>
      <c r="E40" s="47" t="s">
        <v>77</v>
      </c>
      <c r="F40" s="49" t="s">
        <v>95</v>
      </c>
      <c r="G40" s="49">
        <v>42519</v>
      </c>
      <c r="H40" s="49" t="s">
        <v>97</v>
      </c>
      <c r="I40" s="50" t="s">
        <v>8</v>
      </c>
      <c r="J40" s="19" t="str">
        <f>IF(Tabela2[[#This Row],[Gols M]]&lt;&gt;"",IF(Tabela2[[#This Row],[Gols M]]-Tabela2[[#This Row],[Gols V]]&gt;=0,IF(Tabela2[[#This Row],[Gols M]]-Tabela2[[#This Row],[Gols V]]&gt;0,"V","E"),"D"),"")</f>
        <v>D</v>
      </c>
      <c r="K40" s="19" t="str">
        <f>IF(Tabela2[[#This Row],[Gols M]]&lt;&gt;"",IF(Tabela2[[#This Row],[Gols V]]-Tabela2[[#This Row],[Gols M]]&gt;=0,IF(Tabela2[[#This Row],[Gols V]]-Tabela2[[#This Row],[Gols M]]&gt;0,"V","E"),"D"),"")</f>
        <v>V</v>
      </c>
      <c r="L40" s="19">
        <f>IF(OR('Por time'!E$2=Tabela2[[#This Row],[Mandante]], 'Por time'!E$2=Tabela2[[#This Row],[Visitante]]),1,0)</f>
        <v>0</v>
      </c>
      <c r="M40" s="25">
        <f>Tabela2[[#This Row],[Marcar time]]+M39</f>
        <v>4</v>
      </c>
      <c r="N40" s="25">
        <f>IMABS(Tabela2[[#This Row],[Gols M]]-Tabela2[[#This Row],[Gols V]])</f>
        <v>2</v>
      </c>
      <c r="O40" s="25">
        <f>Tabela2[[#This Row],[Gols M]]+Tabela2[[#This Row],[Gols V]]</f>
        <v>2</v>
      </c>
    </row>
    <row r="41" spans="1:15" x14ac:dyDescent="0.25">
      <c r="A41" s="19">
        <v>4</v>
      </c>
      <c r="B41" s="47" t="s">
        <v>91</v>
      </c>
      <c r="C41" s="48">
        <v>1</v>
      </c>
      <c r="D41" s="48">
        <v>1</v>
      </c>
      <c r="E41" s="47" t="s">
        <v>75</v>
      </c>
      <c r="F41" s="49" t="s">
        <v>95</v>
      </c>
      <c r="G41" s="49">
        <v>42519</v>
      </c>
      <c r="H41" s="49" t="s">
        <v>96</v>
      </c>
      <c r="I41" s="50" t="s">
        <v>46</v>
      </c>
      <c r="J41" s="19" t="str">
        <f>IF(Tabela2[[#This Row],[Gols M]]&lt;&gt;"",IF(Tabela2[[#This Row],[Gols M]]-Tabela2[[#This Row],[Gols V]]&gt;=0,IF(Tabela2[[#This Row],[Gols M]]-Tabela2[[#This Row],[Gols V]]&gt;0,"V","E"),"D"),"")</f>
        <v>E</v>
      </c>
      <c r="K41" s="19" t="str">
        <f>IF(Tabela2[[#This Row],[Gols M]]&lt;&gt;"",IF(Tabela2[[#This Row],[Gols V]]-Tabela2[[#This Row],[Gols M]]&gt;=0,IF(Tabela2[[#This Row],[Gols V]]-Tabela2[[#This Row],[Gols M]]&gt;0,"V","E"),"D"),"")</f>
        <v>E</v>
      </c>
      <c r="L41" s="19">
        <f>IF(OR('Por time'!E$2=Tabela2[[#This Row],[Mandante]], 'Por time'!E$2=Tabela2[[#This Row],[Visitante]]),1,0)</f>
        <v>0</v>
      </c>
      <c r="M41" s="25">
        <f>Tabela2[[#This Row],[Marcar time]]+M40</f>
        <v>4</v>
      </c>
      <c r="N41" s="25">
        <f>IMABS(Tabela2[[#This Row],[Gols M]]-Tabela2[[#This Row],[Gols V]])</f>
        <v>0</v>
      </c>
      <c r="O41" s="25">
        <f>Tabela2[[#This Row],[Gols M]]+Tabela2[[#This Row],[Gols V]]</f>
        <v>2</v>
      </c>
    </row>
    <row r="42" spans="1:15" x14ac:dyDescent="0.25">
      <c r="A42" s="19">
        <v>5</v>
      </c>
      <c r="B42" s="47" t="s">
        <v>73</v>
      </c>
      <c r="C42" s="48">
        <v>1</v>
      </c>
      <c r="D42" s="48">
        <v>2</v>
      </c>
      <c r="E42" s="47" t="s">
        <v>88</v>
      </c>
      <c r="F42" s="49" t="s">
        <v>103</v>
      </c>
      <c r="G42" s="49">
        <v>42523</v>
      </c>
      <c r="H42" s="49" t="s">
        <v>102</v>
      </c>
      <c r="I42" s="50" t="s">
        <v>11</v>
      </c>
      <c r="J42" s="19" t="str">
        <f>IF(Tabela2[[#This Row],[Gols M]]&lt;&gt;"",IF(Tabela2[[#This Row],[Gols M]]-Tabela2[[#This Row],[Gols V]]&gt;=0,IF(Tabela2[[#This Row],[Gols M]]-Tabela2[[#This Row],[Gols V]]&gt;0,"V","E"),"D"),"")</f>
        <v>D</v>
      </c>
      <c r="K42" s="19" t="str">
        <f>IF(Tabela2[[#This Row],[Gols M]]&lt;&gt;"",IF(Tabela2[[#This Row],[Gols V]]-Tabela2[[#This Row],[Gols M]]&gt;=0,IF(Tabela2[[#This Row],[Gols V]]-Tabela2[[#This Row],[Gols M]]&gt;0,"V","E"),"D"),"")</f>
        <v>V</v>
      </c>
      <c r="L42" s="19">
        <f>IF(OR('Por time'!E$2=Tabela2[[#This Row],[Mandante]], 'Por time'!E$2=Tabela2[[#This Row],[Visitante]]),1,0)</f>
        <v>0</v>
      </c>
      <c r="M42" s="25">
        <f>Tabela2[[#This Row],[Marcar time]]+M41</f>
        <v>4</v>
      </c>
      <c r="N42" s="25">
        <f>IMABS(Tabela2[[#This Row],[Gols M]]-Tabela2[[#This Row],[Gols V]])</f>
        <v>1</v>
      </c>
      <c r="O42" s="25">
        <f>Tabela2[[#This Row],[Gols M]]+Tabela2[[#This Row],[Gols V]]</f>
        <v>3</v>
      </c>
    </row>
    <row r="43" spans="1:15" x14ac:dyDescent="0.25">
      <c r="A43" s="19">
        <v>5</v>
      </c>
      <c r="B43" s="47" t="s">
        <v>74</v>
      </c>
      <c r="C43" s="48">
        <v>0</v>
      </c>
      <c r="D43" s="48">
        <v>1</v>
      </c>
      <c r="E43" s="47" t="s">
        <v>85</v>
      </c>
      <c r="F43" s="49" t="s">
        <v>101</v>
      </c>
      <c r="G43" s="49">
        <v>42522</v>
      </c>
      <c r="H43" s="49" t="s">
        <v>104</v>
      </c>
      <c r="I43" s="50" t="s">
        <v>50</v>
      </c>
      <c r="J43" s="19" t="str">
        <f>IF(Tabela2[[#This Row],[Gols M]]&lt;&gt;"",IF(Tabela2[[#This Row],[Gols M]]-Tabela2[[#This Row],[Gols V]]&gt;=0,IF(Tabela2[[#This Row],[Gols M]]-Tabela2[[#This Row],[Gols V]]&gt;0,"V","E"),"D"),"")</f>
        <v>D</v>
      </c>
      <c r="K43" s="19" t="str">
        <f>IF(Tabela2[[#This Row],[Gols M]]&lt;&gt;"",IF(Tabela2[[#This Row],[Gols V]]-Tabela2[[#This Row],[Gols M]]&gt;=0,IF(Tabela2[[#This Row],[Gols V]]-Tabela2[[#This Row],[Gols M]]&gt;0,"V","E"),"D"),"")</f>
        <v>V</v>
      </c>
      <c r="L43" s="19">
        <f>IF(OR('Por time'!E$2=Tabela2[[#This Row],[Mandante]], 'Por time'!E$2=Tabela2[[#This Row],[Visitante]]),1,0)</f>
        <v>0</v>
      </c>
      <c r="M43" s="25">
        <f>Tabela2[[#This Row],[Marcar time]]+M42</f>
        <v>4</v>
      </c>
      <c r="N43" s="25">
        <f>IMABS(Tabela2[[#This Row],[Gols M]]-Tabela2[[#This Row],[Gols V]])</f>
        <v>1</v>
      </c>
      <c r="O43" s="25">
        <f>Tabela2[[#This Row],[Gols M]]+Tabela2[[#This Row],[Gols V]]</f>
        <v>1</v>
      </c>
    </row>
    <row r="44" spans="1:15" x14ac:dyDescent="0.25">
      <c r="A44" s="19">
        <v>5</v>
      </c>
      <c r="B44" s="47" t="s">
        <v>75</v>
      </c>
      <c r="C44" s="48">
        <v>1</v>
      </c>
      <c r="D44" s="48">
        <v>1</v>
      </c>
      <c r="E44" s="47" t="s">
        <v>86</v>
      </c>
      <c r="F44" s="49" t="s">
        <v>101</v>
      </c>
      <c r="G44" s="49">
        <v>42522</v>
      </c>
      <c r="H44" s="49" t="s">
        <v>104</v>
      </c>
      <c r="I44" s="50" t="s">
        <v>11</v>
      </c>
      <c r="J44" s="19" t="str">
        <f>IF(Tabela2[[#This Row],[Gols M]]&lt;&gt;"",IF(Tabela2[[#This Row],[Gols M]]-Tabela2[[#This Row],[Gols V]]&gt;=0,IF(Tabela2[[#This Row],[Gols M]]-Tabela2[[#This Row],[Gols V]]&gt;0,"V","E"),"D"),"")</f>
        <v>E</v>
      </c>
      <c r="K44" s="19" t="str">
        <f>IF(Tabela2[[#This Row],[Gols M]]&lt;&gt;"",IF(Tabela2[[#This Row],[Gols V]]-Tabela2[[#This Row],[Gols M]]&gt;=0,IF(Tabela2[[#This Row],[Gols V]]-Tabela2[[#This Row],[Gols M]]&gt;0,"V","E"),"D"),"")</f>
        <v>E</v>
      </c>
      <c r="L44" s="19">
        <f>IF(OR('Por time'!E$2=Tabela2[[#This Row],[Mandante]], 'Por time'!E$2=Tabela2[[#This Row],[Visitante]]),1,0)</f>
        <v>0</v>
      </c>
      <c r="M44" s="25">
        <f>Tabela2[[#This Row],[Marcar time]]+M43</f>
        <v>4</v>
      </c>
      <c r="N44" s="25">
        <f>IMABS(Tabela2[[#This Row],[Gols M]]-Tabela2[[#This Row],[Gols V]])</f>
        <v>0</v>
      </c>
      <c r="O44" s="25">
        <f>Tabela2[[#This Row],[Gols M]]+Tabela2[[#This Row],[Gols V]]</f>
        <v>2</v>
      </c>
    </row>
    <row r="45" spans="1:15" x14ac:dyDescent="0.25">
      <c r="A45" s="19">
        <v>5</v>
      </c>
      <c r="B45" s="47" t="s">
        <v>76</v>
      </c>
      <c r="C45" s="48">
        <v>3</v>
      </c>
      <c r="D45" s="48">
        <v>4</v>
      </c>
      <c r="E45" s="47" t="s">
        <v>84</v>
      </c>
      <c r="F45" s="49" t="s">
        <v>101</v>
      </c>
      <c r="G45" s="49">
        <v>42522</v>
      </c>
      <c r="H45" s="49" t="s">
        <v>100</v>
      </c>
      <c r="I45" s="50" t="s">
        <v>42</v>
      </c>
      <c r="J45" s="19" t="str">
        <f>IF(Tabela2[[#This Row],[Gols M]]&lt;&gt;"",IF(Tabela2[[#This Row],[Gols M]]-Tabela2[[#This Row],[Gols V]]&gt;=0,IF(Tabela2[[#This Row],[Gols M]]-Tabela2[[#This Row],[Gols V]]&gt;0,"V","E"),"D"),"")</f>
        <v>D</v>
      </c>
      <c r="K45" s="19" t="str">
        <f>IF(Tabela2[[#This Row],[Gols M]]&lt;&gt;"",IF(Tabela2[[#This Row],[Gols V]]-Tabela2[[#This Row],[Gols M]]&gt;=0,IF(Tabela2[[#This Row],[Gols V]]-Tabela2[[#This Row],[Gols M]]&gt;0,"V","E"),"D"),"")</f>
        <v>V</v>
      </c>
      <c r="L45" s="19">
        <f>IF(OR('Por time'!E$2=Tabela2[[#This Row],[Mandante]], 'Por time'!E$2=Tabela2[[#This Row],[Visitante]]),1,0)</f>
        <v>0</v>
      </c>
      <c r="M45" s="25">
        <f>Tabela2[[#This Row],[Marcar time]]+M44</f>
        <v>4</v>
      </c>
      <c r="N45" s="25">
        <f>IMABS(Tabela2[[#This Row],[Gols M]]-Tabela2[[#This Row],[Gols V]])</f>
        <v>1</v>
      </c>
      <c r="O45" s="25">
        <f>Tabela2[[#This Row],[Gols M]]+Tabela2[[#This Row],[Gols V]]</f>
        <v>7</v>
      </c>
    </row>
    <row r="46" spans="1:15" x14ac:dyDescent="0.25">
      <c r="A46" s="19">
        <v>5</v>
      </c>
      <c r="B46" s="47" t="s">
        <v>77</v>
      </c>
      <c r="C46" s="48">
        <v>1</v>
      </c>
      <c r="D46" s="48">
        <v>0</v>
      </c>
      <c r="E46" s="47" t="s">
        <v>89</v>
      </c>
      <c r="F46" s="49" t="s">
        <v>101</v>
      </c>
      <c r="G46" s="49">
        <v>42522</v>
      </c>
      <c r="H46" s="49" t="s">
        <v>100</v>
      </c>
      <c r="I46" s="50" t="s">
        <v>18</v>
      </c>
      <c r="J46" s="19" t="str">
        <f>IF(Tabela2[[#This Row],[Gols M]]&lt;&gt;"",IF(Tabela2[[#This Row],[Gols M]]-Tabela2[[#This Row],[Gols V]]&gt;=0,IF(Tabela2[[#This Row],[Gols M]]-Tabela2[[#This Row],[Gols V]]&gt;0,"V","E"),"D"),"")</f>
        <v>V</v>
      </c>
      <c r="K46" s="19" t="str">
        <f>IF(Tabela2[[#This Row],[Gols M]]&lt;&gt;"",IF(Tabela2[[#This Row],[Gols V]]-Tabela2[[#This Row],[Gols M]]&gt;=0,IF(Tabela2[[#This Row],[Gols V]]-Tabela2[[#This Row],[Gols M]]&gt;0,"V","E"),"D"),"")</f>
        <v>D</v>
      </c>
      <c r="L46" s="19">
        <f>IF(OR('Por time'!E$2=Tabela2[[#This Row],[Mandante]], 'Por time'!E$2=Tabela2[[#This Row],[Visitante]]),1,0)</f>
        <v>0</v>
      </c>
      <c r="M46" s="25">
        <f>Tabela2[[#This Row],[Marcar time]]+M45</f>
        <v>4</v>
      </c>
      <c r="N46" s="25">
        <f>IMABS(Tabela2[[#This Row],[Gols M]]-Tabela2[[#This Row],[Gols V]])</f>
        <v>1</v>
      </c>
      <c r="O46" s="25">
        <f>Tabela2[[#This Row],[Gols M]]+Tabela2[[#This Row],[Gols V]]</f>
        <v>1</v>
      </c>
    </row>
    <row r="47" spans="1:15" x14ac:dyDescent="0.25">
      <c r="A47" s="19">
        <v>5</v>
      </c>
      <c r="B47" s="47" t="s">
        <v>78</v>
      </c>
      <c r="C47" s="48">
        <v>1</v>
      </c>
      <c r="D47" s="48">
        <v>0</v>
      </c>
      <c r="E47" s="47" t="s">
        <v>92</v>
      </c>
      <c r="F47" s="49" t="s">
        <v>101</v>
      </c>
      <c r="G47" s="49">
        <v>42522</v>
      </c>
      <c r="H47" s="49" t="s">
        <v>104</v>
      </c>
      <c r="I47" s="50" t="s">
        <v>33</v>
      </c>
      <c r="J47" s="19" t="str">
        <f>IF(Tabela2[[#This Row],[Gols M]]&lt;&gt;"",IF(Tabela2[[#This Row],[Gols M]]-Tabela2[[#This Row],[Gols V]]&gt;=0,IF(Tabela2[[#This Row],[Gols M]]-Tabela2[[#This Row],[Gols V]]&gt;0,"V","E"),"D"),"")</f>
        <v>V</v>
      </c>
      <c r="K47" s="19" t="str">
        <f>IF(Tabela2[[#This Row],[Gols M]]&lt;&gt;"",IF(Tabela2[[#This Row],[Gols V]]-Tabela2[[#This Row],[Gols M]]&gt;=0,IF(Tabela2[[#This Row],[Gols V]]-Tabela2[[#This Row],[Gols M]]&gt;0,"V","E"),"D"),"")</f>
        <v>D</v>
      </c>
      <c r="L47" s="19">
        <f>IF(OR('Por time'!E$2=Tabela2[[#This Row],[Mandante]], 'Por time'!E$2=Tabela2[[#This Row],[Visitante]]),1,0)</f>
        <v>0</v>
      </c>
      <c r="M47" s="25">
        <f>Tabela2[[#This Row],[Marcar time]]+M46</f>
        <v>4</v>
      </c>
      <c r="N47" s="25">
        <f>IMABS(Tabela2[[#This Row],[Gols M]]-Tabela2[[#This Row],[Gols V]])</f>
        <v>1</v>
      </c>
      <c r="O47" s="25">
        <f>Tabela2[[#This Row],[Gols M]]+Tabela2[[#This Row],[Gols V]]</f>
        <v>1</v>
      </c>
    </row>
    <row r="48" spans="1:15" x14ac:dyDescent="0.25">
      <c r="A48" s="19">
        <v>5</v>
      </c>
      <c r="B48" s="47" t="s">
        <v>79</v>
      </c>
      <c r="C48" s="48">
        <v>1</v>
      </c>
      <c r="D48" s="48">
        <v>0</v>
      </c>
      <c r="E48" s="47" t="s">
        <v>91</v>
      </c>
      <c r="F48" s="49" t="s">
        <v>103</v>
      </c>
      <c r="G48" s="49">
        <v>42523</v>
      </c>
      <c r="H48" s="49" t="s">
        <v>100</v>
      </c>
      <c r="I48" s="50" t="s">
        <v>45</v>
      </c>
      <c r="J48" s="19" t="str">
        <f>IF(Tabela2[[#This Row],[Gols M]]&lt;&gt;"",IF(Tabela2[[#This Row],[Gols M]]-Tabela2[[#This Row],[Gols V]]&gt;=0,IF(Tabela2[[#This Row],[Gols M]]-Tabela2[[#This Row],[Gols V]]&gt;0,"V","E"),"D"),"")</f>
        <v>V</v>
      </c>
      <c r="K48" s="19" t="str">
        <f>IF(Tabela2[[#This Row],[Gols M]]&lt;&gt;"",IF(Tabela2[[#This Row],[Gols V]]-Tabela2[[#This Row],[Gols M]]&gt;=0,IF(Tabela2[[#This Row],[Gols V]]-Tabela2[[#This Row],[Gols M]]&gt;0,"V","E"),"D"),"")</f>
        <v>D</v>
      </c>
      <c r="L48" s="19">
        <f>IF(OR('Por time'!E$2=Tabela2[[#This Row],[Mandante]], 'Por time'!E$2=Tabela2[[#This Row],[Visitante]]),1,0)</f>
        <v>0</v>
      </c>
      <c r="M48" s="25">
        <f>Tabela2[[#This Row],[Marcar time]]+M47</f>
        <v>4</v>
      </c>
      <c r="N48" s="25">
        <f>IMABS(Tabela2[[#This Row],[Gols M]]-Tabela2[[#This Row],[Gols V]])</f>
        <v>1</v>
      </c>
      <c r="O48" s="25">
        <f>Tabela2[[#This Row],[Gols M]]+Tabela2[[#This Row],[Gols V]]</f>
        <v>1</v>
      </c>
    </row>
    <row r="49" spans="1:15" x14ac:dyDescent="0.25">
      <c r="A49" s="19">
        <v>5</v>
      </c>
      <c r="B49" s="47" t="s">
        <v>80</v>
      </c>
      <c r="C49" s="48">
        <v>1</v>
      </c>
      <c r="D49" s="48">
        <v>0</v>
      </c>
      <c r="E49" s="47" t="s">
        <v>83</v>
      </c>
      <c r="F49" s="49" t="s">
        <v>101</v>
      </c>
      <c r="G49" s="49">
        <v>42522</v>
      </c>
      <c r="H49" s="49" t="s">
        <v>102</v>
      </c>
      <c r="I49" s="50" t="s">
        <v>27</v>
      </c>
      <c r="J49" s="19" t="str">
        <f>IF(Tabela2[[#This Row],[Gols M]]&lt;&gt;"",IF(Tabela2[[#This Row],[Gols M]]-Tabela2[[#This Row],[Gols V]]&gt;=0,IF(Tabela2[[#This Row],[Gols M]]-Tabela2[[#This Row],[Gols V]]&gt;0,"V","E"),"D"),"")</f>
        <v>V</v>
      </c>
      <c r="K49" s="19" t="str">
        <f>IF(Tabela2[[#This Row],[Gols M]]&lt;&gt;"",IF(Tabela2[[#This Row],[Gols V]]-Tabela2[[#This Row],[Gols M]]&gt;=0,IF(Tabela2[[#This Row],[Gols V]]-Tabela2[[#This Row],[Gols M]]&gt;0,"V","E"),"D"),"")</f>
        <v>D</v>
      </c>
      <c r="L49" s="19">
        <f>IF(OR('Por time'!E$2=Tabela2[[#This Row],[Mandante]], 'Por time'!E$2=Tabela2[[#This Row],[Visitante]]),1,0)</f>
        <v>1</v>
      </c>
      <c r="M49" s="25">
        <f>Tabela2[[#This Row],[Marcar time]]+M48</f>
        <v>5</v>
      </c>
      <c r="N49" s="25">
        <f>IMABS(Tabela2[[#This Row],[Gols M]]-Tabela2[[#This Row],[Gols V]])</f>
        <v>1</v>
      </c>
      <c r="O49" s="25">
        <f>Tabela2[[#This Row],[Gols M]]+Tabela2[[#This Row],[Gols V]]</f>
        <v>1</v>
      </c>
    </row>
    <row r="50" spans="1:15" x14ac:dyDescent="0.25">
      <c r="A50" s="19">
        <v>5</v>
      </c>
      <c r="B50" s="47" t="s">
        <v>81</v>
      </c>
      <c r="C50" s="48">
        <v>4</v>
      </c>
      <c r="D50" s="48">
        <v>3</v>
      </c>
      <c r="E50" s="47" t="s">
        <v>87</v>
      </c>
      <c r="F50" s="49" t="s">
        <v>103</v>
      </c>
      <c r="G50" s="49">
        <v>42523</v>
      </c>
      <c r="H50" s="49" t="s">
        <v>100</v>
      </c>
      <c r="I50" s="50" t="s">
        <v>7</v>
      </c>
      <c r="J50" s="19" t="str">
        <f>IF(Tabela2[[#This Row],[Gols M]]&lt;&gt;"",IF(Tabela2[[#This Row],[Gols M]]-Tabela2[[#This Row],[Gols V]]&gt;=0,IF(Tabela2[[#This Row],[Gols M]]-Tabela2[[#This Row],[Gols V]]&gt;0,"V","E"),"D"),"")</f>
        <v>V</v>
      </c>
      <c r="K50" s="19" t="str">
        <f>IF(Tabela2[[#This Row],[Gols M]]&lt;&gt;"",IF(Tabela2[[#This Row],[Gols V]]-Tabela2[[#This Row],[Gols M]]&gt;=0,IF(Tabela2[[#This Row],[Gols V]]-Tabela2[[#This Row],[Gols M]]&gt;0,"V","E"),"D"),"")</f>
        <v>D</v>
      </c>
      <c r="L50" s="19">
        <f>IF(OR('Por time'!E$2=Tabela2[[#This Row],[Mandante]], 'Por time'!E$2=Tabela2[[#This Row],[Visitante]]),1,0)</f>
        <v>0</v>
      </c>
      <c r="M50" s="25">
        <f>Tabela2[[#This Row],[Marcar time]]+M49</f>
        <v>5</v>
      </c>
      <c r="N50" s="25">
        <f>IMABS(Tabela2[[#This Row],[Gols M]]-Tabela2[[#This Row],[Gols V]])</f>
        <v>1</v>
      </c>
      <c r="O50" s="25">
        <f>Tabela2[[#This Row],[Gols M]]+Tabela2[[#This Row],[Gols V]]</f>
        <v>7</v>
      </c>
    </row>
    <row r="51" spans="1:15" x14ac:dyDescent="0.25">
      <c r="A51" s="19">
        <v>5</v>
      </c>
      <c r="B51" s="47" t="s">
        <v>82</v>
      </c>
      <c r="C51" s="48">
        <v>0</v>
      </c>
      <c r="D51" s="48">
        <v>1</v>
      </c>
      <c r="E51" s="47" t="s">
        <v>90</v>
      </c>
      <c r="F51" s="49" t="s">
        <v>101</v>
      </c>
      <c r="G51" s="49">
        <v>42522</v>
      </c>
      <c r="H51" s="49" t="s">
        <v>100</v>
      </c>
      <c r="I51" s="50" t="s">
        <v>36</v>
      </c>
      <c r="J51" s="19" t="str">
        <f>IF(Tabela2[[#This Row],[Gols M]]&lt;&gt;"",IF(Tabela2[[#This Row],[Gols M]]-Tabela2[[#This Row],[Gols V]]&gt;=0,IF(Tabela2[[#This Row],[Gols M]]-Tabela2[[#This Row],[Gols V]]&gt;0,"V","E"),"D"),"")</f>
        <v>D</v>
      </c>
      <c r="K51" s="19" t="str">
        <f>IF(Tabela2[[#This Row],[Gols M]]&lt;&gt;"",IF(Tabela2[[#This Row],[Gols V]]-Tabela2[[#This Row],[Gols M]]&gt;=0,IF(Tabela2[[#This Row],[Gols V]]-Tabela2[[#This Row],[Gols M]]&gt;0,"V","E"),"D"),"")</f>
        <v>V</v>
      </c>
      <c r="L51" s="19">
        <f>IF(OR('Por time'!E$2=Tabela2[[#This Row],[Mandante]], 'Por time'!E$2=Tabela2[[#This Row],[Visitante]]),1,0)</f>
        <v>0</v>
      </c>
      <c r="M51" s="25">
        <f>Tabela2[[#This Row],[Marcar time]]+M50</f>
        <v>5</v>
      </c>
      <c r="N51" s="25">
        <f>IMABS(Tabela2[[#This Row],[Gols M]]-Tabela2[[#This Row],[Gols V]])</f>
        <v>1</v>
      </c>
      <c r="O51" s="25">
        <f>Tabela2[[#This Row],[Gols M]]+Tabela2[[#This Row],[Gols V]]</f>
        <v>1</v>
      </c>
    </row>
    <row r="52" spans="1:15" x14ac:dyDescent="0.25">
      <c r="A52" s="19">
        <v>6</v>
      </c>
      <c r="B52" s="47" t="s">
        <v>73</v>
      </c>
      <c r="C52" s="48">
        <v>1</v>
      </c>
      <c r="D52" s="48">
        <v>0</v>
      </c>
      <c r="E52" s="47" t="s">
        <v>78</v>
      </c>
      <c r="F52" s="49" t="s">
        <v>95</v>
      </c>
      <c r="G52" s="49">
        <v>42526</v>
      </c>
      <c r="H52" s="49" t="s">
        <v>97</v>
      </c>
      <c r="I52" s="50" t="s">
        <v>11</v>
      </c>
      <c r="J52" s="19" t="str">
        <f>IF(Tabela2[[#This Row],[Gols M]]&lt;&gt;"",IF(Tabela2[[#This Row],[Gols M]]-Tabela2[[#This Row],[Gols V]]&gt;=0,IF(Tabela2[[#This Row],[Gols M]]-Tabela2[[#This Row],[Gols V]]&gt;0,"V","E"),"D"),"")</f>
        <v>V</v>
      </c>
      <c r="K52" s="19" t="str">
        <f>IF(Tabela2[[#This Row],[Gols M]]&lt;&gt;"",IF(Tabela2[[#This Row],[Gols V]]-Tabela2[[#This Row],[Gols M]]&gt;=0,IF(Tabela2[[#This Row],[Gols V]]-Tabela2[[#This Row],[Gols M]]&gt;0,"V","E"),"D"),"")</f>
        <v>D</v>
      </c>
      <c r="L52" s="19">
        <f>IF(OR('Por time'!E$2=Tabela2[[#This Row],[Mandante]], 'Por time'!E$2=Tabela2[[#This Row],[Visitante]]),1,0)</f>
        <v>0</v>
      </c>
      <c r="M52" s="25">
        <f>Tabela2[[#This Row],[Marcar time]]+M51</f>
        <v>5</v>
      </c>
      <c r="N52" s="25">
        <f>IMABS(Tabela2[[#This Row],[Gols M]]-Tabela2[[#This Row],[Gols V]])</f>
        <v>1</v>
      </c>
      <c r="O52" s="25">
        <f>Tabela2[[#This Row],[Gols M]]+Tabela2[[#This Row],[Gols V]]</f>
        <v>1</v>
      </c>
    </row>
    <row r="53" spans="1:15" x14ac:dyDescent="0.25">
      <c r="A53" s="19">
        <v>6</v>
      </c>
      <c r="B53" s="47" t="s">
        <v>83</v>
      </c>
      <c r="C53" s="48">
        <v>1</v>
      </c>
      <c r="D53" s="48">
        <v>0</v>
      </c>
      <c r="E53" s="47" t="s">
        <v>82</v>
      </c>
      <c r="F53" s="49" t="s">
        <v>98</v>
      </c>
      <c r="G53" s="49">
        <v>42525</v>
      </c>
      <c r="H53" s="49" t="s">
        <v>96</v>
      </c>
      <c r="I53" s="50" t="s">
        <v>0</v>
      </c>
      <c r="J53" s="19" t="str">
        <f>IF(Tabela2[[#This Row],[Gols M]]&lt;&gt;"",IF(Tabela2[[#This Row],[Gols M]]-Tabela2[[#This Row],[Gols V]]&gt;=0,IF(Tabela2[[#This Row],[Gols M]]-Tabela2[[#This Row],[Gols V]]&gt;0,"V","E"),"D"),"")</f>
        <v>V</v>
      </c>
      <c r="K53" s="19" t="str">
        <f>IF(Tabela2[[#This Row],[Gols M]]&lt;&gt;"",IF(Tabela2[[#This Row],[Gols V]]-Tabela2[[#This Row],[Gols M]]&gt;=0,IF(Tabela2[[#This Row],[Gols V]]-Tabela2[[#This Row],[Gols M]]&gt;0,"V","E"),"D"),"")</f>
        <v>D</v>
      </c>
      <c r="L53" s="19">
        <f>IF(OR('Por time'!E$2=Tabela2[[#This Row],[Mandante]], 'Por time'!E$2=Tabela2[[#This Row],[Visitante]]),1,0)</f>
        <v>1</v>
      </c>
      <c r="M53" s="25">
        <f>Tabela2[[#This Row],[Marcar time]]+M52</f>
        <v>6</v>
      </c>
      <c r="N53" s="25">
        <f>IMABS(Tabela2[[#This Row],[Gols M]]-Tabela2[[#This Row],[Gols V]])</f>
        <v>1</v>
      </c>
      <c r="O53" s="25">
        <f>Tabela2[[#This Row],[Gols M]]+Tabela2[[#This Row],[Gols V]]</f>
        <v>1</v>
      </c>
    </row>
    <row r="54" spans="1:15" x14ac:dyDescent="0.25">
      <c r="A54" s="19">
        <v>6</v>
      </c>
      <c r="B54" s="47" t="s">
        <v>84</v>
      </c>
      <c r="C54" s="48">
        <v>0</v>
      </c>
      <c r="D54" s="48">
        <v>0</v>
      </c>
      <c r="E54" s="47" t="s">
        <v>86</v>
      </c>
      <c r="F54" s="49" t="s">
        <v>98</v>
      </c>
      <c r="G54" s="49">
        <v>42525</v>
      </c>
      <c r="H54" s="49" t="s">
        <v>105</v>
      </c>
      <c r="I54" s="50" t="s">
        <v>1</v>
      </c>
      <c r="J54" s="19" t="str">
        <f>IF(Tabela2[[#This Row],[Gols M]]&lt;&gt;"",IF(Tabela2[[#This Row],[Gols M]]-Tabela2[[#This Row],[Gols V]]&gt;=0,IF(Tabela2[[#This Row],[Gols M]]-Tabela2[[#This Row],[Gols V]]&gt;0,"V","E"),"D"),"")</f>
        <v>E</v>
      </c>
      <c r="K54" s="19" t="str">
        <f>IF(Tabela2[[#This Row],[Gols M]]&lt;&gt;"",IF(Tabela2[[#This Row],[Gols V]]-Tabela2[[#This Row],[Gols M]]&gt;=0,IF(Tabela2[[#This Row],[Gols V]]-Tabela2[[#This Row],[Gols M]]&gt;0,"V","E"),"D"),"")</f>
        <v>E</v>
      </c>
      <c r="L54" s="19">
        <f>IF(OR('Por time'!E$2=Tabela2[[#This Row],[Mandante]], 'Por time'!E$2=Tabela2[[#This Row],[Visitante]]),1,0)</f>
        <v>0</v>
      </c>
      <c r="M54" s="25">
        <f>Tabela2[[#This Row],[Marcar time]]+M53</f>
        <v>6</v>
      </c>
      <c r="N54" s="25">
        <f>IMABS(Tabela2[[#This Row],[Gols M]]-Tabela2[[#This Row],[Gols V]])</f>
        <v>0</v>
      </c>
      <c r="O54" s="25">
        <f>Tabela2[[#This Row],[Gols M]]+Tabela2[[#This Row],[Gols V]]</f>
        <v>0</v>
      </c>
    </row>
    <row r="55" spans="1:15" x14ac:dyDescent="0.25">
      <c r="A55" s="19">
        <v>6</v>
      </c>
      <c r="B55" s="47" t="s">
        <v>77</v>
      </c>
      <c r="C55" s="48">
        <v>2</v>
      </c>
      <c r="D55" s="48">
        <v>1</v>
      </c>
      <c r="E55" s="47" t="s">
        <v>76</v>
      </c>
      <c r="F55" s="49" t="s">
        <v>98</v>
      </c>
      <c r="G55" s="49">
        <v>42525</v>
      </c>
      <c r="H55" s="49" t="s">
        <v>105</v>
      </c>
      <c r="I55" s="50" t="s">
        <v>18</v>
      </c>
      <c r="J55" s="19" t="str">
        <f>IF(Tabela2[[#This Row],[Gols M]]&lt;&gt;"",IF(Tabela2[[#This Row],[Gols M]]-Tabela2[[#This Row],[Gols V]]&gt;=0,IF(Tabela2[[#This Row],[Gols M]]-Tabela2[[#This Row],[Gols V]]&gt;0,"V","E"),"D"),"")</f>
        <v>V</v>
      </c>
      <c r="K55" s="19" t="str">
        <f>IF(Tabela2[[#This Row],[Gols M]]&lt;&gt;"",IF(Tabela2[[#This Row],[Gols V]]-Tabela2[[#This Row],[Gols M]]&gt;=0,IF(Tabela2[[#This Row],[Gols V]]-Tabela2[[#This Row],[Gols M]]&gt;0,"V","E"),"D"),"")</f>
        <v>D</v>
      </c>
      <c r="L55" s="19">
        <f>IF(OR('Por time'!E$2=Tabela2[[#This Row],[Mandante]], 'Por time'!E$2=Tabela2[[#This Row],[Visitante]]),1,0)</f>
        <v>0</v>
      </c>
      <c r="M55" s="25">
        <f>Tabela2[[#This Row],[Marcar time]]+M54</f>
        <v>6</v>
      </c>
      <c r="N55" s="25">
        <f>IMABS(Tabela2[[#This Row],[Gols M]]-Tabela2[[#This Row],[Gols V]])</f>
        <v>1</v>
      </c>
      <c r="O55" s="25">
        <f>Tabela2[[#This Row],[Gols M]]+Tabela2[[#This Row],[Gols V]]</f>
        <v>3</v>
      </c>
    </row>
    <row r="56" spans="1:15" x14ac:dyDescent="0.25">
      <c r="A56" s="19">
        <v>6</v>
      </c>
      <c r="B56" s="47" t="s">
        <v>85</v>
      </c>
      <c r="C56" s="48">
        <v>0</v>
      </c>
      <c r="D56" s="48">
        <v>1</v>
      </c>
      <c r="E56" s="47" t="s">
        <v>92</v>
      </c>
      <c r="F56" s="49" t="s">
        <v>95</v>
      </c>
      <c r="G56" s="49">
        <v>42526</v>
      </c>
      <c r="H56" s="49" t="s">
        <v>99</v>
      </c>
      <c r="I56" s="50" t="s">
        <v>2</v>
      </c>
      <c r="J56" s="19" t="str">
        <f>IF(Tabela2[[#This Row],[Gols M]]&lt;&gt;"",IF(Tabela2[[#This Row],[Gols M]]-Tabela2[[#This Row],[Gols V]]&gt;=0,IF(Tabela2[[#This Row],[Gols M]]-Tabela2[[#This Row],[Gols V]]&gt;0,"V","E"),"D"),"")</f>
        <v>D</v>
      </c>
      <c r="K56" s="19" t="str">
        <f>IF(Tabela2[[#This Row],[Gols M]]&lt;&gt;"",IF(Tabela2[[#This Row],[Gols V]]-Tabela2[[#This Row],[Gols M]]&gt;=0,IF(Tabela2[[#This Row],[Gols V]]-Tabela2[[#This Row],[Gols M]]&gt;0,"V","E"),"D"),"")</f>
        <v>V</v>
      </c>
      <c r="L56" s="19">
        <f>IF(OR('Por time'!E$2=Tabela2[[#This Row],[Mandante]], 'Por time'!E$2=Tabela2[[#This Row],[Visitante]]),1,0)</f>
        <v>0</v>
      </c>
      <c r="M56" s="25">
        <f>Tabela2[[#This Row],[Marcar time]]+M55</f>
        <v>6</v>
      </c>
      <c r="N56" s="25">
        <f>IMABS(Tabela2[[#This Row],[Gols M]]-Tabela2[[#This Row],[Gols V]])</f>
        <v>1</v>
      </c>
      <c r="O56" s="25">
        <f>Tabela2[[#This Row],[Gols M]]+Tabela2[[#This Row],[Gols V]]</f>
        <v>1</v>
      </c>
    </row>
    <row r="57" spans="1:15" x14ac:dyDescent="0.25">
      <c r="A57" s="19">
        <v>6</v>
      </c>
      <c r="B57" s="47" t="s">
        <v>79</v>
      </c>
      <c r="C57" s="48">
        <v>1</v>
      </c>
      <c r="D57" s="48">
        <v>2</v>
      </c>
      <c r="E57" s="47" t="s">
        <v>81</v>
      </c>
      <c r="F57" s="49" t="s">
        <v>95</v>
      </c>
      <c r="G57" s="49">
        <v>42526</v>
      </c>
      <c r="H57" s="49" t="s">
        <v>96</v>
      </c>
      <c r="I57" s="50" t="s">
        <v>50</v>
      </c>
      <c r="J57" s="19" t="str">
        <f>IF(Tabela2[[#This Row],[Gols M]]&lt;&gt;"",IF(Tabela2[[#This Row],[Gols M]]-Tabela2[[#This Row],[Gols V]]&gt;=0,IF(Tabela2[[#This Row],[Gols M]]-Tabela2[[#This Row],[Gols V]]&gt;0,"V","E"),"D"),"")</f>
        <v>D</v>
      </c>
      <c r="K57" s="19" t="str">
        <f>IF(Tabela2[[#This Row],[Gols M]]&lt;&gt;"",IF(Tabela2[[#This Row],[Gols V]]-Tabela2[[#This Row],[Gols M]]&gt;=0,IF(Tabela2[[#This Row],[Gols V]]-Tabela2[[#This Row],[Gols M]]&gt;0,"V","E"),"D"),"")</f>
        <v>V</v>
      </c>
      <c r="L57" s="19">
        <f>IF(OR('Por time'!E$2=Tabela2[[#This Row],[Mandante]], 'Por time'!E$2=Tabela2[[#This Row],[Visitante]]),1,0)</f>
        <v>0</v>
      </c>
      <c r="M57" s="25">
        <f>Tabela2[[#This Row],[Marcar time]]+M56</f>
        <v>6</v>
      </c>
      <c r="N57" s="25">
        <f>IMABS(Tabela2[[#This Row],[Gols M]]-Tabela2[[#This Row],[Gols V]])</f>
        <v>1</v>
      </c>
      <c r="O57" s="25">
        <f>Tabela2[[#This Row],[Gols M]]+Tabela2[[#This Row],[Gols V]]</f>
        <v>3</v>
      </c>
    </row>
    <row r="58" spans="1:15" x14ac:dyDescent="0.25">
      <c r="A58" s="19">
        <v>6</v>
      </c>
      <c r="B58" s="47" t="s">
        <v>87</v>
      </c>
      <c r="C58" s="48">
        <v>1</v>
      </c>
      <c r="D58" s="48">
        <v>0</v>
      </c>
      <c r="E58" s="47" t="s">
        <v>88</v>
      </c>
      <c r="F58" s="49" t="s">
        <v>95</v>
      </c>
      <c r="G58" s="49">
        <v>42526</v>
      </c>
      <c r="H58" s="49" t="s">
        <v>96</v>
      </c>
      <c r="I58" s="50" t="s">
        <v>4</v>
      </c>
      <c r="J58" s="19" t="str">
        <f>IF(Tabela2[[#This Row],[Gols M]]&lt;&gt;"",IF(Tabela2[[#This Row],[Gols M]]-Tabela2[[#This Row],[Gols V]]&gt;=0,IF(Tabela2[[#This Row],[Gols M]]-Tabela2[[#This Row],[Gols V]]&gt;0,"V","E"),"D"),"")</f>
        <v>V</v>
      </c>
      <c r="K58" s="19" t="str">
        <f>IF(Tabela2[[#This Row],[Gols M]]&lt;&gt;"",IF(Tabela2[[#This Row],[Gols V]]-Tabela2[[#This Row],[Gols M]]&gt;=0,IF(Tabela2[[#This Row],[Gols V]]-Tabela2[[#This Row],[Gols M]]&gt;0,"V","E"),"D"),"")</f>
        <v>D</v>
      </c>
      <c r="L58" s="19">
        <f>IF(OR('Por time'!E$2=Tabela2[[#This Row],[Mandante]], 'Por time'!E$2=Tabela2[[#This Row],[Visitante]]),1,0)</f>
        <v>0</v>
      </c>
      <c r="M58" s="25">
        <f>Tabela2[[#This Row],[Marcar time]]+M57</f>
        <v>6</v>
      </c>
      <c r="N58" s="25">
        <f>IMABS(Tabela2[[#This Row],[Gols M]]-Tabela2[[#This Row],[Gols V]])</f>
        <v>1</v>
      </c>
      <c r="O58" s="25">
        <f>Tabela2[[#This Row],[Gols M]]+Tabela2[[#This Row],[Gols V]]</f>
        <v>1</v>
      </c>
    </row>
    <row r="59" spans="1:15" x14ac:dyDescent="0.25">
      <c r="A59" s="19">
        <v>6</v>
      </c>
      <c r="B59" s="47" t="s">
        <v>89</v>
      </c>
      <c r="C59" s="48">
        <v>3</v>
      </c>
      <c r="D59" s="48">
        <v>0</v>
      </c>
      <c r="E59" s="47" t="s">
        <v>74</v>
      </c>
      <c r="F59" s="49" t="s">
        <v>95</v>
      </c>
      <c r="G59" s="49">
        <v>42526</v>
      </c>
      <c r="H59" s="49" t="s">
        <v>97</v>
      </c>
      <c r="I59" s="50" t="s">
        <v>7</v>
      </c>
      <c r="J59" s="19" t="str">
        <f>IF(Tabela2[[#This Row],[Gols M]]&lt;&gt;"",IF(Tabela2[[#This Row],[Gols M]]-Tabela2[[#This Row],[Gols V]]&gt;=0,IF(Tabela2[[#This Row],[Gols M]]-Tabela2[[#This Row],[Gols V]]&gt;0,"V","E"),"D"),"")</f>
        <v>V</v>
      </c>
      <c r="K59" s="19" t="str">
        <f>IF(Tabela2[[#This Row],[Gols M]]&lt;&gt;"",IF(Tabela2[[#This Row],[Gols V]]-Tabela2[[#This Row],[Gols M]]&gt;=0,IF(Tabela2[[#This Row],[Gols V]]-Tabela2[[#This Row],[Gols M]]&gt;0,"V","E"),"D"),"")</f>
        <v>D</v>
      </c>
      <c r="L59" s="19">
        <f>IF(OR('Por time'!E$2=Tabela2[[#This Row],[Mandante]], 'Por time'!E$2=Tabela2[[#This Row],[Visitante]]),1,0)</f>
        <v>0</v>
      </c>
      <c r="M59" s="25">
        <f>Tabela2[[#This Row],[Marcar time]]+M58</f>
        <v>6</v>
      </c>
      <c r="N59" s="25">
        <f>IMABS(Tabela2[[#This Row],[Gols M]]-Tabela2[[#This Row],[Gols V]])</f>
        <v>3</v>
      </c>
      <c r="O59" s="25">
        <f>Tabela2[[#This Row],[Gols M]]+Tabela2[[#This Row],[Gols V]]</f>
        <v>3</v>
      </c>
    </row>
    <row r="60" spans="1:15" x14ac:dyDescent="0.25">
      <c r="A60" s="19">
        <v>6</v>
      </c>
      <c r="B60" s="47" t="s">
        <v>90</v>
      </c>
      <c r="C60" s="48">
        <v>4</v>
      </c>
      <c r="D60" s="48">
        <v>4</v>
      </c>
      <c r="E60" s="47" t="s">
        <v>75</v>
      </c>
      <c r="F60" s="49" t="s">
        <v>95</v>
      </c>
      <c r="G60" s="49">
        <v>42526</v>
      </c>
      <c r="H60" s="49" t="s">
        <v>96</v>
      </c>
      <c r="I60" s="50" t="s">
        <v>8</v>
      </c>
      <c r="J60" s="19" t="str">
        <f>IF(Tabela2[[#This Row],[Gols M]]&lt;&gt;"",IF(Tabela2[[#This Row],[Gols M]]-Tabela2[[#This Row],[Gols V]]&gt;=0,IF(Tabela2[[#This Row],[Gols M]]-Tabela2[[#This Row],[Gols V]]&gt;0,"V","E"),"D"),"")</f>
        <v>E</v>
      </c>
      <c r="K60" s="19" t="str">
        <f>IF(Tabela2[[#This Row],[Gols M]]&lt;&gt;"",IF(Tabela2[[#This Row],[Gols V]]-Tabela2[[#This Row],[Gols M]]&gt;=0,IF(Tabela2[[#This Row],[Gols V]]-Tabela2[[#This Row],[Gols M]]&gt;0,"V","E"),"D"),"")</f>
        <v>E</v>
      </c>
      <c r="L60" s="19">
        <f>IF(OR('Por time'!E$2=Tabela2[[#This Row],[Mandante]], 'Por time'!E$2=Tabela2[[#This Row],[Visitante]]),1,0)</f>
        <v>0</v>
      </c>
      <c r="M60" s="25">
        <f>Tabela2[[#This Row],[Marcar time]]+M59</f>
        <v>6</v>
      </c>
      <c r="N60" s="25">
        <f>IMABS(Tabela2[[#This Row],[Gols M]]-Tabela2[[#This Row],[Gols V]])</f>
        <v>0</v>
      </c>
      <c r="O60" s="25">
        <f>Tabela2[[#This Row],[Gols M]]+Tabela2[[#This Row],[Gols V]]</f>
        <v>8</v>
      </c>
    </row>
    <row r="61" spans="1:15" x14ac:dyDescent="0.25">
      <c r="A61" s="19">
        <v>6</v>
      </c>
      <c r="B61" s="47" t="s">
        <v>91</v>
      </c>
      <c r="C61" s="48">
        <v>1</v>
      </c>
      <c r="D61" s="48">
        <v>0</v>
      </c>
      <c r="E61" s="47" t="s">
        <v>80</v>
      </c>
      <c r="F61" s="49" t="s">
        <v>95</v>
      </c>
      <c r="G61" s="49">
        <v>42526</v>
      </c>
      <c r="H61" s="49" t="s">
        <v>96</v>
      </c>
      <c r="I61" s="50" t="s">
        <v>9</v>
      </c>
      <c r="J61" s="19" t="str">
        <f>IF(Tabela2[[#This Row],[Gols M]]&lt;&gt;"",IF(Tabela2[[#This Row],[Gols M]]-Tabela2[[#This Row],[Gols V]]&gt;=0,IF(Tabela2[[#This Row],[Gols M]]-Tabela2[[#This Row],[Gols V]]&gt;0,"V","E"),"D"),"")</f>
        <v>V</v>
      </c>
      <c r="K61" s="19" t="str">
        <f>IF(Tabela2[[#This Row],[Gols M]]&lt;&gt;"",IF(Tabela2[[#This Row],[Gols V]]-Tabela2[[#This Row],[Gols M]]&gt;=0,IF(Tabela2[[#This Row],[Gols V]]-Tabela2[[#This Row],[Gols M]]&gt;0,"V","E"),"D"),"")</f>
        <v>D</v>
      </c>
      <c r="L61" s="19">
        <f>IF(OR('Por time'!E$2=Tabela2[[#This Row],[Mandante]], 'Por time'!E$2=Tabela2[[#This Row],[Visitante]]),1,0)</f>
        <v>0</v>
      </c>
      <c r="M61" s="25">
        <f>Tabela2[[#This Row],[Marcar time]]+M60</f>
        <v>6</v>
      </c>
      <c r="N61" s="25">
        <f>IMABS(Tabela2[[#This Row],[Gols M]]-Tabela2[[#This Row],[Gols V]])</f>
        <v>1</v>
      </c>
      <c r="O61" s="25">
        <f>Tabela2[[#This Row],[Gols M]]+Tabela2[[#This Row],[Gols V]]</f>
        <v>1</v>
      </c>
    </row>
    <row r="62" spans="1:15" x14ac:dyDescent="0.25">
      <c r="A62" s="19">
        <v>7</v>
      </c>
      <c r="B62" s="47" t="s">
        <v>74</v>
      </c>
      <c r="C62" s="48">
        <v>1</v>
      </c>
      <c r="D62" s="48">
        <v>1</v>
      </c>
      <c r="E62" s="47" t="s">
        <v>91</v>
      </c>
      <c r="F62" s="49" t="s">
        <v>95</v>
      </c>
      <c r="G62" s="49">
        <v>42533</v>
      </c>
      <c r="H62" s="49" t="s">
        <v>97</v>
      </c>
      <c r="I62" s="50" t="s">
        <v>45</v>
      </c>
      <c r="J62" s="19" t="str">
        <f>IF(Tabela2[[#This Row],[Gols M]]&lt;&gt;"",IF(Tabela2[[#This Row],[Gols M]]-Tabela2[[#This Row],[Gols V]]&gt;=0,IF(Tabela2[[#This Row],[Gols M]]-Tabela2[[#This Row],[Gols V]]&gt;0,"V","E"),"D"),"")</f>
        <v>E</v>
      </c>
      <c r="K62" s="19" t="str">
        <f>IF(Tabela2[[#This Row],[Gols M]]&lt;&gt;"",IF(Tabela2[[#This Row],[Gols V]]-Tabela2[[#This Row],[Gols M]]&gt;=0,IF(Tabela2[[#This Row],[Gols V]]-Tabela2[[#This Row],[Gols M]]&gt;0,"V","E"),"D"),"")</f>
        <v>E</v>
      </c>
      <c r="L62" s="19">
        <f>IF(OR('Por time'!E$2=Tabela2[[#This Row],[Mandante]], 'Por time'!E$2=Tabela2[[#This Row],[Visitante]]),1,0)</f>
        <v>0</v>
      </c>
      <c r="M62" s="25">
        <f>Tabela2[[#This Row],[Marcar time]]+M61</f>
        <v>6</v>
      </c>
      <c r="N62" s="25">
        <f>IMABS(Tabela2[[#This Row],[Gols M]]-Tabela2[[#This Row],[Gols V]])</f>
        <v>0</v>
      </c>
      <c r="O62" s="25">
        <f>Tabela2[[#This Row],[Gols M]]+Tabela2[[#This Row],[Gols V]]</f>
        <v>2</v>
      </c>
    </row>
    <row r="63" spans="1:15" x14ac:dyDescent="0.25">
      <c r="A63" s="19">
        <v>7</v>
      </c>
      <c r="B63" s="47" t="s">
        <v>75</v>
      </c>
      <c r="C63" s="48">
        <v>2</v>
      </c>
      <c r="D63" s="48">
        <v>3</v>
      </c>
      <c r="E63" s="47" t="s">
        <v>85</v>
      </c>
      <c r="F63" s="49" t="s">
        <v>95</v>
      </c>
      <c r="G63" s="49">
        <v>42533</v>
      </c>
      <c r="H63" s="49" t="s">
        <v>96</v>
      </c>
      <c r="I63" s="50" t="s">
        <v>11</v>
      </c>
      <c r="J63" s="19" t="str">
        <f>IF(Tabela2[[#This Row],[Gols M]]&lt;&gt;"",IF(Tabela2[[#This Row],[Gols M]]-Tabela2[[#This Row],[Gols V]]&gt;=0,IF(Tabela2[[#This Row],[Gols M]]-Tabela2[[#This Row],[Gols V]]&gt;0,"V","E"),"D"),"")</f>
        <v>D</v>
      </c>
      <c r="K63" s="19" t="str">
        <f>IF(Tabela2[[#This Row],[Gols M]]&lt;&gt;"",IF(Tabela2[[#This Row],[Gols V]]-Tabela2[[#This Row],[Gols M]]&gt;=0,IF(Tabela2[[#This Row],[Gols V]]-Tabela2[[#This Row],[Gols M]]&gt;0,"V","E"),"D"),"")</f>
        <v>V</v>
      </c>
      <c r="L63" s="19">
        <f>IF(OR('Por time'!E$2=Tabela2[[#This Row],[Mandante]], 'Por time'!E$2=Tabela2[[#This Row],[Visitante]]),1,0)</f>
        <v>0</v>
      </c>
      <c r="M63" s="25">
        <f>Tabela2[[#This Row],[Marcar time]]+M62</f>
        <v>6</v>
      </c>
      <c r="N63" s="25">
        <f>IMABS(Tabela2[[#This Row],[Gols M]]-Tabela2[[#This Row],[Gols V]])</f>
        <v>1</v>
      </c>
      <c r="O63" s="25">
        <f>Tabela2[[#This Row],[Gols M]]+Tabela2[[#This Row],[Gols V]]</f>
        <v>5</v>
      </c>
    </row>
    <row r="64" spans="1:15" x14ac:dyDescent="0.25">
      <c r="A64" s="19">
        <v>7</v>
      </c>
      <c r="B64" s="47" t="s">
        <v>76</v>
      </c>
      <c r="C64" s="48">
        <v>3</v>
      </c>
      <c r="D64" s="48">
        <v>2</v>
      </c>
      <c r="E64" s="47" t="s">
        <v>90</v>
      </c>
      <c r="F64" s="49" t="s">
        <v>95</v>
      </c>
      <c r="G64" s="49">
        <v>42533</v>
      </c>
      <c r="H64" s="49" t="s">
        <v>97</v>
      </c>
      <c r="I64" s="50" t="s">
        <v>40</v>
      </c>
      <c r="J64" s="19" t="str">
        <f>IF(Tabela2[[#This Row],[Gols M]]&lt;&gt;"",IF(Tabela2[[#This Row],[Gols M]]-Tabela2[[#This Row],[Gols V]]&gt;=0,IF(Tabela2[[#This Row],[Gols M]]-Tabela2[[#This Row],[Gols V]]&gt;0,"V","E"),"D"),"")</f>
        <v>V</v>
      </c>
      <c r="K64" s="19" t="str">
        <f>IF(Tabela2[[#This Row],[Gols M]]&lt;&gt;"",IF(Tabela2[[#This Row],[Gols V]]-Tabela2[[#This Row],[Gols M]]&gt;=0,IF(Tabela2[[#This Row],[Gols V]]-Tabela2[[#This Row],[Gols M]]&gt;0,"V","E"),"D"),"")</f>
        <v>D</v>
      </c>
      <c r="L64" s="19">
        <f>IF(OR('Por time'!E$2=Tabela2[[#This Row],[Mandante]], 'Por time'!E$2=Tabela2[[#This Row],[Visitante]]),1,0)</f>
        <v>0</v>
      </c>
      <c r="M64" s="25">
        <f>Tabela2[[#This Row],[Marcar time]]+M63</f>
        <v>6</v>
      </c>
      <c r="N64" s="25">
        <f>IMABS(Tabela2[[#This Row],[Gols M]]-Tabela2[[#This Row],[Gols V]])</f>
        <v>1</v>
      </c>
      <c r="O64" s="25">
        <f>Tabela2[[#This Row],[Gols M]]+Tabela2[[#This Row],[Gols V]]</f>
        <v>5</v>
      </c>
    </row>
    <row r="65" spans="1:15" x14ac:dyDescent="0.25">
      <c r="A65" s="19">
        <v>7</v>
      </c>
      <c r="B65" s="47" t="s">
        <v>78</v>
      </c>
      <c r="C65" s="48">
        <v>1</v>
      </c>
      <c r="D65" s="48">
        <v>0</v>
      </c>
      <c r="E65" s="47" t="s">
        <v>79</v>
      </c>
      <c r="F65" s="49" t="s">
        <v>95</v>
      </c>
      <c r="G65" s="49">
        <v>42533</v>
      </c>
      <c r="H65" s="49" t="s">
        <v>96</v>
      </c>
      <c r="I65" s="50" t="s">
        <v>33</v>
      </c>
      <c r="J65" s="19" t="str">
        <f>IF(Tabela2[[#This Row],[Gols M]]&lt;&gt;"",IF(Tabela2[[#This Row],[Gols M]]-Tabela2[[#This Row],[Gols V]]&gt;=0,IF(Tabela2[[#This Row],[Gols M]]-Tabela2[[#This Row],[Gols V]]&gt;0,"V","E"),"D"),"")</f>
        <v>V</v>
      </c>
      <c r="K65" s="19" t="str">
        <f>IF(Tabela2[[#This Row],[Gols M]]&lt;&gt;"",IF(Tabela2[[#This Row],[Gols V]]-Tabela2[[#This Row],[Gols M]]&gt;=0,IF(Tabela2[[#This Row],[Gols V]]-Tabela2[[#This Row],[Gols M]]&gt;0,"V","E"),"D"),"")</f>
        <v>D</v>
      </c>
      <c r="L65" s="19">
        <f>IF(OR('Por time'!E$2=Tabela2[[#This Row],[Mandante]], 'Por time'!E$2=Tabela2[[#This Row],[Visitante]]),1,0)</f>
        <v>0</v>
      </c>
      <c r="M65" s="25">
        <f>Tabela2[[#This Row],[Marcar time]]+M64</f>
        <v>6</v>
      </c>
      <c r="N65" s="25">
        <f>IMABS(Tabela2[[#This Row],[Gols M]]-Tabela2[[#This Row],[Gols V]])</f>
        <v>1</v>
      </c>
      <c r="O65" s="25">
        <f>Tabela2[[#This Row],[Gols M]]+Tabela2[[#This Row],[Gols V]]</f>
        <v>1</v>
      </c>
    </row>
    <row r="66" spans="1:15" x14ac:dyDescent="0.25">
      <c r="A66" s="19">
        <v>7</v>
      </c>
      <c r="B66" s="47" t="s">
        <v>86</v>
      </c>
      <c r="C66" s="48">
        <v>1</v>
      </c>
      <c r="D66" s="48">
        <v>1</v>
      </c>
      <c r="E66" s="47" t="s">
        <v>87</v>
      </c>
      <c r="F66" s="49" t="s">
        <v>98</v>
      </c>
      <c r="G66" s="49">
        <v>42532</v>
      </c>
      <c r="H66" s="49" t="s">
        <v>99</v>
      </c>
      <c r="I66" s="50" t="s">
        <v>45</v>
      </c>
      <c r="J66" s="19" t="str">
        <f>IF(Tabela2[[#This Row],[Gols M]]&lt;&gt;"",IF(Tabela2[[#This Row],[Gols M]]-Tabela2[[#This Row],[Gols V]]&gt;=0,IF(Tabela2[[#This Row],[Gols M]]-Tabela2[[#This Row],[Gols V]]&gt;0,"V","E"),"D"),"")</f>
        <v>E</v>
      </c>
      <c r="K66" s="19" t="str">
        <f>IF(Tabela2[[#This Row],[Gols M]]&lt;&gt;"",IF(Tabela2[[#This Row],[Gols V]]-Tabela2[[#This Row],[Gols M]]&gt;=0,IF(Tabela2[[#This Row],[Gols V]]-Tabela2[[#This Row],[Gols M]]&gt;0,"V","E"),"D"),"")</f>
        <v>E</v>
      </c>
      <c r="L66" s="19">
        <f>IF(OR('Por time'!E$2=Tabela2[[#This Row],[Mandante]], 'Por time'!E$2=Tabela2[[#This Row],[Visitante]]),1,0)</f>
        <v>0</v>
      </c>
      <c r="M66" s="25">
        <f>Tabela2[[#This Row],[Marcar time]]+M65</f>
        <v>6</v>
      </c>
      <c r="N66" s="25">
        <f>IMABS(Tabela2[[#This Row],[Gols M]]-Tabela2[[#This Row],[Gols V]])</f>
        <v>0</v>
      </c>
      <c r="O66" s="25">
        <f>Tabela2[[#This Row],[Gols M]]+Tabela2[[#This Row],[Gols V]]</f>
        <v>2</v>
      </c>
    </row>
    <row r="67" spans="1:15" x14ac:dyDescent="0.25">
      <c r="A67" s="19">
        <v>7</v>
      </c>
      <c r="B67" s="47" t="s">
        <v>80</v>
      </c>
      <c r="C67" s="48">
        <v>3</v>
      </c>
      <c r="D67" s="48">
        <v>1</v>
      </c>
      <c r="E67" s="47" t="s">
        <v>73</v>
      </c>
      <c r="F67" s="49" t="s">
        <v>98</v>
      </c>
      <c r="G67" s="49">
        <v>42532</v>
      </c>
      <c r="H67" s="49" t="s">
        <v>96</v>
      </c>
      <c r="I67" s="50" t="s">
        <v>27</v>
      </c>
      <c r="J67" s="19" t="str">
        <f>IF(Tabela2[[#This Row],[Gols M]]&lt;&gt;"",IF(Tabela2[[#This Row],[Gols M]]-Tabela2[[#This Row],[Gols V]]&gt;=0,IF(Tabela2[[#This Row],[Gols M]]-Tabela2[[#This Row],[Gols V]]&gt;0,"V","E"),"D"),"")</f>
        <v>V</v>
      </c>
      <c r="K67" s="19" t="str">
        <f>IF(Tabela2[[#This Row],[Gols M]]&lt;&gt;"",IF(Tabela2[[#This Row],[Gols V]]-Tabela2[[#This Row],[Gols M]]&gt;=0,IF(Tabela2[[#This Row],[Gols V]]-Tabela2[[#This Row],[Gols M]]&gt;0,"V","E"),"D"),"")</f>
        <v>D</v>
      </c>
      <c r="L67" s="19">
        <f>IF(OR('Por time'!E$2=Tabela2[[#This Row],[Mandante]], 'Por time'!E$2=Tabela2[[#This Row],[Visitante]]),1,0)</f>
        <v>0</v>
      </c>
      <c r="M67" s="25">
        <f>Tabela2[[#This Row],[Marcar time]]+M66</f>
        <v>6</v>
      </c>
      <c r="N67" s="25">
        <f>IMABS(Tabela2[[#This Row],[Gols M]]-Tabela2[[#This Row],[Gols V]])</f>
        <v>2</v>
      </c>
      <c r="O67" s="25">
        <f>Tabela2[[#This Row],[Gols M]]+Tabela2[[#This Row],[Gols V]]</f>
        <v>4</v>
      </c>
    </row>
    <row r="68" spans="1:15" x14ac:dyDescent="0.25">
      <c r="A68" s="19">
        <v>7</v>
      </c>
      <c r="B68" s="47" t="s">
        <v>81</v>
      </c>
      <c r="C68" s="48">
        <v>1</v>
      </c>
      <c r="D68" s="48">
        <v>0</v>
      </c>
      <c r="E68" s="47" t="s">
        <v>77</v>
      </c>
      <c r="F68" s="49" t="s">
        <v>95</v>
      </c>
      <c r="G68" s="49">
        <v>42533</v>
      </c>
      <c r="H68" s="49" t="s">
        <v>96</v>
      </c>
      <c r="I68" s="50" t="s">
        <v>30</v>
      </c>
      <c r="J68" s="19" t="str">
        <f>IF(Tabela2[[#This Row],[Gols M]]&lt;&gt;"",IF(Tabela2[[#This Row],[Gols M]]-Tabela2[[#This Row],[Gols V]]&gt;=0,IF(Tabela2[[#This Row],[Gols M]]-Tabela2[[#This Row],[Gols V]]&gt;0,"V","E"),"D"),"")</f>
        <v>V</v>
      </c>
      <c r="K68" s="19" t="str">
        <f>IF(Tabela2[[#This Row],[Gols M]]&lt;&gt;"",IF(Tabela2[[#This Row],[Gols V]]-Tabela2[[#This Row],[Gols M]]&gt;=0,IF(Tabela2[[#This Row],[Gols V]]-Tabela2[[#This Row],[Gols M]]&gt;0,"V","E"),"D"),"")</f>
        <v>D</v>
      </c>
      <c r="L68" s="19">
        <f>IF(OR('Por time'!E$2=Tabela2[[#This Row],[Mandante]], 'Por time'!E$2=Tabela2[[#This Row],[Visitante]]),1,0)</f>
        <v>0</v>
      </c>
      <c r="M68" s="25">
        <f>Tabela2[[#This Row],[Marcar time]]+M67</f>
        <v>6</v>
      </c>
      <c r="N68" s="25">
        <f>IMABS(Tabela2[[#This Row],[Gols M]]-Tabela2[[#This Row],[Gols V]])</f>
        <v>1</v>
      </c>
      <c r="O68" s="25">
        <f>Tabela2[[#This Row],[Gols M]]+Tabela2[[#This Row],[Gols V]]</f>
        <v>1</v>
      </c>
    </row>
    <row r="69" spans="1:15" x14ac:dyDescent="0.25">
      <c r="A69" s="19">
        <v>7</v>
      </c>
      <c r="B69" s="47" t="s">
        <v>88</v>
      </c>
      <c r="C69" s="48">
        <v>2</v>
      </c>
      <c r="D69" s="48">
        <v>1</v>
      </c>
      <c r="E69" s="47" t="s">
        <v>84</v>
      </c>
      <c r="F69" s="49" t="s">
        <v>98</v>
      </c>
      <c r="G69" s="49">
        <v>42532</v>
      </c>
      <c r="H69" s="49" t="s">
        <v>96</v>
      </c>
      <c r="I69" s="50" t="s">
        <v>5</v>
      </c>
      <c r="J69" s="19" t="str">
        <f>IF(Tabela2[[#This Row],[Gols M]]&lt;&gt;"",IF(Tabela2[[#This Row],[Gols M]]-Tabela2[[#This Row],[Gols V]]&gt;=0,IF(Tabela2[[#This Row],[Gols M]]-Tabela2[[#This Row],[Gols V]]&gt;0,"V","E"),"D"),"")</f>
        <v>V</v>
      </c>
      <c r="K69" s="19" t="str">
        <f>IF(Tabela2[[#This Row],[Gols M]]&lt;&gt;"",IF(Tabela2[[#This Row],[Gols V]]-Tabela2[[#This Row],[Gols M]]&gt;=0,IF(Tabela2[[#This Row],[Gols V]]-Tabela2[[#This Row],[Gols M]]&gt;0,"V","E"),"D"),"")</f>
        <v>D</v>
      </c>
      <c r="L69" s="19">
        <f>IF(OR('Por time'!E$2=Tabela2[[#This Row],[Mandante]], 'Por time'!E$2=Tabela2[[#This Row],[Visitante]]),1,0)</f>
        <v>0</v>
      </c>
      <c r="M69" s="25">
        <f>Tabela2[[#This Row],[Marcar time]]+M68</f>
        <v>6</v>
      </c>
      <c r="N69" s="25">
        <f>IMABS(Tabela2[[#This Row],[Gols M]]-Tabela2[[#This Row],[Gols V]])</f>
        <v>1</v>
      </c>
      <c r="O69" s="25">
        <f>Tabela2[[#This Row],[Gols M]]+Tabela2[[#This Row],[Gols V]]</f>
        <v>3</v>
      </c>
    </row>
    <row r="70" spans="1:15" x14ac:dyDescent="0.25">
      <c r="A70" s="19">
        <v>7</v>
      </c>
      <c r="B70" s="47" t="s">
        <v>92</v>
      </c>
      <c r="C70" s="48">
        <v>1</v>
      </c>
      <c r="D70" s="48">
        <v>2</v>
      </c>
      <c r="E70" s="47" t="s">
        <v>83</v>
      </c>
      <c r="F70" s="49" t="s">
        <v>98</v>
      </c>
      <c r="G70" s="49">
        <v>42532</v>
      </c>
      <c r="H70" s="49" t="s">
        <v>100</v>
      </c>
      <c r="I70" s="50" t="s">
        <v>41</v>
      </c>
      <c r="J70" s="19" t="str">
        <f>IF(Tabela2[[#This Row],[Gols M]]&lt;&gt;"",IF(Tabela2[[#This Row],[Gols M]]-Tabela2[[#This Row],[Gols V]]&gt;=0,IF(Tabela2[[#This Row],[Gols M]]-Tabela2[[#This Row],[Gols V]]&gt;0,"V","E"),"D"),"")</f>
        <v>D</v>
      </c>
      <c r="K70" s="19" t="str">
        <f>IF(Tabela2[[#This Row],[Gols M]]&lt;&gt;"",IF(Tabela2[[#This Row],[Gols V]]-Tabela2[[#This Row],[Gols M]]&gt;=0,IF(Tabela2[[#This Row],[Gols V]]-Tabela2[[#This Row],[Gols M]]&gt;0,"V","E"),"D"),"")</f>
        <v>V</v>
      </c>
      <c r="L70" s="19">
        <f>IF(OR('Por time'!E$2=Tabela2[[#This Row],[Mandante]], 'Por time'!E$2=Tabela2[[#This Row],[Visitante]]),1,0)</f>
        <v>1</v>
      </c>
      <c r="M70" s="25">
        <f>Tabela2[[#This Row],[Marcar time]]+M69</f>
        <v>7</v>
      </c>
      <c r="N70" s="25">
        <f>IMABS(Tabela2[[#This Row],[Gols M]]-Tabela2[[#This Row],[Gols V]])</f>
        <v>1</v>
      </c>
      <c r="O70" s="25">
        <f>Tabela2[[#This Row],[Gols M]]+Tabela2[[#This Row],[Gols V]]</f>
        <v>3</v>
      </c>
    </row>
    <row r="71" spans="1:15" x14ac:dyDescent="0.25">
      <c r="A71" s="19">
        <v>7</v>
      </c>
      <c r="B71" s="47" t="s">
        <v>82</v>
      </c>
      <c r="C71" s="48">
        <v>0</v>
      </c>
      <c r="D71" s="48">
        <v>2</v>
      </c>
      <c r="E71" s="47" t="s">
        <v>89</v>
      </c>
      <c r="F71" s="49" t="s">
        <v>95</v>
      </c>
      <c r="G71" s="49">
        <v>42533</v>
      </c>
      <c r="H71" s="49" t="s">
        <v>106</v>
      </c>
      <c r="I71" s="50" t="s">
        <v>36</v>
      </c>
      <c r="J71" s="19" t="str">
        <f>IF(Tabela2[[#This Row],[Gols M]]&lt;&gt;"",IF(Tabela2[[#This Row],[Gols M]]-Tabela2[[#This Row],[Gols V]]&gt;=0,IF(Tabela2[[#This Row],[Gols M]]-Tabela2[[#This Row],[Gols V]]&gt;0,"V","E"),"D"),"")</f>
        <v>D</v>
      </c>
      <c r="K71" s="19" t="str">
        <f>IF(Tabela2[[#This Row],[Gols M]]&lt;&gt;"",IF(Tabela2[[#This Row],[Gols V]]-Tabela2[[#This Row],[Gols M]]&gt;=0,IF(Tabela2[[#This Row],[Gols V]]-Tabela2[[#This Row],[Gols M]]&gt;0,"V","E"),"D"),"")</f>
        <v>V</v>
      </c>
      <c r="L71" s="19">
        <f>IF(OR('Por time'!E$2=Tabela2[[#This Row],[Mandante]], 'Por time'!E$2=Tabela2[[#This Row],[Visitante]]),1,0)</f>
        <v>0</v>
      </c>
      <c r="M71" s="25">
        <f>Tabela2[[#This Row],[Marcar time]]+M70</f>
        <v>7</v>
      </c>
      <c r="N71" s="25">
        <f>IMABS(Tabela2[[#This Row],[Gols M]]-Tabela2[[#This Row],[Gols V]])</f>
        <v>2</v>
      </c>
      <c r="O71" s="25">
        <f>Tabela2[[#This Row],[Gols M]]+Tabela2[[#This Row],[Gols V]]</f>
        <v>2</v>
      </c>
    </row>
    <row r="72" spans="1:15" x14ac:dyDescent="0.25">
      <c r="A72" s="19">
        <v>8</v>
      </c>
      <c r="B72" s="47" t="s">
        <v>74</v>
      </c>
      <c r="C72" s="48">
        <v>3</v>
      </c>
      <c r="D72" s="48">
        <v>1</v>
      </c>
      <c r="E72" s="47" t="s">
        <v>73</v>
      </c>
      <c r="F72" s="49" t="s">
        <v>101</v>
      </c>
      <c r="G72" s="49">
        <v>42536</v>
      </c>
      <c r="H72" s="49" t="s">
        <v>100</v>
      </c>
      <c r="I72" s="50" t="s">
        <v>45</v>
      </c>
      <c r="J72" s="19" t="str">
        <f>IF(Tabela2[[#This Row],[Gols M]]&lt;&gt;"",IF(Tabela2[[#This Row],[Gols M]]-Tabela2[[#This Row],[Gols V]]&gt;=0,IF(Tabela2[[#This Row],[Gols M]]-Tabela2[[#This Row],[Gols V]]&gt;0,"V","E"),"D"),"")</f>
        <v>V</v>
      </c>
      <c r="K72" s="19" t="str">
        <f>IF(Tabela2[[#This Row],[Gols M]]&lt;&gt;"",IF(Tabela2[[#This Row],[Gols V]]-Tabela2[[#This Row],[Gols M]]&gt;=0,IF(Tabela2[[#This Row],[Gols V]]-Tabela2[[#This Row],[Gols M]]&gt;0,"V","E"),"D"),"")</f>
        <v>D</v>
      </c>
      <c r="L72" s="19">
        <f>IF(OR('Por time'!E$2=Tabela2[[#This Row],[Mandante]], 'Por time'!E$2=Tabela2[[#This Row],[Visitante]]),1,0)</f>
        <v>0</v>
      </c>
      <c r="M72" s="25">
        <f>Tabela2[[#This Row],[Marcar time]]+M71</f>
        <v>7</v>
      </c>
      <c r="N72" s="25">
        <f>IMABS(Tabela2[[#This Row],[Gols M]]-Tabela2[[#This Row],[Gols V]])</f>
        <v>2</v>
      </c>
      <c r="O72" s="25">
        <f>Tabela2[[#This Row],[Gols M]]+Tabela2[[#This Row],[Gols V]]</f>
        <v>4</v>
      </c>
    </row>
    <row r="73" spans="1:15" x14ac:dyDescent="0.25">
      <c r="A73" s="19">
        <v>8</v>
      </c>
      <c r="B73" s="47" t="s">
        <v>76</v>
      </c>
      <c r="C73" s="48">
        <v>2</v>
      </c>
      <c r="D73" s="48">
        <v>2</v>
      </c>
      <c r="E73" s="47" t="s">
        <v>81</v>
      </c>
      <c r="F73" s="49" t="s">
        <v>101</v>
      </c>
      <c r="G73" s="49">
        <v>42536</v>
      </c>
      <c r="H73" s="49" t="s">
        <v>104</v>
      </c>
      <c r="I73" s="50" t="s">
        <v>40</v>
      </c>
      <c r="J73" s="19" t="str">
        <f>IF(Tabela2[[#This Row],[Gols M]]&lt;&gt;"",IF(Tabela2[[#This Row],[Gols M]]-Tabela2[[#This Row],[Gols V]]&gt;=0,IF(Tabela2[[#This Row],[Gols M]]-Tabela2[[#This Row],[Gols V]]&gt;0,"V","E"),"D"),"")</f>
        <v>E</v>
      </c>
      <c r="K73" s="19" t="str">
        <f>IF(Tabela2[[#This Row],[Gols M]]&lt;&gt;"",IF(Tabela2[[#This Row],[Gols V]]-Tabela2[[#This Row],[Gols M]]&gt;=0,IF(Tabela2[[#This Row],[Gols V]]-Tabela2[[#This Row],[Gols M]]&gt;0,"V","E"),"D"),"")</f>
        <v>E</v>
      </c>
      <c r="L73" s="19">
        <f>IF(OR('Por time'!E$2=Tabela2[[#This Row],[Mandante]], 'Por time'!E$2=Tabela2[[#This Row],[Visitante]]),1,0)</f>
        <v>0</v>
      </c>
      <c r="M73" s="25">
        <f>Tabela2[[#This Row],[Marcar time]]+M72</f>
        <v>7</v>
      </c>
      <c r="N73" s="25">
        <f>IMABS(Tabela2[[#This Row],[Gols M]]-Tabela2[[#This Row],[Gols V]])</f>
        <v>0</v>
      </c>
      <c r="O73" s="25">
        <f>Tabela2[[#This Row],[Gols M]]+Tabela2[[#This Row],[Gols V]]</f>
        <v>4</v>
      </c>
    </row>
    <row r="74" spans="1:15" x14ac:dyDescent="0.25">
      <c r="A74" s="19">
        <v>8</v>
      </c>
      <c r="B74" s="47" t="s">
        <v>84</v>
      </c>
      <c r="C74" s="48">
        <v>3</v>
      </c>
      <c r="D74" s="48">
        <v>3</v>
      </c>
      <c r="E74" s="47" t="s">
        <v>87</v>
      </c>
      <c r="F74" s="49" t="s">
        <v>101</v>
      </c>
      <c r="G74" s="49">
        <v>42536</v>
      </c>
      <c r="H74" s="49" t="s">
        <v>102</v>
      </c>
      <c r="I74" s="50" t="s">
        <v>1</v>
      </c>
      <c r="J74" s="19" t="str">
        <f>IF(Tabela2[[#This Row],[Gols M]]&lt;&gt;"",IF(Tabela2[[#This Row],[Gols M]]-Tabela2[[#This Row],[Gols V]]&gt;=0,IF(Tabela2[[#This Row],[Gols M]]-Tabela2[[#This Row],[Gols V]]&gt;0,"V","E"),"D"),"")</f>
        <v>E</v>
      </c>
      <c r="K74" s="19" t="str">
        <f>IF(Tabela2[[#This Row],[Gols M]]&lt;&gt;"",IF(Tabela2[[#This Row],[Gols V]]-Tabela2[[#This Row],[Gols M]]&gt;=0,IF(Tabela2[[#This Row],[Gols V]]-Tabela2[[#This Row],[Gols M]]&gt;0,"V","E"),"D"),"")</f>
        <v>E</v>
      </c>
      <c r="L74" s="19">
        <f>IF(OR('Por time'!E$2=Tabela2[[#This Row],[Mandante]], 'Por time'!E$2=Tabela2[[#This Row],[Visitante]]),1,0)</f>
        <v>0</v>
      </c>
      <c r="M74" s="25">
        <f>Tabela2[[#This Row],[Marcar time]]+M73</f>
        <v>7</v>
      </c>
      <c r="N74" s="25">
        <f>IMABS(Tabela2[[#This Row],[Gols M]]-Tabela2[[#This Row],[Gols V]])</f>
        <v>0</v>
      </c>
      <c r="O74" s="25">
        <f>Tabela2[[#This Row],[Gols M]]+Tabela2[[#This Row],[Gols V]]</f>
        <v>6</v>
      </c>
    </row>
    <row r="75" spans="1:15" x14ac:dyDescent="0.25">
      <c r="A75" s="19">
        <v>8</v>
      </c>
      <c r="B75" s="47" t="s">
        <v>85</v>
      </c>
      <c r="C75" s="48">
        <v>0</v>
      </c>
      <c r="D75" s="48">
        <v>1</v>
      </c>
      <c r="E75" s="47" t="s">
        <v>79</v>
      </c>
      <c r="F75" s="49" t="s">
        <v>101</v>
      </c>
      <c r="G75" s="49">
        <v>42536</v>
      </c>
      <c r="H75" s="49" t="s">
        <v>104</v>
      </c>
      <c r="I75" s="50" t="s">
        <v>2</v>
      </c>
      <c r="J75" s="19" t="str">
        <f>IF(Tabela2[[#This Row],[Gols M]]&lt;&gt;"",IF(Tabela2[[#This Row],[Gols M]]-Tabela2[[#This Row],[Gols V]]&gt;=0,IF(Tabela2[[#This Row],[Gols M]]-Tabela2[[#This Row],[Gols V]]&gt;0,"V","E"),"D"),"")</f>
        <v>D</v>
      </c>
      <c r="K75" s="19" t="str">
        <f>IF(Tabela2[[#This Row],[Gols M]]&lt;&gt;"",IF(Tabela2[[#This Row],[Gols V]]-Tabela2[[#This Row],[Gols M]]&gt;=0,IF(Tabela2[[#This Row],[Gols V]]-Tabela2[[#This Row],[Gols M]]&gt;0,"V","E"),"D"),"")</f>
        <v>V</v>
      </c>
      <c r="L75" s="19">
        <f>IF(OR('Por time'!E$2=Tabela2[[#This Row],[Mandante]], 'Por time'!E$2=Tabela2[[#This Row],[Visitante]]),1,0)</f>
        <v>0</v>
      </c>
      <c r="M75" s="25">
        <f>Tabela2[[#This Row],[Marcar time]]+M74</f>
        <v>7</v>
      </c>
      <c r="N75" s="25">
        <f>IMABS(Tabela2[[#This Row],[Gols M]]-Tabela2[[#This Row],[Gols V]])</f>
        <v>1</v>
      </c>
      <c r="O75" s="25">
        <f>Tabela2[[#This Row],[Gols M]]+Tabela2[[#This Row],[Gols V]]</f>
        <v>1</v>
      </c>
    </row>
    <row r="76" spans="1:15" x14ac:dyDescent="0.25">
      <c r="A76" s="19">
        <v>8</v>
      </c>
      <c r="B76" s="47" t="s">
        <v>86</v>
      </c>
      <c r="C76" s="48">
        <v>1</v>
      </c>
      <c r="D76" s="48">
        <v>0</v>
      </c>
      <c r="E76" s="47" t="s">
        <v>77</v>
      </c>
      <c r="F76" s="49" t="s">
        <v>103</v>
      </c>
      <c r="G76" s="49">
        <v>42537</v>
      </c>
      <c r="H76" s="49" t="s">
        <v>107</v>
      </c>
      <c r="I76" s="50" t="s">
        <v>50</v>
      </c>
      <c r="J76" s="19" t="str">
        <f>IF(Tabela2[[#This Row],[Gols M]]&lt;&gt;"",IF(Tabela2[[#This Row],[Gols M]]-Tabela2[[#This Row],[Gols V]]&gt;=0,IF(Tabela2[[#This Row],[Gols M]]-Tabela2[[#This Row],[Gols V]]&gt;0,"V","E"),"D"),"")</f>
        <v>V</v>
      </c>
      <c r="K76" s="19" t="str">
        <f>IF(Tabela2[[#This Row],[Gols M]]&lt;&gt;"",IF(Tabela2[[#This Row],[Gols V]]-Tabela2[[#This Row],[Gols M]]&gt;=0,IF(Tabela2[[#This Row],[Gols V]]-Tabela2[[#This Row],[Gols M]]&gt;0,"V","E"),"D"),"")</f>
        <v>D</v>
      </c>
      <c r="L76" s="19">
        <f>IF(OR('Por time'!E$2=Tabela2[[#This Row],[Mandante]], 'Por time'!E$2=Tabela2[[#This Row],[Visitante]]),1,0)</f>
        <v>0</v>
      </c>
      <c r="M76" s="25">
        <f>Tabela2[[#This Row],[Marcar time]]+M75</f>
        <v>7</v>
      </c>
      <c r="N76" s="25">
        <f>IMABS(Tabela2[[#This Row],[Gols M]]-Tabela2[[#This Row],[Gols V]])</f>
        <v>1</v>
      </c>
      <c r="O76" s="25">
        <f>Tabela2[[#This Row],[Gols M]]+Tabela2[[#This Row],[Gols V]]</f>
        <v>1</v>
      </c>
    </row>
    <row r="77" spans="1:15" x14ac:dyDescent="0.25">
      <c r="A77" s="19">
        <v>8</v>
      </c>
      <c r="B77" s="47" t="s">
        <v>80</v>
      </c>
      <c r="C77" s="48">
        <v>2</v>
      </c>
      <c r="D77" s="48">
        <v>0</v>
      </c>
      <c r="E77" s="47" t="s">
        <v>75</v>
      </c>
      <c r="F77" s="49" t="s">
        <v>103</v>
      </c>
      <c r="G77" s="49">
        <v>42537</v>
      </c>
      <c r="H77" s="49" t="s">
        <v>102</v>
      </c>
      <c r="I77" s="50" t="s">
        <v>27</v>
      </c>
      <c r="J77" s="19" t="str">
        <f>IF(Tabela2[[#This Row],[Gols M]]&lt;&gt;"",IF(Tabela2[[#This Row],[Gols M]]-Tabela2[[#This Row],[Gols V]]&gt;=0,IF(Tabela2[[#This Row],[Gols M]]-Tabela2[[#This Row],[Gols V]]&gt;0,"V","E"),"D"),"")</f>
        <v>V</v>
      </c>
      <c r="K77" s="19" t="str">
        <f>IF(Tabela2[[#This Row],[Gols M]]&lt;&gt;"",IF(Tabela2[[#This Row],[Gols V]]-Tabela2[[#This Row],[Gols M]]&gt;=0,IF(Tabela2[[#This Row],[Gols V]]-Tabela2[[#This Row],[Gols M]]&gt;0,"V","E"),"D"),"")</f>
        <v>D</v>
      </c>
      <c r="L77" s="19">
        <f>IF(OR('Por time'!E$2=Tabela2[[#This Row],[Mandante]], 'Por time'!E$2=Tabela2[[#This Row],[Visitante]]),1,0)</f>
        <v>0</v>
      </c>
      <c r="M77" s="25">
        <f>Tabela2[[#This Row],[Marcar time]]+M76</f>
        <v>7</v>
      </c>
      <c r="N77" s="25">
        <f>IMABS(Tabela2[[#This Row],[Gols M]]-Tabela2[[#This Row],[Gols V]])</f>
        <v>2</v>
      </c>
      <c r="O77" s="25">
        <f>Tabela2[[#This Row],[Gols M]]+Tabela2[[#This Row],[Gols V]]</f>
        <v>2</v>
      </c>
    </row>
    <row r="78" spans="1:15" x14ac:dyDescent="0.25">
      <c r="A78" s="19">
        <v>8</v>
      </c>
      <c r="B78" s="47" t="s">
        <v>88</v>
      </c>
      <c r="C78" s="48">
        <v>3</v>
      </c>
      <c r="D78" s="48">
        <v>2</v>
      </c>
      <c r="E78" s="47" t="s">
        <v>83</v>
      </c>
      <c r="F78" s="49" t="s">
        <v>101</v>
      </c>
      <c r="G78" s="49">
        <v>42536</v>
      </c>
      <c r="H78" s="49" t="s">
        <v>102</v>
      </c>
      <c r="I78" s="50" t="s">
        <v>5</v>
      </c>
      <c r="J78" s="19" t="str">
        <f>IF(Tabela2[[#This Row],[Gols M]]&lt;&gt;"",IF(Tabela2[[#This Row],[Gols M]]-Tabela2[[#This Row],[Gols V]]&gt;=0,IF(Tabela2[[#This Row],[Gols M]]-Tabela2[[#This Row],[Gols V]]&gt;0,"V","E"),"D"),"")</f>
        <v>V</v>
      </c>
      <c r="K78" s="19" t="str">
        <f>IF(Tabela2[[#This Row],[Gols M]]&lt;&gt;"",IF(Tabela2[[#This Row],[Gols V]]-Tabela2[[#This Row],[Gols M]]&gt;=0,IF(Tabela2[[#This Row],[Gols V]]-Tabela2[[#This Row],[Gols M]]&gt;0,"V","E"),"D"),"")</f>
        <v>D</v>
      </c>
      <c r="L78" s="19">
        <f>IF(OR('Por time'!E$2=Tabela2[[#This Row],[Mandante]], 'Por time'!E$2=Tabela2[[#This Row],[Visitante]]),1,0)</f>
        <v>1</v>
      </c>
      <c r="M78" s="25">
        <f>Tabela2[[#This Row],[Marcar time]]+M77</f>
        <v>8</v>
      </c>
      <c r="N78" s="25">
        <f>IMABS(Tabela2[[#This Row],[Gols M]]-Tabela2[[#This Row],[Gols V]])</f>
        <v>1</v>
      </c>
      <c r="O78" s="25">
        <f>Tabela2[[#This Row],[Gols M]]+Tabela2[[#This Row],[Gols V]]</f>
        <v>5</v>
      </c>
    </row>
    <row r="79" spans="1:15" x14ac:dyDescent="0.25">
      <c r="A79" s="19">
        <v>8</v>
      </c>
      <c r="B79" s="47" t="s">
        <v>89</v>
      </c>
      <c r="C79" s="48">
        <v>2</v>
      </c>
      <c r="D79" s="48">
        <v>0</v>
      </c>
      <c r="E79" s="47" t="s">
        <v>90</v>
      </c>
      <c r="F79" s="49" t="s">
        <v>101</v>
      </c>
      <c r="G79" s="49">
        <v>42536</v>
      </c>
      <c r="H79" s="49" t="s">
        <v>100</v>
      </c>
      <c r="I79" s="50" t="s">
        <v>6</v>
      </c>
      <c r="J79" s="19" t="str">
        <f>IF(Tabela2[[#This Row],[Gols M]]&lt;&gt;"",IF(Tabela2[[#This Row],[Gols M]]-Tabela2[[#This Row],[Gols V]]&gt;=0,IF(Tabela2[[#This Row],[Gols M]]-Tabela2[[#This Row],[Gols V]]&gt;0,"V","E"),"D"),"")</f>
        <v>V</v>
      </c>
      <c r="K79" s="19" t="str">
        <f>IF(Tabela2[[#This Row],[Gols M]]&lt;&gt;"",IF(Tabela2[[#This Row],[Gols V]]-Tabela2[[#This Row],[Gols M]]&gt;=0,IF(Tabela2[[#This Row],[Gols V]]-Tabela2[[#This Row],[Gols M]]&gt;0,"V","E"),"D"),"")</f>
        <v>D</v>
      </c>
      <c r="L79" s="19">
        <f>IF(OR('Por time'!E$2=Tabela2[[#This Row],[Mandante]], 'Por time'!E$2=Tabela2[[#This Row],[Visitante]]),1,0)</f>
        <v>0</v>
      </c>
      <c r="M79" s="25">
        <f>Tabela2[[#This Row],[Marcar time]]+M78</f>
        <v>8</v>
      </c>
      <c r="N79" s="25">
        <f>IMABS(Tabela2[[#This Row],[Gols M]]-Tabela2[[#This Row],[Gols V]])</f>
        <v>2</v>
      </c>
      <c r="O79" s="25">
        <f>Tabela2[[#This Row],[Gols M]]+Tabela2[[#This Row],[Gols V]]</f>
        <v>2</v>
      </c>
    </row>
    <row r="80" spans="1:15" x14ac:dyDescent="0.25">
      <c r="A80" s="19">
        <v>8</v>
      </c>
      <c r="B80" s="47" t="s">
        <v>92</v>
      </c>
      <c r="C80" s="48">
        <v>2</v>
      </c>
      <c r="D80" s="48">
        <v>0</v>
      </c>
      <c r="E80" s="47" t="s">
        <v>91</v>
      </c>
      <c r="F80" s="49" t="s">
        <v>101</v>
      </c>
      <c r="G80" s="49">
        <v>42536</v>
      </c>
      <c r="H80" s="49" t="s">
        <v>102</v>
      </c>
      <c r="I80" s="50" t="s">
        <v>41</v>
      </c>
      <c r="J80" s="19" t="str">
        <f>IF(Tabela2[[#This Row],[Gols M]]&lt;&gt;"",IF(Tabela2[[#This Row],[Gols M]]-Tabela2[[#This Row],[Gols V]]&gt;=0,IF(Tabela2[[#This Row],[Gols M]]-Tabela2[[#This Row],[Gols V]]&gt;0,"V","E"),"D"),"")</f>
        <v>V</v>
      </c>
      <c r="K80" s="19" t="str">
        <f>IF(Tabela2[[#This Row],[Gols M]]&lt;&gt;"",IF(Tabela2[[#This Row],[Gols V]]-Tabela2[[#This Row],[Gols M]]&gt;=0,IF(Tabela2[[#This Row],[Gols V]]-Tabela2[[#This Row],[Gols M]]&gt;0,"V","E"),"D"),"")</f>
        <v>D</v>
      </c>
      <c r="L80" s="19">
        <f>IF(OR('Por time'!E$2=Tabela2[[#This Row],[Mandante]], 'Por time'!E$2=Tabela2[[#This Row],[Visitante]]),1,0)</f>
        <v>0</v>
      </c>
      <c r="M80" s="25">
        <f>Tabela2[[#This Row],[Marcar time]]+M79</f>
        <v>8</v>
      </c>
      <c r="N80" s="25">
        <f>IMABS(Tabela2[[#This Row],[Gols M]]-Tabela2[[#This Row],[Gols V]])</f>
        <v>2</v>
      </c>
      <c r="O80" s="25">
        <f>Tabela2[[#This Row],[Gols M]]+Tabela2[[#This Row],[Gols V]]</f>
        <v>2</v>
      </c>
    </row>
    <row r="81" spans="1:15" x14ac:dyDescent="0.25">
      <c r="A81" s="19">
        <v>8</v>
      </c>
      <c r="B81" s="47" t="s">
        <v>82</v>
      </c>
      <c r="C81" s="48">
        <v>1</v>
      </c>
      <c r="D81" s="48">
        <v>0</v>
      </c>
      <c r="E81" s="47" t="s">
        <v>78</v>
      </c>
      <c r="F81" s="49" t="s">
        <v>101</v>
      </c>
      <c r="G81" s="49">
        <v>42536</v>
      </c>
      <c r="H81" s="49" t="s">
        <v>100</v>
      </c>
      <c r="I81" s="50" t="s">
        <v>36</v>
      </c>
      <c r="J81" s="19" t="str">
        <f>IF(Tabela2[[#This Row],[Gols M]]&lt;&gt;"",IF(Tabela2[[#This Row],[Gols M]]-Tabela2[[#This Row],[Gols V]]&gt;=0,IF(Tabela2[[#This Row],[Gols M]]-Tabela2[[#This Row],[Gols V]]&gt;0,"V","E"),"D"),"")</f>
        <v>V</v>
      </c>
      <c r="K81" s="19" t="str">
        <f>IF(Tabela2[[#This Row],[Gols M]]&lt;&gt;"",IF(Tabela2[[#This Row],[Gols V]]-Tabela2[[#This Row],[Gols M]]&gt;=0,IF(Tabela2[[#This Row],[Gols V]]-Tabela2[[#This Row],[Gols M]]&gt;0,"V","E"),"D"),"")</f>
        <v>D</v>
      </c>
      <c r="L81" s="19">
        <f>IF(OR('Por time'!E$2=Tabela2[[#This Row],[Mandante]], 'Por time'!E$2=Tabela2[[#This Row],[Visitante]]),1,0)</f>
        <v>0</v>
      </c>
      <c r="M81" s="25">
        <f>Tabela2[[#This Row],[Marcar time]]+M80</f>
        <v>8</v>
      </c>
      <c r="N81" s="25">
        <f>IMABS(Tabela2[[#This Row],[Gols M]]-Tabela2[[#This Row],[Gols V]])</f>
        <v>1</v>
      </c>
      <c r="O81" s="25">
        <f>Tabela2[[#This Row],[Gols M]]+Tabela2[[#This Row],[Gols V]]</f>
        <v>1</v>
      </c>
    </row>
    <row r="82" spans="1:15" x14ac:dyDescent="0.25">
      <c r="A82" s="19">
        <v>9</v>
      </c>
      <c r="B82" s="47" t="s">
        <v>73</v>
      </c>
      <c r="C82" s="48">
        <v>2</v>
      </c>
      <c r="D82" s="48">
        <v>1</v>
      </c>
      <c r="E82" s="47" t="s">
        <v>76</v>
      </c>
      <c r="F82" s="49" t="s">
        <v>98</v>
      </c>
      <c r="G82" s="49">
        <v>42539</v>
      </c>
      <c r="H82" s="49" t="s">
        <v>100</v>
      </c>
      <c r="I82" s="50" t="s">
        <v>11</v>
      </c>
      <c r="J82" s="19" t="str">
        <f>IF(Tabela2[[#This Row],[Gols M]]&lt;&gt;"",IF(Tabela2[[#This Row],[Gols M]]-Tabela2[[#This Row],[Gols V]]&gt;=0,IF(Tabela2[[#This Row],[Gols M]]-Tabela2[[#This Row],[Gols V]]&gt;0,"V","E"),"D"),"")</f>
        <v>V</v>
      </c>
      <c r="K82" s="19" t="str">
        <f>IF(Tabela2[[#This Row],[Gols M]]&lt;&gt;"",IF(Tabela2[[#This Row],[Gols V]]-Tabela2[[#This Row],[Gols M]]&gt;=0,IF(Tabela2[[#This Row],[Gols V]]-Tabela2[[#This Row],[Gols M]]&gt;0,"V","E"),"D"),"")</f>
        <v>D</v>
      </c>
      <c r="L82" s="19">
        <f>IF(OR('Por time'!E$2=Tabela2[[#This Row],[Mandante]], 'Por time'!E$2=Tabela2[[#This Row],[Visitante]]),1,0)</f>
        <v>0</v>
      </c>
      <c r="M82" s="25">
        <f>Tabela2[[#This Row],[Marcar time]]+M81</f>
        <v>8</v>
      </c>
      <c r="N82" s="25">
        <f>IMABS(Tabela2[[#This Row],[Gols M]]-Tabela2[[#This Row],[Gols V]])</f>
        <v>1</v>
      </c>
      <c r="O82" s="25">
        <f>Tabela2[[#This Row],[Gols M]]+Tabela2[[#This Row],[Gols V]]</f>
        <v>3</v>
      </c>
    </row>
    <row r="83" spans="1:15" x14ac:dyDescent="0.25">
      <c r="A83" s="19">
        <v>9</v>
      </c>
      <c r="B83" s="47" t="s">
        <v>75</v>
      </c>
      <c r="C83" s="48">
        <v>3</v>
      </c>
      <c r="D83" s="48">
        <v>0</v>
      </c>
      <c r="E83" s="47" t="s">
        <v>88</v>
      </c>
      <c r="F83" s="49" t="s">
        <v>95</v>
      </c>
      <c r="G83" s="49">
        <v>42540</v>
      </c>
      <c r="H83" s="49" t="s">
        <v>97</v>
      </c>
      <c r="I83" s="50" t="s">
        <v>11</v>
      </c>
      <c r="J83" s="19" t="str">
        <f>IF(Tabela2[[#This Row],[Gols M]]&lt;&gt;"",IF(Tabela2[[#This Row],[Gols M]]-Tabela2[[#This Row],[Gols V]]&gt;=0,IF(Tabela2[[#This Row],[Gols M]]-Tabela2[[#This Row],[Gols V]]&gt;0,"V","E"),"D"),"")</f>
        <v>V</v>
      </c>
      <c r="K83" s="19" t="str">
        <f>IF(Tabela2[[#This Row],[Gols M]]&lt;&gt;"",IF(Tabela2[[#This Row],[Gols V]]-Tabela2[[#This Row],[Gols M]]&gt;=0,IF(Tabela2[[#This Row],[Gols V]]-Tabela2[[#This Row],[Gols M]]&gt;0,"V","E"),"D"),"")</f>
        <v>D</v>
      </c>
      <c r="L83" s="19">
        <f>IF(OR('Por time'!E$2=Tabela2[[#This Row],[Mandante]], 'Por time'!E$2=Tabela2[[#This Row],[Visitante]]),1,0)</f>
        <v>0</v>
      </c>
      <c r="M83" s="25">
        <f>Tabela2[[#This Row],[Marcar time]]+M82</f>
        <v>8</v>
      </c>
      <c r="N83" s="25">
        <f>IMABS(Tabela2[[#This Row],[Gols M]]-Tabela2[[#This Row],[Gols V]])</f>
        <v>3</v>
      </c>
      <c r="O83" s="25">
        <f>Tabela2[[#This Row],[Gols M]]+Tabela2[[#This Row],[Gols V]]</f>
        <v>3</v>
      </c>
    </row>
    <row r="84" spans="1:15" x14ac:dyDescent="0.25">
      <c r="A84" s="19">
        <v>9</v>
      </c>
      <c r="B84" s="47" t="s">
        <v>83</v>
      </c>
      <c r="C84" s="48">
        <v>1</v>
      </c>
      <c r="D84" s="48">
        <v>0</v>
      </c>
      <c r="E84" s="47" t="s">
        <v>89</v>
      </c>
      <c r="F84" s="49" t="s">
        <v>98</v>
      </c>
      <c r="G84" s="49">
        <v>42539</v>
      </c>
      <c r="H84" s="49" t="s">
        <v>108</v>
      </c>
      <c r="I84" s="50" t="s">
        <v>0</v>
      </c>
      <c r="J84" s="19" t="str">
        <f>IF(Tabela2[[#This Row],[Gols M]]&lt;&gt;"",IF(Tabela2[[#This Row],[Gols M]]-Tabela2[[#This Row],[Gols V]]&gt;=0,IF(Tabela2[[#This Row],[Gols M]]-Tabela2[[#This Row],[Gols V]]&gt;0,"V","E"),"D"),"")</f>
        <v>V</v>
      </c>
      <c r="K84" s="19" t="str">
        <f>IF(Tabela2[[#This Row],[Gols M]]&lt;&gt;"",IF(Tabela2[[#This Row],[Gols V]]-Tabela2[[#This Row],[Gols M]]&gt;=0,IF(Tabela2[[#This Row],[Gols V]]-Tabela2[[#This Row],[Gols M]]&gt;0,"V","E"),"D"),"")</f>
        <v>D</v>
      </c>
      <c r="L84" s="19">
        <f>IF(OR('Por time'!E$2=Tabela2[[#This Row],[Mandante]], 'Por time'!E$2=Tabela2[[#This Row],[Visitante]]),1,0)</f>
        <v>1</v>
      </c>
      <c r="M84" s="25">
        <f>Tabela2[[#This Row],[Marcar time]]+M83</f>
        <v>9</v>
      </c>
      <c r="N84" s="25">
        <f>IMABS(Tabela2[[#This Row],[Gols M]]-Tabela2[[#This Row],[Gols V]])</f>
        <v>1</v>
      </c>
      <c r="O84" s="25">
        <f>Tabela2[[#This Row],[Gols M]]+Tabela2[[#This Row],[Gols V]]</f>
        <v>1</v>
      </c>
    </row>
    <row r="85" spans="1:15" x14ac:dyDescent="0.25">
      <c r="A85" s="19">
        <v>9</v>
      </c>
      <c r="B85" s="47" t="s">
        <v>77</v>
      </c>
      <c r="C85" s="48">
        <v>3</v>
      </c>
      <c r="D85" s="48">
        <v>1</v>
      </c>
      <c r="E85" s="47" t="s">
        <v>74</v>
      </c>
      <c r="F85" s="49" t="s">
        <v>95</v>
      </c>
      <c r="G85" s="49">
        <v>42540</v>
      </c>
      <c r="H85" s="49" t="s">
        <v>96</v>
      </c>
      <c r="I85" s="50" t="s">
        <v>18</v>
      </c>
      <c r="J85" s="19" t="str">
        <f>IF(Tabela2[[#This Row],[Gols M]]&lt;&gt;"",IF(Tabela2[[#This Row],[Gols M]]-Tabela2[[#This Row],[Gols V]]&gt;=0,IF(Tabela2[[#This Row],[Gols M]]-Tabela2[[#This Row],[Gols V]]&gt;0,"V","E"),"D"),"")</f>
        <v>V</v>
      </c>
      <c r="K85" s="19" t="str">
        <f>IF(Tabela2[[#This Row],[Gols M]]&lt;&gt;"",IF(Tabela2[[#This Row],[Gols V]]-Tabela2[[#This Row],[Gols M]]&gt;=0,IF(Tabela2[[#This Row],[Gols V]]-Tabela2[[#This Row],[Gols M]]&gt;0,"V","E"),"D"),"")</f>
        <v>D</v>
      </c>
      <c r="L85" s="19">
        <f>IF(OR('Por time'!E$2=Tabela2[[#This Row],[Mandante]], 'Por time'!E$2=Tabela2[[#This Row],[Visitante]]),1,0)</f>
        <v>0</v>
      </c>
      <c r="M85" s="25">
        <f>Tabela2[[#This Row],[Marcar time]]+M84</f>
        <v>9</v>
      </c>
      <c r="N85" s="25">
        <f>IMABS(Tabela2[[#This Row],[Gols M]]-Tabela2[[#This Row],[Gols V]])</f>
        <v>2</v>
      </c>
      <c r="O85" s="25">
        <f>Tabela2[[#This Row],[Gols M]]+Tabela2[[#This Row],[Gols V]]</f>
        <v>4</v>
      </c>
    </row>
    <row r="86" spans="1:15" x14ac:dyDescent="0.25">
      <c r="A86" s="19">
        <v>9</v>
      </c>
      <c r="B86" s="47" t="s">
        <v>78</v>
      </c>
      <c r="C86" s="48">
        <v>3</v>
      </c>
      <c r="D86" s="48">
        <v>2</v>
      </c>
      <c r="E86" s="47" t="s">
        <v>80</v>
      </c>
      <c r="F86" s="49" t="s">
        <v>95</v>
      </c>
      <c r="G86" s="49">
        <v>42540</v>
      </c>
      <c r="H86" s="49" t="s">
        <v>96</v>
      </c>
      <c r="I86" s="50" t="s">
        <v>33</v>
      </c>
      <c r="J86" s="19" t="str">
        <f>IF(Tabela2[[#This Row],[Gols M]]&lt;&gt;"",IF(Tabela2[[#This Row],[Gols M]]-Tabela2[[#This Row],[Gols V]]&gt;=0,IF(Tabela2[[#This Row],[Gols M]]-Tabela2[[#This Row],[Gols V]]&gt;0,"V","E"),"D"),"")</f>
        <v>V</v>
      </c>
      <c r="K86" s="19" t="str">
        <f>IF(Tabela2[[#This Row],[Gols M]]&lt;&gt;"",IF(Tabela2[[#This Row],[Gols V]]-Tabela2[[#This Row],[Gols M]]&gt;=0,IF(Tabela2[[#This Row],[Gols V]]-Tabela2[[#This Row],[Gols M]]&gt;0,"V","E"),"D"),"")</f>
        <v>D</v>
      </c>
      <c r="L86" s="19">
        <f>IF(OR('Por time'!E$2=Tabela2[[#This Row],[Mandante]], 'Por time'!E$2=Tabela2[[#This Row],[Visitante]]),1,0)</f>
        <v>0</v>
      </c>
      <c r="M86" s="25">
        <f>Tabela2[[#This Row],[Marcar time]]+M85</f>
        <v>9</v>
      </c>
      <c r="N86" s="25">
        <f>IMABS(Tabela2[[#This Row],[Gols M]]-Tabela2[[#This Row],[Gols V]])</f>
        <v>1</v>
      </c>
      <c r="O86" s="25">
        <f>Tabela2[[#This Row],[Gols M]]+Tabela2[[#This Row],[Gols V]]</f>
        <v>5</v>
      </c>
    </row>
    <row r="87" spans="1:15" x14ac:dyDescent="0.25">
      <c r="A87" s="19">
        <v>9</v>
      </c>
      <c r="B87" s="47" t="s">
        <v>79</v>
      </c>
      <c r="C87" s="48">
        <v>2</v>
      </c>
      <c r="D87" s="48">
        <v>2</v>
      </c>
      <c r="E87" s="47" t="s">
        <v>92</v>
      </c>
      <c r="F87" s="49" t="s">
        <v>95</v>
      </c>
      <c r="G87" s="49">
        <v>42540</v>
      </c>
      <c r="H87" s="49" t="s">
        <v>96</v>
      </c>
      <c r="I87" s="50" t="s">
        <v>50</v>
      </c>
      <c r="J87" s="19" t="str">
        <f>IF(Tabela2[[#This Row],[Gols M]]&lt;&gt;"",IF(Tabela2[[#This Row],[Gols M]]-Tabela2[[#This Row],[Gols V]]&gt;=0,IF(Tabela2[[#This Row],[Gols M]]-Tabela2[[#This Row],[Gols V]]&gt;0,"V","E"),"D"),"")</f>
        <v>E</v>
      </c>
      <c r="K87" s="19" t="str">
        <f>IF(Tabela2[[#This Row],[Gols M]]&lt;&gt;"",IF(Tabela2[[#This Row],[Gols V]]-Tabela2[[#This Row],[Gols M]]&gt;=0,IF(Tabela2[[#This Row],[Gols V]]-Tabela2[[#This Row],[Gols M]]&gt;0,"V","E"),"D"),"")</f>
        <v>E</v>
      </c>
      <c r="L87" s="19">
        <f>IF(OR('Por time'!E$2=Tabela2[[#This Row],[Mandante]], 'Por time'!E$2=Tabela2[[#This Row],[Visitante]]),1,0)</f>
        <v>0</v>
      </c>
      <c r="M87" s="25">
        <f>Tabela2[[#This Row],[Marcar time]]+M86</f>
        <v>9</v>
      </c>
      <c r="N87" s="25">
        <f>IMABS(Tabela2[[#This Row],[Gols M]]-Tabela2[[#This Row],[Gols V]])</f>
        <v>0</v>
      </c>
      <c r="O87" s="25">
        <f>Tabela2[[#This Row],[Gols M]]+Tabela2[[#This Row],[Gols V]]</f>
        <v>4</v>
      </c>
    </row>
    <row r="88" spans="1:15" x14ac:dyDescent="0.25">
      <c r="A88" s="19">
        <v>9</v>
      </c>
      <c r="B88" s="47" t="s">
        <v>87</v>
      </c>
      <c r="C88" s="48">
        <v>2</v>
      </c>
      <c r="D88" s="48">
        <v>0</v>
      </c>
      <c r="E88" s="47" t="s">
        <v>85</v>
      </c>
      <c r="F88" s="49" t="s">
        <v>95</v>
      </c>
      <c r="G88" s="49">
        <v>42540</v>
      </c>
      <c r="H88" s="49" t="s">
        <v>106</v>
      </c>
      <c r="I88" s="50" t="s">
        <v>4</v>
      </c>
      <c r="J88" s="19" t="str">
        <f>IF(Tabela2[[#This Row],[Gols M]]&lt;&gt;"",IF(Tabela2[[#This Row],[Gols M]]-Tabela2[[#This Row],[Gols V]]&gt;=0,IF(Tabela2[[#This Row],[Gols M]]-Tabela2[[#This Row],[Gols V]]&gt;0,"V","E"),"D"),"")</f>
        <v>V</v>
      </c>
      <c r="K88" s="19" t="str">
        <f>IF(Tabela2[[#This Row],[Gols M]]&lt;&gt;"",IF(Tabela2[[#This Row],[Gols V]]-Tabela2[[#This Row],[Gols M]]&gt;=0,IF(Tabela2[[#This Row],[Gols V]]-Tabela2[[#This Row],[Gols M]]&gt;0,"V","E"),"D"),"")</f>
        <v>D</v>
      </c>
      <c r="L88" s="19">
        <f>IF(OR('Por time'!E$2=Tabela2[[#This Row],[Mandante]], 'Por time'!E$2=Tabela2[[#This Row],[Visitante]]),1,0)</f>
        <v>0</v>
      </c>
      <c r="M88" s="25">
        <f>Tabela2[[#This Row],[Marcar time]]+M87</f>
        <v>9</v>
      </c>
      <c r="N88" s="25">
        <f>IMABS(Tabela2[[#This Row],[Gols M]]-Tabela2[[#This Row],[Gols V]])</f>
        <v>2</v>
      </c>
      <c r="O88" s="25">
        <f>Tabela2[[#This Row],[Gols M]]+Tabela2[[#This Row],[Gols V]]</f>
        <v>2</v>
      </c>
    </row>
    <row r="89" spans="1:15" x14ac:dyDescent="0.25">
      <c r="A89" s="19">
        <v>9</v>
      </c>
      <c r="B89" s="47" t="s">
        <v>81</v>
      </c>
      <c r="C89" s="48">
        <v>3</v>
      </c>
      <c r="D89" s="48">
        <v>1</v>
      </c>
      <c r="E89" s="47" t="s">
        <v>82</v>
      </c>
      <c r="F89" s="49" t="s">
        <v>98</v>
      </c>
      <c r="G89" s="49">
        <v>42539</v>
      </c>
      <c r="H89" s="49" t="s">
        <v>96</v>
      </c>
      <c r="I89" s="50" t="s">
        <v>30</v>
      </c>
      <c r="J89" s="19" t="str">
        <f>IF(Tabela2[[#This Row],[Gols M]]&lt;&gt;"",IF(Tabela2[[#This Row],[Gols M]]-Tabela2[[#This Row],[Gols V]]&gt;=0,IF(Tabela2[[#This Row],[Gols M]]-Tabela2[[#This Row],[Gols V]]&gt;0,"V","E"),"D"),"")</f>
        <v>V</v>
      </c>
      <c r="K89" s="19" t="str">
        <f>IF(Tabela2[[#This Row],[Gols M]]&lt;&gt;"",IF(Tabela2[[#This Row],[Gols V]]-Tabela2[[#This Row],[Gols M]]&gt;=0,IF(Tabela2[[#This Row],[Gols V]]-Tabela2[[#This Row],[Gols M]]&gt;0,"V","E"),"D"),"")</f>
        <v>D</v>
      </c>
      <c r="L89" s="19">
        <f>IF(OR('Por time'!E$2=Tabela2[[#This Row],[Mandante]], 'Por time'!E$2=Tabela2[[#This Row],[Visitante]]),1,0)</f>
        <v>0</v>
      </c>
      <c r="M89" s="25">
        <f>Tabela2[[#This Row],[Marcar time]]+M88</f>
        <v>9</v>
      </c>
      <c r="N89" s="25">
        <f>IMABS(Tabela2[[#This Row],[Gols M]]-Tabela2[[#This Row],[Gols V]])</f>
        <v>2</v>
      </c>
      <c r="O89" s="25">
        <f>Tabela2[[#This Row],[Gols M]]+Tabela2[[#This Row],[Gols V]]</f>
        <v>4</v>
      </c>
    </row>
    <row r="90" spans="1:15" x14ac:dyDescent="0.25">
      <c r="A90" s="19">
        <v>9</v>
      </c>
      <c r="B90" s="47" t="s">
        <v>90</v>
      </c>
      <c r="C90" s="48">
        <v>2</v>
      </c>
      <c r="D90" s="48">
        <v>1</v>
      </c>
      <c r="E90" s="47" t="s">
        <v>86</v>
      </c>
      <c r="F90" s="49" t="s">
        <v>95</v>
      </c>
      <c r="G90" s="49">
        <v>42540</v>
      </c>
      <c r="H90" s="49" t="s">
        <v>96</v>
      </c>
      <c r="I90" s="50" t="s">
        <v>8</v>
      </c>
      <c r="J90" s="19" t="str">
        <f>IF(Tabela2[[#This Row],[Gols M]]&lt;&gt;"",IF(Tabela2[[#This Row],[Gols M]]-Tabela2[[#This Row],[Gols V]]&gt;=0,IF(Tabela2[[#This Row],[Gols M]]-Tabela2[[#This Row],[Gols V]]&gt;0,"V","E"),"D"),"")</f>
        <v>V</v>
      </c>
      <c r="K90" s="19" t="str">
        <f>IF(Tabela2[[#This Row],[Gols M]]&lt;&gt;"",IF(Tabela2[[#This Row],[Gols V]]-Tabela2[[#This Row],[Gols M]]&gt;=0,IF(Tabela2[[#This Row],[Gols V]]-Tabela2[[#This Row],[Gols M]]&gt;0,"V","E"),"D"),"")</f>
        <v>D</v>
      </c>
      <c r="L90" s="19">
        <f>IF(OR('Por time'!E$2=Tabela2[[#This Row],[Mandante]], 'Por time'!E$2=Tabela2[[#This Row],[Visitante]]),1,0)</f>
        <v>0</v>
      </c>
      <c r="M90" s="25">
        <f>Tabela2[[#This Row],[Marcar time]]+M89</f>
        <v>9</v>
      </c>
      <c r="N90" s="25">
        <f>IMABS(Tabela2[[#This Row],[Gols M]]-Tabela2[[#This Row],[Gols V]])</f>
        <v>1</v>
      </c>
      <c r="O90" s="25">
        <f>Tabela2[[#This Row],[Gols M]]+Tabela2[[#This Row],[Gols V]]</f>
        <v>3</v>
      </c>
    </row>
    <row r="91" spans="1:15" x14ac:dyDescent="0.25">
      <c r="A91" s="19">
        <v>9</v>
      </c>
      <c r="B91" s="47" t="s">
        <v>91</v>
      </c>
      <c r="C91" s="48">
        <v>1</v>
      </c>
      <c r="D91" s="48">
        <v>2</v>
      </c>
      <c r="E91" s="47" t="s">
        <v>84</v>
      </c>
      <c r="F91" s="49" t="s">
        <v>95</v>
      </c>
      <c r="G91" s="49">
        <v>42540</v>
      </c>
      <c r="H91" s="49" t="s">
        <v>97</v>
      </c>
      <c r="I91" s="50" t="s">
        <v>9</v>
      </c>
      <c r="J91" s="19" t="str">
        <f>IF(Tabela2[[#This Row],[Gols M]]&lt;&gt;"",IF(Tabela2[[#This Row],[Gols M]]-Tabela2[[#This Row],[Gols V]]&gt;=0,IF(Tabela2[[#This Row],[Gols M]]-Tabela2[[#This Row],[Gols V]]&gt;0,"V","E"),"D"),"")</f>
        <v>D</v>
      </c>
      <c r="K91" s="19" t="str">
        <f>IF(Tabela2[[#This Row],[Gols M]]&lt;&gt;"",IF(Tabela2[[#This Row],[Gols V]]-Tabela2[[#This Row],[Gols M]]&gt;=0,IF(Tabela2[[#This Row],[Gols V]]-Tabela2[[#This Row],[Gols M]]&gt;0,"V","E"),"D"),"")</f>
        <v>V</v>
      </c>
      <c r="L91" s="19">
        <f>IF(OR('Por time'!E$2=Tabela2[[#This Row],[Mandante]], 'Por time'!E$2=Tabela2[[#This Row],[Visitante]]),1,0)</f>
        <v>0</v>
      </c>
      <c r="M91" s="25">
        <f>Tabela2[[#This Row],[Marcar time]]+M90</f>
        <v>9</v>
      </c>
      <c r="N91" s="25">
        <f>IMABS(Tabela2[[#This Row],[Gols M]]-Tabela2[[#This Row],[Gols V]])</f>
        <v>1</v>
      </c>
      <c r="O91" s="25">
        <f>Tabela2[[#This Row],[Gols M]]+Tabela2[[#This Row],[Gols V]]</f>
        <v>3</v>
      </c>
    </row>
    <row r="92" spans="1:15" x14ac:dyDescent="0.25">
      <c r="A92" s="19">
        <v>10</v>
      </c>
      <c r="B92" s="47" t="s">
        <v>74</v>
      </c>
      <c r="C92" s="48">
        <v>0</v>
      </c>
      <c r="D92" s="48">
        <v>0</v>
      </c>
      <c r="E92" s="47" t="s">
        <v>78</v>
      </c>
      <c r="F92" s="49" t="s">
        <v>101</v>
      </c>
      <c r="G92" s="49">
        <v>42543</v>
      </c>
      <c r="H92" s="49" t="s">
        <v>100</v>
      </c>
      <c r="I92" s="50" t="s">
        <v>51</v>
      </c>
      <c r="J92" s="19" t="str">
        <f>IF(Tabela2[[#This Row],[Gols M]]&lt;&gt;"",IF(Tabela2[[#This Row],[Gols M]]-Tabela2[[#This Row],[Gols V]]&gt;=0,IF(Tabela2[[#This Row],[Gols M]]-Tabela2[[#This Row],[Gols V]]&gt;0,"V","E"),"D"),"")</f>
        <v>E</v>
      </c>
      <c r="K92" s="19" t="str">
        <f>IF(Tabela2[[#This Row],[Gols M]]&lt;&gt;"",IF(Tabela2[[#This Row],[Gols V]]-Tabela2[[#This Row],[Gols M]]&gt;=0,IF(Tabela2[[#This Row],[Gols V]]-Tabela2[[#This Row],[Gols M]]&gt;0,"V","E"),"D"),"")</f>
        <v>E</v>
      </c>
      <c r="L92" s="19">
        <f>IF(OR('Por time'!E$2=Tabela2[[#This Row],[Mandante]], 'Por time'!E$2=Tabela2[[#This Row],[Visitante]]),1,0)</f>
        <v>0</v>
      </c>
      <c r="M92" s="25">
        <f>Tabela2[[#This Row],[Marcar time]]+M91</f>
        <v>9</v>
      </c>
      <c r="N92" s="25">
        <f>IMABS(Tabela2[[#This Row],[Gols M]]-Tabela2[[#This Row],[Gols V]])</f>
        <v>0</v>
      </c>
      <c r="O92" s="25">
        <f>Tabela2[[#This Row],[Gols M]]+Tabela2[[#This Row],[Gols V]]</f>
        <v>0</v>
      </c>
    </row>
    <row r="93" spans="1:15" x14ac:dyDescent="0.25">
      <c r="A93" s="19">
        <v>10</v>
      </c>
      <c r="B93" s="47" t="s">
        <v>75</v>
      </c>
      <c r="C93" s="48">
        <v>2</v>
      </c>
      <c r="D93" s="48">
        <v>1</v>
      </c>
      <c r="E93" s="47" t="s">
        <v>77</v>
      </c>
      <c r="F93" s="49" t="s">
        <v>101</v>
      </c>
      <c r="G93" s="49">
        <v>42543</v>
      </c>
      <c r="H93" s="49" t="s">
        <v>104</v>
      </c>
      <c r="I93" s="50" t="s">
        <v>2</v>
      </c>
      <c r="J93" s="19" t="str">
        <f>IF(Tabela2[[#This Row],[Gols M]]&lt;&gt;"",IF(Tabela2[[#This Row],[Gols M]]-Tabela2[[#This Row],[Gols V]]&gt;=0,IF(Tabela2[[#This Row],[Gols M]]-Tabela2[[#This Row],[Gols V]]&gt;0,"V","E"),"D"),"")</f>
        <v>V</v>
      </c>
      <c r="K93" s="19" t="str">
        <f>IF(Tabela2[[#This Row],[Gols M]]&lt;&gt;"",IF(Tabela2[[#This Row],[Gols V]]-Tabela2[[#This Row],[Gols M]]&gt;=0,IF(Tabela2[[#This Row],[Gols V]]-Tabela2[[#This Row],[Gols M]]&gt;0,"V","E"),"D"),"")</f>
        <v>D</v>
      </c>
      <c r="L93" s="19">
        <f>IF(OR('Por time'!E$2=Tabela2[[#This Row],[Mandante]], 'Por time'!E$2=Tabela2[[#This Row],[Visitante]]),1,0)</f>
        <v>0</v>
      </c>
      <c r="M93" s="25">
        <f>Tabela2[[#This Row],[Marcar time]]+M92</f>
        <v>9</v>
      </c>
      <c r="N93" s="25">
        <f>IMABS(Tabela2[[#This Row],[Gols M]]-Tabela2[[#This Row],[Gols V]])</f>
        <v>1</v>
      </c>
      <c r="O93" s="25">
        <f>Tabela2[[#This Row],[Gols M]]+Tabela2[[#This Row],[Gols V]]</f>
        <v>3</v>
      </c>
    </row>
    <row r="94" spans="1:15" x14ac:dyDescent="0.25">
      <c r="A94" s="19">
        <v>10</v>
      </c>
      <c r="B94" s="47" t="s">
        <v>76</v>
      </c>
      <c r="C94" s="48">
        <v>1</v>
      </c>
      <c r="D94" s="48">
        <v>1</v>
      </c>
      <c r="E94" s="47" t="s">
        <v>80</v>
      </c>
      <c r="F94" s="49" t="s">
        <v>103</v>
      </c>
      <c r="G94" s="49">
        <v>42544</v>
      </c>
      <c r="H94" s="49" t="s">
        <v>109</v>
      </c>
      <c r="I94" s="50" t="s">
        <v>40</v>
      </c>
      <c r="J94" s="19" t="str">
        <f>IF(Tabela2[[#This Row],[Gols M]]&lt;&gt;"",IF(Tabela2[[#This Row],[Gols M]]-Tabela2[[#This Row],[Gols V]]&gt;=0,IF(Tabela2[[#This Row],[Gols M]]-Tabela2[[#This Row],[Gols V]]&gt;0,"V","E"),"D"),"")</f>
        <v>E</v>
      </c>
      <c r="K94" s="19" t="str">
        <f>IF(Tabela2[[#This Row],[Gols M]]&lt;&gt;"",IF(Tabela2[[#This Row],[Gols V]]-Tabela2[[#This Row],[Gols M]]&gt;=0,IF(Tabela2[[#This Row],[Gols V]]-Tabela2[[#This Row],[Gols M]]&gt;0,"V","E"),"D"),"")</f>
        <v>E</v>
      </c>
      <c r="L94" s="19">
        <f>IF(OR('Por time'!E$2=Tabela2[[#This Row],[Mandante]], 'Por time'!E$2=Tabela2[[#This Row],[Visitante]]),1,0)</f>
        <v>0</v>
      </c>
      <c r="M94" s="25">
        <f>Tabela2[[#This Row],[Marcar time]]+M93</f>
        <v>9</v>
      </c>
      <c r="N94" s="25">
        <f>IMABS(Tabela2[[#This Row],[Gols M]]-Tabela2[[#This Row],[Gols V]])</f>
        <v>0</v>
      </c>
      <c r="O94" s="25">
        <f>Tabela2[[#This Row],[Gols M]]+Tabela2[[#This Row],[Gols V]]</f>
        <v>2</v>
      </c>
    </row>
    <row r="95" spans="1:15" x14ac:dyDescent="0.25">
      <c r="A95" s="19">
        <v>10</v>
      </c>
      <c r="B95" s="47" t="s">
        <v>84</v>
      </c>
      <c r="C95" s="48">
        <v>0</v>
      </c>
      <c r="D95" s="48">
        <v>0</v>
      </c>
      <c r="E95" s="47" t="s">
        <v>83</v>
      </c>
      <c r="F95" s="49" t="s">
        <v>103</v>
      </c>
      <c r="G95" s="49">
        <v>42544</v>
      </c>
      <c r="H95" s="49" t="s">
        <v>110</v>
      </c>
      <c r="I95" s="50" t="s">
        <v>1</v>
      </c>
      <c r="J95" s="19" t="str">
        <f>IF(Tabela2[[#This Row],[Gols M]]&lt;&gt;"",IF(Tabela2[[#This Row],[Gols M]]-Tabela2[[#This Row],[Gols V]]&gt;=0,IF(Tabela2[[#This Row],[Gols M]]-Tabela2[[#This Row],[Gols V]]&gt;0,"V","E"),"D"),"")</f>
        <v>E</v>
      </c>
      <c r="K95" s="19" t="str">
        <f>IF(Tabela2[[#This Row],[Gols M]]&lt;&gt;"",IF(Tabela2[[#This Row],[Gols V]]-Tabela2[[#This Row],[Gols M]]&gt;=0,IF(Tabela2[[#This Row],[Gols V]]-Tabela2[[#This Row],[Gols M]]&gt;0,"V","E"),"D"),"")</f>
        <v>E</v>
      </c>
      <c r="L95" s="19">
        <f>IF(OR('Por time'!E$2=Tabela2[[#This Row],[Mandante]], 'Por time'!E$2=Tabela2[[#This Row],[Visitante]]),1,0)</f>
        <v>1</v>
      </c>
      <c r="M95" s="25">
        <f>Tabela2[[#This Row],[Marcar time]]+M94</f>
        <v>10</v>
      </c>
      <c r="N95" s="25">
        <f>IMABS(Tabela2[[#This Row],[Gols M]]-Tabela2[[#This Row],[Gols V]])</f>
        <v>0</v>
      </c>
      <c r="O95" s="25">
        <f>Tabela2[[#This Row],[Gols M]]+Tabela2[[#This Row],[Gols V]]</f>
        <v>0</v>
      </c>
    </row>
    <row r="96" spans="1:15" x14ac:dyDescent="0.25">
      <c r="A96" s="19">
        <v>10</v>
      </c>
      <c r="B96" s="47" t="s">
        <v>86</v>
      </c>
      <c r="C96" s="48">
        <v>2</v>
      </c>
      <c r="D96" s="48">
        <v>4</v>
      </c>
      <c r="E96" s="47" t="s">
        <v>89</v>
      </c>
      <c r="F96" s="49" t="s">
        <v>101</v>
      </c>
      <c r="G96" s="49">
        <v>42543</v>
      </c>
      <c r="H96" s="49" t="s">
        <v>104</v>
      </c>
      <c r="I96" s="50" t="s">
        <v>48</v>
      </c>
      <c r="J96" s="19" t="str">
        <f>IF(Tabela2[[#This Row],[Gols M]]&lt;&gt;"",IF(Tabela2[[#This Row],[Gols M]]-Tabela2[[#This Row],[Gols V]]&gt;=0,IF(Tabela2[[#This Row],[Gols M]]-Tabela2[[#This Row],[Gols V]]&gt;0,"V","E"),"D"),"")</f>
        <v>D</v>
      </c>
      <c r="K96" s="19" t="str">
        <f>IF(Tabela2[[#This Row],[Gols M]]&lt;&gt;"",IF(Tabela2[[#This Row],[Gols V]]-Tabela2[[#This Row],[Gols M]]&gt;=0,IF(Tabela2[[#This Row],[Gols V]]-Tabela2[[#This Row],[Gols M]]&gt;0,"V","E"),"D"),"")</f>
        <v>V</v>
      </c>
      <c r="L96" s="19">
        <f>IF(OR('Por time'!E$2=Tabela2[[#This Row],[Mandante]], 'Por time'!E$2=Tabela2[[#This Row],[Visitante]]),1,0)</f>
        <v>0</v>
      </c>
      <c r="M96" s="25">
        <f>Tabela2[[#This Row],[Marcar time]]+M95</f>
        <v>10</v>
      </c>
      <c r="N96" s="25">
        <f>IMABS(Tabela2[[#This Row],[Gols M]]-Tabela2[[#This Row],[Gols V]])</f>
        <v>2</v>
      </c>
      <c r="O96" s="25">
        <f>Tabela2[[#This Row],[Gols M]]+Tabela2[[#This Row],[Gols V]]</f>
        <v>6</v>
      </c>
    </row>
    <row r="97" spans="1:15" x14ac:dyDescent="0.25">
      <c r="A97" s="19">
        <v>10</v>
      </c>
      <c r="B97" s="47" t="s">
        <v>87</v>
      </c>
      <c r="C97" s="48">
        <v>1</v>
      </c>
      <c r="D97" s="48">
        <v>2</v>
      </c>
      <c r="E97" s="47" t="s">
        <v>91</v>
      </c>
      <c r="F97" s="49" t="s">
        <v>103</v>
      </c>
      <c r="G97" s="49">
        <v>42544</v>
      </c>
      <c r="H97" s="49" t="s">
        <v>111</v>
      </c>
      <c r="I97" s="50" t="s">
        <v>4</v>
      </c>
      <c r="J97" s="19" t="str">
        <f>IF(Tabela2[[#This Row],[Gols M]]&lt;&gt;"",IF(Tabela2[[#This Row],[Gols M]]-Tabela2[[#This Row],[Gols V]]&gt;=0,IF(Tabela2[[#This Row],[Gols M]]-Tabela2[[#This Row],[Gols V]]&gt;0,"V","E"),"D"),"")</f>
        <v>D</v>
      </c>
      <c r="K97" s="19" t="str">
        <f>IF(Tabela2[[#This Row],[Gols M]]&lt;&gt;"",IF(Tabela2[[#This Row],[Gols V]]-Tabela2[[#This Row],[Gols M]]&gt;=0,IF(Tabela2[[#This Row],[Gols V]]-Tabela2[[#This Row],[Gols M]]&gt;0,"V","E"),"D"),"")</f>
        <v>V</v>
      </c>
      <c r="L97" s="19">
        <f>IF(OR('Por time'!E$2=Tabela2[[#This Row],[Mandante]], 'Por time'!E$2=Tabela2[[#This Row],[Visitante]]),1,0)</f>
        <v>0</v>
      </c>
      <c r="M97" s="25">
        <f>Tabela2[[#This Row],[Marcar time]]+M96</f>
        <v>10</v>
      </c>
      <c r="N97" s="25">
        <f>IMABS(Tabela2[[#This Row],[Gols M]]-Tabela2[[#This Row],[Gols V]])</f>
        <v>1</v>
      </c>
      <c r="O97" s="25">
        <f>Tabela2[[#This Row],[Gols M]]+Tabela2[[#This Row],[Gols V]]</f>
        <v>3</v>
      </c>
    </row>
    <row r="98" spans="1:15" x14ac:dyDescent="0.25">
      <c r="A98" s="19">
        <v>10</v>
      </c>
      <c r="B98" s="47" t="s">
        <v>81</v>
      </c>
      <c r="C98" s="48">
        <v>2</v>
      </c>
      <c r="D98" s="48">
        <v>0</v>
      </c>
      <c r="E98" s="47" t="s">
        <v>73</v>
      </c>
      <c r="F98" s="49" t="s">
        <v>112</v>
      </c>
      <c r="G98" s="49">
        <v>42542</v>
      </c>
      <c r="H98" s="49" t="s">
        <v>109</v>
      </c>
      <c r="I98" s="50" t="s">
        <v>30</v>
      </c>
      <c r="J98" s="19" t="str">
        <f>IF(Tabela2[[#This Row],[Gols M]]&lt;&gt;"",IF(Tabela2[[#This Row],[Gols M]]-Tabela2[[#This Row],[Gols V]]&gt;=0,IF(Tabela2[[#This Row],[Gols M]]-Tabela2[[#This Row],[Gols V]]&gt;0,"V","E"),"D"),"")</f>
        <v>V</v>
      </c>
      <c r="K98" s="19" t="str">
        <f>IF(Tabela2[[#This Row],[Gols M]]&lt;&gt;"",IF(Tabela2[[#This Row],[Gols V]]-Tabela2[[#This Row],[Gols M]]&gt;=0,IF(Tabela2[[#This Row],[Gols V]]-Tabela2[[#This Row],[Gols M]]&gt;0,"V","E"),"D"),"")</f>
        <v>D</v>
      </c>
      <c r="L98" s="19">
        <f>IF(OR('Por time'!E$2=Tabela2[[#This Row],[Mandante]], 'Por time'!E$2=Tabela2[[#This Row],[Visitante]]),1,0)</f>
        <v>0</v>
      </c>
      <c r="M98" s="25">
        <f>Tabela2[[#This Row],[Marcar time]]+M97</f>
        <v>10</v>
      </c>
      <c r="N98" s="25">
        <f>IMABS(Tabela2[[#This Row],[Gols M]]-Tabela2[[#This Row],[Gols V]])</f>
        <v>2</v>
      </c>
      <c r="O98" s="25">
        <f>Tabela2[[#This Row],[Gols M]]+Tabela2[[#This Row],[Gols V]]</f>
        <v>2</v>
      </c>
    </row>
    <row r="99" spans="1:15" x14ac:dyDescent="0.25">
      <c r="A99" s="19">
        <v>10</v>
      </c>
      <c r="B99" s="47" t="s">
        <v>88</v>
      </c>
      <c r="C99" s="48">
        <v>0</v>
      </c>
      <c r="D99" s="48">
        <v>4</v>
      </c>
      <c r="E99" s="47" t="s">
        <v>85</v>
      </c>
      <c r="F99" s="49" t="s">
        <v>101</v>
      </c>
      <c r="G99" s="49">
        <v>42543</v>
      </c>
      <c r="H99" s="49" t="s">
        <v>102</v>
      </c>
      <c r="I99" s="50" t="s">
        <v>5</v>
      </c>
      <c r="J99" s="19" t="str">
        <f>IF(Tabela2[[#This Row],[Gols M]]&lt;&gt;"",IF(Tabela2[[#This Row],[Gols M]]-Tabela2[[#This Row],[Gols V]]&gt;=0,IF(Tabela2[[#This Row],[Gols M]]-Tabela2[[#This Row],[Gols V]]&gt;0,"V","E"),"D"),"")</f>
        <v>D</v>
      </c>
      <c r="K99" s="19" t="str">
        <f>IF(Tabela2[[#This Row],[Gols M]]&lt;&gt;"",IF(Tabela2[[#This Row],[Gols V]]-Tabela2[[#This Row],[Gols M]]&gt;=0,IF(Tabela2[[#This Row],[Gols V]]-Tabela2[[#This Row],[Gols M]]&gt;0,"V","E"),"D"),"")</f>
        <v>V</v>
      </c>
      <c r="L99" s="19">
        <f>IF(OR('Por time'!E$2=Tabela2[[#This Row],[Mandante]], 'Por time'!E$2=Tabela2[[#This Row],[Visitante]]),1,0)</f>
        <v>0</v>
      </c>
      <c r="M99" s="25">
        <f>Tabela2[[#This Row],[Marcar time]]+M98</f>
        <v>10</v>
      </c>
      <c r="N99" s="25">
        <f>IMABS(Tabela2[[#This Row],[Gols M]]-Tabela2[[#This Row],[Gols V]])</f>
        <v>4</v>
      </c>
      <c r="O99" s="25">
        <f>Tabela2[[#This Row],[Gols M]]+Tabela2[[#This Row],[Gols V]]</f>
        <v>4</v>
      </c>
    </row>
    <row r="100" spans="1:15" x14ac:dyDescent="0.25">
      <c r="A100" s="19">
        <v>10</v>
      </c>
      <c r="B100" s="47" t="s">
        <v>92</v>
      </c>
      <c r="C100" s="48">
        <v>0</v>
      </c>
      <c r="D100" s="48">
        <v>0</v>
      </c>
      <c r="E100" s="47" t="s">
        <v>90</v>
      </c>
      <c r="F100" s="49" t="s">
        <v>103</v>
      </c>
      <c r="G100" s="49">
        <v>42544</v>
      </c>
      <c r="H100" s="49" t="s">
        <v>100</v>
      </c>
      <c r="I100" s="50" t="s">
        <v>41</v>
      </c>
      <c r="J100" s="19" t="str">
        <f>IF(Tabela2[[#This Row],[Gols M]]&lt;&gt;"",IF(Tabela2[[#This Row],[Gols M]]-Tabela2[[#This Row],[Gols V]]&gt;=0,IF(Tabela2[[#This Row],[Gols M]]-Tabela2[[#This Row],[Gols V]]&gt;0,"V","E"),"D"),"")</f>
        <v>E</v>
      </c>
      <c r="K100" s="19" t="str">
        <f>IF(Tabela2[[#This Row],[Gols M]]&lt;&gt;"",IF(Tabela2[[#This Row],[Gols V]]-Tabela2[[#This Row],[Gols M]]&gt;=0,IF(Tabela2[[#This Row],[Gols V]]-Tabela2[[#This Row],[Gols M]]&gt;0,"V","E"),"D"),"")</f>
        <v>E</v>
      </c>
      <c r="L100" s="19">
        <f>IF(OR('Por time'!E$2=Tabela2[[#This Row],[Mandante]], 'Por time'!E$2=Tabela2[[#This Row],[Visitante]]),1,0)</f>
        <v>0</v>
      </c>
      <c r="M100" s="25">
        <f>Tabela2[[#This Row],[Marcar time]]+M99</f>
        <v>10</v>
      </c>
      <c r="N100" s="25">
        <f>IMABS(Tabela2[[#This Row],[Gols M]]-Tabela2[[#This Row],[Gols V]])</f>
        <v>0</v>
      </c>
      <c r="O100" s="25">
        <f>Tabela2[[#This Row],[Gols M]]+Tabela2[[#This Row],[Gols V]]</f>
        <v>0</v>
      </c>
    </row>
    <row r="101" spans="1:15" x14ac:dyDescent="0.25">
      <c r="A101" s="19">
        <v>10</v>
      </c>
      <c r="B101" s="47" t="s">
        <v>82</v>
      </c>
      <c r="C101" s="48">
        <v>0</v>
      </c>
      <c r="D101" s="48">
        <v>1</v>
      </c>
      <c r="E101" s="47" t="s">
        <v>79</v>
      </c>
      <c r="F101" s="49" t="s">
        <v>101</v>
      </c>
      <c r="G101" s="49">
        <v>42543</v>
      </c>
      <c r="H101" s="49" t="s">
        <v>100</v>
      </c>
      <c r="I101" s="50" t="s">
        <v>36</v>
      </c>
      <c r="J101" s="19" t="str">
        <f>IF(Tabela2[[#This Row],[Gols M]]&lt;&gt;"",IF(Tabela2[[#This Row],[Gols M]]-Tabela2[[#This Row],[Gols V]]&gt;=0,IF(Tabela2[[#This Row],[Gols M]]-Tabela2[[#This Row],[Gols V]]&gt;0,"V","E"),"D"),"")</f>
        <v>D</v>
      </c>
      <c r="K101" s="19" t="str">
        <f>IF(Tabela2[[#This Row],[Gols M]]&lt;&gt;"",IF(Tabela2[[#This Row],[Gols V]]-Tabela2[[#This Row],[Gols M]]&gt;=0,IF(Tabela2[[#This Row],[Gols V]]-Tabela2[[#This Row],[Gols M]]&gt;0,"V","E"),"D"),"")</f>
        <v>V</v>
      </c>
      <c r="L101" s="19">
        <f>IF(OR('Por time'!E$2=Tabela2[[#This Row],[Mandante]], 'Por time'!E$2=Tabela2[[#This Row],[Visitante]]),1,0)</f>
        <v>0</v>
      </c>
      <c r="M101" s="25">
        <f>Tabela2[[#This Row],[Marcar time]]+M100</f>
        <v>10</v>
      </c>
      <c r="N101" s="25">
        <f>IMABS(Tabela2[[#This Row],[Gols M]]-Tabela2[[#This Row],[Gols V]])</f>
        <v>1</v>
      </c>
      <c r="O101" s="25">
        <f>Tabela2[[#This Row],[Gols M]]+Tabela2[[#This Row],[Gols V]]</f>
        <v>1</v>
      </c>
    </row>
    <row r="102" spans="1:15" x14ac:dyDescent="0.25">
      <c r="A102" s="19">
        <v>11</v>
      </c>
      <c r="B102" s="47" t="s">
        <v>73</v>
      </c>
      <c r="C102" s="48">
        <v>0</v>
      </c>
      <c r="D102" s="48">
        <v>1</v>
      </c>
      <c r="E102" s="47" t="s">
        <v>75</v>
      </c>
      <c r="F102" s="49" t="s">
        <v>95</v>
      </c>
      <c r="G102" s="49">
        <v>42547</v>
      </c>
      <c r="H102" s="49" t="s">
        <v>97</v>
      </c>
      <c r="I102" s="50" t="s">
        <v>11</v>
      </c>
      <c r="J102" s="19" t="str">
        <f>IF(Tabela2[[#This Row],[Gols M]]&lt;&gt;"",IF(Tabela2[[#This Row],[Gols M]]-Tabela2[[#This Row],[Gols V]]&gt;=0,IF(Tabela2[[#This Row],[Gols M]]-Tabela2[[#This Row],[Gols V]]&gt;0,"V","E"),"D"),"")</f>
        <v>D</v>
      </c>
      <c r="K102" s="19" t="str">
        <f>IF(Tabela2[[#This Row],[Gols M]]&lt;&gt;"",IF(Tabela2[[#This Row],[Gols V]]-Tabela2[[#This Row],[Gols M]]&gt;=0,IF(Tabela2[[#This Row],[Gols V]]-Tabela2[[#This Row],[Gols M]]&gt;0,"V","E"),"D"),"")</f>
        <v>V</v>
      </c>
      <c r="L102" s="19">
        <f>IF(OR('Por time'!E$2=Tabela2[[#This Row],[Mandante]], 'Por time'!E$2=Tabela2[[#This Row],[Visitante]]),1,0)</f>
        <v>0</v>
      </c>
      <c r="M102" s="25">
        <f>Tabela2[[#This Row],[Marcar time]]+M101</f>
        <v>10</v>
      </c>
      <c r="N102" s="25">
        <f>IMABS(Tabela2[[#This Row],[Gols M]]-Tabela2[[#This Row],[Gols V]])</f>
        <v>1</v>
      </c>
      <c r="O102" s="25">
        <f>Tabela2[[#This Row],[Gols M]]+Tabela2[[#This Row],[Gols V]]</f>
        <v>1</v>
      </c>
    </row>
    <row r="103" spans="1:15" x14ac:dyDescent="0.25">
      <c r="A103" s="19">
        <v>11</v>
      </c>
      <c r="B103" s="47" t="s">
        <v>83</v>
      </c>
      <c r="C103" s="48">
        <v>2</v>
      </c>
      <c r="D103" s="48">
        <v>0</v>
      </c>
      <c r="E103" s="47" t="s">
        <v>87</v>
      </c>
      <c r="F103" s="49" t="s">
        <v>95</v>
      </c>
      <c r="G103" s="49">
        <v>42547</v>
      </c>
      <c r="H103" s="49" t="s">
        <v>96</v>
      </c>
      <c r="I103" s="50" t="s">
        <v>0</v>
      </c>
      <c r="J103" s="19" t="str">
        <f>IF(Tabela2[[#This Row],[Gols M]]&lt;&gt;"",IF(Tabela2[[#This Row],[Gols M]]-Tabela2[[#This Row],[Gols V]]&gt;=0,IF(Tabela2[[#This Row],[Gols M]]-Tabela2[[#This Row],[Gols V]]&gt;0,"V","E"),"D"),"")</f>
        <v>V</v>
      </c>
      <c r="K103" s="19" t="str">
        <f>IF(Tabela2[[#This Row],[Gols M]]&lt;&gt;"",IF(Tabela2[[#This Row],[Gols V]]-Tabela2[[#This Row],[Gols M]]&gt;=0,IF(Tabela2[[#This Row],[Gols V]]-Tabela2[[#This Row],[Gols M]]&gt;0,"V","E"),"D"),"")</f>
        <v>D</v>
      </c>
      <c r="L103" s="19">
        <f>IF(OR('Por time'!E$2=Tabela2[[#This Row],[Mandante]], 'Por time'!E$2=Tabela2[[#This Row],[Visitante]]),1,0)</f>
        <v>1</v>
      </c>
      <c r="M103" s="25">
        <f>Tabela2[[#This Row],[Marcar time]]+M102</f>
        <v>11</v>
      </c>
      <c r="N103" s="25">
        <f>IMABS(Tabela2[[#This Row],[Gols M]]-Tabela2[[#This Row],[Gols V]])</f>
        <v>2</v>
      </c>
      <c r="O103" s="25">
        <f>Tabela2[[#This Row],[Gols M]]+Tabela2[[#This Row],[Gols V]]</f>
        <v>2</v>
      </c>
    </row>
    <row r="104" spans="1:15" x14ac:dyDescent="0.25">
      <c r="A104" s="19">
        <v>11</v>
      </c>
      <c r="B104" s="47" t="s">
        <v>77</v>
      </c>
      <c r="C104" s="48">
        <v>2</v>
      </c>
      <c r="D104" s="48">
        <v>1</v>
      </c>
      <c r="E104" s="47" t="s">
        <v>82</v>
      </c>
      <c r="F104" s="49" t="s">
        <v>98</v>
      </c>
      <c r="G104" s="49">
        <v>42546</v>
      </c>
      <c r="H104" s="49" t="s">
        <v>100</v>
      </c>
      <c r="I104" s="50" t="s">
        <v>18</v>
      </c>
      <c r="J104" s="19" t="str">
        <f>IF(Tabela2[[#This Row],[Gols M]]&lt;&gt;"",IF(Tabela2[[#This Row],[Gols M]]-Tabela2[[#This Row],[Gols V]]&gt;=0,IF(Tabela2[[#This Row],[Gols M]]-Tabela2[[#This Row],[Gols V]]&gt;0,"V","E"),"D"),"")</f>
        <v>V</v>
      </c>
      <c r="K104" s="19" t="str">
        <f>IF(Tabela2[[#This Row],[Gols M]]&lt;&gt;"",IF(Tabela2[[#This Row],[Gols V]]-Tabela2[[#This Row],[Gols M]]&gt;=0,IF(Tabela2[[#This Row],[Gols V]]-Tabela2[[#This Row],[Gols M]]&gt;0,"V","E"),"D"),"")</f>
        <v>D</v>
      </c>
      <c r="L104" s="19">
        <f>IF(OR('Por time'!E$2=Tabela2[[#This Row],[Mandante]], 'Por time'!E$2=Tabela2[[#This Row],[Visitante]]),1,0)</f>
        <v>0</v>
      </c>
      <c r="M104" s="25">
        <f>Tabela2[[#This Row],[Marcar time]]+M103</f>
        <v>11</v>
      </c>
      <c r="N104" s="25">
        <f>IMABS(Tabela2[[#This Row],[Gols M]]-Tabela2[[#This Row],[Gols V]])</f>
        <v>1</v>
      </c>
      <c r="O104" s="25">
        <f>Tabela2[[#This Row],[Gols M]]+Tabela2[[#This Row],[Gols V]]</f>
        <v>3</v>
      </c>
    </row>
    <row r="105" spans="1:15" x14ac:dyDescent="0.25">
      <c r="A105" s="19">
        <v>11</v>
      </c>
      <c r="B105" s="47" t="s">
        <v>85</v>
      </c>
      <c r="C105" s="48">
        <v>2</v>
      </c>
      <c r="D105" s="48">
        <v>1</v>
      </c>
      <c r="E105" s="47" t="s">
        <v>81</v>
      </c>
      <c r="F105" s="49" t="s">
        <v>98</v>
      </c>
      <c r="G105" s="49">
        <v>42546</v>
      </c>
      <c r="H105" s="49" t="s">
        <v>106</v>
      </c>
      <c r="I105" s="50" t="s">
        <v>2</v>
      </c>
      <c r="J105" s="19" t="str">
        <f>IF(Tabela2[[#This Row],[Gols M]]&lt;&gt;"",IF(Tabela2[[#This Row],[Gols M]]-Tabela2[[#This Row],[Gols V]]&gt;=0,IF(Tabela2[[#This Row],[Gols M]]-Tabela2[[#This Row],[Gols V]]&gt;0,"V","E"),"D"),"")</f>
        <v>V</v>
      </c>
      <c r="K105" s="19" t="str">
        <f>IF(Tabela2[[#This Row],[Gols M]]&lt;&gt;"",IF(Tabela2[[#This Row],[Gols V]]-Tabela2[[#This Row],[Gols M]]&gt;=0,IF(Tabela2[[#This Row],[Gols V]]-Tabela2[[#This Row],[Gols M]]&gt;0,"V","E"),"D"),"")</f>
        <v>D</v>
      </c>
      <c r="L105" s="19">
        <f>IF(OR('Por time'!E$2=Tabela2[[#This Row],[Mandante]], 'Por time'!E$2=Tabela2[[#This Row],[Visitante]]),1,0)</f>
        <v>0</v>
      </c>
      <c r="M105" s="25">
        <f>Tabela2[[#This Row],[Marcar time]]+M104</f>
        <v>11</v>
      </c>
      <c r="N105" s="25">
        <f>IMABS(Tabela2[[#This Row],[Gols M]]-Tabela2[[#This Row],[Gols V]])</f>
        <v>1</v>
      </c>
      <c r="O105" s="25">
        <f>Tabela2[[#This Row],[Gols M]]+Tabela2[[#This Row],[Gols V]]</f>
        <v>3</v>
      </c>
    </row>
    <row r="106" spans="1:15" x14ac:dyDescent="0.25">
      <c r="A106" s="19">
        <v>11</v>
      </c>
      <c r="B106" s="47" t="s">
        <v>78</v>
      </c>
      <c r="C106" s="48">
        <v>0</v>
      </c>
      <c r="D106" s="48">
        <v>0</v>
      </c>
      <c r="E106" s="47" t="s">
        <v>76</v>
      </c>
      <c r="F106" s="49" t="s">
        <v>95</v>
      </c>
      <c r="G106" s="49">
        <v>42547</v>
      </c>
      <c r="H106" s="49" t="s">
        <v>99</v>
      </c>
      <c r="I106" s="50" t="s">
        <v>33</v>
      </c>
      <c r="J106" s="19" t="str">
        <f>IF(Tabela2[[#This Row],[Gols M]]&lt;&gt;"",IF(Tabela2[[#This Row],[Gols M]]-Tabela2[[#This Row],[Gols V]]&gt;=0,IF(Tabela2[[#This Row],[Gols M]]-Tabela2[[#This Row],[Gols V]]&gt;0,"V","E"),"D"),"")</f>
        <v>E</v>
      </c>
      <c r="K106" s="19" t="str">
        <f>IF(Tabela2[[#This Row],[Gols M]]&lt;&gt;"",IF(Tabela2[[#This Row],[Gols V]]-Tabela2[[#This Row],[Gols M]]&gt;=0,IF(Tabela2[[#This Row],[Gols V]]-Tabela2[[#This Row],[Gols M]]&gt;0,"V","E"),"D"),"")</f>
        <v>E</v>
      </c>
      <c r="L106" s="19">
        <f>IF(OR('Por time'!E$2=Tabela2[[#This Row],[Mandante]], 'Por time'!E$2=Tabela2[[#This Row],[Visitante]]),1,0)</f>
        <v>0</v>
      </c>
      <c r="M106" s="25">
        <f>Tabela2[[#This Row],[Marcar time]]+M105</f>
        <v>11</v>
      </c>
      <c r="N106" s="25">
        <f>IMABS(Tabela2[[#This Row],[Gols M]]-Tabela2[[#This Row],[Gols V]])</f>
        <v>0</v>
      </c>
      <c r="O106" s="25">
        <f>Tabela2[[#This Row],[Gols M]]+Tabela2[[#This Row],[Gols V]]</f>
        <v>0</v>
      </c>
    </row>
    <row r="107" spans="1:15" x14ac:dyDescent="0.25">
      <c r="A107" s="19">
        <v>11</v>
      </c>
      <c r="B107" s="47" t="s">
        <v>79</v>
      </c>
      <c r="C107" s="48">
        <v>1</v>
      </c>
      <c r="D107" s="48">
        <v>2</v>
      </c>
      <c r="E107" s="47" t="s">
        <v>86</v>
      </c>
      <c r="F107" s="49" t="s">
        <v>95</v>
      </c>
      <c r="G107" s="49">
        <v>42547</v>
      </c>
      <c r="H107" s="49" t="s">
        <v>96</v>
      </c>
      <c r="I107" s="50" t="s">
        <v>53</v>
      </c>
      <c r="J107" s="19" t="str">
        <f>IF(Tabela2[[#This Row],[Gols M]]&lt;&gt;"",IF(Tabela2[[#This Row],[Gols M]]-Tabela2[[#This Row],[Gols V]]&gt;=0,IF(Tabela2[[#This Row],[Gols M]]-Tabela2[[#This Row],[Gols V]]&gt;0,"V","E"),"D"),"")</f>
        <v>D</v>
      </c>
      <c r="K107" s="19" t="str">
        <f>IF(Tabela2[[#This Row],[Gols M]]&lt;&gt;"",IF(Tabela2[[#This Row],[Gols V]]-Tabela2[[#This Row],[Gols M]]&gt;=0,IF(Tabela2[[#This Row],[Gols V]]-Tabela2[[#This Row],[Gols M]]&gt;0,"V","E"),"D"),"")</f>
        <v>V</v>
      </c>
      <c r="L107" s="19">
        <f>IF(OR('Por time'!E$2=Tabela2[[#This Row],[Mandante]], 'Por time'!E$2=Tabela2[[#This Row],[Visitante]]),1,0)</f>
        <v>0</v>
      </c>
      <c r="M107" s="25">
        <f>Tabela2[[#This Row],[Marcar time]]+M106</f>
        <v>11</v>
      </c>
      <c r="N107" s="25">
        <f>IMABS(Tabela2[[#This Row],[Gols M]]-Tabela2[[#This Row],[Gols V]])</f>
        <v>1</v>
      </c>
      <c r="O107" s="25">
        <f>Tabela2[[#This Row],[Gols M]]+Tabela2[[#This Row],[Gols V]]</f>
        <v>3</v>
      </c>
    </row>
    <row r="108" spans="1:15" x14ac:dyDescent="0.25">
      <c r="A108" s="19">
        <v>11</v>
      </c>
      <c r="B108" s="47" t="s">
        <v>80</v>
      </c>
      <c r="C108" s="48">
        <v>2</v>
      </c>
      <c r="D108" s="48">
        <v>3</v>
      </c>
      <c r="E108" s="47" t="s">
        <v>74</v>
      </c>
      <c r="F108" s="49" t="s">
        <v>95</v>
      </c>
      <c r="G108" s="49">
        <v>42547</v>
      </c>
      <c r="H108" s="49" t="s">
        <v>96</v>
      </c>
      <c r="I108" s="50" t="s">
        <v>27</v>
      </c>
      <c r="J108" s="19" t="str">
        <f>IF(Tabela2[[#This Row],[Gols M]]&lt;&gt;"",IF(Tabela2[[#This Row],[Gols M]]-Tabela2[[#This Row],[Gols V]]&gt;=0,IF(Tabela2[[#This Row],[Gols M]]-Tabela2[[#This Row],[Gols V]]&gt;0,"V","E"),"D"),"")</f>
        <v>D</v>
      </c>
      <c r="K108" s="19" t="str">
        <f>IF(Tabela2[[#This Row],[Gols M]]&lt;&gt;"",IF(Tabela2[[#This Row],[Gols V]]-Tabela2[[#This Row],[Gols M]]&gt;=0,IF(Tabela2[[#This Row],[Gols V]]-Tabela2[[#This Row],[Gols M]]&gt;0,"V","E"),"D"),"")</f>
        <v>V</v>
      </c>
      <c r="L108" s="19">
        <f>IF(OR('Por time'!E$2=Tabela2[[#This Row],[Mandante]], 'Por time'!E$2=Tabela2[[#This Row],[Visitante]]),1,0)</f>
        <v>0</v>
      </c>
      <c r="M108" s="25">
        <f>Tabela2[[#This Row],[Marcar time]]+M107</f>
        <v>11</v>
      </c>
      <c r="N108" s="25">
        <f>IMABS(Tabela2[[#This Row],[Gols M]]-Tabela2[[#This Row],[Gols V]])</f>
        <v>1</v>
      </c>
      <c r="O108" s="25">
        <f>Tabela2[[#This Row],[Gols M]]+Tabela2[[#This Row],[Gols V]]</f>
        <v>5</v>
      </c>
    </row>
    <row r="109" spans="1:15" x14ac:dyDescent="0.25">
      <c r="A109" s="19">
        <v>11</v>
      </c>
      <c r="B109" s="47" t="s">
        <v>89</v>
      </c>
      <c r="C109" s="48">
        <v>3</v>
      </c>
      <c r="D109" s="48">
        <v>0</v>
      </c>
      <c r="E109" s="47" t="s">
        <v>92</v>
      </c>
      <c r="F109" s="49" t="s">
        <v>95</v>
      </c>
      <c r="G109" s="49">
        <v>42547</v>
      </c>
      <c r="H109" s="49" t="s">
        <v>96</v>
      </c>
      <c r="I109" s="50" t="s">
        <v>7</v>
      </c>
      <c r="J109" s="19" t="str">
        <f>IF(Tabela2[[#This Row],[Gols M]]&lt;&gt;"",IF(Tabela2[[#This Row],[Gols M]]-Tabela2[[#This Row],[Gols V]]&gt;=0,IF(Tabela2[[#This Row],[Gols M]]-Tabela2[[#This Row],[Gols V]]&gt;0,"V","E"),"D"),"")</f>
        <v>V</v>
      </c>
      <c r="K109" s="19" t="str">
        <f>IF(Tabela2[[#This Row],[Gols M]]&lt;&gt;"",IF(Tabela2[[#This Row],[Gols V]]-Tabela2[[#This Row],[Gols M]]&gt;=0,IF(Tabela2[[#This Row],[Gols V]]-Tabela2[[#This Row],[Gols M]]&gt;0,"V","E"),"D"),"")</f>
        <v>D</v>
      </c>
      <c r="L109" s="19">
        <f>IF(OR('Por time'!E$2=Tabela2[[#This Row],[Mandante]], 'Por time'!E$2=Tabela2[[#This Row],[Visitante]]),1,0)</f>
        <v>0</v>
      </c>
      <c r="M109" s="25">
        <f>Tabela2[[#This Row],[Marcar time]]+M108</f>
        <v>11</v>
      </c>
      <c r="N109" s="25">
        <f>IMABS(Tabela2[[#This Row],[Gols M]]-Tabela2[[#This Row],[Gols V]])</f>
        <v>3</v>
      </c>
      <c r="O109" s="25">
        <f>Tabela2[[#This Row],[Gols M]]+Tabela2[[#This Row],[Gols V]]</f>
        <v>3</v>
      </c>
    </row>
    <row r="110" spans="1:15" x14ac:dyDescent="0.25">
      <c r="A110" s="19">
        <v>11</v>
      </c>
      <c r="B110" s="47" t="s">
        <v>90</v>
      </c>
      <c r="C110" s="48">
        <v>5</v>
      </c>
      <c r="D110" s="48">
        <v>1</v>
      </c>
      <c r="E110" s="47" t="s">
        <v>84</v>
      </c>
      <c r="F110" s="49" t="s">
        <v>95</v>
      </c>
      <c r="G110" s="49">
        <v>42547</v>
      </c>
      <c r="H110" s="49" t="s">
        <v>99</v>
      </c>
      <c r="I110" s="50" t="s">
        <v>8</v>
      </c>
      <c r="J110" s="19" t="str">
        <f>IF(Tabela2[[#This Row],[Gols M]]&lt;&gt;"",IF(Tabela2[[#This Row],[Gols M]]-Tabela2[[#This Row],[Gols V]]&gt;=0,IF(Tabela2[[#This Row],[Gols M]]-Tabela2[[#This Row],[Gols V]]&gt;0,"V","E"),"D"),"")</f>
        <v>V</v>
      </c>
      <c r="K110" s="19" t="str">
        <f>IF(Tabela2[[#This Row],[Gols M]]&lt;&gt;"",IF(Tabela2[[#This Row],[Gols V]]-Tabela2[[#This Row],[Gols M]]&gt;=0,IF(Tabela2[[#This Row],[Gols V]]-Tabela2[[#This Row],[Gols M]]&gt;0,"V","E"),"D"),"")</f>
        <v>D</v>
      </c>
      <c r="L110" s="19">
        <f>IF(OR('Por time'!E$2=Tabela2[[#This Row],[Mandante]], 'Por time'!E$2=Tabela2[[#This Row],[Visitante]]),1,0)</f>
        <v>0</v>
      </c>
      <c r="M110" s="25">
        <f>Tabela2[[#This Row],[Marcar time]]+M109</f>
        <v>11</v>
      </c>
      <c r="N110" s="25">
        <f>IMABS(Tabela2[[#This Row],[Gols M]]-Tabela2[[#This Row],[Gols V]])</f>
        <v>4</v>
      </c>
      <c r="O110" s="25">
        <f>Tabela2[[#This Row],[Gols M]]+Tabela2[[#This Row],[Gols V]]</f>
        <v>6</v>
      </c>
    </row>
    <row r="111" spans="1:15" x14ac:dyDescent="0.25">
      <c r="A111" s="19">
        <v>11</v>
      </c>
      <c r="B111" s="47" t="s">
        <v>91</v>
      </c>
      <c r="C111" s="48">
        <v>1</v>
      </c>
      <c r="D111" s="48">
        <v>1</v>
      </c>
      <c r="E111" s="47" t="s">
        <v>88</v>
      </c>
      <c r="F111" s="49" t="s">
        <v>95</v>
      </c>
      <c r="G111" s="49">
        <v>42547</v>
      </c>
      <c r="H111" s="49" t="s">
        <v>96</v>
      </c>
      <c r="I111" s="50" t="s">
        <v>9</v>
      </c>
      <c r="J111" s="19" t="str">
        <f>IF(Tabela2[[#This Row],[Gols M]]&lt;&gt;"",IF(Tabela2[[#This Row],[Gols M]]-Tabela2[[#This Row],[Gols V]]&gt;=0,IF(Tabela2[[#This Row],[Gols M]]-Tabela2[[#This Row],[Gols V]]&gt;0,"V","E"),"D"),"")</f>
        <v>E</v>
      </c>
      <c r="K111" s="19" t="str">
        <f>IF(Tabela2[[#This Row],[Gols M]]&lt;&gt;"",IF(Tabela2[[#This Row],[Gols V]]-Tabela2[[#This Row],[Gols M]]&gt;=0,IF(Tabela2[[#This Row],[Gols V]]-Tabela2[[#This Row],[Gols M]]&gt;0,"V","E"),"D"),"")</f>
        <v>E</v>
      </c>
      <c r="L111" s="19">
        <f>IF(OR('Por time'!E$2=Tabela2[[#This Row],[Mandante]], 'Por time'!E$2=Tabela2[[#This Row],[Visitante]]),1,0)</f>
        <v>0</v>
      </c>
      <c r="M111" s="25">
        <f>Tabela2[[#This Row],[Marcar time]]+M110</f>
        <v>11</v>
      </c>
      <c r="N111" s="25">
        <f>IMABS(Tabela2[[#This Row],[Gols M]]-Tabela2[[#This Row],[Gols V]])</f>
        <v>0</v>
      </c>
      <c r="O111" s="25">
        <f>Tabela2[[#This Row],[Gols M]]+Tabela2[[#This Row],[Gols V]]</f>
        <v>2</v>
      </c>
    </row>
    <row r="112" spans="1:15" x14ac:dyDescent="0.25">
      <c r="A112" s="19">
        <v>12</v>
      </c>
      <c r="B112" s="47" t="s">
        <v>73</v>
      </c>
      <c r="C112" s="48">
        <v>0</v>
      </c>
      <c r="D112" s="48">
        <v>2</v>
      </c>
      <c r="E112" s="47" t="s">
        <v>77</v>
      </c>
      <c r="F112" s="49" t="s">
        <v>101</v>
      </c>
      <c r="G112" s="49">
        <v>42550</v>
      </c>
      <c r="H112" s="49" t="s">
        <v>104</v>
      </c>
      <c r="I112" s="50" t="s">
        <v>11</v>
      </c>
      <c r="J112" s="19" t="str">
        <f>IF(Tabela2[[#This Row],[Gols M]]&lt;&gt;"",IF(Tabela2[[#This Row],[Gols M]]-Tabela2[[#This Row],[Gols V]]&gt;=0,IF(Tabela2[[#This Row],[Gols M]]-Tabela2[[#This Row],[Gols V]]&gt;0,"V","E"),"D"),"")</f>
        <v>D</v>
      </c>
      <c r="K112" s="19" t="str">
        <f>IF(Tabela2[[#This Row],[Gols M]]&lt;&gt;"",IF(Tabela2[[#This Row],[Gols V]]-Tabela2[[#This Row],[Gols M]]&gt;=0,IF(Tabela2[[#This Row],[Gols V]]-Tabela2[[#This Row],[Gols M]]&gt;0,"V","E"),"D"),"")</f>
        <v>V</v>
      </c>
      <c r="L112" s="19">
        <f>IF(OR('Por time'!E$2=Tabela2[[#This Row],[Mandante]], 'Por time'!E$2=Tabela2[[#This Row],[Visitante]]),1,0)</f>
        <v>0</v>
      </c>
      <c r="M112" s="25">
        <f>Tabela2[[#This Row],[Marcar time]]+M111</f>
        <v>11</v>
      </c>
      <c r="N112" s="25">
        <f>IMABS(Tabela2[[#This Row],[Gols M]]-Tabela2[[#This Row],[Gols V]])</f>
        <v>2</v>
      </c>
      <c r="O112" s="25">
        <f>Tabela2[[#This Row],[Gols M]]+Tabela2[[#This Row],[Gols V]]</f>
        <v>2</v>
      </c>
    </row>
    <row r="113" spans="1:15" x14ac:dyDescent="0.25">
      <c r="A113" s="19">
        <v>12</v>
      </c>
      <c r="B113" s="47" t="s">
        <v>75</v>
      </c>
      <c r="C113" s="48">
        <v>5</v>
      </c>
      <c r="D113" s="48">
        <v>3</v>
      </c>
      <c r="E113" s="47" t="s">
        <v>74</v>
      </c>
      <c r="F113" s="49" t="s">
        <v>103</v>
      </c>
      <c r="G113" s="49">
        <v>42551</v>
      </c>
      <c r="H113" s="49" t="s">
        <v>100</v>
      </c>
      <c r="I113" s="50" t="s">
        <v>2</v>
      </c>
      <c r="J113" s="19" t="str">
        <f>IF(Tabela2[[#This Row],[Gols M]]&lt;&gt;"",IF(Tabela2[[#This Row],[Gols M]]-Tabela2[[#This Row],[Gols V]]&gt;=0,IF(Tabela2[[#This Row],[Gols M]]-Tabela2[[#This Row],[Gols V]]&gt;0,"V","E"),"D"),"")</f>
        <v>V</v>
      </c>
      <c r="K113" s="19" t="str">
        <f>IF(Tabela2[[#This Row],[Gols M]]&lt;&gt;"",IF(Tabela2[[#This Row],[Gols V]]-Tabela2[[#This Row],[Gols M]]&gt;=0,IF(Tabela2[[#This Row],[Gols V]]-Tabela2[[#This Row],[Gols M]]&gt;0,"V","E"),"D"),"")</f>
        <v>D</v>
      </c>
      <c r="L113" s="19">
        <f>IF(OR('Por time'!E$2=Tabela2[[#This Row],[Mandante]], 'Por time'!E$2=Tabela2[[#This Row],[Visitante]]),1,0)</f>
        <v>0</v>
      </c>
      <c r="M113" s="25">
        <f>Tabela2[[#This Row],[Marcar time]]+M112</f>
        <v>11</v>
      </c>
      <c r="N113" s="25">
        <f>IMABS(Tabela2[[#This Row],[Gols M]]-Tabela2[[#This Row],[Gols V]])</f>
        <v>2</v>
      </c>
      <c r="O113" s="25">
        <f>Tabela2[[#This Row],[Gols M]]+Tabela2[[#This Row],[Gols V]]</f>
        <v>8</v>
      </c>
    </row>
    <row r="114" spans="1:15" x14ac:dyDescent="0.25">
      <c r="A114" s="19">
        <v>12</v>
      </c>
      <c r="B114" s="47" t="s">
        <v>76</v>
      </c>
      <c r="C114" s="48">
        <v>1</v>
      </c>
      <c r="D114" s="48">
        <v>0</v>
      </c>
      <c r="E114" s="47" t="s">
        <v>83</v>
      </c>
      <c r="F114" s="49" t="s">
        <v>101</v>
      </c>
      <c r="G114" s="49">
        <v>42550</v>
      </c>
      <c r="H114" s="49" t="s">
        <v>100</v>
      </c>
      <c r="I114" s="50" t="s">
        <v>40</v>
      </c>
      <c r="J114" s="19" t="str">
        <f>IF(Tabela2[[#This Row],[Gols M]]&lt;&gt;"",IF(Tabela2[[#This Row],[Gols M]]-Tabela2[[#This Row],[Gols V]]&gt;=0,IF(Tabela2[[#This Row],[Gols M]]-Tabela2[[#This Row],[Gols V]]&gt;0,"V","E"),"D"),"")</f>
        <v>V</v>
      </c>
      <c r="K114" s="19" t="str">
        <f>IF(Tabela2[[#This Row],[Gols M]]&lt;&gt;"",IF(Tabela2[[#This Row],[Gols V]]-Tabela2[[#This Row],[Gols M]]&gt;=0,IF(Tabela2[[#This Row],[Gols V]]-Tabela2[[#This Row],[Gols M]]&gt;0,"V","E"),"D"),"")</f>
        <v>D</v>
      </c>
      <c r="L114" s="19">
        <f>IF(OR('Por time'!E$2=Tabela2[[#This Row],[Mandante]], 'Por time'!E$2=Tabela2[[#This Row],[Visitante]]),1,0)</f>
        <v>1</v>
      </c>
      <c r="M114" s="25">
        <f>Tabela2[[#This Row],[Marcar time]]+M113</f>
        <v>12</v>
      </c>
      <c r="N114" s="25">
        <f>IMABS(Tabela2[[#This Row],[Gols M]]-Tabela2[[#This Row],[Gols V]])</f>
        <v>1</v>
      </c>
      <c r="O114" s="25">
        <f>Tabela2[[#This Row],[Gols M]]+Tabela2[[#This Row],[Gols V]]</f>
        <v>1</v>
      </c>
    </row>
    <row r="115" spans="1:15" x14ac:dyDescent="0.25">
      <c r="A115" s="19">
        <v>12</v>
      </c>
      <c r="B115" s="47" t="s">
        <v>84</v>
      </c>
      <c r="C115" s="48">
        <v>3</v>
      </c>
      <c r="D115" s="48">
        <v>2</v>
      </c>
      <c r="E115" s="47" t="s">
        <v>85</v>
      </c>
      <c r="F115" s="49" t="s">
        <v>101</v>
      </c>
      <c r="G115" s="49">
        <v>42550</v>
      </c>
      <c r="H115" s="49" t="s">
        <v>100</v>
      </c>
      <c r="I115" s="50" t="s">
        <v>1</v>
      </c>
      <c r="J115" s="19" t="str">
        <f>IF(Tabela2[[#This Row],[Gols M]]&lt;&gt;"",IF(Tabela2[[#This Row],[Gols M]]-Tabela2[[#This Row],[Gols V]]&gt;=0,IF(Tabela2[[#This Row],[Gols M]]-Tabela2[[#This Row],[Gols V]]&gt;0,"V","E"),"D"),"")</f>
        <v>V</v>
      </c>
      <c r="K115" s="19" t="str">
        <f>IF(Tabela2[[#This Row],[Gols M]]&lt;&gt;"",IF(Tabela2[[#This Row],[Gols V]]-Tabela2[[#This Row],[Gols M]]&gt;=0,IF(Tabela2[[#This Row],[Gols V]]-Tabela2[[#This Row],[Gols M]]&gt;0,"V","E"),"D"),"")</f>
        <v>D</v>
      </c>
      <c r="L115" s="19">
        <f>IF(OR('Por time'!E$2=Tabela2[[#This Row],[Mandante]], 'Por time'!E$2=Tabela2[[#This Row],[Visitante]]),1,0)</f>
        <v>0</v>
      </c>
      <c r="M115" s="25">
        <f>Tabela2[[#This Row],[Marcar time]]+M114</f>
        <v>12</v>
      </c>
      <c r="N115" s="25">
        <f>IMABS(Tabela2[[#This Row],[Gols M]]-Tabela2[[#This Row],[Gols V]])</f>
        <v>1</v>
      </c>
      <c r="O115" s="25">
        <f>Tabela2[[#This Row],[Gols M]]+Tabela2[[#This Row],[Gols V]]</f>
        <v>5</v>
      </c>
    </row>
    <row r="116" spans="1:15" x14ac:dyDescent="0.25">
      <c r="A116" s="19">
        <v>12</v>
      </c>
      <c r="B116" s="47" t="s">
        <v>79</v>
      </c>
      <c r="C116" s="48">
        <v>1</v>
      </c>
      <c r="D116" s="48">
        <v>0</v>
      </c>
      <c r="E116" s="47" t="s">
        <v>80</v>
      </c>
      <c r="F116" s="49" t="s">
        <v>101</v>
      </c>
      <c r="G116" s="49">
        <v>42550</v>
      </c>
      <c r="H116" s="49" t="s">
        <v>102</v>
      </c>
      <c r="I116" s="50" t="s">
        <v>48</v>
      </c>
      <c r="J116" s="19" t="str">
        <f>IF(Tabela2[[#This Row],[Gols M]]&lt;&gt;"",IF(Tabela2[[#This Row],[Gols M]]-Tabela2[[#This Row],[Gols V]]&gt;=0,IF(Tabela2[[#This Row],[Gols M]]-Tabela2[[#This Row],[Gols V]]&gt;0,"V","E"),"D"),"")</f>
        <v>V</v>
      </c>
      <c r="K116" s="19" t="str">
        <f>IF(Tabela2[[#This Row],[Gols M]]&lt;&gt;"",IF(Tabela2[[#This Row],[Gols V]]-Tabela2[[#This Row],[Gols M]]&gt;=0,IF(Tabela2[[#This Row],[Gols V]]-Tabela2[[#This Row],[Gols M]]&gt;0,"V","E"),"D"),"")</f>
        <v>D</v>
      </c>
      <c r="L116" s="19">
        <f>IF(OR('Por time'!E$2=Tabela2[[#This Row],[Mandante]], 'Por time'!E$2=Tabela2[[#This Row],[Visitante]]),1,0)</f>
        <v>0</v>
      </c>
      <c r="M116" s="25">
        <f>Tabela2[[#This Row],[Marcar time]]+M115</f>
        <v>12</v>
      </c>
      <c r="N116" s="25">
        <f>IMABS(Tabela2[[#This Row],[Gols M]]-Tabela2[[#This Row],[Gols V]])</f>
        <v>1</v>
      </c>
      <c r="O116" s="25">
        <f>Tabela2[[#This Row],[Gols M]]+Tabela2[[#This Row],[Gols V]]</f>
        <v>1</v>
      </c>
    </row>
    <row r="117" spans="1:15" x14ac:dyDescent="0.25">
      <c r="A117" s="19">
        <v>12</v>
      </c>
      <c r="B117" s="47" t="s">
        <v>87</v>
      </c>
      <c r="C117" s="48">
        <v>3</v>
      </c>
      <c r="D117" s="48">
        <v>2</v>
      </c>
      <c r="E117" s="47" t="s">
        <v>89</v>
      </c>
      <c r="F117" s="49" t="s">
        <v>101</v>
      </c>
      <c r="G117" s="49">
        <v>42550</v>
      </c>
      <c r="H117" s="49" t="s">
        <v>102</v>
      </c>
      <c r="I117" s="50" t="s">
        <v>4</v>
      </c>
      <c r="J117" s="19" t="str">
        <f>IF(Tabela2[[#This Row],[Gols M]]&lt;&gt;"",IF(Tabela2[[#This Row],[Gols M]]-Tabela2[[#This Row],[Gols V]]&gt;=0,IF(Tabela2[[#This Row],[Gols M]]-Tabela2[[#This Row],[Gols V]]&gt;0,"V","E"),"D"),"")</f>
        <v>V</v>
      </c>
      <c r="K117" s="19" t="str">
        <f>IF(Tabela2[[#This Row],[Gols M]]&lt;&gt;"",IF(Tabela2[[#This Row],[Gols V]]-Tabela2[[#This Row],[Gols M]]&gt;=0,IF(Tabela2[[#This Row],[Gols V]]-Tabela2[[#This Row],[Gols M]]&gt;0,"V","E"),"D"),"")</f>
        <v>D</v>
      </c>
      <c r="L117" s="19">
        <f>IF(OR('Por time'!E$2=Tabela2[[#This Row],[Mandante]], 'Por time'!E$2=Tabela2[[#This Row],[Visitante]]),1,0)</f>
        <v>0</v>
      </c>
      <c r="M117" s="25">
        <f>Tabela2[[#This Row],[Marcar time]]+M116</f>
        <v>12</v>
      </c>
      <c r="N117" s="25">
        <f>IMABS(Tabela2[[#This Row],[Gols M]]-Tabela2[[#This Row],[Gols V]])</f>
        <v>1</v>
      </c>
      <c r="O117" s="25">
        <f>Tabela2[[#This Row],[Gols M]]+Tabela2[[#This Row],[Gols V]]</f>
        <v>5</v>
      </c>
    </row>
    <row r="118" spans="1:15" x14ac:dyDescent="0.25">
      <c r="A118" s="19">
        <v>12</v>
      </c>
      <c r="B118" s="47" t="s">
        <v>81</v>
      </c>
      <c r="C118" s="48">
        <v>4</v>
      </c>
      <c r="D118" s="48">
        <v>0</v>
      </c>
      <c r="E118" s="47" t="s">
        <v>78</v>
      </c>
      <c r="F118" s="49" t="s">
        <v>103</v>
      </c>
      <c r="G118" s="49">
        <v>42551</v>
      </c>
      <c r="H118" s="49" t="s">
        <v>102</v>
      </c>
      <c r="I118" s="50" t="s">
        <v>30</v>
      </c>
      <c r="J118" s="19" t="str">
        <f>IF(Tabela2[[#This Row],[Gols M]]&lt;&gt;"",IF(Tabela2[[#This Row],[Gols M]]-Tabela2[[#This Row],[Gols V]]&gt;=0,IF(Tabela2[[#This Row],[Gols M]]-Tabela2[[#This Row],[Gols V]]&gt;0,"V","E"),"D"),"")</f>
        <v>V</v>
      </c>
      <c r="K118" s="19" t="str">
        <f>IF(Tabela2[[#This Row],[Gols M]]&lt;&gt;"",IF(Tabela2[[#This Row],[Gols V]]-Tabela2[[#This Row],[Gols M]]&gt;=0,IF(Tabela2[[#This Row],[Gols V]]-Tabela2[[#This Row],[Gols M]]&gt;0,"V","E"),"D"),"")</f>
        <v>D</v>
      </c>
      <c r="L118" s="19">
        <f>IF(OR('Por time'!E$2=Tabela2[[#This Row],[Mandante]], 'Por time'!E$2=Tabela2[[#This Row],[Visitante]]),1,0)</f>
        <v>0</v>
      </c>
      <c r="M118" s="25">
        <f>Tabela2[[#This Row],[Marcar time]]+M117</f>
        <v>12</v>
      </c>
      <c r="N118" s="25">
        <f>IMABS(Tabela2[[#This Row],[Gols M]]-Tabela2[[#This Row],[Gols V]])</f>
        <v>4</v>
      </c>
      <c r="O118" s="25">
        <f>Tabela2[[#This Row],[Gols M]]+Tabela2[[#This Row],[Gols V]]</f>
        <v>4</v>
      </c>
    </row>
    <row r="119" spans="1:15" x14ac:dyDescent="0.25">
      <c r="A119" s="19">
        <v>12</v>
      </c>
      <c r="B119" s="47" t="s">
        <v>92</v>
      </c>
      <c r="C119" s="48">
        <v>2</v>
      </c>
      <c r="D119" s="48">
        <v>1</v>
      </c>
      <c r="E119" s="47" t="s">
        <v>86</v>
      </c>
      <c r="F119" s="49" t="s">
        <v>101</v>
      </c>
      <c r="G119" s="49">
        <v>42550</v>
      </c>
      <c r="H119" s="49" t="s">
        <v>104</v>
      </c>
      <c r="I119" s="50" t="s">
        <v>41</v>
      </c>
      <c r="J119" s="19" t="str">
        <f>IF(Tabela2[[#This Row],[Gols M]]&lt;&gt;"",IF(Tabela2[[#This Row],[Gols M]]-Tabela2[[#This Row],[Gols V]]&gt;=0,IF(Tabela2[[#This Row],[Gols M]]-Tabela2[[#This Row],[Gols V]]&gt;0,"V","E"),"D"),"")</f>
        <v>V</v>
      </c>
      <c r="K119" s="19" t="str">
        <f>IF(Tabela2[[#This Row],[Gols M]]&lt;&gt;"",IF(Tabela2[[#This Row],[Gols V]]-Tabela2[[#This Row],[Gols M]]&gt;=0,IF(Tabela2[[#This Row],[Gols V]]-Tabela2[[#This Row],[Gols M]]&gt;0,"V","E"),"D"),"")</f>
        <v>D</v>
      </c>
      <c r="L119" s="19">
        <f>IF(OR('Por time'!E$2=Tabela2[[#This Row],[Mandante]], 'Por time'!E$2=Tabela2[[#This Row],[Visitante]]),1,0)</f>
        <v>0</v>
      </c>
      <c r="M119" s="25">
        <f>Tabela2[[#This Row],[Marcar time]]+M118</f>
        <v>12</v>
      </c>
      <c r="N119" s="25">
        <f>IMABS(Tabela2[[#This Row],[Gols M]]-Tabela2[[#This Row],[Gols V]])</f>
        <v>1</v>
      </c>
      <c r="O119" s="25">
        <f>Tabela2[[#This Row],[Gols M]]+Tabela2[[#This Row],[Gols V]]</f>
        <v>3</v>
      </c>
    </row>
    <row r="120" spans="1:15" x14ac:dyDescent="0.25">
      <c r="A120" s="19">
        <v>12</v>
      </c>
      <c r="B120" s="47" t="s">
        <v>82</v>
      </c>
      <c r="C120" s="48">
        <v>0</v>
      </c>
      <c r="D120" s="48">
        <v>3</v>
      </c>
      <c r="E120" s="47" t="s">
        <v>88</v>
      </c>
      <c r="F120" s="49" t="s">
        <v>103</v>
      </c>
      <c r="G120" s="49">
        <v>42551</v>
      </c>
      <c r="H120" s="49" t="s">
        <v>102</v>
      </c>
      <c r="I120" s="50" t="s">
        <v>36</v>
      </c>
      <c r="J120" s="19" t="str">
        <f>IF(Tabela2[[#This Row],[Gols M]]&lt;&gt;"",IF(Tabela2[[#This Row],[Gols M]]-Tabela2[[#This Row],[Gols V]]&gt;=0,IF(Tabela2[[#This Row],[Gols M]]-Tabela2[[#This Row],[Gols V]]&gt;0,"V","E"),"D"),"")</f>
        <v>D</v>
      </c>
      <c r="K120" s="19" t="str">
        <f>IF(Tabela2[[#This Row],[Gols M]]&lt;&gt;"",IF(Tabela2[[#This Row],[Gols V]]-Tabela2[[#This Row],[Gols M]]&gt;=0,IF(Tabela2[[#This Row],[Gols V]]-Tabela2[[#This Row],[Gols M]]&gt;0,"V","E"),"D"),"")</f>
        <v>V</v>
      </c>
      <c r="L120" s="19">
        <f>IF(OR('Por time'!E$2=Tabela2[[#This Row],[Mandante]], 'Por time'!E$2=Tabela2[[#This Row],[Visitante]]),1,0)</f>
        <v>0</v>
      </c>
      <c r="M120" s="25">
        <f>Tabela2[[#This Row],[Marcar time]]+M119</f>
        <v>12</v>
      </c>
      <c r="N120" s="25">
        <f>IMABS(Tabela2[[#This Row],[Gols M]]-Tabela2[[#This Row],[Gols V]])</f>
        <v>3</v>
      </c>
      <c r="O120" s="25">
        <f>Tabela2[[#This Row],[Gols M]]+Tabela2[[#This Row],[Gols V]]</f>
        <v>3</v>
      </c>
    </row>
    <row r="121" spans="1:15" x14ac:dyDescent="0.25">
      <c r="A121" s="19">
        <v>12</v>
      </c>
      <c r="B121" s="47" t="s">
        <v>91</v>
      </c>
      <c r="C121" s="48">
        <v>3</v>
      </c>
      <c r="D121" s="48">
        <v>2</v>
      </c>
      <c r="E121" s="47" t="s">
        <v>90</v>
      </c>
      <c r="F121" s="49" t="s">
        <v>101</v>
      </c>
      <c r="G121" s="49">
        <v>42550</v>
      </c>
      <c r="H121" s="49" t="s">
        <v>102</v>
      </c>
      <c r="I121" s="50" t="s">
        <v>9</v>
      </c>
      <c r="J121" s="19" t="str">
        <f>IF(Tabela2[[#This Row],[Gols M]]&lt;&gt;"",IF(Tabela2[[#This Row],[Gols M]]-Tabela2[[#This Row],[Gols V]]&gt;=0,IF(Tabela2[[#This Row],[Gols M]]-Tabela2[[#This Row],[Gols V]]&gt;0,"V","E"),"D"),"")</f>
        <v>V</v>
      </c>
      <c r="K121" s="19" t="str">
        <f>IF(Tabela2[[#This Row],[Gols M]]&lt;&gt;"",IF(Tabela2[[#This Row],[Gols V]]-Tabela2[[#This Row],[Gols M]]&gt;=0,IF(Tabela2[[#This Row],[Gols V]]-Tabela2[[#This Row],[Gols M]]&gt;0,"V","E"),"D"),"")</f>
        <v>D</v>
      </c>
      <c r="L121" s="19">
        <f>IF(OR('Por time'!E$2=Tabela2[[#This Row],[Mandante]], 'Por time'!E$2=Tabela2[[#This Row],[Visitante]]),1,0)</f>
        <v>0</v>
      </c>
      <c r="M121" s="25">
        <f>Tabela2[[#This Row],[Marcar time]]+M120</f>
        <v>12</v>
      </c>
      <c r="N121" s="25">
        <f>IMABS(Tabela2[[#This Row],[Gols M]]-Tabela2[[#This Row],[Gols V]])</f>
        <v>1</v>
      </c>
      <c r="O121" s="25">
        <f>Tabela2[[#This Row],[Gols M]]+Tabela2[[#This Row],[Gols V]]</f>
        <v>5</v>
      </c>
    </row>
    <row r="122" spans="1:15" x14ac:dyDescent="0.25">
      <c r="A122" s="19">
        <v>13</v>
      </c>
      <c r="B122" s="47" t="s">
        <v>74</v>
      </c>
      <c r="C122" s="48">
        <v>2</v>
      </c>
      <c r="D122" s="48">
        <v>1</v>
      </c>
      <c r="E122" s="47" t="s">
        <v>82</v>
      </c>
      <c r="F122" s="49" t="s">
        <v>95</v>
      </c>
      <c r="G122" s="49">
        <v>42554</v>
      </c>
      <c r="H122" s="49" t="s">
        <v>96</v>
      </c>
      <c r="I122" s="50" t="s">
        <v>51</v>
      </c>
      <c r="J122" s="19" t="str">
        <f>IF(Tabela2[[#This Row],[Gols M]]&lt;&gt;"",IF(Tabela2[[#This Row],[Gols M]]-Tabela2[[#This Row],[Gols V]]&gt;=0,IF(Tabela2[[#This Row],[Gols M]]-Tabela2[[#This Row],[Gols V]]&gt;0,"V","E"),"D"),"")</f>
        <v>V</v>
      </c>
      <c r="K122" s="19" t="str">
        <f>IF(Tabela2[[#This Row],[Gols M]]&lt;&gt;"",IF(Tabela2[[#This Row],[Gols V]]-Tabela2[[#This Row],[Gols M]]&gt;=0,IF(Tabela2[[#This Row],[Gols V]]-Tabela2[[#This Row],[Gols M]]&gt;0,"V","E"),"D"),"")</f>
        <v>D</v>
      </c>
      <c r="L122" s="19">
        <f>IF(OR('Por time'!E$2=Tabela2[[#This Row],[Mandante]], 'Por time'!E$2=Tabela2[[#This Row],[Visitante]]),1,0)</f>
        <v>0</v>
      </c>
      <c r="M122" s="25">
        <f>Tabela2[[#This Row],[Marcar time]]+M121</f>
        <v>12</v>
      </c>
      <c r="N122" s="25">
        <f>IMABS(Tabela2[[#This Row],[Gols M]]-Tabela2[[#This Row],[Gols V]])</f>
        <v>1</v>
      </c>
      <c r="O122" s="25">
        <f>Tabela2[[#This Row],[Gols M]]+Tabela2[[#This Row],[Gols V]]</f>
        <v>3</v>
      </c>
    </row>
    <row r="123" spans="1:15" x14ac:dyDescent="0.25">
      <c r="A123" s="19">
        <v>13</v>
      </c>
      <c r="B123" s="47" t="s">
        <v>83</v>
      </c>
      <c r="C123" s="48">
        <v>1</v>
      </c>
      <c r="D123" s="48">
        <v>0</v>
      </c>
      <c r="E123" s="47" t="s">
        <v>73</v>
      </c>
      <c r="F123" s="49" t="s">
        <v>98</v>
      </c>
      <c r="G123" s="49">
        <v>42553</v>
      </c>
      <c r="H123" s="49" t="s">
        <v>99</v>
      </c>
      <c r="I123" s="50" t="s">
        <v>0</v>
      </c>
      <c r="J123" s="19" t="str">
        <f>IF(Tabela2[[#This Row],[Gols M]]&lt;&gt;"",IF(Tabela2[[#This Row],[Gols M]]-Tabela2[[#This Row],[Gols V]]&gt;=0,IF(Tabela2[[#This Row],[Gols M]]-Tabela2[[#This Row],[Gols V]]&gt;0,"V","E"),"D"),"")</f>
        <v>V</v>
      </c>
      <c r="K123" s="19" t="str">
        <f>IF(Tabela2[[#This Row],[Gols M]]&lt;&gt;"",IF(Tabela2[[#This Row],[Gols V]]-Tabela2[[#This Row],[Gols M]]&gt;=0,IF(Tabela2[[#This Row],[Gols V]]-Tabela2[[#This Row],[Gols M]]&gt;0,"V","E"),"D"),"")</f>
        <v>D</v>
      </c>
      <c r="L123" s="19">
        <f>IF(OR('Por time'!E$2=Tabela2[[#This Row],[Mandante]], 'Por time'!E$2=Tabela2[[#This Row],[Visitante]]),1,0)</f>
        <v>1</v>
      </c>
      <c r="M123" s="25">
        <f>Tabela2[[#This Row],[Marcar time]]+M122</f>
        <v>13</v>
      </c>
      <c r="N123" s="25">
        <f>IMABS(Tabela2[[#This Row],[Gols M]]-Tabela2[[#This Row],[Gols V]])</f>
        <v>1</v>
      </c>
      <c r="O123" s="25">
        <f>Tabela2[[#This Row],[Gols M]]+Tabela2[[#This Row],[Gols V]]</f>
        <v>1</v>
      </c>
    </row>
    <row r="124" spans="1:15" x14ac:dyDescent="0.25">
      <c r="A124" s="19">
        <v>13</v>
      </c>
      <c r="B124" s="47" t="s">
        <v>77</v>
      </c>
      <c r="C124" s="48">
        <v>4</v>
      </c>
      <c r="D124" s="48">
        <v>0</v>
      </c>
      <c r="E124" s="47" t="s">
        <v>79</v>
      </c>
      <c r="F124" s="49" t="s">
        <v>95</v>
      </c>
      <c r="G124" s="49">
        <v>42554</v>
      </c>
      <c r="H124" s="49" t="s">
        <v>96</v>
      </c>
      <c r="I124" s="50" t="s">
        <v>18</v>
      </c>
      <c r="J124" s="19" t="str">
        <f>IF(Tabela2[[#This Row],[Gols M]]&lt;&gt;"",IF(Tabela2[[#This Row],[Gols M]]-Tabela2[[#This Row],[Gols V]]&gt;=0,IF(Tabela2[[#This Row],[Gols M]]-Tabela2[[#This Row],[Gols V]]&gt;0,"V","E"),"D"),"")</f>
        <v>V</v>
      </c>
      <c r="K124" s="19" t="str">
        <f>IF(Tabela2[[#This Row],[Gols M]]&lt;&gt;"",IF(Tabela2[[#This Row],[Gols V]]-Tabela2[[#This Row],[Gols M]]&gt;=0,IF(Tabela2[[#This Row],[Gols V]]-Tabela2[[#This Row],[Gols M]]&gt;0,"V","E"),"D"),"")</f>
        <v>D</v>
      </c>
      <c r="L124" s="19">
        <f>IF(OR('Por time'!E$2=Tabela2[[#This Row],[Mandante]], 'Por time'!E$2=Tabela2[[#This Row],[Visitante]]),1,0)</f>
        <v>0</v>
      </c>
      <c r="M124" s="25">
        <f>Tabela2[[#This Row],[Marcar time]]+M123</f>
        <v>13</v>
      </c>
      <c r="N124" s="25">
        <f>IMABS(Tabela2[[#This Row],[Gols M]]-Tabela2[[#This Row],[Gols V]])</f>
        <v>4</v>
      </c>
      <c r="O124" s="25">
        <f>Tabela2[[#This Row],[Gols M]]+Tabela2[[#This Row],[Gols V]]</f>
        <v>4</v>
      </c>
    </row>
    <row r="125" spans="1:15" x14ac:dyDescent="0.25">
      <c r="A125" s="19">
        <v>13</v>
      </c>
      <c r="B125" s="47" t="s">
        <v>85</v>
      </c>
      <c r="C125" s="48">
        <v>2</v>
      </c>
      <c r="D125" s="48">
        <v>2</v>
      </c>
      <c r="E125" s="47" t="s">
        <v>91</v>
      </c>
      <c r="F125" s="49" t="s">
        <v>95</v>
      </c>
      <c r="G125" s="49">
        <v>42554</v>
      </c>
      <c r="H125" s="49" t="s">
        <v>97</v>
      </c>
      <c r="I125" s="50" t="s">
        <v>2</v>
      </c>
      <c r="J125" s="19" t="str">
        <f>IF(Tabela2[[#This Row],[Gols M]]&lt;&gt;"",IF(Tabela2[[#This Row],[Gols M]]-Tabela2[[#This Row],[Gols V]]&gt;=0,IF(Tabela2[[#This Row],[Gols M]]-Tabela2[[#This Row],[Gols V]]&gt;0,"V","E"),"D"),"")</f>
        <v>E</v>
      </c>
      <c r="K125" s="19" t="str">
        <f>IF(Tabela2[[#This Row],[Gols M]]&lt;&gt;"",IF(Tabela2[[#This Row],[Gols V]]-Tabela2[[#This Row],[Gols M]]&gt;=0,IF(Tabela2[[#This Row],[Gols V]]-Tabela2[[#This Row],[Gols M]]&gt;0,"V","E"),"D"),"")</f>
        <v>E</v>
      </c>
      <c r="L125" s="19">
        <f>IF(OR('Por time'!E$2=Tabela2[[#This Row],[Mandante]], 'Por time'!E$2=Tabela2[[#This Row],[Visitante]]),1,0)</f>
        <v>0</v>
      </c>
      <c r="M125" s="25">
        <f>Tabela2[[#This Row],[Marcar time]]+M124</f>
        <v>13</v>
      </c>
      <c r="N125" s="25">
        <f>IMABS(Tabela2[[#This Row],[Gols M]]-Tabela2[[#This Row],[Gols V]])</f>
        <v>0</v>
      </c>
      <c r="O125" s="25">
        <f>Tabela2[[#This Row],[Gols M]]+Tabela2[[#This Row],[Gols V]]</f>
        <v>4</v>
      </c>
    </row>
    <row r="126" spans="1:15" x14ac:dyDescent="0.25">
      <c r="A126" s="19">
        <v>13</v>
      </c>
      <c r="B126" s="47" t="s">
        <v>78</v>
      </c>
      <c r="C126" s="48">
        <v>1</v>
      </c>
      <c r="D126" s="48">
        <v>1</v>
      </c>
      <c r="E126" s="47" t="s">
        <v>75</v>
      </c>
      <c r="F126" s="49" t="s">
        <v>95</v>
      </c>
      <c r="G126" s="49">
        <v>42554</v>
      </c>
      <c r="H126" s="49" t="s">
        <v>106</v>
      </c>
      <c r="I126" s="50" t="s">
        <v>33</v>
      </c>
      <c r="J126" s="19" t="str">
        <f>IF(Tabela2[[#This Row],[Gols M]]&lt;&gt;"",IF(Tabela2[[#This Row],[Gols M]]-Tabela2[[#This Row],[Gols V]]&gt;=0,IF(Tabela2[[#This Row],[Gols M]]-Tabela2[[#This Row],[Gols V]]&gt;0,"V","E"),"D"),"")</f>
        <v>E</v>
      </c>
      <c r="K126" s="19" t="str">
        <f>IF(Tabela2[[#This Row],[Gols M]]&lt;&gt;"",IF(Tabela2[[#This Row],[Gols V]]-Tabela2[[#This Row],[Gols M]]&gt;=0,IF(Tabela2[[#This Row],[Gols V]]-Tabela2[[#This Row],[Gols M]]&gt;0,"V","E"),"D"),"")</f>
        <v>E</v>
      </c>
      <c r="L126" s="19">
        <f>IF(OR('Por time'!E$2=Tabela2[[#This Row],[Mandante]], 'Por time'!E$2=Tabela2[[#This Row],[Visitante]]),1,0)</f>
        <v>0</v>
      </c>
      <c r="M126" s="25">
        <f>Tabela2[[#This Row],[Marcar time]]+M125</f>
        <v>13</v>
      </c>
      <c r="N126" s="25">
        <f>IMABS(Tabela2[[#This Row],[Gols M]]-Tabela2[[#This Row],[Gols V]])</f>
        <v>0</v>
      </c>
      <c r="O126" s="25">
        <f>Tabela2[[#This Row],[Gols M]]+Tabela2[[#This Row],[Gols V]]</f>
        <v>2</v>
      </c>
    </row>
    <row r="127" spans="1:15" x14ac:dyDescent="0.25">
      <c r="A127" s="19">
        <v>13</v>
      </c>
      <c r="B127" s="47" t="s">
        <v>86</v>
      </c>
      <c r="C127" s="48">
        <v>0</v>
      </c>
      <c r="D127" s="48">
        <v>0</v>
      </c>
      <c r="E127" s="47" t="s">
        <v>76</v>
      </c>
      <c r="F127" s="49" t="s">
        <v>98</v>
      </c>
      <c r="G127" s="49">
        <v>42553</v>
      </c>
      <c r="H127" s="49" t="s">
        <v>96</v>
      </c>
      <c r="I127" s="50" t="s">
        <v>45</v>
      </c>
      <c r="J127" s="19" t="str">
        <f>IF(Tabela2[[#This Row],[Gols M]]&lt;&gt;"",IF(Tabela2[[#This Row],[Gols M]]-Tabela2[[#This Row],[Gols V]]&gt;=0,IF(Tabela2[[#This Row],[Gols M]]-Tabela2[[#This Row],[Gols V]]&gt;0,"V","E"),"D"),"")</f>
        <v>E</v>
      </c>
      <c r="K127" s="19" t="str">
        <f>IF(Tabela2[[#This Row],[Gols M]]&lt;&gt;"",IF(Tabela2[[#This Row],[Gols V]]-Tabela2[[#This Row],[Gols M]]&gt;=0,IF(Tabela2[[#This Row],[Gols V]]-Tabela2[[#This Row],[Gols M]]&gt;0,"V","E"),"D"),"")</f>
        <v>E</v>
      </c>
      <c r="L127" s="19">
        <f>IF(OR('Por time'!E$2=Tabela2[[#This Row],[Mandante]], 'Por time'!E$2=Tabela2[[#This Row],[Visitante]]),1,0)</f>
        <v>0</v>
      </c>
      <c r="M127" s="25">
        <f>Tabela2[[#This Row],[Marcar time]]+M126</f>
        <v>13</v>
      </c>
      <c r="N127" s="25">
        <f>IMABS(Tabela2[[#This Row],[Gols M]]-Tabela2[[#This Row],[Gols V]])</f>
        <v>0</v>
      </c>
      <c r="O127" s="25">
        <f>Tabela2[[#This Row],[Gols M]]+Tabela2[[#This Row],[Gols V]]</f>
        <v>0</v>
      </c>
    </row>
    <row r="128" spans="1:15" x14ac:dyDescent="0.25">
      <c r="A128" s="19">
        <v>13</v>
      </c>
      <c r="B128" s="47" t="s">
        <v>80</v>
      </c>
      <c r="C128" s="48">
        <v>0</v>
      </c>
      <c r="D128" s="48">
        <v>1</v>
      </c>
      <c r="E128" s="47" t="s">
        <v>87</v>
      </c>
      <c r="F128" s="49" t="s">
        <v>95</v>
      </c>
      <c r="G128" s="49">
        <v>42554</v>
      </c>
      <c r="H128" s="49" t="s">
        <v>97</v>
      </c>
      <c r="I128" s="50" t="s">
        <v>27</v>
      </c>
      <c r="J128" s="19" t="str">
        <f>IF(Tabela2[[#This Row],[Gols M]]&lt;&gt;"",IF(Tabela2[[#This Row],[Gols M]]-Tabela2[[#This Row],[Gols V]]&gt;=0,IF(Tabela2[[#This Row],[Gols M]]-Tabela2[[#This Row],[Gols V]]&gt;0,"V","E"),"D"),"")</f>
        <v>D</v>
      </c>
      <c r="K128" s="19" t="str">
        <f>IF(Tabela2[[#This Row],[Gols M]]&lt;&gt;"",IF(Tabela2[[#This Row],[Gols V]]-Tabela2[[#This Row],[Gols M]]&gt;=0,IF(Tabela2[[#This Row],[Gols V]]-Tabela2[[#This Row],[Gols M]]&gt;0,"V","E"),"D"),"")</f>
        <v>V</v>
      </c>
      <c r="L128" s="19">
        <f>IF(OR('Por time'!E$2=Tabela2[[#This Row],[Mandante]], 'Por time'!E$2=Tabela2[[#This Row],[Visitante]]),1,0)</f>
        <v>0</v>
      </c>
      <c r="M128" s="25">
        <f>Tabela2[[#This Row],[Marcar time]]+M127</f>
        <v>13</v>
      </c>
      <c r="N128" s="25">
        <f>IMABS(Tabela2[[#This Row],[Gols M]]-Tabela2[[#This Row],[Gols V]])</f>
        <v>1</v>
      </c>
      <c r="O128" s="25">
        <f>Tabela2[[#This Row],[Gols M]]+Tabela2[[#This Row],[Gols V]]</f>
        <v>1</v>
      </c>
    </row>
    <row r="129" spans="1:15" x14ac:dyDescent="0.25">
      <c r="A129" s="19">
        <v>13</v>
      </c>
      <c r="B129" s="47" t="s">
        <v>88</v>
      </c>
      <c r="C129" s="48">
        <v>1</v>
      </c>
      <c r="D129" s="48">
        <v>0</v>
      </c>
      <c r="E129" s="47" t="s">
        <v>92</v>
      </c>
      <c r="F129" s="49" t="s">
        <v>95</v>
      </c>
      <c r="G129" s="49">
        <v>42554</v>
      </c>
      <c r="H129" s="49" t="s">
        <v>96</v>
      </c>
      <c r="I129" s="50" t="s">
        <v>5</v>
      </c>
      <c r="J129" s="19" t="str">
        <f>IF(Tabela2[[#This Row],[Gols M]]&lt;&gt;"",IF(Tabela2[[#This Row],[Gols M]]-Tabela2[[#This Row],[Gols V]]&gt;=0,IF(Tabela2[[#This Row],[Gols M]]-Tabela2[[#This Row],[Gols V]]&gt;0,"V","E"),"D"),"")</f>
        <v>V</v>
      </c>
      <c r="K129" s="19" t="str">
        <f>IF(Tabela2[[#This Row],[Gols M]]&lt;&gt;"",IF(Tabela2[[#This Row],[Gols V]]-Tabela2[[#This Row],[Gols M]]&gt;=0,IF(Tabela2[[#This Row],[Gols V]]-Tabela2[[#This Row],[Gols M]]&gt;0,"V","E"),"D"),"")</f>
        <v>D</v>
      </c>
      <c r="L129" s="19">
        <f>IF(OR('Por time'!E$2=Tabela2[[#This Row],[Mandante]], 'Por time'!E$2=Tabela2[[#This Row],[Visitante]]),1,0)</f>
        <v>0</v>
      </c>
      <c r="M129" s="25">
        <f>Tabela2[[#This Row],[Marcar time]]+M128</f>
        <v>13</v>
      </c>
      <c r="N129" s="25">
        <f>IMABS(Tabela2[[#This Row],[Gols M]]-Tabela2[[#This Row],[Gols V]])</f>
        <v>1</v>
      </c>
      <c r="O129" s="25">
        <f>Tabela2[[#This Row],[Gols M]]+Tabela2[[#This Row],[Gols V]]</f>
        <v>1</v>
      </c>
    </row>
    <row r="130" spans="1:15" x14ac:dyDescent="0.25">
      <c r="A130" s="19">
        <v>13</v>
      </c>
      <c r="B130" s="47" t="s">
        <v>89</v>
      </c>
      <c r="C130" s="48">
        <v>3</v>
      </c>
      <c r="D130" s="48">
        <v>0</v>
      </c>
      <c r="E130" s="47" t="s">
        <v>84</v>
      </c>
      <c r="F130" s="49" t="s">
        <v>95</v>
      </c>
      <c r="G130" s="49">
        <v>42554</v>
      </c>
      <c r="H130" s="49" t="s">
        <v>96</v>
      </c>
      <c r="I130" s="50" t="s">
        <v>6</v>
      </c>
      <c r="J130" s="19" t="str">
        <f>IF(Tabela2[[#This Row],[Gols M]]&lt;&gt;"",IF(Tabela2[[#This Row],[Gols M]]-Tabela2[[#This Row],[Gols V]]&gt;=0,IF(Tabela2[[#This Row],[Gols M]]-Tabela2[[#This Row],[Gols V]]&gt;0,"V","E"),"D"),"")</f>
        <v>V</v>
      </c>
      <c r="K130" s="19" t="str">
        <f>IF(Tabela2[[#This Row],[Gols M]]&lt;&gt;"",IF(Tabela2[[#This Row],[Gols V]]-Tabela2[[#This Row],[Gols M]]&gt;=0,IF(Tabela2[[#This Row],[Gols V]]-Tabela2[[#This Row],[Gols M]]&gt;0,"V","E"),"D"),"")</f>
        <v>D</v>
      </c>
      <c r="L130" s="19">
        <f>IF(OR('Por time'!E$2=Tabela2[[#This Row],[Mandante]], 'Por time'!E$2=Tabela2[[#This Row],[Visitante]]),1,0)</f>
        <v>0</v>
      </c>
      <c r="M130" s="25">
        <f>Tabela2[[#This Row],[Marcar time]]+M129</f>
        <v>13</v>
      </c>
      <c r="N130" s="25">
        <f>IMABS(Tabela2[[#This Row],[Gols M]]-Tabela2[[#This Row],[Gols V]])</f>
        <v>3</v>
      </c>
      <c r="O130" s="25">
        <f>Tabela2[[#This Row],[Gols M]]+Tabela2[[#This Row],[Gols V]]</f>
        <v>3</v>
      </c>
    </row>
    <row r="131" spans="1:15" x14ac:dyDescent="0.25">
      <c r="A131" s="19">
        <v>13</v>
      </c>
      <c r="B131" s="47" t="s">
        <v>90</v>
      </c>
      <c r="C131" s="48">
        <v>1</v>
      </c>
      <c r="D131" s="48">
        <v>3</v>
      </c>
      <c r="E131" s="47" t="s">
        <v>81</v>
      </c>
      <c r="F131" s="49" t="s">
        <v>113</v>
      </c>
      <c r="G131" s="49">
        <v>42555</v>
      </c>
      <c r="H131" s="49" t="s">
        <v>107</v>
      </c>
      <c r="I131" s="50" t="s">
        <v>8</v>
      </c>
      <c r="J131" s="19" t="str">
        <f>IF(Tabela2[[#This Row],[Gols M]]&lt;&gt;"",IF(Tabela2[[#This Row],[Gols M]]-Tabela2[[#This Row],[Gols V]]&gt;=0,IF(Tabela2[[#This Row],[Gols M]]-Tabela2[[#This Row],[Gols V]]&gt;0,"V","E"),"D"),"")</f>
        <v>D</v>
      </c>
      <c r="K131" s="19" t="str">
        <f>IF(Tabela2[[#This Row],[Gols M]]&lt;&gt;"",IF(Tabela2[[#This Row],[Gols V]]-Tabela2[[#This Row],[Gols M]]&gt;=0,IF(Tabela2[[#This Row],[Gols V]]-Tabela2[[#This Row],[Gols M]]&gt;0,"V","E"),"D"),"")</f>
        <v>V</v>
      </c>
      <c r="L131" s="19">
        <f>IF(OR('Por time'!E$2=Tabela2[[#This Row],[Mandante]], 'Por time'!E$2=Tabela2[[#This Row],[Visitante]]),1,0)</f>
        <v>0</v>
      </c>
      <c r="M131" s="25">
        <f>Tabela2[[#This Row],[Marcar time]]+M130</f>
        <v>13</v>
      </c>
      <c r="N131" s="25">
        <f>IMABS(Tabela2[[#This Row],[Gols M]]-Tabela2[[#This Row],[Gols V]])</f>
        <v>2</v>
      </c>
      <c r="O131" s="25">
        <f>Tabela2[[#This Row],[Gols M]]+Tabela2[[#This Row],[Gols V]]</f>
        <v>4</v>
      </c>
    </row>
    <row r="132" spans="1:15" x14ac:dyDescent="0.25">
      <c r="A132" s="19">
        <v>14</v>
      </c>
      <c r="B132" s="47" t="s">
        <v>76</v>
      </c>
      <c r="C132" s="48">
        <v>0</v>
      </c>
      <c r="D132" s="48">
        <v>0</v>
      </c>
      <c r="E132" s="47" t="s">
        <v>74</v>
      </c>
      <c r="F132" s="49" t="s">
        <v>98</v>
      </c>
      <c r="G132" s="49">
        <v>42560</v>
      </c>
      <c r="H132" s="49" t="s">
        <v>114</v>
      </c>
      <c r="I132" s="50" t="s">
        <v>40</v>
      </c>
      <c r="J132" s="19" t="str">
        <f>IF(Tabela2[[#This Row],[Gols M]]&lt;&gt;"",IF(Tabela2[[#This Row],[Gols M]]-Tabela2[[#This Row],[Gols V]]&gt;=0,IF(Tabela2[[#This Row],[Gols M]]-Tabela2[[#This Row],[Gols V]]&gt;0,"V","E"),"D"),"")</f>
        <v>E</v>
      </c>
      <c r="K132" s="19" t="str">
        <f>IF(Tabela2[[#This Row],[Gols M]]&lt;&gt;"",IF(Tabela2[[#This Row],[Gols V]]-Tabela2[[#This Row],[Gols M]]&gt;=0,IF(Tabela2[[#This Row],[Gols V]]-Tabela2[[#This Row],[Gols M]]&gt;0,"V","E"),"D"),"")</f>
        <v>E</v>
      </c>
      <c r="L132" s="19">
        <f>IF(OR('Por time'!E$2=Tabela2[[#This Row],[Mandante]], 'Por time'!E$2=Tabela2[[#This Row],[Visitante]]),1,0)</f>
        <v>0</v>
      </c>
      <c r="M132" s="25">
        <f>Tabela2[[#This Row],[Marcar time]]+M131</f>
        <v>13</v>
      </c>
      <c r="N132" s="25">
        <f>IMABS(Tabela2[[#This Row],[Gols M]]-Tabela2[[#This Row],[Gols V]])</f>
        <v>0</v>
      </c>
      <c r="O132" s="25">
        <f>Tabela2[[#This Row],[Gols M]]+Tabela2[[#This Row],[Gols V]]</f>
        <v>0</v>
      </c>
    </row>
    <row r="133" spans="1:15" x14ac:dyDescent="0.25">
      <c r="A133" s="19">
        <v>14</v>
      </c>
      <c r="B133" s="47" t="s">
        <v>84</v>
      </c>
      <c r="C133" s="48">
        <v>0</v>
      </c>
      <c r="D133" s="48">
        <v>2</v>
      </c>
      <c r="E133" s="47" t="s">
        <v>77</v>
      </c>
      <c r="F133" s="49" t="s">
        <v>98</v>
      </c>
      <c r="G133" s="49">
        <v>42560</v>
      </c>
      <c r="H133" s="49" t="s">
        <v>114</v>
      </c>
      <c r="I133" s="50" t="s">
        <v>1</v>
      </c>
      <c r="J133" s="19" t="str">
        <f>IF(Tabela2[[#This Row],[Gols M]]&lt;&gt;"",IF(Tabela2[[#This Row],[Gols M]]-Tabela2[[#This Row],[Gols V]]&gt;=0,IF(Tabela2[[#This Row],[Gols M]]-Tabela2[[#This Row],[Gols V]]&gt;0,"V","E"),"D"),"")</f>
        <v>D</v>
      </c>
      <c r="K133" s="19" t="str">
        <f>IF(Tabela2[[#This Row],[Gols M]]&lt;&gt;"",IF(Tabela2[[#This Row],[Gols V]]-Tabela2[[#This Row],[Gols M]]&gt;=0,IF(Tabela2[[#This Row],[Gols V]]-Tabela2[[#This Row],[Gols M]]&gt;0,"V","E"),"D"),"")</f>
        <v>V</v>
      </c>
      <c r="L133" s="19">
        <f>IF(OR('Por time'!E$2=Tabela2[[#This Row],[Mandante]], 'Por time'!E$2=Tabela2[[#This Row],[Visitante]]),1,0)</f>
        <v>0</v>
      </c>
      <c r="M133" s="25">
        <f>Tabela2[[#This Row],[Marcar time]]+M132</f>
        <v>13</v>
      </c>
      <c r="N133" s="25">
        <f>IMABS(Tabela2[[#This Row],[Gols M]]-Tabela2[[#This Row],[Gols V]])</f>
        <v>2</v>
      </c>
      <c r="O133" s="25">
        <f>Tabela2[[#This Row],[Gols M]]+Tabela2[[#This Row],[Gols V]]</f>
        <v>2</v>
      </c>
    </row>
    <row r="134" spans="1:15" x14ac:dyDescent="0.25">
      <c r="A134" s="19">
        <v>14</v>
      </c>
      <c r="B134" s="47" t="s">
        <v>85</v>
      </c>
      <c r="C134" s="48">
        <v>0</v>
      </c>
      <c r="D134" s="48">
        <v>3</v>
      </c>
      <c r="E134" s="47" t="s">
        <v>83</v>
      </c>
      <c r="F134" s="49" t="s">
        <v>113</v>
      </c>
      <c r="G134" s="49">
        <v>42562</v>
      </c>
      <c r="H134" s="49" t="s">
        <v>107</v>
      </c>
      <c r="I134" s="50" t="s">
        <v>2</v>
      </c>
      <c r="J134" s="19" t="str">
        <f>IF(Tabela2[[#This Row],[Gols M]]&lt;&gt;"",IF(Tabela2[[#This Row],[Gols M]]-Tabela2[[#This Row],[Gols V]]&gt;=0,IF(Tabela2[[#This Row],[Gols M]]-Tabela2[[#This Row],[Gols V]]&gt;0,"V","E"),"D"),"")</f>
        <v>D</v>
      </c>
      <c r="K134" s="19" t="str">
        <f>IF(Tabela2[[#This Row],[Gols M]]&lt;&gt;"",IF(Tabela2[[#This Row],[Gols V]]-Tabela2[[#This Row],[Gols M]]&gt;=0,IF(Tabela2[[#This Row],[Gols V]]-Tabela2[[#This Row],[Gols M]]&gt;0,"V","E"),"D"),"")</f>
        <v>V</v>
      </c>
      <c r="L134" s="19">
        <f>IF(OR('Por time'!E$2=Tabela2[[#This Row],[Mandante]], 'Por time'!E$2=Tabela2[[#This Row],[Visitante]]),1,0)</f>
        <v>1</v>
      </c>
      <c r="M134" s="25">
        <f>Tabela2[[#This Row],[Marcar time]]+M133</f>
        <v>14</v>
      </c>
      <c r="N134" s="25">
        <f>IMABS(Tabela2[[#This Row],[Gols M]]-Tabela2[[#This Row],[Gols V]])</f>
        <v>3</v>
      </c>
      <c r="O134" s="25">
        <f>Tabela2[[#This Row],[Gols M]]+Tabela2[[#This Row],[Gols V]]</f>
        <v>3</v>
      </c>
    </row>
    <row r="135" spans="1:15" x14ac:dyDescent="0.25">
      <c r="A135" s="19">
        <v>14</v>
      </c>
      <c r="B135" s="47" t="s">
        <v>79</v>
      </c>
      <c r="C135" s="48">
        <v>2</v>
      </c>
      <c r="D135" s="48">
        <v>0</v>
      </c>
      <c r="E135" s="47" t="s">
        <v>75</v>
      </c>
      <c r="F135" s="49" t="s">
        <v>95</v>
      </c>
      <c r="G135" s="49">
        <v>42561</v>
      </c>
      <c r="H135" s="49" t="s">
        <v>97</v>
      </c>
      <c r="I135" s="50" t="s">
        <v>50</v>
      </c>
      <c r="J135" s="19" t="str">
        <f>IF(Tabela2[[#This Row],[Gols M]]&lt;&gt;"",IF(Tabela2[[#This Row],[Gols M]]-Tabela2[[#This Row],[Gols V]]&gt;=0,IF(Tabela2[[#This Row],[Gols M]]-Tabela2[[#This Row],[Gols V]]&gt;0,"V","E"),"D"),"")</f>
        <v>V</v>
      </c>
      <c r="K135" s="19" t="str">
        <f>IF(Tabela2[[#This Row],[Gols M]]&lt;&gt;"",IF(Tabela2[[#This Row],[Gols V]]-Tabela2[[#This Row],[Gols M]]&gt;=0,IF(Tabela2[[#This Row],[Gols V]]-Tabela2[[#This Row],[Gols M]]&gt;0,"V","E"),"D"),"")</f>
        <v>D</v>
      </c>
      <c r="L135" s="19">
        <f>IF(OR('Por time'!E$2=Tabela2[[#This Row],[Mandante]], 'Por time'!E$2=Tabela2[[#This Row],[Visitante]]),1,0)</f>
        <v>0</v>
      </c>
      <c r="M135" s="25">
        <f>Tabela2[[#This Row],[Marcar time]]+M134</f>
        <v>14</v>
      </c>
      <c r="N135" s="25">
        <f>IMABS(Tabela2[[#This Row],[Gols M]]-Tabela2[[#This Row],[Gols V]])</f>
        <v>2</v>
      </c>
      <c r="O135" s="25">
        <f>Tabela2[[#This Row],[Gols M]]+Tabela2[[#This Row],[Gols V]]</f>
        <v>2</v>
      </c>
    </row>
    <row r="136" spans="1:15" x14ac:dyDescent="0.25">
      <c r="A136" s="19">
        <v>14</v>
      </c>
      <c r="B136" s="47" t="s">
        <v>87</v>
      </c>
      <c r="C136" s="48">
        <v>2</v>
      </c>
      <c r="D136" s="48">
        <v>1</v>
      </c>
      <c r="E136" s="47" t="s">
        <v>78</v>
      </c>
      <c r="F136" s="49" t="s">
        <v>95</v>
      </c>
      <c r="G136" s="49">
        <v>42561</v>
      </c>
      <c r="H136" s="49" t="s">
        <v>97</v>
      </c>
      <c r="I136" s="50" t="s">
        <v>4</v>
      </c>
      <c r="J136" s="19" t="str">
        <f>IF(Tabela2[[#This Row],[Gols M]]&lt;&gt;"",IF(Tabela2[[#This Row],[Gols M]]-Tabela2[[#This Row],[Gols V]]&gt;=0,IF(Tabela2[[#This Row],[Gols M]]-Tabela2[[#This Row],[Gols V]]&gt;0,"V","E"),"D"),"")</f>
        <v>V</v>
      </c>
      <c r="K136" s="19" t="str">
        <f>IF(Tabela2[[#This Row],[Gols M]]&lt;&gt;"",IF(Tabela2[[#This Row],[Gols V]]-Tabela2[[#This Row],[Gols M]]&gt;=0,IF(Tabela2[[#This Row],[Gols V]]-Tabela2[[#This Row],[Gols M]]&gt;0,"V","E"),"D"),"")</f>
        <v>D</v>
      </c>
      <c r="L136" s="19">
        <f>IF(OR('Por time'!E$2=Tabela2[[#This Row],[Mandante]], 'Por time'!E$2=Tabela2[[#This Row],[Visitante]]),1,0)</f>
        <v>0</v>
      </c>
      <c r="M136" s="25">
        <f>Tabela2[[#This Row],[Marcar time]]+M135</f>
        <v>14</v>
      </c>
      <c r="N136" s="25">
        <f>IMABS(Tabela2[[#This Row],[Gols M]]-Tabela2[[#This Row],[Gols V]])</f>
        <v>1</v>
      </c>
      <c r="O136" s="25">
        <f>Tabela2[[#This Row],[Gols M]]+Tabela2[[#This Row],[Gols V]]</f>
        <v>3</v>
      </c>
    </row>
    <row r="137" spans="1:15" x14ac:dyDescent="0.25">
      <c r="A137" s="19">
        <v>14</v>
      </c>
      <c r="B137" s="47" t="s">
        <v>81</v>
      </c>
      <c r="C137" s="48">
        <v>1</v>
      </c>
      <c r="D137" s="48">
        <v>1</v>
      </c>
      <c r="E137" s="47" t="s">
        <v>89</v>
      </c>
      <c r="F137" s="49" t="s">
        <v>112</v>
      </c>
      <c r="G137" s="49">
        <v>42563</v>
      </c>
      <c r="H137" s="49" t="s">
        <v>105</v>
      </c>
      <c r="I137" s="50" t="s">
        <v>30</v>
      </c>
      <c r="J137" s="19" t="str">
        <f>IF(Tabela2[[#This Row],[Gols M]]&lt;&gt;"",IF(Tabela2[[#This Row],[Gols M]]-Tabela2[[#This Row],[Gols V]]&gt;=0,IF(Tabela2[[#This Row],[Gols M]]-Tabela2[[#This Row],[Gols V]]&gt;0,"V","E"),"D"),"")</f>
        <v>E</v>
      </c>
      <c r="K137" s="19" t="str">
        <f>IF(Tabela2[[#This Row],[Gols M]]&lt;&gt;"",IF(Tabela2[[#This Row],[Gols V]]-Tabela2[[#This Row],[Gols M]]&gt;=0,IF(Tabela2[[#This Row],[Gols V]]-Tabela2[[#This Row],[Gols M]]&gt;0,"V","E"),"D"),"")</f>
        <v>E</v>
      </c>
      <c r="L137" s="19">
        <f>IF(OR('Por time'!E$2=Tabela2[[#This Row],[Mandante]], 'Por time'!E$2=Tabela2[[#This Row],[Visitante]]),1,0)</f>
        <v>0</v>
      </c>
      <c r="M137" s="25">
        <f>Tabela2[[#This Row],[Marcar time]]+M136</f>
        <v>14</v>
      </c>
      <c r="N137" s="25">
        <f>IMABS(Tabela2[[#This Row],[Gols M]]-Tabela2[[#This Row],[Gols V]])</f>
        <v>0</v>
      </c>
      <c r="O137" s="25">
        <f>Tabela2[[#This Row],[Gols M]]+Tabela2[[#This Row],[Gols V]]</f>
        <v>2</v>
      </c>
    </row>
    <row r="138" spans="1:15" x14ac:dyDescent="0.25">
      <c r="A138" s="19">
        <v>14</v>
      </c>
      <c r="B138" s="47" t="s">
        <v>88</v>
      </c>
      <c r="C138" s="48">
        <v>2</v>
      </c>
      <c r="D138" s="48">
        <v>1</v>
      </c>
      <c r="E138" s="47" t="s">
        <v>90</v>
      </c>
      <c r="F138" s="49" t="s">
        <v>98</v>
      </c>
      <c r="G138" s="49">
        <v>42560</v>
      </c>
      <c r="H138" s="49" t="s">
        <v>100</v>
      </c>
      <c r="I138" s="50" t="s">
        <v>5</v>
      </c>
      <c r="J138" s="19" t="str">
        <f>IF(Tabela2[[#This Row],[Gols M]]&lt;&gt;"",IF(Tabela2[[#This Row],[Gols M]]-Tabela2[[#This Row],[Gols V]]&gt;=0,IF(Tabela2[[#This Row],[Gols M]]-Tabela2[[#This Row],[Gols V]]&gt;0,"V","E"),"D"),"")</f>
        <v>V</v>
      </c>
      <c r="K138" s="19" t="str">
        <f>IF(Tabela2[[#This Row],[Gols M]]&lt;&gt;"",IF(Tabela2[[#This Row],[Gols V]]-Tabela2[[#This Row],[Gols M]]&gt;=0,IF(Tabela2[[#This Row],[Gols V]]-Tabela2[[#This Row],[Gols M]]&gt;0,"V","E"),"D"),"")</f>
        <v>D</v>
      </c>
      <c r="L138" s="19">
        <f>IF(OR('Por time'!E$2=Tabela2[[#This Row],[Mandante]], 'Por time'!E$2=Tabela2[[#This Row],[Visitante]]),1,0)</f>
        <v>0</v>
      </c>
      <c r="M138" s="25">
        <f>Tabela2[[#This Row],[Marcar time]]+M137</f>
        <v>14</v>
      </c>
      <c r="N138" s="25">
        <f>IMABS(Tabela2[[#This Row],[Gols M]]-Tabela2[[#This Row],[Gols V]])</f>
        <v>1</v>
      </c>
      <c r="O138" s="25">
        <f>Tabela2[[#This Row],[Gols M]]+Tabela2[[#This Row],[Gols V]]</f>
        <v>3</v>
      </c>
    </row>
    <row r="139" spans="1:15" x14ac:dyDescent="0.25">
      <c r="A139" s="19">
        <v>14</v>
      </c>
      <c r="B139" s="47" t="s">
        <v>92</v>
      </c>
      <c r="C139" s="48">
        <v>3</v>
      </c>
      <c r="D139" s="48">
        <v>0</v>
      </c>
      <c r="E139" s="47" t="s">
        <v>73</v>
      </c>
      <c r="F139" s="49" t="s">
        <v>95</v>
      </c>
      <c r="G139" s="49">
        <v>42561</v>
      </c>
      <c r="H139" s="49" t="s">
        <v>96</v>
      </c>
      <c r="I139" s="50" t="s">
        <v>41</v>
      </c>
      <c r="J139" s="19" t="str">
        <f>IF(Tabela2[[#This Row],[Gols M]]&lt;&gt;"",IF(Tabela2[[#This Row],[Gols M]]-Tabela2[[#This Row],[Gols V]]&gt;=0,IF(Tabela2[[#This Row],[Gols M]]-Tabela2[[#This Row],[Gols V]]&gt;0,"V","E"),"D"),"")</f>
        <v>V</v>
      </c>
      <c r="K139" s="19" t="str">
        <f>IF(Tabela2[[#This Row],[Gols M]]&lt;&gt;"",IF(Tabela2[[#This Row],[Gols V]]-Tabela2[[#This Row],[Gols M]]&gt;=0,IF(Tabela2[[#This Row],[Gols V]]-Tabela2[[#This Row],[Gols M]]&gt;0,"V","E"),"D"),"")</f>
        <v>D</v>
      </c>
      <c r="L139" s="19">
        <f>IF(OR('Por time'!E$2=Tabela2[[#This Row],[Mandante]], 'Por time'!E$2=Tabela2[[#This Row],[Visitante]]),1,0)</f>
        <v>0</v>
      </c>
      <c r="M139" s="25">
        <f>Tabela2[[#This Row],[Marcar time]]+M138</f>
        <v>14</v>
      </c>
      <c r="N139" s="25">
        <f>IMABS(Tabela2[[#This Row],[Gols M]]-Tabela2[[#This Row],[Gols V]])</f>
        <v>3</v>
      </c>
      <c r="O139" s="25">
        <f>Tabela2[[#This Row],[Gols M]]+Tabela2[[#This Row],[Gols V]]</f>
        <v>3</v>
      </c>
    </row>
    <row r="140" spans="1:15" x14ac:dyDescent="0.25">
      <c r="A140" s="19">
        <v>14</v>
      </c>
      <c r="B140" s="47" t="s">
        <v>82</v>
      </c>
      <c r="C140" s="48">
        <v>1</v>
      </c>
      <c r="D140" s="48">
        <v>0</v>
      </c>
      <c r="E140" s="47" t="s">
        <v>80</v>
      </c>
      <c r="F140" s="49" t="s">
        <v>95</v>
      </c>
      <c r="G140" s="49">
        <v>42561</v>
      </c>
      <c r="H140" s="49" t="s">
        <v>96</v>
      </c>
      <c r="I140" s="50" t="s">
        <v>36</v>
      </c>
      <c r="J140" s="19" t="str">
        <f>IF(Tabela2[[#This Row],[Gols M]]&lt;&gt;"",IF(Tabela2[[#This Row],[Gols M]]-Tabela2[[#This Row],[Gols V]]&gt;=0,IF(Tabela2[[#This Row],[Gols M]]-Tabela2[[#This Row],[Gols V]]&gt;0,"V","E"),"D"),"")</f>
        <v>V</v>
      </c>
      <c r="K140" s="19" t="str">
        <f>IF(Tabela2[[#This Row],[Gols M]]&lt;&gt;"",IF(Tabela2[[#This Row],[Gols V]]-Tabela2[[#This Row],[Gols M]]&gt;=0,IF(Tabela2[[#This Row],[Gols V]]-Tabela2[[#This Row],[Gols M]]&gt;0,"V","E"),"D"),"")</f>
        <v>D</v>
      </c>
      <c r="L140" s="19">
        <f>IF(OR('Por time'!E$2=Tabela2[[#This Row],[Mandante]], 'Por time'!E$2=Tabela2[[#This Row],[Visitante]]),1,0)</f>
        <v>0</v>
      </c>
      <c r="M140" s="25">
        <f>Tabela2[[#This Row],[Marcar time]]+M139</f>
        <v>14</v>
      </c>
      <c r="N140" s="25">
        <f>IMABS(Tabela2[[#This Row],[Gols M]]-Tabela2[[#This Row],[Gols V]])</f>
        <v>1</v>
      </c>
      <c r="O140" s="25">
        <f>Tabela2[[#This Row],[Gols M]]+Tabela2[[#This Row],[Gols V]]</f>
        <v>1</v>
      </c>
    </row>
    <row r="141" spans="1:15" x14ac:dyDescent="0.25">
      <c r="A141" s="19">
        <v>14</v>
      </c>
      <c r="B141" s="47" t="s">
        <v>91</v>
      </c>
      <c r="C141" s="48">
        <v>0</v>
      </c>
      <c r="D141" s="48">
        <v>0</v>
      </c>
      <c r="E141" s="47" t="s">
        <v>86</v>
      </c>
      <c r="F141" s="49" t="s">
        <v>95</v>
      </c>
      <c r="G141" s="49">
        <v>42561</v>
      </c>
      <c r="H141" s="49" t="s">
        <v>102</v>
      </c>
      <c r="I141" s="50" t="s">
        <v>9</v>
      </c>
      <c r="J141" s="19" t="str">
        <f>IF(Tabela2[[#This Row],[Gols M]]&lt;&gt;"",IF(Tabela2[[#This Row],[Gols M]]-Tabela2[[#This Row],[Gols V]]&gt;=0,IF(Tabela2[[#This Row],[Gols M]]-Tabela2[[#This Row],[Gols V]]&gt;0,"V","E"),"D"),"")</f>
        <v>E</v>
      </c>
      <c r="K141" s="19" t="str">
        <f>IF(Tabela2[[#This Row],[Gols M]]&lt;&gt;"",IF(Tabela2[[#This Row],[Gols V]]-Tabela2[[#This Row],[Gols M]]&gt;=0,IF(Tabela2[[#This Row],[Gols V]]-Tabela2[[#This Row],[Gols M]]&gt;0,"V","E"),"D"),"")</f>
        <v>E</v>
      </c>
      <c r="L141" s="19">
        <f>IF(OR('Por time'!E$2=Tabela2[[#This Row],[Mandante]], 'Por time'!E$2=Tabela2[[#This Row],[Visitante]]),1,0)</f>
        <v>0</v>
      </c>
      <c r="M141" s="25">
        <f>Tabela2[[#This Row],[Marcar time]]+M140</f>
        <v>14</v>
      </c>
      <c r="N141" s="25">
        <f>IMABS(Tabela2[[#This Row],[Gols M]]-Tabela2[[#This Row],[Gols V]])</f>
        <v>0</v>
      </c>
      <c r="O141" s="25">
        <f>Tabela2[[#This Row],[Gols M]]+Tabela2[[#This Row],[Gols V]]</f>
        <v>0</v>
      </c>
    </row>
    <row r="142" spans="1:15" x14ac:dyDescent="0.25">
      <c r="A142" s="19">
        <v>15</v>
      </c>
      <c r="B142" s="47" t="s">
        <v>73</v>
      </c>
      <c r="C142" s="48">
        <v>0</v>
      </c>
      <c r="D142" s="48">
        <v>3</v>
      </c>
      <c r="E142" s="47" t="s">
        <v>82</v>
      </c>
      <c r="F142" s="49" t="s">
        <v>95</v>
      </c>
      <c r="G142" s="49">
        <v>42568</v>
      </c>
      <c r="H142" s="49" t="s">
        <v>97</v>
      </c>
      <c r="I142" s="50" t="s">
        <v>11</v>
      </c>
      <c r="J142" s="19" t="str">
        <f>IF(Tabela2[[#This Row],[Gols M]]&lt;&gt;"",IF(Tabela2[[#This Row],[Gols M]]-Tabela2[[#This Row],[Gols V]]&gt;=0,IF(Tabela2[[#This Row],[Gols M]]-Tabela2[[#This Row],[Gols V]]&gt;0,"V","E"),"D"),"")</f>
        <v>D</v>
      </c>
      <c r="K142" s="19" t="str">
        <f>IF(Tabela2[[#This Row],[Gols M]]&lt;&gt;"",IF(Tabela2[[#This Row],[Gols V]]-Tabela2[[#This Row],[Gols M]]&gt;=0,IF(Tabela2[[#This Row],[Gols V]]-Tabela2[[#This Row],[Gols M]]&gt;0,"V","E"),"D"),"")</f>
        <v>V</v>
      </c>
      <c r="L142" s="19">
        <f>IF(OR('Por time'!E$2=Tabela2[[#This Row],[Mandante]], 'Por time'!E$2=Tabela2[[#This Row],[Visitante]]),1,0)</f>
        <v>0</v>
      </c>
      <c r="M142" s="25">
        <f>Tabela2[[#This Row],[Marcar time]]+M141</f>
        <v>14</v>
      </c>
      <c r="N142" s="25">
        <f>IMABS(Tabela2[[#This Row],[Gols M]]-Tabela2[[#This Row],[Gols V]])</f>
        <v>3</v>
      </c>
      <c r="O142" s="25">
        <f>Tabela2[[#This Row],[Gols M]]+Tabela2[[#This Row],[Gols V]]</f>
        <v>3</v>
      </c>
    </row>
    <row r="143" spans="1:15" x14ac:dyDescent="0.25">
      <c r="A143" s="19">
        <v>15</v>
      </c>
      <c r="B143" s="47" t="s">
        <v>74</v>
      </c>
      <c r="C143" s="48">
        <v>3</v>
      </c>
      <c r="D143" s="48">
        <v>3</v>
      </c>
      <c r="E143" s="47" t="s">
        <v>79</v>
      </c>
      <c r="F143" s="49" t="s">
        <v>98</v>
      </c>
      <c r="G143" s="49">
        <v>42567</v>
      </c>
      <c r="H143" s="49" t="s">
        <v>96</v>
      </c>
      <c r="I143" s="50" t="s">
        <v>14</v>
      </c>
      <c r="J143" s="19" t="str">
        <f>IF(Tabela2[[#This Row],[Gols M]]&lt;&gt;"",IF(Tabela2[[#This Row],[Gols M]]-Tabela2[[#This Row],[Gols V]]&gt;=0,IF(Tabela2[[#This Row],[Gols M]]-Tabela2[[#This Row],[Gols V]]&gt;0,"V","E"),"D"),"")</f>
        <v>E</v>
      </c>
      <c r="K143" s="19" t="str">
        <f>IF(Tabela2[[#This Row],[Gols M]]&lt;&gt;"",IF(Tabela2[[#This Row],[Gols V]]-Tabela2[[#This Row],[Gols M]]&gt;=0,IF(Tabela2[[#This Row],[Gols V]]-Tabela2[[#This Row],[Gols M]]&gt;0,"V","E"),"D"),"")</f>
        <v>E</v>
      </c>
      <c r="L143" s="19">
        <f>IF(OR('Por time'!E$2=Tabela2[[#This Row],[Mandante]], 'Por time'!E$2=Tabela2[[#This Row],[Visitante]]),1,0)</f>
        <v>0</v>
      </c>
      <c r="M143" s="25">
        <f>Tabela2[[#This Row],[Marcar time]]+M142</f>
        <v>14</v>
      </c>
      <c r="N143" s="25">
        <f>IMABS(Tabela2[[#This Row],[Gols M]]-Tabela2[[#This Row],[Gols V]])</f>
        <v>0</v>
      </c>
      <c r="O143" s="25">
        <f>Tabela2[[#This Row],[Gols M]]+Tabela2[[#This Row],[Gols V]]</f>
        <v>6</v>
      </c>
    </row>
    <row r="144" spans="1:15" x14ac:dyDescent="0.25">
      <c r="A144" s="19">
        <v>15</v>
      </c>
      <c r="B144" s="47" t="s">
        <v>75</v>
      </c>
      <c r="C144" s="48">
        <v>2</v>
      </c>
      <c r="D144" s="48">
        <v>1</v>
      </c>
      <c r="E144" s="47" t="s">
        <v>76</v>
      </c>
      <c r="F144" s="49" t="s">
        <v>113</v>
      </c>
      <c r="G144" s="49">
        <v>42569</v>
      </c>
      <c r="H144" s="49" t="s">
        <v>107</v>
      </c>
      <c r="I144" s="50" t="s">
        <v>11</v>
      </c>
      <c r="J144" s="19" t="str">
        <f>IF(Tabela2[[#This Row],[Gols M]]&lt;&gt;"",IF(Tabela2[[#This Row],[Gols M]]-Tabela2[[#This Row],[Gols V]]&gt;=0,IF(Tabela2[[#This Row],[Gols M]]-Tabela2[[#This Row],[Gols V]]&gt;0,"V","E"),"D"),"")</f>
        <v>V</v>
      </c>
      <c r="K144" s="19" t="str">
        <f>IF(Tabela2[[#This Row],[Gols M]]&lt;&gt;"",IF(Tabela2[[#This Row],[Gols V]]-Tabela2[[#This Row],[Gols M]]&gt;=0,IF(Tabela2[[#This Row],[Gols V]]-Tabela2[[#This Row],[Gols M]]&gt;0,"V","E"),"D"),"")</f>
        <v>D</v>
      </c>
      <c r="L144" s="19">
        <f>IF(OR('Por time'!E$2=Tabela2[[#This Row],[Mandante]], 'Por time'!E$2=Tabela2[[#This Row],[Visitante]]),1,0)</f>
        <v>0</v>
      </c>
      <c r="M144" s="25">
        <f>Tabela2[[#This Row],[Marcar time]]+M143</f>
        <v>14</v>
      </c>
      <c r="N144" s="25">
        <f>IMABS(Tabela2[[#This Row],[Gols M]]-Tabela2[[#This Row],[Gols V]])</f>
        <v>1</v>
      </c>
      <c r="O144" s="25">
        <f>Tabela2[[#This Row],[Gols M]]+Tabela2[[#This Row],[Gols V]]</f>
        <v>3</v>
      </c>
    </row>
    <row r="145" spans="1:15" x14ac:dyDescent="0.25">
      <c r="A145" s="19">
        <v>15</v>
      </c>
      <c r="B145" s="47" t="s">
        <v>83</v>
      </c>
      <c r="C145" s="48">
        <v>1</v>
      </c>
      <c r="D145" s="48">
        <v>1</v>
      </c>
      <c r="E145" s="47" t="s">
        <v>91</v>
      </c>
      <c r="F145" s="49" t="s">
        <v>95</v>
      </c>
      <c r="G145" s="49">
        <v>42568</v>
      </c>
      <c r="H145" s="49" t="s">
        <v>96</v>
      </c>
      <c r="I145" s="50" t="s">
        <v>0</v>
      </c>
      <c r="J145" s="19" t="str">
        <f>IF(Tabela2[[#This Row],[Gols M]]&lt;&gt;"",IF(Tabela2[[#This Row],[Gols M]]-Tabela2[[#This Row],[Gols V]]&gt;=0,IF(Tabela2[[#This Row],[Gols M]]-Tabela2[[#This Row],[Gols V]]&gt;0,"V","E"),"D"),"")</f>
        <v>E</v>
      </c>
      <c r="K145" s="19" t="str">
        <f>IF(Tabela2[[#This Row],[Gols M]]&lt;&gt;"",IF(Tabela2[[#This Row],[Gols V]]-Tabela2[[#This Row],[Gols M]]&gt;=0,IF(Tabela2[[#This Row],[Gols V]]-Tabela2[[#This Row],[Gols M]]&gt;0,"V","E"),"D"),"")</f>
        <v>E</v>
      </c>
      <c r="L145" s="19">
        <f>IF(OR('Por time'!E$2=Tabela2[[#This Row],[Mandante]], 'Por time'!E$2=Tabela2[[#This Row],[Visitante]]),1,0)</f>
        <v>1</v>
      </c>
      <c r="M145" s="25">
        <f>Tabela2[[#This Row],[Marcar time]]+M144</f>
        <v>15</v>
      </c>
      <c r="N145" s="25">
        <f>IMABS(Tabela2[[#This Row],[Gols M]]-Tabela2[[#This Row],[Gols V]])</f>
        <v>0</v>
      </c>
      <c r="O145" s="25">
        <f>Tabela2[[#This Row],[Gols M]]+Tabela2[[#This Row],[Gols V]]</f>
        <v>2</v>
      </c>
    </row>
    <row r="146" spans="1:15" x14ac:dyDescent="0.25">
      <c r="A146" s="19">
        <v>15</v>
      </c>
      <c r="B146" s="47" t="s">
        <v>77</v>
      </c>
      <c r="C146" s="48">
        <v>1</v>
      </c>
      <c r="D146" s="48">
        <v>1</v>
      </c>
      <c r="E146" s="47" t="s">
        <v>92</v>
      </c>
      <c r="F146" s="49" t="s">
        <v>95</v>
      </c>
      <c r="G146" s="49">
        <v>42568</v>
      </c>
      <c r="H146" s="49" t="s">
        <v>96</v>
      </c>
      <c r="I146" s="50" t="s">
        <v>18</v>
      </c>
      <c r="J146" s="19" t="str">
        <f>IF(Tabela2[[#This Row],[Gols M]]&lt;&gt;"",IF(Tabela2[[#This Row],[Gols M]]-Tabela2[[#This Row],[Gols V]]&gt;=0,IF(Tabela2[[#This Row],[Gols M]]-Tabela2[[#This Row],[Gols V]]&gt;0,"V","E"),"D"),"")</f>
        <v>E</v>
      </c>
      <c r="K146" s="19" t="str">
        <f>IF(Tabela2[[#This Row],[Gols M]]&lt;&gt;"",IF(Tabela2[[#This Row],[Gols V]]-Tabela2[[#This Row],[Gols M]]&gt;=0,IF(Tabela2[[#This Row],[Gols V]]-Tabela2[[#This Row],[Gols M]]&gt;0,"V","E"),"D"),"")</f>
        <v>E</v>
      </c>
      <c r="L146" s="19">
        <f>IF(OR('Por time'!E$2=Tabela2[[#This Row],[Mandante]], 'Por time'!E$2=Tabela2[[#This Row],[Visitante]]),1,0)</f>
        <v>0</v>
      </c>
      <c r="M146" s="25">
        <f>Tabela2[[#This Row],[Marcar time]]+M145</f>
        <v>15</v>
      </c>
      <c r="N146" s="25">
        <f>IMABS(Tabela2[[#This Row],[Gols M]]-Tabela2[[#This Row],[Gols V]])</f>
        <v>0</v>
      </c>
      <c r="O146" s="25">
        <f>Tabela2[[#This Row],[Gols M]]+Tabela2[[#This Row],[Gols V]]</f>
        <v>2</v>
      </c>
    </row>
    <row r="147" spans="1:15" x14ac:dyDescent="0.25">
      <c r="A147" s="19">
        <v>15</v>
      </c>
      <c r="B147" s="47" t="s">
        <v>78</v>
      </c>
      <c r="C147" s="48">
        <v>1</v>
      </c>
      <c r="D147" s="48">
        <v>1</v>
      </c>
      <c r="E147" s="47" t="s">
        <v>84</v>
      </c>
      <c r="F147" s="49" t="s">
        <v>95</v>
      </c>
      <c r="G147" s="49">
        <v>42568</v>
      </c>
      <c r="H147" s="49" t="s">
        <v>96</v>
      </c>
      <c r="I147" s="50" t="s">
        <v>33</v>
      </c>
      <c r="J147" s="19" t="str">
        <f>IF(Tabela2[[#This Row],[Gols M]]&lt;&gt;"",IF(Tabela2[[#This Row],[Gols M]]-Tabela2[[#This Row],[Gols V]]&gt;=0,IF(Tabela2[[#This Row],[Gols M]]-Tabela2[[#This Row],[Gols V]]&gt;0,"V","E"),"D"),"")</f>
        <v>E</v>
      </c>
      <c r="K147" s="19" t="str">
        <f>IF(Tabela2[[#This Row],[Gols M]]&lt;&gt;"",IF(Tabela2[[#This Row],[Gols V]]-Tabela2[[#This Row],[Gols M]]&gt;=0,IF(Tabela2[[#This Row],[Gols V]]-Tabela2[[#This Row],[Gols M]]&gt;0,"V","E"),"D"),"")</f>
        <v>E</v>
      </c>
      <c r="L147" s="19">
        <f>IF(OR('Por time'!E$2=Tabela2[[#This Row],[Mandante]], 'Por time'!E$2=Tabela2[[#This Row],[Visitante]]),1,0)</f>
        <v>0</v>
      </c>
      <c r="M147" s="25">
        <f>Tabela2[[#This Row],[Marcar time]]+M146</f>
        <v>15</v>
      </c>
      <c r="N147" s="25">
        <f>IMABS(Tabela2[[#This Row],[Gols M]]-Tabela2[[#This Row],[Gols V]])</f>
        <v>0</v>
      </c>
      <c r="O147" s="25">
        <f>Tabela2[[#This Row],[Gols M]]+Tabela2[[#This Row],[Gols V]]</f>
        <v>2</v>
      </c>
    </row>
    <row r="148" spans="1:15" x14ac:dyDescent="0.25">
      <c r="A148" s="19">
        <v>15</v>
      </c>
      <c r="B148" s="47" t="s">
        <v>86</v>
      </c>
      <c r="C148" s="48">
        <v>2</v>
      </c>
      <c r="D148" s="48">
        <v>0</v>
      </c>
      <c r="E148" s="47" t="s">
        <v>85</v>
      </c>
      <c r="F148" s="49" t="s">
        <v>95</v>
      </c>
      <c r="G148" s="49">
        <v>42568</v>
      </c>
      <c r="H148" s="49" t="s">
        <v>96</v>
      </c>
      <c r="I148" s="50" t="s">
        <v>3</v>
      </c>
      <c r="J148" s="19" t="str">
        <f>IF(Tabela2[[#This Row],[Gols M]]&lt;&gt;"",IF(Tabela2[[#This Row],[Gols M]]-Tabela2[[#This Row],[Gols V]]&gt;=0,IF(Tabela2[[#This Row],[Gols M]]-Tabela2[[#This Row],[Gols V]]&gt;0,"V","E"),"D"),"")</f>
        <v>V</v>
      </c>
      <c r="K148" s="19" t="str">
        <f>IF(Tabela2[[#This Row],[Gols M]]&lt;&gt;"",IF(Tabela2[[#This Row],[Gols V]]-Tabela2[[#This Row],[Gols M]]&gt;=0,IF(Tabela2[[#This Row],[Gols V]]-Tabela2[[#This Row],[Gols M]]&gt;0,"V","E"),"D"),"")</f>
        <v>D</v>
      </c>
      <c r="L148" s="19">
        <f>IF(OR('Por time'!E$2=Tabela2[[#This Row],[Mandante]], 'Por time'!E$2=Tabela2[[#This Row],[Visitante]]),1,0)</f>
        <v>0</v>
      </c>
      <c r="M148" s="25">
        <f>Tabela2[[#This Row],[Marcar time]]+M147</f>
        <v>15</v>
      </c>
      <c r="N148" s="25">
        <f>IMABS(Tabela2[[#This Row],[Gols M]]-Tabela2[[#This Row],[Gols V]])</f>
        <v>2</v>
      </c>
      <c r="O148" s="25">
        <f>Tabela2[[#This Row],[Gols M]]+Tabela2[[#This Row],[Gols V]]</f>
        <v>2</v>
      </c>
    </row>
    <row r="149" spans="1:15" x14ac:dyDescent="0.25">
      <c r="A149" s="19">
        <v>15</v>
      </c>
      <c r="B149" s="47" t="s">
        <v>80</v>
      </c>
      <c r="C149" s="48">
        <v>0</v>
      </c>
      <c r="D149" s="48">
        <v>1</v>
      </c>
      <c r="E149" s="47" t="s">
        <v>81</v>
      </c>
      <c r="F149" s="49" t="s">
        <v>95</v>
      </c>
      <c r="G149" s="49">
        <v>42568</v>
      </c>
      <c r="H149" s="49" t="s">
        <v>96</v>
      </c>
      <c r="I149" s="50" t="s">
        <v>27</v>
      </c>
      <c r="J149" s="19" t="str">
        <f>IF(Tabela2[[#This Row],[Gols M]]&lt;&gt;"",IF(Tabela2[[#This Row],[Gols M]]-Tabela2[[#This Row],[Gols V]]&gt;=0,IF(Tabela2[[#This Row],[Gols M]]-Tabela2[[#This Row],[Gols V]]&gt;0,"V","E"),"D"),"")</f>
        <v>D</v>
      </c>
      <c r="K149" s="19" t="str">
        <f>IF(Tabela2[[#This Row],[Gols M]]&lt;&gt;"",IF(Tabela2[[#This Row],[Gols V]]-Tabela2[[#This Row],[Gols M]]&gt;=0,IF(Tabela2[[#This Row],[Gols V]]-Tabela2[[#This Row],[Gols M]]&gt;0,"V","E"),"D"),"")</f>
        <v>V</v>
      </c>
      <c r="L149" s="19">
        <f>IF(OR('Por time'!E$2=Tabela2[[#This Row],[Mandante]], 'Por time'!E$2=Tabela2[[#This Row],[Visitante]]),1,0)</f>
        <v>0</v>
      </c>
      <c r="M149" s="25">
        <f>Tabela2[[#This Row],[Marcar time]]+M148</f>
        <v>15</v>
      </c>
      <c r="N149" s="25">
        <f>IMABS(Tabela2[[#This Row],[Gols M]]-Tabela2[[#This Row],[Gols V]])</f>
        <v>1</v>
      </c>
      <c r="O149" s="25">
        <f>Tabela2[[#This Row],[Gols M]]+Tabela2[[#This Row],[Gols V]]</f>
        <v>1</v>
      </c>
    </row>
    <row r="150" spans="1:15" x14ac:dyDescent="0.25">
      <c r="A150" s="19">
        <v>15</v>
      </c>
      <c r="B150" s="47" t="s">
        <v>89</v>
      </c>
      <c r="C150" s="48">
        <v>3</v>
      </c>
      <c r="D150" s="48">
        <v>1</v>
      </c>
      <c r="E150" s="47" t="s">
        <v>88</v>
      </c>
      <c r="F150" s="49" t="s">
        <v>98</v>
      </c>
      <c r="G150" s="49">
        <v>42567</v>
      </c>
      <c r="H150" s="49" t="s">
        <v>99</v>
      </c>
      <c r="I150" s="50" t="s">
        <v>6</v>
      </c>
      <c r="J150" s="19" t="str">
        <f>IF(Tabela2[[#This Row],[Gols M]]&lt;&gt;"",IF(Tabela2[[#This Row],[Gols M]]-Tabela2[[#This Row],[Gols V]]&gt;=0,IF(Tabela2[[#This Row],[Gols M]]-Tabela2[[#This Row],[Gols V]]&gt;0,"V","E"),"D"),"")</f>
        <v>V</v>
      </c>
      <c r="K150" s="19" t="str">
        <f>IF(Tabela2[[#This Row],[Gols M]]&lt;&gt;"",IF(Tabela2[[#This Row],[Gols V]]-Tabela2[[#This Row],[Gols M]]&gt;=0,IF(Tabela2[[#This Row],[Gols V]]-Tabela2[[#This Row],[Gols M]]&gt;0,"V","E"),"D"),"")</f>
        <v>D</v>
      </c>
      <c r="L150" s="19">
        <f>IF(OR('Por time'!E$2=Tabela2[[#This Row],[Mandante]], 'Por time'!E$2=Tabela2[[#This Row],[Visitante]]),1,0)</f>
        <v>0</v>
      </c>
      <c r="M150" s="25">
        <f>Tabela2[[#This Row],[Marcar time]]+M149</f>
        <v>15</v>
      </c>
      <c r="N150" s="25">
        <f>IMABS(Tabela2[[#This Row],[Gols M]]-Tabela2[[#This Row],[Gols V]])</f>
        <v>2</v>
      </c>
      <c r="O150" s="25">
        <f>Tabela2[[#This Row],[Gols M]]+Tabela2[[#This Row],[Gols V]]</f>
        <v>4</v>
      </c>
    </row>
    <row r="151" spans="1:15" x14ac:dyDescent="0.25">
      <c r="A151" s="19">
        <v>15</v>
      </c>
      <c r="B151" s="47" t="s">
        <v>90</v>
      </c>
      <c r="C151" s="48">
        <v>4</v>
      </c>
      <c r="D151" s="48">
        <v>2</v>
      </c>
      <c r="E151" s="47" t="s">
        <v>87</v>
      </c>
      <c r="F151" s="49" t="s">
        <v>95</v>
      </c>
      <c r="G151" s="49">
        <v>42568</v>
      </c>
      <c r="H151" s="49" t="s">
        <v>99</v>
      </c>
      <c r="I151" s="50" t="s">
        <v>8</v>
      </c>
      <c r="J151" s="19" t="str">
        <f>IF(Tabela2[[#This Row],[Gols M]]&lt;&gt;"",IF(Tabela2[[#This Row],[Gols M]]-Tabela2[[#This Row],[Gols V]]&gt;=0,IF(Tabela2[[#This Row],[Gols M]]-Tabela2[[#This Row],[Gols V]]&gt;0,"V","E"),"D"),"")</f>
        <v>V</v>
      </c>
      <c r="K151" s="19" t="str">
        <f>IF(Tabela2[[#This Row],[Gols M]]&lt;&gt;"",IF(Tabela2[[#This Row],[Gols V]]-Tabela2[[#This Row],[Gols M]]&gt;=0,IF(Tabela2[[#This Row],[Gols V]]-Tabela2[[#This Row],[Gols M]]&gt;0,"V","E"),"D"),"")</f>
        <v>D</v>
      </c>
      <c r="L151" s="19">
        <f>IF(OR('Por time'!E$2=Tabela2[[#This Row],[Mandante]], 'Por time'!E$2=Tabela2[[#This Row],[Visitante]]),1,0)</f>
        <v>0</v>
      </c>
      <c r="M151" s="25">
        <f>Tabela2[[#This Row],[Marcar time]]+M150</f>
        <v>15</v>
      </c>
      <c r="N151" s="25">
        <f>IMABS(Tabela2[[#This Row],[Gols M]]-Tabela2[[#This Row],[Gols V]])</f>
        <v>2</v>
      </c>
      <c r="O151" s="25">
        <f>Tabela2[[#This Row],[Gols M]]+Tabela2[[#This Row],[Gols V]]</f>
        <v>6</v>
      </c>
    </row>
    <row r="152" spans="1:15" x14ac:dyDescent="0.25">
      <c r="A152" s="19">
        <v>16</v>
      </c>
      <c r="B152" s="47" t="s">
        <v>83</v>
      </c>
      <c r="C152" s="48">
        <v>1</v>
      </c>
      <c r="D152" s="48">
        <v>0</v>
      </c>
      <c r="E152" s="47" t="s">
        <v>86</v>
      </c>
      <c r="F152" s="49" t="s">
        <v>95</v>
      </c>
      <c r="G152" s="49">
        <v>42575</v>
      </c>
      <c r="H152" s="49" t="s">
        <v>96</v>
      </c>
      <c r="I152" s="50" t="s">
        <v>0</v>
      </c>
      <c r="J152" s="19" t="str">
        <f>IF(Tabela2[[#This Row],[Gols M]]&lt;&gt;"",IF(Tabela2[[#This Row],[Gols M]]-Tabela2[[#This Row],[Gols V]]&gt;=0,IF(Tabela2[[#This Row],[Gols M]]-Tabela2[[#This Row],[Gols V]]&gt;0,"V","E"),"D"),"")</f>
        <v>V</v>
      </c>
      <c r="K152" s="19" t="str">
        <f>IF(Tabela2[[#This Row],[Gols M]]&lt;&gt;"",IF(Tabela2[[#This Row],[Gols V]]-Tabela2[[#This Row],[Gols M]]&gt;=0,IF(Tabela2[[#This Row],[Gols V]]-Tabela2[[#This Row],[Gols M]]&gt;0,"V","E"),"D"),"")</f>
        <v>D</v>
      </c>
      <c r="L152" s="19">
        <f>IF(OR('Por time'!E$2=Tabela2[[#This Row],[Mandante]], 'Por time'!E$2=Tabela2[[#This Row],[Visitante]]),1,0)</f>
        <v>1</v>
      </c>
      <c r="M152" s="25">
        <f>Tabela2[[#This Row],[Marcar time]]+M151</f>
        <v>16</v>
      </c>
      <c r="N152" s="25">
        <f>IMABS(Tabela2[[#This Row],[Gols M]]-Tabela2[[#This Row],[Gols V]])</f>
        <v>1</v>
      </c>
      <c r="O152" s="25">
        <f>Tabela2[[#This Row],[Gols M]]+Tabela2[[#This Row],[Gols V]]</f>
        <v>1</v>
      </c>
    </row>
    <row r="153" spans="1:15" x14ac:dyDescent="0.25">
      <c r="A153" s="19">
        <v>16</v>
      </c>
      <c r="B153" s="47" t="s">
        <v>84</v>
      </c>
      <c r="C153" s="48">
        <v>2</v>
      </c>
      <c r="D153" s="48">
        <v>1</v>
      </c>
      <c r="E153" s="47" t="s">
        <v>74</v>
      </c>
      <c r="F153" s="49" t="s">
        <v>95</v>
      </c>
      <c r="G153" s="49">
        <v>42575</v>
      </c>
      <c r="H153" s="49" t="s">
        <v>96</v>
      </c>
      <c r="I153" s="50" t="s">
        <v>1</v>
      </c>
      <c r="J153" s="19" t="str">
        <f>IF(Tabela2[[#This Row],[Gols M]]&lt;&gt;"",IF(Tabela2[[#This Row],[Gols M]]-Tabela2[[#This Row],[Gols V]]&gt;=0,IF(Tabela2[[#This Row],[Gols M]]-Tabela2[[#This Row],[Gols V]]&gt;0,"V","E"),"D"),"")</f>
        <v>V</v>
      </c>
      <c r="K153" s="19" t="str">
        <f>IF(Tabela2[[#This Row],[Gols M]]&lt;&gt;"",IF(Tabela2[[#This Row],[Gols V]]-Tabela2[[#This Row],[Gols M]]&gt;=0,IF(Tabela2[[#This Row],[Gols V]]-Tabela2[[#This Row],[Gols M]]&gt;0,"V","E"),"D"),"")</f>
        <v>D</v>
      </c>
      <c r="L153" s="19">
        <f>IF(OR('Por time'!E$2=Tabela2[[#This Row],[Mandante]], 'Por time'!E$2=Tabela2[[#This Row],[Visitante]]),1,0)</f>
        <v>0</v>
      </c>
      <c r="M153" s="25">
        <f>Tabela2[[#This Row],[Marcar time]]+M152</f>
        <v>16</v>
      </c>
      <c r="N153" s="25">
        <f>IMABS(Tabela2[[#This Row],[Gols M]]-Tabela2[[#This Row],[Gols V]])</f>
        <v>1</v>
      </c>
      <c r="O153" s="25">
        <f>Tabela2[[#This Row],[Gols M]]+Tabela2[[#This Row],[Gols V]]</f>
        <v>3</v>
      </c>
    </row>
    <row r="154" spans="1:15" x14ac:dyDescent="0.25">
      <c r="A154" s="19">
        <v>16</v>
      </c>
      <c r="B154" s="47" t="s">
        <v>77</v>
      </c>
      <c r="C154" s="48">
        <v>1</v>
      </c>
      <c r="D154" s="48">
        <v>1</v>
      </c>
      <c r="E154" s="47" t="s">
        <v>78</v>
      </c>
      <c r="F154" s="49" t="s">
        <v>98</v>
      </c>
      <c r="G154" s="49">
        <v>42574</v>
      </c>
      <c r="H154" s="49" t="s">
        <v>96</v>
      </c>
      <c r="I154" s="50" t="s">
        <v>18</v>
      </c>
      <c r="J154" s="19" t="str">
        <f>IF(Tabela2[[#This Row],[Gols M]]&lt;&gt;"",IF(Tabela2[[#This Row],[Gols M]]-Tabela2[[#This Row],[Gols V]]&gt;=0,IF(Tabela2[[#This Row],[Gols M]]-Tabela2[[#This Row],[Gols V]]&gt;0,"V","E"),"D"),"")</f>
        <v>E</v>
      </c>
      <c r="K154" s="19" t="str">
        <f>IF(Tabela2[[#This Row],[Gols M]]&lt;&gt;"",IF(Tabela2[[#This Row],[Gols V]]-Tabela2[[#This Row],[Gols M]]&gt;=0,IF(Tabela2[[#This Row],[Gols V]]-Tabela2[[#This Row],[Gols M]]&gt;0,"V","E"),"D"),"")</f>
        <v>E</v>
      </c>
      <c r="L154" s="19">
        <f>IF(OR('Por time'!E$2=Tabela2[[#This Row],[Mandante]], 'Por time'!E$2=Tabela2[[#This Row],[Visitante]]),1,0)</f>
        <v>0</v>
      </c>
      <c r="M154" s="25">
        <f>Tabela2[[#This Row],[Marcar time]]+M153</f>
        <v>16</v>
      </c>
      <c r="N154" s="25">
        <f>IMABS(Tabela2[[#This Row],[Gols M]]-Tabela2[[#This Row],[Gols V]])</f>
        <v>0</v>
      </c>
      <c r="O154" s="25">
        <f>Tabela2[[#This Row],[Gols M]]+Tabela2[[#This Row],[Gols V]]</f>
        <v>2</v>
      </c>
    </row>
    <row r="155" spans="1:15" x14ac:dyDescent="0.25">
      <c r="A155" s="19">
        <v>16</v>
      </c>
      <c r="B155" s="47" t="s">
        <v>85</v>
      </c>
      <c r="C155" s="48">
        <v>1</v>
      </c>
      <c r="D155" s="48">
        <v>2</v>
      </c>
      <c r="E155" s="47" t="s">
        <v>90</v>
      </c>
      <c r="F155" s="49" t="s">
        <v>95</v>
      </c>
      <c r="G155" s="49">
        <v>42575</v>
      </c>
      <c r="H155" s="49" t="s">
        <v>96</v>
      </c>
      <c r="I155" s="50" t="s">
        <v>2</v>
      </c>
      <c r="J155" s="19" t="str">
        <f>IF(Tabela2[[#This Row],[Gols M]]&lt;&gt;"",IF(Tabela2[[#This Row],[Gols M]]-Tabela2[[#This Row],[Gols V]]&gt;=0,IF(Tabela2[[#This Row],[Gols M]]-Tabela2[[#This Row],[Gols V]]&gt;0,"V","E"),"D"),"")</f>
        <v>D</v>
      </c>
      <c r="K155" s="19" t="str">
        <f>IF(Tabela2[[#This Row],[Gols M]]&lt;&gt;"",IF(Tabela2[[#This Row],[Gols V]]-Tabela2[[#This Row],[Gols M]]&gt;=0,IF(Tabela2[[#This Row],[Gols V]]-Tabela2[[#This Row],[Gols M]]&gt;0,"V","E"),"D"),"")</f>
        <v>V</v>
      </c>
      <c r="L155" s="19">
        <f>IF(OR('Por time'!E$2=Tabela2[[#This Row],[Mandante]], 'Por time'!E$2=Tabela2[[#This Row],[Visitante]]),1,0)</f>
        <v>0</v>
      </c>
      <c r="M155" s="25">
        <f>Tabela2[[#This Row],[Marcar time]]+M154</f>
        <v>16</v>
      </c>
      <c r="N155" s="25">
        <f>IMABS(Tabela2[[#This Row],[Gols M]]-Tabela2[[#This Row],[Gols V]])</f>
        <v>1</v>
      </c>
      <c r="O155" s="25">
        <f>Tabela2[[#This Row],[Gols M]]+Tabela2[[#This Row],[Gols V]]</f>
        <v>3</v>
      </c>
    </row>
    <row r="156" spans="1:15" x14ac:dyDescent="0.25">
      <c r="A156" s="19">
        <v>16</v>
      </c>
      <c r="B156" s="47" t="s">
        <v>79</v>
      </c>
      <c r="C156" s="48">
        <v>2</v>
      </c>
      <c r="D156" s="48">
        <v>1</v>
      </c>
      <c r="E156" s="47" t="s">
        <v>73</v>
      </c>
      <c r="F156" s="49" t="s">
        <v>113</v>
      </c>
      <c r="G156" s="49">
        <v>42576</v>
      </c>
      <c r="H156" s="49" t="s">
        <v>107</v>
      </c>
      <c r="I156" s="50" t="s">
        <v>48</v>
      </c>
      <c r="J156" s="19" t="str">
        <f>IF(Tabela2[[#This Row],[Gols M]]&lt;&gt;"",IF(Tabela2[[#This Row],[Gols M]]-Tabela2[[#This Row],[Gols V]]&gt;=0,IF(Tabela2[[#This Row],[Gols M]]-Tabela2[[#This Row],[Gols V]]&gt;0,"V","E"),"D"),"")</f>
        <v>V</v>
      </c>
      <c r="K156" s="19" t="str">
        <f>IF(Tabela2[[#This Row],[Gols M]]&lt;&gt;"",IF(Tabela2[[#This Row],[Gols V]]-Tabela2[[#This Row],[Gols M]]&gt;=0,IF(Tabela2[[#This Row],[Gols V]]-Tabela2[[#This Row],[Gols M]]&gt;0,"V","E"),"D"),"")</f>
        <v>D</v>
      </c>
      <c r="L156" s="19">
        <f>IF(OR('Por time'!E$2=Tabela2[[#This Row],[Mandante]], 'Por time'!E$2=Tabela2[[#This Row],[Visitante]]),1,0)</f>
        <v>0</v>
      </c>
      <c r="M156" s="25">
        <f>Tabela2[[#This Row],[Marcar time]]+M155</f>
        <v>16</v>
      </c>
      <c r="N156" s="25">
        <f>IMABS(Tabela2[[#This Row],[Gols M]]-Tabela2[[#This Row],[Gols V]])</f>
        <v>1</v>
      </c>
      <c r="O156" s="25">
        <f>Tabela2[[#This Row],[Gols M]]+Tabela2[[#This Row],[Gols V]]</f>
        <v>3</v>
      </c>
    </row>
    <row r="157" spans="1:15" x14ac:dyDescent="0.25">
      <c r="A157" s="19">
        <v>16</v>
      </c>
      <c r="B157" s="47" t="s">
        <v>87</v>
      </c>
      <c r="C157" s="48">
        <v>1</v>
      </c>
      <c r="D157" s="48">
        <v>0</v>
      </c>
      <c r="E157" s="47" t="s">
        <v>92</v>
      </c>
      <c r="F157" s="49" t="s">
        <v>95</v>
      </c>
      <c r="G157" s="49">
        <v>42575</v>
      </c>
      <c r="H157" s="49" t="s">
        <v>96</v>
      </c>
      <c r="I157" s="50" t="s">
        <v>4</v>
      </c>
      <c r="J157" s="19" t="str">
        <f>IF(Tabela2[[#This Row],[Gols M]]&lt;&gt;"",IF(Tabela2[[#This Row],[Gols M]]-Tabela2[[#This Row],[Gols V]]&gt;=0,IF(Tabela2[[#This Row],[Gols M]]-Tabela2[[#This Row],[Gols V]]&gt;0,"V","E"),"D"),"")</f>
        <v>V</v>
      </c>
      <c r="K157" s="19" t="str">
        <f>IF(Tabela2[[#This Row],[Gols M]]&lt;&gt;"",IF(Tabela2[[#This Row],[Gols V]]-Tabela2[[#This Row],[Gols M]]&gt;=0,IF(Tabela2[[#This Row],[Gols V]]-Tabela2[[#This Row],[Gols M]]&gt;0,"V","E"),"D"),"")</f>
        <v>D</v>
      </c>
      <c r="L157" s="19">
        <f>IF(OR('Por time'!E$2=Tabela2[[#This Row],[Mandante]], 'Por time'!E$2=Tabela2[[#This Row],[Visitante]]),1,0)</f>
        <v>0</v>
      </c>
      <c r="M157" s="25">
        <f>Tabela2[[#This Row],[Marcar time]]+M156</f>
        <v>16</v>
      </c>
      <c r="N157" s="25">
        <f>IMABS(Tabela2[[#This Row],[Gols M]]-Tabela2[[#This Row],[Gols V]])</f>
        <v>1</v>
      </c>
      <c r="O157" s="25">
        <f>Tabela2[[#This Row],[Gols M]]+Tabela2[[#This Row],[Gols V]]</f>
        <v>1</v>
      </c>
    </row>
    <row r="158" spans="1:15" x14ac:dyDescent="0.25">
      <c r="A158" s="19">
        <v>16</v>
      </c>
      <c r="B158" s="47" t="s">
        <v>81</v>
      </c>
      <c r="C158" s="48">
        <v>0</v>
      </c>
      <c r="D158" s="48">
        <v>1</v>
      </c>
      <c r="E158" s="47" t="s">
        <v>75</v>
      </c>
      <c r="F158" s="49" t="s">
        <v>95</v>
      </c>
      <c r="G158" s="49">
        <v>42575</v>
      </c>
      <c r="H158" s="49" t="s">
        <v>97</v>
      </c>
      <c r="I158" s="50" t="s">
        <v>30</v>
      </c>
      <c r="J158" s="19" t="str">
        <f>IF(Tabela2[[#This Row],[Gols M]]&lt;&gt;"",IF(Tabela2[[#This Row],[Gols M]]-Tabela2[[#This Row],[Gols V]]&gt;=0,IF(Tabela2[[#This Row],[Gols M]]-Tabela2[[#This Row],[Gols V]]&gt;0,"V","E"),"D"),"")</f>
        <v>D</v>
      </c>
      <c r="K158" s="19" t="str">
        <f>IF(Tabela2[[#This Row],[Gols M]]&lt;&gt;"",IF(Tabela2[[#This Row],[Gols V]]-Tabela2[[#This Row],[Gols M]]&gt;=0,IF(Tabela2[[#This Row],[Gols V]]-Tabela2[[#This Row],[Gols M]]&gt;0,"V","E"),"D"),"")</f>
        <v>V</v>
      </c>
      <c r="L158" s="19">
        <f>IF(OR('Por time'!E$2=Tabela2[[#This Row],[Mandante]], 'Por time'!E$2=Tabela2[[#This Row],[Visitante]]),1,0)</f>
        <v>0</v>
      </c>
      <c r="M158" s="25">
        <f>Tabela2[[#This Row],[Marcar time]]+M157</f>
        <v>16</v>
      </c>
      <c r="N158" s="25">
        <f>IMABS(Tabela2[[#This Row],[Gols M]]-Tabela2[[#This Row],[Gols V]])</f>
        <v>1</v>
      </c>
      <c r="O158" s="25">
        <f>Tabela2[[#This Row],[Gols M]]+Tabela2[[#This Row],[Gols V]]</f>
        <v>1</v>
      </c>
    </row>
    <row r="159" spans="1:15" x14ac:dyDescent="0.25">
      <c r="A159" s="19">
        <v>16</v>
      </c>
      <c r="B159" s="47" t="s">
        <v>88</v>
      </c>
      <c r="C159" s="48">
        <v>2</v>
      </c>
      <c r="D159" s="48">
        <v>2</v>
      </c>
      <c r="E159" s="47" t="s">
        <v>80</v>
      </c>
      <c r="F159" s="49" t="s">
        <v>95</v>
      </c>
      <c r="G159" s="49">
        <v>42575</v>
      </c>
      <c r="H159" s="49" t="s">
        <v>97</v>
      </c>
      <c r="I159" s="50" t="s">
        <v>5</v>
      </c>
      <c r="J159" s="19" t="str">
        <f>IF(Tabela2[[#This Row],[Gols M]]&lt;&gt;"",IF(Tabela2[[#This Row],[Gols M]]-Tabela2[[#This Row],[Gols V]]&gt;=0,IF(Tabela2[[#This Row],[Gols M]]-Tabela2[[#This Row],[Gols V]]&gt;0,"V","E"),"D"),"")</f>
        <v>E</v>
      </c>
      <c r="K159" s="19" t="str">
        <f>IF(Tabela2[[#This Row],[Gols M]]&lt;&gt;"",IF(Tabela2[[#This Row],[Gols V]]-Tabela2[[#This Row],[Gols M]]&gt;=0,IF(Tabela2[[#This Row],[Gols V]]-Tabela2[[#This Row],[Gols M]]&gt;0,"V","E"),"D"),"")</f>
        <v>E</v>
      </c>
      <c r="L159" s="19">
        <f>IF(OR('Por time'!E$2=Tabela2[[#This Row],[Mandante]], 'Por time'!E$2=Tabela2[[#This Row],[Visitante]]),1,0)</f>
        <v>0</v>
      </c>
      <c r="M159" s="25">
        <f>Tabela2[[#This Row],[Marcar time]]+M158</f>
        <v>16</v>
      </c>
      <c r="N159" s="25">
        <f>IMABS(Tabela2[[#This Row],[Gols M]]-Tabela2[[#This Row],[Gols V]])</f>
        <v>0</v>
      </c>
      <c r="O159" s="25">
        <f>Tabela2[[#This Row],[Gols M]]+Tabela2[[#This Row],[Gols V]]</f>
        <v>4</v>
      </c>
    </row>
    <row r="160" spans="1:15" x14ac:dyDescent="0.25">
      <c r="A160" s="19">
        <v>16</v>
      </c>
      <c r="B160" s="47" t="s">
        <v>82</v>
      </c>
      <c r="C160" s="48">
        <v>0</v>
      </c>
      <c r="D160" s="48">
        <v>1</v>
      </c>
      <c r="E160" s="47" t="s">
        <v>76</v>
      </c>
      <c r="F160" s="49" t="s">
        <v>98</v>
      </c>
      <c r="G160" s="49">
        <v>42574</v>
      </c>
      <c r="H160" s="49" t="s">
        <v>99</v>
      </c>
      <c r="I160" s="50" t="s">
        <v>36</v>
      </c>
      <c r="J160" s="19" t="str">
        <f>IF(Tabela2[[#This Row],[Gols M]]&lt;&gt;"",IF(Tabela2[[#This Row],[Gols M]]-Tabela2[[#This Row],[Gols V]]&gt;=0,IF(Tabela2[[#This Row],[Gols M]]-Tabela2[[#This Row],[Gols V]]&gt;0,"V","E"),"D"),"")</f>
        <v>D</v>
      </c>
      <c r="K160" s="19" t="str">
        <f>IF(Tabela2[[#This Row],[Gols M]]&lt;&gt;"",IF(Tabela2[[#This Row],[Gols V]]-Tabela2[[#This Row],[Gols M]]&gt;=0,IF(Tabela2[[#This Row],[Gols V]]-Tabela2[[#This Row],[Gols M]]&gt;0,"V","E"),"D"),"")</f>
        <v>V</v>
      </c>
      <c r="L160" s="19">
        <f>IF(OR('Por time'!E$2=Tabela2[[#This Row],[Mandante]], 'Por time'!E$2=Tabela2[[#This Row],[Visitante]]),1,0)</f>
        <v>0</v>
      </c>
      <c r="M160" s="25">
        <f>Tabela2[[#This Row],[Marcar time]]+M159</f>
        <v>16</v>
      </c>
      <c r="N160" s="25">
        <f>IMABS(Tabela2[[#This Row],[Gols M]]-Tabela2[[#This Row],[Gols V]])</f>
        <v>1</v>
      </c>
      <c r="O160" s="25">
        <f>Tabela2[[#This Row],[Gols M]]+Tabela2[[#This Row],[Gols V]]</f>
        <v>1</v>
      </c>
    </row>
    <row r="161" spans="1:15" x14ac:dyDescent="0.25">
      <c r="A161" s="19">
        <v>16</v>
      </c>
      <c r="B161" s="47" t="s">
        <v>91</v>
      </c>
      <c r="C161" s="48">
        <v>2</v>
      </c>
      <c r="D161" s="48">
        <v>3</v>
      </c>
      <c r="E161" s="47" t="s">
        <v>89</v>
      </c>
      <c r="F161" s="49" t="s">
        <v>95</v>
      </c>
      <c r="G161" s="49">
        <v>42575</v>
      </c>
      <c r="H161" s="49" t="s">
        <v>99</v>
      </c>
      <c r="I161" s="50" t="s">
        <v>9</v>
      </c>
      <c r="J161" s="19" t="str">
        <f>IF(Tabela2[[#This Row],[Gols M]]&lt;&gt;"",IF(Tabela2[[#This Row],[Gols M]]-Tabela2[[#This Row],[Gols V]]&gt;=0,IF(Tabela2[[#This Row],[Gols M]]-Tabela2[[#This Row],[Gols V]]&gt;0,"V","E"),"D"),"")</f>
        <v>D</v>
      </c>
      <c r="K161" s="19" t="str">
        <f>IF(Tabela2[[#This Row],[Gols M]]&lt;&gt;"",IF(Tabela2[[#This Row],[Gols V]]-Tabela2[[#This Row],[Gols M]]&gt;=0,IF(Tabela2[[#This Row],[Gols V]]-Tabela2[[#This Row],[Gols M]]&gt;0,"V","E"),"D"),"")</f>
        <v>V</v>
      </c>
      <c r="L161" s="19">
        <f>IF(OR('Por time'!E$2=Tabela2[[#This Row],[Mandante]], 'Por time'!E$2=Tabela2[[#This Row],[Visitante]]),1,0)</f>
        <v>0</v>
      </c>
      <c r="M161" s="25">
        <f>Tabela2[[#This Row],[Marcar time]]+M160</f>
        <v>16</v>
      </c>
      <c r="N161" s="25">
        <f>IMABS(Tabela2[[#This Row],[Gols M]]-Tabela2[[#This Row],[Gols V]])</f>
        <v>1</v>
      </c>
      <c r="O161" s="25">
        <f>Tabela2[[#This Row],[Gols M]]+Tabela2[[#This Row],[Gols V]]</f>
        <v>5</v>
      </c>
    </row>
    <row r="162" spans="1:15" x14ac:dyDescent="0.25">
      <c r="A162" s="19">
        <v>17</v>
      </c>
      <c r="B162" s="47" t="s">
        <v>73</v>
      </c>
      <c r="C162" s="48">
        <v>0</v>
      </c>
      <c r="D162" s="48">
        <v>0</v>
      </c>
      <c r="E162" s="47" t="s">
        <v>87</v>
      </c>
      <c r="F162" s="49" t="s">
        <v>95</v>
      </c>
      <c r="G162" s="49">
        <v>42582</v>
      </c>
      <c r="H162" s="49" t="s">
        <v>99</v>
      </c>
      <c r="I162" s="50" t="s">
        <v>11</v>
      </c>
      <c r="J162" s="19" t="str">
        <f>IF(Tabela2[[#This Row],[Gols M]]&lt;&gt;"",IF(Tabela2[[#This Row],[Gols M]]-Tabela2[[#This Row],[Gols V]]&gt;=0,IF(Tabela2[[#This Row],[Gols M]]-Tabela2[[#This Row],[Gols V]]&gt;0,"V","E"),"D"),"")</f>
        <v>E</v>
      </c>
      <c r="K162" s="19" t="str">
        <f>IF(Tabela2[[#This Row],[Gols M]]&lt;&gt;"",IF(Tabela2[[#This Row],[Gols V]]-Tabela2[[#This Row],[Gols M]]&gt;=0,IF(Tabela2[[#This Row],[Gols V]]-Tabela2[[#This Row],[Gols M]]&gt;0,"V","E"),"D"),"")</f>
        <v>E</v>
      </c>
      <c r="L162" s="19">
        <f>IF(OR('Por time'!E$2=Tabela2[[#This Row],[Mandante]], 'Por time'!E$2=Tabela2[[#This Row],[Visitante]]),1,0)</f>
        <v>0</v>
      </c>
      <c r="M162" s="25">
        <f>Tabela2[[#This Row],[Marcar time]]+M161</f>
        <v>16</v>
      </c>
      <c r="N162" s="25">
        <f>IMABS(Tabela2[[#This Row],[Gols M]]-Tabela2[[#This Row],[Gols V]])</f>
        <v>0</v>
      </c>
      <c r="O162" s="25">
        <f>Tabela2[[#This Row],[Gols M]]+Tabela2[[#This Row],[Gols V]]</f>
        <v>0</v>
      </c>
    </row>
    <row r="163" spans="1:15" x14ac:dyDescent="0.25">
      <c r="A163" s="19">
        <v>17</v>
      </c>
      <c r="B163" s="47" t="s">
        <v>74</v>
      </c>
      <c r="C163" s="48">
        <v>3</v>
      </c>
      <c r="D163" s="48">
        <v>1</v>
      </c>
      <c r="E163" s="47" t="s">
        <v>81</v>
      </c>
      <c r="F163" s="49" t="s">
        <v>95</v>
      </c>
      <c r="G163" s="49">
        <v>42582</v>
      </c>
      <c r="H163" s="49" t="s">
        <v>99</v>
      </c>
      <c r="I163" s="50" t="s">
        <v>14</v>
      </c>
      <c r="J163" s="19" t="str">
        <f>IF(Tabela2[[#This Row],[Gols M]]&lt;&gt;"",IF(Tabela2[[#This Row],[Gols M]]-Tabela2[[#This Row],[Gols V]]&gt;=0,IF(Tabela2[[#This Row],[Gols M]]-Tabela2[[#This Row],[Gols V]]&gt;0,"V","E"),"D"),"")</f>
        <v>V</v>
      </c>
      <c r="K163" s="19" t="str">
        <f>IF(Tabela2[[#This Row],[Gols M]]&lt;&gt;"",IF(Tabela2[[#This Row],[Gols V]]-Tabela2[[#This Row],[Gols M]]&gt;=0,IF(Tabela2[[#This Row],[Gols V]]-Tabela2[[#This Row],[Gols M]]&gt;0,"V","E"),"D"),"")</f>
        <v>D</v>
      </c>
      <c r="L163" s="19">
        <f>IF(OR('Por time'!E$2=Tabela2[[#This Row],[Mandante]], 'Por time'!E$2=Tabela2[[#This Row],[Visitante]]),1,0)</f>
        <v>0</v>
      </c>
      <c r="M163" s="25">
        <f>Tabela2[[#This Row],[Marcar time]]+M162</f>
        <v>16</v>
      </c>
      <c r="N163" s="25">
        <f>IMABS(Tabela2[[#This Row],[Gols M]]-Tabela2[[#This Row],[Gols V]])</f>
        <v>2</v>
      </c>
      <c r="O163" s="25">
        <f>Tabela2[[#This Row],[Gols M]]+Tabela2[[#This Row],[Gols V]]</f>
        <v>4</v>
      </c>
    </row>
    <row r="164" spans="1:15" x14ac:dyDescent="0.25">
      <c r="A164" s="19">
        <v>17</v>
      </c>
      <c r="B164" s="47" t="s">
        <v>75</v>
      </c>
      <c r="C164" s="48">
        <v>3</v>
      </c>
      <c r="D164" s="48">
        <v>0</v>
      </c>
      <c r="E164" s="47" t="s">
        <v>82</v>
      </c>
      <c r="F164" s="49" t="s">
        <v>98</v>
      </c>
      <c r="G164" s="49">
        <v>42581</v>
      </c>
      <c r="H164" s="49" t="s">
        <v>100</v>
      </c>
      <c r="I164" s="50" t="s">
        <v>11</v>
      </c>
      <c r="J164" s="19" t="str">
        <f>IF(Tabela2[[#This Row],[Gols M]]&lt;&gt;"",IF(Tabela2[[#This Row],[Gols M]]-Tabela2[[#This Row],[Gols V]]&gt;=0,IF(Tabela2[[#This Row],[Gols M]]-Tabela2[[#This Row],[Gols V]]&gt;0,"V","E"),"D"),"")</f>
        <v>V</v>
      </c>
      <c r="K164" s="19" t="str">
        <f>IF(Tabela2[[#This Row],[Gols M]]&lt;&gt;"",IF(Tabela2[[#This Row],[Gols V]]-Tabela2[[#This Row],[Gols M]]&gt;=0,IF(Tabela2[[#This Row],[Gols V]]-Tabela2[[#This Row],[Gols M]]&gt;0,"V","E"),"D"),"")</f>
        <v>D</v>
      </c>
      <c r="L164" s="19">
        <f>IF(OR('Por time'!E$2=Tabela2[[#This Row],[Mandante]], 'Por time'!E$2=Tabela2[[#This Row],[Visitante]]),1,0)</f>
        <v>0</v>
      </c>
      <c r="M164" s="25">
        <f>Tabela2[[#This Row],[Marcar time]]+M163</f>
        <v>16</v>
      </c>
      <c r="N164" s="25">
        <f>IMABS(Tabela2[[#This Row],[Gols M]]-Tabela2[[#This Row],[Gols V]])</f>
        <v>3</v>
      </c>
      <c r="O164" s="25">
        <f>Tabela2[[#This Row],[Gols M]]+Tabela2[[#This Row],[Gols V]]</f>
        <v>3</v>
      </c>
    </row>
    <row r="165" spans="1:15" x14ac:dyDescent="0.25">
      <c r="A165" s="19">
        <v>17</v>
      </c>
      <c r="B165" s="47" t="s">
        <v>76</v>
      </c>
      <c r="C165" s="48">
        <v>0</v>
      </c>
      <c r="D165" s="48">
        <v>2</v>
      </c>
      <c r="E165" s="47" t="s">
        <v>79</v>
      </c>
      <c r="F165" s="49" t="s">
        <v>95</v>
      </c>
      <c r="G165" s="49">
        <v>42582</v>
      </c>
      <c r="H165" s="49" t="s">
        <v>96</v>
      </c>
      <c r="I165" s="50" t="s">
        <v>40</v>
      </c>
      <c r="J165" s="19" t="str">
        <f>IF(Tabela2[[#This Row],[Gols M]]&lt;&gt;"",IF(Tabela2[[#This Row],[Gols M]]-Tabela2[[#This Row],[Gols V]]&gt;=0,IF(Tabela2[[#This Row],[Gols M]]-Tabela2[[#This Row],[Gols V]]&gt;0,"V","E"),"D"),"")</f>
        <v>D</v>
      </c>
      <c r="K165" s="19" t="str">
        <f>IF(Tabela2[[#This Row],[Gols M]]&lt;&gt;"",IF(Tabela2[[#This Row],[Gols V]]-Tabela2[[#This Row],[Gols M]]&gt;=0,IF(Tabela2[[#This Row],[Gols V]]-Tabela2[[#This Row],[Gols M]]&gt;0,"V","E"),"D"),"")</f>
        <v>V</v>
      </c>
      <c r="L165" s="19">
        <f>IF(OR('Por time'!E$2=Tabela2[[#This Row],[Mandante]], 'Por time'!E$2=Tabela2[[#This Row],[Visitante]]),1,0)</f>
        <v>0</v>
      </c>
      <c r="M165" s="25">
        <f>Tabela2[[#This Row],[Marcar time]]+M164</f>
        <v>16</v>
      </c>
      <c r="N165" s="25">
        <f>IMABS(Tabela2[[#This Row],[Gols M]]-Tabela2[[#This Row],[Gols V]])</f>
        <v>2</v>
      </c>
      <c r="O165" s="25">
        <f>Tabela2[[#This Row],[Gols M]]+Tabela2[[#This Row],[Gols V]]</f>
        <v>2</v>
      </c>
    </row>
    <row r="166" spans="1:15" x14ac:dyDescent="0.25">
      <c r="A166" s="19">
        <v>17</v>
      </c>
      <c r="B166" s="47" t="s">
        <v>78</v>
      </c>
      <c r="C166" s="48">
        <v>1</v>
      </c>
      <c r="D166" s="48">
        <v>0</v>
      </c>
      <c r="E166" s="47" t="s">
        <v>91</v>
      </c>
      <c r="F166" s="49" t="s">
        <v>98</v>
      </c>
      <c r="G166" s="49">
        <v>42581</v>
      </c>
      <c r="H166" s="49" t="s">
        <v>99</v>
      </c>
      <c r="I166" s="50" t="s">
        <v>33</v>
      </c>
      <c r="J166" s="19" t="str">
        <f>IF(Tabela2[[#This Row],[Gols M]]&lt;&gt;"",IF(Tabela2[[#This Row],[Gols M]]-Tabela2[[#This Row],[Gols V]]&gt;=0,IF(Tabela2[[#This Row],[Gols M]]-Tabela2[[#This Row],[Gols V]]&gt;0,"V","E"),"D"),"")</f>
        <v>V</v>
      </c>
      <c r="K166" s="19" t="str">
        <f>IF(Tabela2[[#This Row],[Gols M]]&lt;&gt;"",IF(Tabela2[[#This Row],[Gols V]]-Tabela2[[#This Row],[Gols M]]&gt;=0,IF(Tabela2[[#This Row],[Gols V]]-Tabela2[[#This Row],[Gols M]]&gt;0,"V","E"),"D"),"")</f>
        <v>D</v>
      </c>
      <c r="L166" s="19">
        <f>IF(OR('Por time'!E$2=Tabela2[[#This Row],[Mandante]], 'Por time'!E$2=Tabela2[[#This Row],[Visitante]]),1,0)</f>
        <v>0</v>
      </c>
      <c r="M166" s="25">
        <f>Tabela2[[#This Row],[Marcar time]]+M165</f>
        <v>16</v>
      </c>
      <c r="N166" s="25">
        <f>IMABS(Tabela2[[#This Row],[Gols M]]-Tabela2[[#This Row],[Gols V]])</f>
        <v>1</v>
      </c>
      <c r="O166" s="25">
        <f>Tabela2[[#This Row],[Gols M]]+Tabela2[[#This Row],[Gols V]]</f>
        <v>1</v>
      </c>
    </row>
    <row r="167" spans="1:15" x14ac:dyDescent="0.25">
      <c r="A167" s="19">
        <v>17</v>
      </c>
      <c r="B167" s="47" t="s">
        <v>86</v>
      </c>
      <c r="C167" s="48">
        <v>3</v>
      </c>
      <c r="D167" s="48">
        <v>0</v>
      </c>
      <c r="E167" s="47" t="s">
        <v>88</v>
      </c>
      <c r="F167" s="49" t="s">
        <v>95</v>
      </c>
      <c r="G167" s="49">
        <v>42582</v>
      </c>
      <c r="H167" s="49" t="s">
        <v>97</v>
      </c>
      <c r="I167" s="50" t="s">
        <v>3</v>
      </c>
      <c r="J167" s="19" t="str">
        <f>IF(Tabela2[[#This Row],[Gols M]]&lt;&gt;"",IF(Tabela2[[#This Row],[Gols M]]-Tabela2[[#This Row],[Gols V]]&gt;=0,IF(Tabela2[[#This Row],[Gols M]]-Tabela2[[#This Row],[Gols V]]&gt;0,"V","E"),"D"),"")</f>
        <v>V</v>
      </c>
      <c r="K167" s="19" t="str">
        <f>IF(Tabela2[[#This Row],[Gols M]]&lt;&gt;"",IF(Tabela2[[#This Row],[Gols V]]-Tabela2[[#This Row],[Gols M]]&gt;=0,IF(Tabela2[[#This Row],[Gols V]]-Tabela2[[#This Row],[Gols M]]&gt;0,"V","E"),"D"),"")</f>
        <v>D</v>
      </c>
      <c r="L167" s="19">
        <f>IF(OR('Por time'!E$2=Tabela2[[#This Row],[Mandante]], 'Por time'!E$2=Tabela2[[#This Row],[Visitante]]),1,0)</f>
        <v>0</v>
      </c>
      <c r="M167" s="25">
        <f>Tabela2[[#This Row],[Marcar time]]+M166</f>
        <v>16</v>
      </c>
      <c r="N167" s="25">
        <f>IMABS(Tabela2[[#This Row],[Gols M]]-Tabela2[[#This Row],[Gols V]])</f>
        <v>3</v>
      </c>
      <c r="O167" s="25">
        <f>Tabela2[[#This Row],[Gols M]]+Tabela2[[#This Row],[Gols V]]</f>
        <v>3</v>
      </c>
    </row>
    <row r="168" spans="1:15" x14ac:dyDescent="0.25">
      <c r="A168" s="19">
        <v>17</v>
      </c>
      <c r="B168" s="47" t="s">
        <v>80</v>
      </c>
      <c r="C168" s="48">
        <v>0</v>
      </c>
      <c r="D168" s="48">
        <v>1</v>
      </c>
      <c r="E168" s="47" t="s">
        <v>77</v>
      </c>
      <c r="F168" s="49" t="s">
        <v>95</v>
      </c>
      <c r="G168" s="49">
        <v>42582</v>
      </c>
      <c r="H168" s="49" t="s">
        <v>96</v>
      </c>
      <c r="I168" s="50" t="s">
        <v>27</v>
      </c>
      <c r="J168" s="19" t="str">
        <f>IF(Tabela2[[#This Row],[Gols M]]&lt;&gt;"",IF(Tabela2[[#This Row],[Gols M]]-Tabela2[[#This Row],[Gols V]]&gt;=0,IF(Tabela2[[#This Row],[Gols M]]-Tabela2[[#This Row],[Gols V]]&gt;0,"V","E"),"D"),"")</f>
        <v>D</v>
      </c>
      <c r="K168" s="19" t="str">
        <f>IF(Tabela2[[#This Row],[Gols M]]&lt;&gt;"",IF(Tabela2[[#This Row],[Gols V]]-Tabela2[[#This Row],[Gols M]]&gt;=0,IF(Tabela2[[#This Row],[Gols V]]-Tabela2[[#This Row],[Gols M]]&gt;0,"V","E"),"D"),"")</f>
        <v>V</v>
      </c>
      <c r="L168" s="19">
        <f>IF(OR('Por time'!E$2=Tabela2[[#This Row],[Mandante]], 'Por time'!E$2=Tabela2[[#This Row],[Visitante]]),1,0)</f>
        <v>0</v>
      </c>
      <c r="M168" s="25">
        <f>Tabela2[[#This Row],[Marcar time]]+M167</f>
        <v>16</v>
      </c>
      <c r="N168" s="25">
        <f>IMABS(Tabela2[[#This Row],[Gols M]]-Tabela2[[#This Row],[Gols V]])</f>
        <v>1</v>
      </c>
      <c r="O168" s="25">
        <f>Tabela2[[#This Row],[Gols M]]+Tabela2[[#This Row],[Gols V]]</f>
        <v>1</v>
      </c>
    </row>
    <row r="169" spans="1:15" x14ac:dyDescent="0.25">
      <c r="A169" s="19">
        <v>17</v>
      </c>
      <c r="B169" s="47" t="s">
        <v>89</v>
      </c>
      <c r="C169" s="48">
        <v>2</v>
      </c>
      <c r="D169" s="48">
        <v>0</v>
      </c>
      <c r="E169" s="47" t="s">
        <v>85</v>
      </c>
      <c r="F169" s="49" t="s">
        <v>95</v>
      </c>
      <c r="G169" s="49">
        <v>42582</v>
      </c>
      <c r="H169" s="49" t="s">
        <v>96</v>
      </c>
      <c r="I169" s="50" t="s">
        <v>6</v>
      </c>
      <c r="J169" s="19" t="str">
        <f>IF(Tabela2[[#This Row],[Gols M]]&lt;&gt;"",IF(Tabela2[[#This Row],[Gols M]]-Tabela2[[#This Row],[Gols V]]&gt;=0,IF(Tabela2[[#This Row],[Gols M]]-Tabela2[[#This Row],[Gols V]]&gt;0,"V","E"),"D"),"")</f>
        <v>V</v>
      </c>
      <c r="K169" s="19" t="str">
        <f>IF(Tabela2[[#This Row],[Gols M]]&lt;&gt;"",IF(Tabela2[[#This Row],[Gols V]]-Tabela2[[#This Row],[Gols M]]&gt;=0,IF(Tabela2[[#This Row],[Gols V]]-Tabela2[[#This Row],[Gols M]]&gt;0,"V","E"),"D"),"")</f>
        <v>D</v>
      </c>
      <c r="L169" s="19">
        <f>IF(OR('Por time'!E$2=Tabela2[[#This Row],[Mandante]], 'Por time'!E$2=Tabela2[[#This Row],[Visitante]]),1,0)</f>
        <v>0</v>
      </c>
      <c r="M169" s="25">
        <f>Tabela2[[#This Row],[Marcar time]]+M168</f>
        <v>16</v>
      </c>
      <c r="N169" s="25">
        <f>IMABS(Tabela2[[#This Row],[Gols M]]-Tabela2[[#This Row],[Gols V]])</f>
        <v>2</v>
      </c>
      <c r="O169" s="25">
        <f>Tabela2[[#This Row],[Gols M]]+Tabela2[[#This Row],[Gols V]]</f>
        <v>2</v>
      </c>
    </row>
    <row r="170" spans="1:15" x14ac:dyDescent="0.25">
      <c r="A170" s="19">
        <v>17</v>
      </c>
      <c r="B170" s="47" t="s">
        <v>92</v>
      </c>
      <c r="C170" s="48">
        <v>2</v>
      </c>
      <c r="D170" s="48">
        <v>2</v>
      </c>
      <c r="E170" s="47" t="s">
        <v>84</v>
      </c>
      <c r="F170" s="49" t="s">
        <v>95</v>
      </c>
      <c r="G170" s="49">
        <v>42582</v>
      </c>
      <c r="H170" s="49" t="s">
        <v>97</v>
      </c>
      <c r="I170" s="50" t="s">
        <v>41</v>
      </c>
      <c r="J170" s="19" t="str">
        <f>IF(Tabela2[[#This Row],[Gols M]]&lt;&gt;"",IF(Tabela2[[#This Row],[Gols M]]-Tabela2[[#This Row],[Gols V]]&gt;=0,IF(Tabela2[[#This Row],[Gols M]]-Tabela2[[#This Row],[Gols V]]&gt;0,"V","E"),"D"),"")</f>
        <v>E</v>
      </c>
      <c r="K170" s="19" t="str">
        <f>IF(Tabela2[[#This Row],[Gols M]]&lt;&gt;"",IF(Tabela2[[#This Row],[Gols V]]-Tabela2[[#This Row],[Gols M]]&gt;=0,IF(Tabela2[[#This Row],[Gols V]]-Tabela2[[#This Row],[Gols M]]&gt;0,"V","E"),"D"),"")</f>
        <v>E</v>
      </c>
      <c r="L170" s="19">
        <f>IF(OR('Por time'!E$2=Tabela2[[#This Row],[Mandante]], 'Por time'!E$2=Tabela2[[#This Row],[Visitante]]),1,0)</f>
        <v>0</v>
      </c>
      <c r="M170" s="25">
        <f>Tabela2[[#This Row],[Marcar time]]+M169</f>
        <v>16</v>
      </c>
      <c r="N170" s="25">
        <f>IMABS(Tabela2[[#This Row],[Gols M]]-Tabela2[[#This Row],[Gols V]])</f>
        <v>0</v>
      </c>
      <c r="O170" s="25">
        <f>Tabela2[[#This Row],[Gols M]]+Tabela2[[#This Row],[Gols V]]</f>
        <v>4</v>
      </c>
    </row>
    <row r="171" spans="1:15" x14ac:dyDescent="0.25">
      <c r="A171" s="19">
        <v>17</v>
      </c>
      <c r="B171" s="47" t="s">
        <v>90</v>
      </c>
      <c r="C171" s="48">
        <v>2</v>
      </c>
      <c r="D171" s="48">
        <v>0</v>
      </c>
      <c r="E171" s="47" t="s">
        <v>83</v>
      </c>
      <c r="F171" s="49" t="s">
        <v>98</v>
      </c>
      <c r="G171" s="49">
        <v>42581</v>
      </c>
      <c r="H171" s="49" t="s">
        <v>99</v>
      </c>
      <c r="I171" s="50" t="s">
        <v>8</v>
      </c>
      <c r="J171" s="19" t="str">
        <f>IF(Tabela2[[#This Row],[Gols M]]&lt;&gt;"",IF(Tabela2[[#This Row],[Gols M]]-Tabela2[[#This Row],[Gols V]]&gt;=0,IF(Tabela2[[#This Row],[Gols M]]-Tabela2[[#This Row],[Gols V]]&gt;0,"V","E"),"D"),"")</f>
        <v>V</v>
      </c>
      <c r="K171" s="19" t="str">
        <f>IF(Tabela2[[#This Row],[Gols M]]&lt;&gt;"",IF(Tabela2[[#This Row],[Gols V]]-Tabela2[[#This Row],[Gols M]]&gt;=0,IF(Tabela2[[#This Row],[Gols V]]-Tabela2[[#This Row],[Gols M]]&gt;0,"V","E"),"D"),"")</f>
        <v>D</v>
      </c>
      <c r="L171" s="19">
        <f>IF(OR('Por time'!E$2=Tabela2[[#This Row],[Mandante]], 'Por time'!E$2=Tabela2[[#This Row],[Visitante]]),1,0)</f>
        <v>1</v>
      </c>
      <c r="M171" s="25">
        <f>Tabela2[[#This Row],[Marcar time]]+M170</f>
        <v>17</v>
      </c>
      <c r="N171" s="25">
        <f>IMABS(Tabela2[[#This Row],[Gols M]]-Tabela2[[#This Row],[Gols V]])</f>
        <v>2</v>
      </c>
      <c r="O171" s="25">
        <f>Tabela2[[#This Row],[Gols M]]+Tabela2[[#This Row],[Gols V]]</f>
        <v>2</v>
      </c>
    </row>
    <row r="172" spans="1:15" x14ac:dyDescent="0.25">
      <c r="A172" s="19">
        <v>18</v>
      </c>
      <c r="B172" s="47" t="s">
        <v>83</v>
      </c>
      <c r="C172" s="48">
        <v>2</v>
      </c>
      <c r="D172" s="48">
        <v>0</v>
      </c>
      <c r="E172" s="47" t="s">
        <v>77</v>
      </c>
      <c r="F172" s="49" t="s">
        <v>101</v>
      </c>
      <c r="G172" s="49">
        <v>42585</v>
      </c>
      <c r="H172" s="49" t="s">
        <v>104</v>
      </c>
      <c r="I172" s="50" t="s">
        <v>0</v>
      </c>
      <c r="J172" s="19" t="str">
        <f>IF(Tabela2[[#This Row],[Gols M]]&lt;&gt;"",IF(Tabela2[[#This Row],[Gols M]]-Tabela2[[#This Row],[Gols V]]&gt;=0,IF(Tabela2[[#This Row],[Gols M]]-Tabela2[[#This Row],[Gols V]]&gt;0,"V","E"),"D"),"")</f>
        <v>V</v>
      </c>
      <c r="K172" s="19" t="str">
        <f>IF(Tabela2[[#This Row],[Gols M]]&lt;&gt;"",IF(Tabela2[[#This Row],[Gols V]]-Tabela2[[#This Row],[Gols M]]&gt;=0,IF(Tabela2[[#This Row],[Gols V]]-Tabela2[[#This Row],[Gols M]]&gt;0,"V","E"),"D"),"")</f>
        <v>D</v>
      </c>
      <c r="L172" s="19">
        <f>IF(OR('Por time'!E$2=Tabela2[[#This Row],[Mandante]], 'Por time'!E$2=Tabela2[[#This Row],[Visitante]]),1,0)</f>
        <v>1</v>
      </c>
      <c r="M172" s="25">
        <f>Tabela2[[#This Row],[Marcar time]]+M171</f>
        <v>18</v>
      </c>
      <c r="N172" s="25">
        <f>IMABS(Tabela2[[#This Row],[Gols M]]-Tabela2[[#This Row],[Gols V]])</f>
        <v>2</v>
      </c>
      <c r="O172" s="25">
        <f>Tabela2[[#This Row],[Gols M]]+Tabela2[[#This Row],[Gols V]]</f>
        <v>2</v>
      </c>
    </row>
    <row r="173" spans="1:15" x14ac:dyDescent="0.25">
      <c r="A173" s="19">
        <v>18</v>
      </c>
      <c r="B173" s="47" t="s">
        <v>84</v>
      </c>
      <c r="C173" s="48">
        <v>1</v>
      </c>
      <c r="D173" s="48">
        <v>1</v>
      </c>
      <c r="E173" s="47" t="s">
        <v>81</v>
      </c>
      <c r="F173" s="49" t="s">
        <v>103</v>
      </c>
      <c r="G173" s="49">
        <v>42586</v>
      </c>
      <c r="H173" s="49" t="s">
        <v>109</v>
      </c>
      <c r="I173" s="50" t="s">
        <v>1</v>
      </c>
      <c r="J173" s="19" t="str">
        <f>IF(Tabela2[[#This Row],[Gols M]]&lt;&gt;"",IF(Tabela2[[#This Row],[Gols M]]-Tabela2[[#This Row],[Gols V]]&gt;=0,IF(Tabela2[[#This Row],[Gols M]]-Tabela2[[#This Row],[Gols V]]&gt;0,"V","E"),"D"),"")</f>
        <v>E</v>
      </c>
      <c r="K173" s="19" t="str">
        <f>IF(Tabela2[[#This Row],[Gols M]]&lt;&gt;"",IF(Tabela2[[#This Row],[Gols V]]-Tabela2[[#This Row],[Gols M]]&gt;=0,IF(Tabela2[[#This Row],[Gols V]]-Tabela2[[#This Row],[Gols M]]&gt;0,"V","E"),"D"),"")</f>
        <v>E</v>
      </c>
      <c r="L173" s="19">
        <f>IF(OR('Por time'!E$2=Tabela2[[#This Row],[Mandante]], 'Por time'!E$2=Tabela2[[#This Row],[Visitante]]),1,0)</f>
        <v>0</v>
      </c>
      <c r="M173" s="25">
        <f>Tabela2[[#This Row],[Marcar time]]+M172</f>
        <v>18</v>
      </c>
      <c r="N173" s="25">
        <f>IMABS(Tabela2[[#This Row],[Gols M]]-Tabela2[[#This Row],[Gols V]])</f>
        <v>0</v>
      </c>
      <c r="O173" s="25">
        <f>Tabela2[[#This Row],[Gols M]]+Tabela2[[#This Row],[Gols V]]</f>
        <v>2</v>
      </c>
    </row>
    <row r="174" spans="1:15" x14ac:dyDescent="0.25">
      <c r="A174" s="19">
        <v>18</v>
      </c>
      <c r="B174" s="47" t="s">
        <v>85</v>
      </c>
      <c r="C174" s="48">
        <v>4</v>
      </c>
      <c r="D174" s="48">
        <v>2</v>
      </c>
      <c r="E174" s="47" t="s">
        <v>80</v>
      </c>
      <c r="F174" s="49" t="s">
        <v>103</v>
      </c>
      <c r="G174" s="49">
        <v>42586</v>
      </c>
      <c r="H174" s="49" t="s">
        <v>100</v>
      </c>
      <c r="I174" s="50" t="s">
        <v>11</v>
      </c>
      <c r="J174" s="19" t="str">
        <f>IF(Tabela2[[#This Row],[Gols M]]&lt;&gt;"",IF(Tabela2[[#This Row],[Gols M]]-Tabela2[[#This Row],[Gols V]]&gt;=0,IF(Tabela2[[#This Row],[Gols M]]-Tabela2[[#This Row],[Gols V]]&gt;0,"V","E"),"D"),"")</f>
        <v>V</v>
      </c>
      <c r="K174" s="19" t="str">
        <f>IF(Tabela2[[#This Row],[Gols M]]&lt;&gt;"",IF(Tabela2[[#This Row],[Gols V]]-Tabela2[[#This Row],[Gols M]]&gt;=0,IF(Tabela2[[#This Row],[Gols V]]-Tabela2[[#This Row],[Gols M]]&gt;0,"V","E"),"D"),"")</f>
        <v>D</v>
      </c>
      <c r="L174" s="19">
        <f>IF(OR('Por time'!E$2=Tabela2[[#This Row],[Mandante]], 'Por time'!E$2=Tabela2[[#This Row],[Visitante]]),1,0)</f>
        <v>0</v>
      </c>
      <c r="M174" s="25">
        <f>Tabela2[[#This Row],[Marcar time]]+M173</f>
        <v>18</v>
      </c>
      <c r="N174" s="25">
        <f>IMABS(Tabela2[[#This Row],[Gols M]]-Tabela2[[#This Row],[Gols V]])</f>
        <v>2</v>
      </c>
      <c r="O174" s="25">
        <f>Tabela2[[#This Row],[Gols M]]+Tabela2[[#This Row],[Gols V]]</f>
        <v>6</v>
      </c>
    </row>
    <row r="175" spans="1:15" x14ac:dyDescent="0.25">
      <c r="A175" s="19">
        <v>18</v>
      </c>
      <c r="B175" s="47" t="s">
        <v>86</v>
      </c>
      <c r="C175" s="48">
        <v>3</v>
      </c>
      <c r="D175" s="48">
        <v>2</v>
      </c>
      <c r="E175" s="47" t="s">
        <v>78</v>
      </c>
      <c r="F175" s="49" t="s">
        <v>98</v>
      </c>
      <c r="G175" s="49">
        <v>42616</v>
      </c>
      <c r="H175" s="49" t="s">
        <v>96</v>
      </c>
      <c r="I175" s="50" t="s">
        <v>3</v>
      </c>
      <c r="J175" s="19" t="str">
        <f>IF(Tabela2[[#This Row],[Gols M]]&lt;&gt;"",IF(Tabela2[[#This Row],[Gols M]]-Tabela2[[#This Row],[Gols V]]&gt;=0,IF(Tabela2[[#This Row],[Gols M]]-Tabela2[[#This Row],[Gols V]]&gt;0,"V","E"),"D"),"")</f>
        <v>V</v>
      </c>
      <c r="K175" s="19" t="str">
        <f>IF(Tabela2[[#This Row],[Gols M]]&lt;&gt;"",IF(Tabela2[[#This Row],[Gols V]]-Tabela2[[#This Row],[Gols M]]&gt;=0,IF(Tabela2[[#This Row],[Gols V]]-Tabela2[[#This Row],[Gols M]]&gt;0,"V","E"),"D"),"")</f>
        <v>D</v>
      </c>
      <c r="L175" s="19">
        <f>IF(OR('Por time'!E$2=Tabela2[[#This Row],[Mandante]], 'Por time'!E$2=Tabela2[[#This Row],[Visitante]]),1,0)</f>
        <v>0</v>
      </c>
      <c r="M175" s="25">
        <f>Tabela2[[#This Row],[Marcar time]]+M174</f>
        <v>18</v>
      </c>
      <c r="N175" s="25">
        <f>IMABS(Tabela2[[#This Row],[Gols M]]-Tabela2[[#This Row],[Gols V]])</f>
        <v>1</v>
      </c>
      <c r="O175" s="25">
        <f>Tabela2[[#This Row],[Gols M]]+Tabela2[[#This Row],[Gols V]]</f>
        <v>5</v>
      </c>
    </row>
    <row r="176" spans="1:15" x14ac:dyDescent="0.25">
      <c r="A176" s="19">
        <v>18</v>
      </c>
      <c r="B176" s="47" t="s">
        <v>87</v>
      </c>
      <c r="C176" s="48">
        <v>0</v>
      </c>
      <c r="D176" s="48">
        <v>0</v>
      </c>
      <c r="E176" s="47" t="s">
        <v>82</v>
      </c>
      <c r="F176" s="49" t="s">
        <v>103</v>
      </c>
      <c r="G176" s="49">
        <v>42586</v>
      </c>
      <c r="H176" s="49" t="s">
        <v>102</v>
      </c>
      <c r="I176" s="50" t="s">
        <v>4</v>
      </c>
      <c r="J176" s="19" t="str">
        <f>IF(Tabela2[[#This Row],[Gols M]]&lt;&gt;"",IF(Tabela2[[#This Row],[Gols M]]-Tabela2[[#This Row],[Gols V]]&gt;=0,IF(Tabela2[[#This Row],[Gols M]]-Tabela2[[#This Row],[Gols V]]&gt;0,"V","E"),"D"),"")</f>
        <v>E</v>
      </c>
      <c r="K176" s="19" t="str">
        <f>IF(Tabela2[[#This Row],[Gols M]]&lt;&gt;"",IF(Tabela2[[#This Row],[Gols V]]-Tabela2[[#This Row],[Gols M]]&gt;=0,IF(Tabela2[[#This Row],[Gols V]]-Tabela2[[#This Row],[Gols M]]&gt;0,"V","E"),"D"),"")</f>
        <v>E</v>
      </c>
      <c r="L176" s="19">
        <f>IF(OR('Por time'!E$2=Tabela2[[#This Row],[Mandante]], 'Por time'!E$2=Tabela2[[#This Row],[Visitante]]),1,0)</f>
        <v>0</v>
      </c>
      <c r="M176" s="25">
        <f>Tabela2[[#This Row],[Marcar time]]+M175</f>
        <v>18</v>
      </c>
      <c r="N176" s="25">
        <f>IMABS(Tabela2[[#This Row],[Gols M]]-Tabela2[[#This Row],[Gols V]])</f>
        <v>0</v>
      </c>
      <c r="O176" s="25">
        <f>Tabela2[[#This Row],[Gols M]]+Tabela2[[#This Row],[Gols V]]</f>
        <v>0</v>
      </c>
    </row>
    <row r="177" spans="1:15" x14ac:dyDescent="0.25">
      <c r="A177" s="19">
        <v>18</v>
      </c>
      <c r="B177" s="47" t="s">
        <v>88</v>
      </c>
      <c r="C177" s="48">
        <v>2</v>
      </c>
      <c r="D177" s="48">
        <v>0</v>
      </c>
      <c r="E177" s="47" t="s">
        <v>74</v>
      </c>
      <c r="F177" s="49" t="s">
        <v>103</v>
      </c>
      <c r="G177" s="49">
        <v>42586</v>
      </c>
      <c r="H177" s="49" t="s">
        <v>111</v>
      </c>
      <c r="I177" s="50" t="s">
        <v>5</v>
      </c>
      <c r="J177" s="19" t="str">
        <f>IF(Tabela2[[#This Row],[Gols M]]&lt;&gt;"",IF(Tabela2[[#This Row],[Gols M]]-Tabela2[[#This Row],[Gols V]]&gt;=0,IF(Tabela2[[#This Row],[Gols M]]-Tabela2[[#This Row],[Gols V]]&gt;0,"V","E"),"D"),"")</f>
        <v>V</v>
      </c>
      <c r="K177" s="19" t="str">
        <f>IF(Tabela2[[#This Row],[Gols M]]&lt;&gt;"",IF(Tabela2[[#This Row],[Gols V]]-Tabela2[[#This Row],[Gols M]]&gt;=0,IF(Tabela2[[#This Row],[Gols V]]-Tabela2[[#This Row],[Gols M]]&gt;0,"V","E"),"D"),"")</f>
        <v>D</v>
      </c>
      <c r="L177" s="19">
        <f>IF(OR('Por time'!E$2=Tabela2[[#This Row],[Mandante]], 'Por time'!E$2=Tabela2[[#This Row],[Visitante]]),1,0)</f>
        <v>0</v>
      </c>
      <c r="M177" s="25">
        <f>Tabela2[[#This Row],[Marcar time]]+M176</f>
        <v>18</v>
      </c>
      <c r="N177" s="25">
        <f>IMABS(Tabela2[[#This Row],[Gols M]]-Tabela2[[#This Row],[Gols V]])</f>
        <v>2</v>
      </c>
      <c r="O177" s="25">
        <f>Tabela2[[#This Row],[Gols M]]+Tabela2[[#This Row],[Gols V]]</f>
        <v>2</v>
      </c>
    </row>
    <row r="178" spans="1:15" x14ac:dyDescent="0.25">
      <c r="A178" s="19">
        <v>18</v>
      </c>
      <c r="B178" s="47" t="s">
        <v>89</v>
      </c>
      <c r="C178" s="48">
        <v>0</v>
      </c>
      <c r="D178" s="48">
        <v>0</v>
      </c>
      <c r="E178" s="47" t="s">
        <v>79</v>
      </c>
      <c r="F178" s="49" t="s">
        <v>101</v>
      </c>
      <c r="G178" s="49">
        <v>42585</v>
      </c>
      <c r="H178" s="49" t="s">
        <v>104</v>
      </c>
      <c r="I178" s="50" t="s">
        <v>43</v>
      </c>
      <c r="J178" s="19" t="str">
        <f>IF(Tabela2[[#This Row],[Gols M]]&lt;&gt;"",IF(Tabela2[[#This Row],[Gols M]]-Tabela2[[#This Row],[Gols V]]&gt;=0,IF(Tabela2[[#This Row],[Gols M]]-Tabela2[[#This Row],[Gols V]]&gt;0,"V","E"),"D"),"")</f>
        <v>E</v>
      </c>
      <c r="K178" s="19" t="str">
        <f>IF(Tabela2[[#This Row],[Gols M]]&lt;&gt;"",IF(Tabela2[[#This Row],[Gols V]]-Tabela2[[#This Row],[Gols M]]&gt;=0,IF(Tabela2[[#This Row],[Gols V]]-Tabela2[[#This Row],[Gols M]]&gt;0,"V","E"),"D"),"")</f>
        <v>E</v>
      </c>
      <c r="L178" s="19">
        <f>IF(OR('Por time'!E$2=Tabela2[[#This Row],[Mandante]], 'Por time'!E$2=Tabela2[[#This Row],[Visitante]]),1,0)</f>
        <v>0</v>
      </c>
      <c r="M178" s="25">
        <f>Tabela2[[#This Row],[Marcar time]]+M177</f>
        <v>18</v>
      </c>
      <c r="N178" s="25">
        <f>IMABS(Tabela2[[#This Row],[Gols M]]-Tabela2[[#This Row],[Gols V]])</f>
        <v>0</v>
      </c>
      <c r="O178" s="25">
        <f>Tabela2[[#This Row],[Gols M]]+Tabela2[[#This Row],[Gols V]]</f>
        <v>0</v>
      </c>
    </row>
    <row r="179" spans="1:15" x14ac:dyDescent="0.25">
      <c r="A179" s="19">
        <v>18</v>
      </c>
      <c r="B179" s="47" t="s">
        <v>92</v>
      </c>
      <c r="C179" s="48">
        <v>1</v>
      </c>
      <c r="D179" s="48">
        <v>2</v>
      </c>
      <c r="E179" s="47" t="s">
        <v>75</v>
      </c>
      <c r="F179" s="49" t="s">
        <v>103</v>
      </c>
      <c r="G179" s="49">
        <v>42586</v>
      </c>
      <c r="H179" s="49" t="s">
        <v>102</v>
      </c>
      <c r="I179" s="50" t="s">
        <v>41</v>
      </c>
      <c r="J179" s="19" t="str">
        <f>IF(Tabela2[[#This Row],[Gols M]]&lt;&gt;"",IF(Tabela2[[#This Row],[Gols M]]-Tabela2[[#This Row],[Gols V]]&gt;=0,IF(Tabela2[[#This Row],[Gols M]]-Tabela2[[#This Row],[Gols V]]&gt;0,"V","E"),"D"),"")</f>
        <v>D</v>
      </c>
      <c r="K179" s="19" t="str">
        <f>IF(Tabela2[[#This Row],[Gols M]]&lt;&gt;"",IF(Tabela2[[#This Row],[Gols V]]-Tabela2[[#This Row],[Gols M]]&gt;=0,IF(Tabela2[[#This Row],[Gols V]]-Tabela2[[#This Row],[Gols M]]&gt;0,"V","E"),"D"),"")</f>
        <v>V</v>
      </c>
      <c r="L179" s="19">
        <f>IF(OR('Por time'!E$2=Tabela2[[#This Row],[Mandante]], 'Por time'!E$2=Tabela2[[#This Row],[Visitante]]),1,0)</f>
        <v>0</v>
      </c>
      <c r="M179" s="25">
        <f>Tabela2[[#This Row],[Marcar time]]+M178</f>
        <v>18</v>
      </c>
      <c r="N179" s="25">
        <f>IMABS(Tabela2[[#This Row],[Gols M]]-Tabela2[[#This Row],[Gols V]])</f>
        <v>1</v>
      </c>
      <c r="O179" s="25">
        <f>Tabela2[[#This Row],[Gols M]]+Tabela2[[#This Row],[Gols V]]</f>
        <v>3</v>
      </c>
    </row>
    <row r="180" spans="1:15" x14ac:dyDescent="0.25">
      <c r="A180" s="19">
        <v>18</v>
      </c>
      <c r="B180" s="47" t="s">
        <v>90</v>
      </c>
      <c r="C180" s="48">
        <v>1</v>
      </c>
      <c r="D180" s="48">
        <v>1</v>
      </c>
      <c r="E180" s="47" t="s">
        <v>73</v>
      </c>
      <c r="F180" s="49" t="s">
        <v>101</v>
      </c>
      <c r="G180" s="49">
        <v>42585</v>
      </c>
      <c r="H180" s="49" t="s">
        <v>102</v>
      </c>
      <c r="I180" s="50" t="s">
        <v>8</v>
      </c>
      <c r="J180" s="19" t="str">
        <f>IF(Tabela2[[#This Row],[Gols M]]&lt;&gt;"",IF(Tabela2[[#This Row],[Gols M]]-Tabela2[[#This Row],[Gols V]]&gt;=0,IF(Tabela2[[#This Row],[Gols M]]-Tabela2[[#This Row],[Gols V]]&gt;0,"V","E"),"D"),"")</f>
        <v>E</v>
      </c>
      <c r="K180" s="19" t="str">
        <f>IF(Tabela2[[#This Row],[Gols M]]&lt;&gt;"",IF(Tabela2[[#This Row],[Gols V]]-Tabela2[[#This Row],[Gols M]]&gt;=0,IF(Tabela2[[#This Row],[Gols V]]-Tabela2[[#This Row],[Gols M]]&gt;0,"V","E"),"D"),"")</f>
        <v>E</v>
      </c>
      <c r="L180" s="19">
        <f>IF(OR('Por time'!E$2=Tabela2[[#This Row],[Mandante]], 'Por time'!E$2=Tabela2[[#This Row],[Visitante]]),1,0)</f>
        <v>0</v>
      </c>
      <c r="M180" s="25">
        <f>Tabela2[[#This Row],[Marcar time]]+M179</f>
        <v>18</v>
      </c>
      <c r="N180" s="25">
        <f>IMABS(Tabela2[[#This Row],[Gols M]]-Tabela2[[#This Row],[Gols V]])</f>
        <v>0</v>
      </c>
      <c r="O180" s="25">
        <f>Tabela2[[#This Row],[Gols M]]+Tabela2[[#This Row],[Gols V]]</f>
        <v>2</v>
      </c>
    </row>
    <row r="181" spans="1:15" x14ac:dyDescent="0.25">
      <c r="A181" s="19">
        <v>18</v>
      </c>
      <c r="B181" s="47" t="s">
        <v>91</v>
      </c>
      <c r="C181" s="48">
        <v>3</v>
      </c>
      <c r="D181" s="48">
        <v>1</v>
      </c>
      <c r="E181" s="47" t="s">
        <v>76</v>
      </c>
      <c r="F181" s="49" t="s">
        <v>101</v>
      </c>
      <c r="G181" s="49">
        <v>42585</v>
      </c>
      <c r="H181" s="49" t="s">
        <v>102</v>
      </c>
      <c r="I181" s="50" t="s">
        <v>52</v>
      </c>
      <c r="J181" s="19" t="str">
        <f>IF(Tabela2[[#This Row],[Gols M]]&lt;&gt;"",IF(Tabela2[[#This Row],[Gols M]]-Tabela2[[#This Row],[Gols V]]&gt;=0,IF(Tabela2[[#This Row],[Gols M]]-Tabela2[[#This Row],[Gols V]]&gt;0,"V","E"),"D"),"")</f>
        <v>V</v>
      </c>
      <c r="K181" s="19" t="str">
        <f>IF(Tabela2[[#This Row],[Gols M]]&lt;&gt;"",IF(Tabela2[[#This Row],[Gols V]]-Tabela2[[#This Row],[Gols M]]&gt;=0,IF(Tabela2[[#This Row],[Gols V]]-Tabela2[[#This Row],[Gols M]]&gt;0,"V","E"),"D"),"")</f>
        <v>D</v>
      </c>
      <c r="L181" s="19">
        <f>IF(OR('Por time'!E$2=Tabela2[[#This Row],[Mandante]], 'Por time'!E$2=Tabela2[[#This Row],[Visitante]]),1,0)</f>
        <v>0</v>
      </c>
      <c r="M181" s="25">
        <f>Tabela2[[#This Row],[Marcar time]]+M180</f>
        <v>18</v>
      </c>
      <c r="N181" s="25">
        <f>IMABS(Tabela2[[#This Row],[Gols M]]-Tabela2[[#This Row],[Gols V]])</f>
        <v>2</v>
      </c>
      <c r="O181" s="25">
        <f>Tabela2[[#This Row],[Gols M]]+Tabela2[[#This Row],[Gols V]]</f>
        <v>4</v>
      </c>
    </row>
    <row r="182" spans="1:15" x14ac:dyDescent="0.25">
      <c r="A182" s="19">
        <v>19</v>
      </c>
      <c r="B182" s="47" t="s">
        <v>73</v>
      </c>
      <c r="C182" s="48">
        <v>1</v>
      </c>
      <c r="D182" s="48">
        <v>0</v>
      </c>
      <c r="E182" s="47" t="s">
        <v>89</v>
      </c>
      <c r="F182" s="49" t="s">
        <v>95</v>
      </c>
      <c r="G182" s="49">
        <v>42589</v>
      </c>
      <c r="H182" s="49" t="s">
        <v>97</v>
      </c>
      <c r="I182" s="50" t="s">
        <v>11</v>
      </c>
      <c r="J182" s="19" t="str">
        <f>IF(Tabela2[[#This Row],[Gols M]]&lt;&gt;"",IF(Tabela2[[#This Row],[Gols M]]-Tabela2[[#This Row],[Gols V]]&gt;=0,IF(Tabela2[[#This Row],[Gols M]]-Tabela2[[#This Row],[Gols V]]&gt;0,"V","E"),"D"),"")</f>
        <v>V</v>
      </c>
      <c r="K182" s="19" t="str">
        <f>IF(Tabela2[[#This Row],[Gols M]]&lt;&gt;"",IF(Tabela2[[#This Row],[Gols V]]-Tabela2[[#This Row],[Gols M]]&gt;=0,IF(Tabela2[[#This Row],[Gols V]]-Tabela2[[#This Row],[Gols M]]&gt;0,"V","E"),"D"),"")</f>
        <v>D</v>
      </c>
      <c r="L182" s="19">
        <f>IF(OR('Por time'!E$2=Tabela2[[#This Row],[Mandante]], 'Por time'!E$2=Tabela2[[#This Row],[Visitante]]),1,0)</f>
        <v>0</v>
      </c>
      <c r="M182" s="25">
        <f>Tabela2[[#This Row],[Marcar time]]+M181</f>
        <v>18</v>
      </c>
      <c r="N182" s="25">
        <f>IMABS(Tabela2[[#This Row],[Gols M]]-Tabela2[[#This Row],[Gols V]])</f>
        <v>1</v>
      </c>
      <c r="O182" s="25">
        <f>Tabela2[[#This Row],[Gols M]]+Tabela2[[#This Row],[Gols V]]</f>
        <v>1</v>
      </c>
    </row>
    <row r="183" spans="1:15" x14ac:dyDescent="0.25">
      <c r="A183" s="19">
        <v>19</v>
      </c>
      <c r="B183" s="47" t="s">
        <v>74</v>
      </c>
      <c r="C183" s="48">
        <v>2</v>
      </c>
      <c r="D183" s="48">
        <v>1</v>
      </c>
      <c r="E183" s="47" t="s">
        <v>87</v>
      </c>
      <c r="F183" s="49" t="s">
        <v>95</v>
      </c>
      <c r="G183" s="49">
        <v>42617</v>
      </c>
      <c r="H183" s="49" t="s">
        <v>96</v>
      </c>
      <c r="I183" s="50" t="s">
        <v>14</v>
      </c>
      <c r="J183" s="19" t="str">
        <f>IF(Tabela2[[#This Row],[Gols M]]&lt;&gt;"",IF(Tabela2[[#This Row],[Gols M]]-Tabela2[[#This Row],[Gols V]]&gt;=0,IF(Tabela2[[#This Row],[Gols M]]-Tabela2[[#This Row],[Gols V]]&gt;0,"V","E"),"D"),"")</f>
        <v>V</v>
      </c>
      <c r="K183" s="19" t="str">
        <f>IF(Tabela2[[#This Row],[Gols M]]&lt;&gt;"",IF(Tabela2[[#This Row],[Gols V]]-Tabela2[[#This Row],[Gols M]]&gt;=0,IF(Tabela2[[#This Row],[Gols V]]-Tabela2[[#This Row],[Gols M]]&gt;0,"V","E"),"D"),"")</f>
        <v>D</v>
      </c>
      <c r="L183" s="19">
        <f>IF(OR('Por time'!E$2=Tabela2[[#This Row],[Mandante]], 'Por time'!E$2=Tabela2[[#This Row],[Visitante]]),1,0)</f>
        <v>0</v>
      </c>
      <c r="M183" s="25">
        <f>Tabela2[[#This Row],[Marcar time]]+M182</f>
        <v>18</v>
      </c>
      <c r="N183" s="25">
        <f>IMABS(Tabela2[[#This Row],[Gols M]]-Tabela2[[#This Row],[Gols V]])</f>
        <v>1</v>
      </c>
      <c r="O183" s="25">
        <f>Tabela2[[#This Row],[Gols M]]+Tabela2[[#This Row],[Gols V]]</f>
        <v>3</v>
      </c>
    </row>
    <row r="184" spans="1:15" x14ac:dyDescent="0.25">
      <c r="A184" s="19">
        <v>19</v>
      </c>
      <c r="B184" s="47" t="s">
        <v>75</v>
      </c>
      <c r="C184" s="48">
        <v>3</v>
      </c>
      <c r="D184" s="48">
        <v>1</v>
      </c>
      <c r="E184" s="47" t="s">
        <v>84</v>
      </c>
      <c r="F184" s="49" t="s">
        <v>113</v>
      </c>
      <c r="G184" s="49">
        <v>42590</v>
      </c>
      <c r="H184" s="49" t="s">
        <v>107</v>
      </c>
      <c r="I184" s="50" t="s">
        <v>11</v>
      </c>
      <c r="J184" s="19" t="str">
        <f>IF(Tabela2[[#This Row],[Gols M]]&lt;&gt;"",IF(Tabela2[[#This Row],[Gols M]]-Tabela2[[#This Row],[Gols V]]&gt;=0,IF(Tabela2[[#This Row],[Gols M]]-Tabela2[[#This Row],[Gols V]]&gt;0,"V","E"),"D"),"")</f>
        <v>V</v>
      </c>
      <c r="K184" s="19" t="str">
        <f>IF(Tabela2[[#This Row],[Gols M]]&lt;&gt;"",IF(Tabela2[[#This Row],[Gols V]]-Tabela2[[#This Row],[Gols M]]&gt;=0,IF(Tabela2[[#This Row],[Gols V]]-Tabela2[[#This Row],[Gols M]]&gt;0,"V","E"),"D"),"")</f>
        <v>D</v>
      </c>
      <c r="L184" s="19">
        <f>IF(OR('Por time'!E$2=Tabela2[[#This Row],[Mandante]], 'Por time'!E$2=Tabela2[[#This Row],[Visitante]]),1,0)</f>
        <v>0</v>
      </c>
      <c r="M184" s="25">
        <f>Tabela2[[#This Row],[Marcar time]]+M183</f>
        <v>18</v>
      </c>
      <c r="N184" s="25">
        <f>IMABS(Tabela2[[#This Row],[Gols M]]-Tabela2[[#This Row],[Gols V]])</f>
        <v>2</v>
      </c>
      <c r="O184" s="25">
        <f>Tabela2[[#This Row],[Gols M]]+Tabela2[[#This Row],[Gols V]]</f>
        <v>4</v>
      </c>
    </row>
    <row r="185" spans="1:15" x14ac:dyDescent="0.25">
      <c r="A185" s="19">
        <v>19</v>
      </c>
      <c r="B185" s="47" t="s">
        <v>76</v>
      </c>
      <c r="C185" s="48">
        <v>3</v>
      </c>
      <c r="D185" s="48">
        <v>1</v>
      </c>
      <c r="E185" s="47" t="s">
        <v>88</v>
      </c>
      <c r="F185" s="49" t="s">
        <v>95</v>
      </c>
      <c r="G185" s="49">
        <v>42589</v>
      </c>
      <c r="H185" s="49" t="s">
        <v>96</v>
      </c>
      <c r="I185" s="50" t="s">
        <v>40</v>
      </c>
      <c r="J185" s="19" t="str">
        <f>IF(Tabela2[[#This Row],[Gols M]]&lt;&gt;"",IF(Tabela2[[#This Row],[Gols M]]-Tabela2[[#This Row],[Gols V]]&gt;=0,IF(Tabela2[[#This Row],[Gols M]]-Tabela2[[#This Row],[Gols V]]&gt;0,"V","E"),"D"),"")</f>
        <v>V</v>
      </c>
      <c r="K185" s="19" t="str">
        <f>IF(Tabela2[[#This Row],[Gols M]]&lt;&gt;"",IF(Tabela2[[#This Row],[Gols V]]-Tabela2[[#This Row],[Gols M]]&gt;=0,IF(Tabela2[[#This Row],[Gols V]]-Tabela2[[#This Row],[Gols M]]&gt;0,"V","E"),"D"),"")</f>
        <v>D</v>
      </c>
      <c r="L185" s="19">
        <f>IF(OR('Por time'!E$2=Tabela2[[#This Row],[Mandante]], 'Por time'!E$2=Tabela2[[#This Row],[Visitante]]),1,0)</f>
        <v>0</v>
      </c>
      <c r="M185" s="25">
        <f>Tabela2[[#This Row],[Marcar time]]+M184</f>
        <v>18</v>
      </c>
      <c r="N185" s="25">
        <f>IMABS(Tabela2[[#This Row],[Gols M]]-Tabela2[[#This Row],[Gols V]])</f>
        <v>2</v>
      </c>
      <c r="O185" s="25">
        <f>Tabela2[[#This Row],[Gols M]]+Tabela2[[#This Row],[Gols V]]</f>
        <v>4</v>
      </c>
    </row>
    <row r="186" spans="1:15" x14ac:dyDescent="0.25">
      <c r="A186" s="19">
        <v>19</v>
      </c>
      <c r="B186" s="47" t="s">
        <v>77</v>
      </c>
      <c r="C186" s="48">
        <v>1</v>
      </c>
      <c r="D186" s="48">
        <v>1</v>
      </c>
      <c r="E186" s="47" t="s">
        <v>85</v>
      </c>
      <c r="F186" s="49" t="s">
        <v>113</v>
      </c>
      <c r="G186" s="49">
        <v>42590</v>
      </c>
      <c r="H186" s="49" t="s">
        <v>100</v>
      </c>
      <c r="I186" s="50" t="s">
        <v>7</v>
      </c>
      <c r="J186" s="19" t="str">
        <f>IF(Tabela2[[#This Row],[Gols M]]&lt;&gt;"",IF(Tabela2[[#This Row],[Gols M]]-Tabela2[[#This Row],[Gols V]]&gt;=0,IF(Tabela2[[#This Row],[Gols M]]-Tabela2[[#This Row],[Gols V]]&gt;0,"V","E"),"D"),"")</f>
        <v>E</v>
      </c>
      <c r="K186" s="19" t="str">
        <f>IF(Tabela2[[#This Row],[Gols M]]&lt;&gt;"",IF(Tabela2[[#This Row],[Gols V]]-Tabela2[[#This Row],[Gols M]]&gt;=0,IF(Tabela2[[#This Row],[Gols V]]-Tabela2[[#This Row],[Gols M]]&gt;0,"V","E"),"D"),"")</f>
        <v>E</v>
      </c>
      <c r="L186" s="19">
        <f>IF(OR('Por time'!E$2=Tabela2[[#This Row],[Mandante]], 'Por time'!E$2=Tabela2[[#This Row],[Visitante]]),1,0)</f>
        <v>0</v>
      </c>
      <c r="M186" s="25">
        <f>Tabela2[[#This Row],[Marcar time]]+M185</f>
        <v>18</v>
      </c>
      <c r="N186" s="25">
        <f>IMABS(Tabela2[[#This Row],[Gols M]]-Tabela2[[#This Row],[Gols V]])</f>
        <v>0</v>
      </c>
      <c r="O186" s="25">
        <f>Tabela2[[#This Row],[Gols M]]+Tabela2[[#This Row],[Gols V]]</f>
        <v>2</v>
      </c>
    </row>
    <row r="187" spans="1:15" x14ac:dyDescent="0.25">
      <c r="A187" s="19">
        <v>19</v>
      </c>
      <c r="B187" s="47" t="s">
        <v>78</v>
      </c>
      <c r="C187" s="48">
        <v>1</v>
      </c>
      <c r="D187" s="48">
        <v>1</v>
      </c>
      <c r="E187" s="47" t="s">
        <v>90</v>
      </c>
      <c r="F187" s="49" t="s">
        <v>95</v>
      </c>
      <c r="G187" s="49">
        <v>42589</v>
      </c>
      <c r="H187" s="49" t="s">
        <v>99</v>
      </c>
      <c r="I187" s="50" t="s">
        <v>33</v>
      </c>
      <c r="J187" s="19" t="str">
        <f>IF(Tabela2[[#This Row],[Gols M]]&lt;&gt;"",IF(Tabela2[[#This Row],[Gols M]]-Tabela2[[#This Row],[Gols V]]&gt;=0,IF(Tabela2[[#This Row],[Gols M]]-Tabela2[[#This Row],[Gols V]]&gt;0,"V","E"),"D"),"")</f>
        <v>E</v>
      </c>
      <c r="K187" s="19" t="str">
        <f>IF(Tabela2[[#This Row],[Gols M]]&lt;&gt;"",IF(Tabela2[[#This Row],[Gols V]]-Tabela2[[#This Row],[Gols M]]&gt;=0,IF(Tabela2[[#This Row],[Gols V]]-Tabela2[[#This Row],[Gols M]]&gt;0,"V","E"),"D"),"")</f>
        <v>E</v>
      </c>
      <c r="L187" s="19">
        <f>IF(OR('Por time'!E$2=Tabela2[[#This Row],[Mandante]], 'Por time'!E$2=Tabela2[[#This Row],[Visitante]]),1,0)</f>
        <v>0</v>
      </c>
      <c r="M187" s="25">
        <f>Tabela2[[#This Row],[Marcar time]]+M186</f>
        <v>18</v>
      </c>
      <c r="N187" s="25">
        <f>IMABS(Tabela2[[#This Row],[Gols M]]-Tabela2[[#This Row],[Gols V]])</f>
        <v>0</v>
      </c>
      <c r="O187" s="25">
        <f>Tabela2[[#This Row],[Gols M]]+Tabela2[[#This Row],[Gols V]]</f>
        <v>2</v>
      </c>
    </row>
    <row r="188" spans="1:15" x14ac:dyDescent="0.25">
      <c r="A188" s="19">
        <v>19</v>
      </c>
      <c r="B188" s="47" t="s">
        <v>79</v>
      </c>
      <c r="C188" s="48">
        <v>1</v>
      </c>
      <c r="D188" s="48">
        <v>0</v>
      </c>
      <c r="E188" s="47" t="s">
        <v>83</v>
      </c>
      <c r="F188" s="49" t="s">
        <v>98</v>
      </c>
      <c r="G188" s="49">
        <v>42588</v>
      </c>
      <c r="H188" s="49" t="s">
        <v>99</v>
      </c>
      <c r="I188" s="50" t="s">
        <v>48</v>
      </c>
      <c r="J188" s="19" t="str">
        <f>IF(Tabela2[[#This Row],[Gols M]]&lt;&gt;"",IF(Tabela2[[#This Row],[Gols M]]-Tabela2[[#This Row],[Gols V]]&gt;=0,IF(Tabela2[[#This Row],[Gols M]]-Tabela2[[#This Row],[Gols V]]&gt;0,"V","E"),"D"),"")</f>
        <v>V</v>
      </c>
      <c r="K188" s="19" t="str">
        <f>IF(Tabela2[[#This Row],[Gols M]]&lt;&gt;"",IF(Tabela2[[#This Row],[Gols V]]-Tabela2[[#This Row],[Gols M]]&gt;=0,IF(Tabela2[[#This Row],[Gols V]]-Tabela2[[#This Row],[Gols M]]&gt;0,"V","E"),"D"),"")</f>
        <v>D</v>
      </c>
      <c r="L188" s="19">
        <f>IF(OR('Por time'!E$2=Tabela2[[#This Row],[Mandante]], 'Por time'!E$2=Tabela2[[#This Row],[Visitante]]),1,0)</f>
        <v>1</v>
      </c>
      <c r="M188" s="25">
        <f>Tabela2[[#This Row],[Marcar time]]+M187</f>
        <v>19</v>
      </c>
      <c r="N188" s="25">
        <f>IMABS(Tabela2[[#This Row],[Gols M]]-Tabela2[[#This Row],[Gols V]])</f>
        <v>1</v>
      </c>
      <c r="O188" s="25">
        <f>Tabela2[[#This Row],[Gols M]]+Tabela2[[#This Row],[Gols V]]</f>
        <v>1</v>
      </c>
    </row>
    <row r="189" spans="1:15" x14ac:dyDescent="0.25">
      <c r="A189" s="19">
        <v>19</v>
      </c>
      <c r="B189" s="47" t="s">
        <v>80</v>
      </c>
      <c r="C189" s="48">
        <v>2</v>
      </c>
      <c r="D189" s="48">
        <v>2</v>
      </c>
      <c r="E189" s="47" t="s">
        <v>86</v>
      </c>
      <c r="F189" s="49" t="s">
        <v>95</v>
      </c>
      <c r="G189" s="49">
        <v>42589</v>
      </c>
      <c r="H189" s="49" t="s">
        <v>115</v>
      </c>
      <c r="I189" s="50" t="s">
        <v>27</v>
      </c>
      <c r="J189" s="19" t="str">
        <f>IF(Tabela2[[#This Row],[Gols M]]&lt;&gt;"",IF(Tabela2[[#This Row],[Gols M]]-Tabela2[[#This Row],[Gols V]]&gt;=0,IF(Tabela2[[#This Row],[Gols M]]-Tabela2[[#This Row],[Gols V]]&gt;0,"V","E"),"D"),"")</f>
        <v>E</v>
      </c>
      <c r="K189" s="19" t="str">
        <f>IF(Tabela2[[#This Row],[Gols M]]&lt;&gt;"",IF(Tabela2[[#This Row],[Gols V]]-Tabela2[[#This Row],[Gols M]]&gt;=0,IF(Tabela2[[#This Row],[Gols V]]-Tabela2[[#This Row],[Gols M]]&gt;0,"V","E"),"D"),"")</f>
        <v>E</v>
      </c>
      <c r="L189" s="19">
        <f>IF(OR('Por time'!E$2=Tabela2[[#This Row],[Mandante]], 'Por time'!E$2=Tabela2[[#This Row],[Visitante]]),1,0)</f>
        <v>0</v>
      </c>
      <c r="M189" s="25">
        <f>Tabela2[[#This Row],[Marcar time]]+M188</f>
        <v>19</v>
      </c>
      <c r="N189" s="25">
        <f>IMABS(Tabela2[[#This Row],[Gols M]]-Tabela2[[#This Row],[Gols V]])</f>
        <v>0</v>
      </c>
      <c r="O189" s="25">
        <f>Tabela2[[#This Row],[Gols M]]+Tabela2[[#This Row],[Gols V]]</f>
        <v>4</v>
      </c>
    </row>
    <row r="190" spans="1:15" x14ac:dyDescent="0.25">
      <c r="A190" s="19">
        <v>19</v>
      </c>
      <c r="B190" s="47" t="s">
        <v>81</v>
      </c>
      <c r="C190" s="48">
        <v>2</v>
      </c>
      <c r="D190" s="48">
        <v>1</v>
      </c>
      <c r="E190" s="47" t="s">
        <v>91</v>
      </c>
      <c r="F190" s="49" t="s">
        <v>95</v>
      </c>
      <c r="G190" s="49">
        <v>42589</v>
      </c>
      <c r="H190" s="49" t="s">
        <v>96</v>
      </c>
      <c r="I190" s="50" t="s">
        <v>30</v>
      </c>
      <c r="J190" s="19" t="str">
        <f>IF(Tabela2[[#This Row],[Gols M]]&lt;&gt;"",IF(Tabela2[[#This Row],[Gols M]]-Tabela2[[#This Row],[Gols V]]&gt;=0,IF(Tabela2[[#This Row],[Gols M]]-Tabela2[[#This Row],[Gols V]]&gt;0,"V","E"),"D"),"")</f>
        <v>V</v>
      </c>
      <c r="K190" s="19" t="str">
        <f>IF(Tabela2[[#This Row],[Gols M]]&lt;&gt;"",IF(Tabela2[[#This Row],[Gols V]]-Tabela2[[#This Row],[Gols M]]&gt;=0,IF(Tabela2[[#This Row],[Gols V]]-Tabela2[[#This Row],[Gols M]]&gt;0,"V","E"),"D"),"")</f>
        <v>D</v>
      </c>
      <c r="L190" s="19">
        <f>IF(OR('Por time'!E$2=Tabela2[[#This Row],[Mandante]], 'Por time'!E$2=Tabela2[[#This Row],[Visitante]]),1,0)</f>
        <v>0</v>
      </c>
      <c r="M190" s="25">
        <f>Tabela2[[#This Row],[Marcar time]]+M189</f>
        <v>19</v>
      </c>
      <c r="N190" s="25">
        <f>IMABS(Tabela2[[#This Row],[Gols M]]-Tabela2[[#This Row],[Gols V]])</f>
        <v>1</v>
      </c>
      <c r="O190" s="25">
        <f>Tabela2[[#This Row],[Gols M]]+Tabela2[[#This Row],[Gols V]]</f>
        <v>3</v>
      </c>
    </row>
    <row r="191" spans="1:15" x14ac:dyDescent="0.25">
      <c r="A191" s="19">
        <v>19</v>
      </c>
      <c r="B191" s="47" t="s">
        <v>82</v>
      </c>
      <c r="C191" s="48">
        <v>1</v>
      </c>
      <c r="D191" s="48">
        <v>2</v>
      </c>
      <c r="E191" s="47" t="s">
        <v>92</v>
      </c>
      <c r="F191" s="49" t="s">
        <v>95</v>
      </c>
      <c r="G191" s="49">
        <v>42589</v>
      </c>
      <c r="H191" s="49" t="s">
        <v>115</v>
      </c>
      <c r="I191" s="50" t="s">
        <v>36</v>
      </c>
      <c r="J191" s="19" t="str">
        <f>IF(Tabela2[[#This Row],[Gols M]]&lt;&gt;"",IF(Tabela2[[#This Row],[Gols M]]-Tabela2[[#This Row],[Gols V]]&gt;=0,IF(Tabela2[[#This Row],[Gols M]]-Tabela2[[#This Row],[Gols V]]&gt;0,"V","E"),"D"),"")</f>
        <v>D</v>
      </c>
      <c r="K191" s="19" t="str">
        <f>IF(Tabela2[[#This Row],[Gols M]]&lt;&gt;"",IF(Tabela2[[#This Row],[Gols V]]-Tabela2[[#This Row],[Gols M]]&gt;=0,IF(Tabela2[[#This Row],[Gols V]]-Tabela2[[#This Row],[Gols M]]&gt;0,"V","E"),"D"),"")</f>
        <v>V</v>
      </c>
      <c r="L191" s="19">
        <f>IF(OR('Por time'!E$2=Tabela2[[#This Row],[Mandante]], 'Por time'!E$2=Tabela2[[#This Row],[Visitante]]),1,0)</f>
        <v>0</v>
      </c>
      <c r="M191" s="25">
        <f>Tabela2[[#This Row],[Marcar time]]+M190</f>
        <v>19</v>
      </c>
      <c r="N191" s="25">
        <f>IMABS(Tabela2[[#This Row],[Gols M]]-Tabela2[[#This Row],[Gols V]])</f>
        <v>1</v>
      </c>
      <c r="O191" s="25">
        <f>Tabela2[[#This Row],[Gols M]]+Tabela2[[#This Row],[Gols V]]</f>
        <v>3</v>
      </c>
    </row>
    <row r="192" spans="1:15" x14ac:dyDescent="0.25">
      <c r="A192" s="19">
        <v>20</v>
      </c>
      <c r="B192" s="47" t="s">
        <v>83</v>
      </c>
      <c r="C192" s="48">
        <v>0</v>
      </c>
      <c r="D192" s="48">
        <v>1</v>
      </c>
      <c r="E192" s="47" t="s">
        <v>81</v>
      </c>
      <c r="F192" s="49" t="s">
        <v>95</v>
      </c>
      <c r="G192" s="49">
        <v>42596</v>
      </c>
      <c r="H192" s="49" t="s">
        <v>99</v>
      </c>
      <c r="I192" s="50" t="s">
        <v>0</v>
      </c>
      <c r="J192" s="19" t="str">
        <f>IF(Tabela2[[#This Row],[Gols M]]&lt;&gt;"",IF(Tabela2[[#This Row],[Gols M]]-Tabela2[[#This Row],[Gols V]]&gt;=0,IF(Tabela2[[#This Row],[Gols M]]-Tabela2[[#This Row],[Gols V]]&gt;0,"V","E"),"D"),"")</f>
        <v>D</v>
      </c>
      <c r="K192" s="19" t="str">
        <f>IF(Tabela2[[#This Row],[Gols M]]&lt;&gt;"",IF(Tabela2[[#This Row],[Gols V]]-Tabela2[[#This Row],[Gols M]]&gt;=0,IF(Tabela2[[#This Row],[Gols V]]-Tabela2[[#This Row],[Gols M]]&gt;0,"V","E"),"D"),"")</f>
        <v>V</v>
      </c>
      <c r="L192" s="19">
        <f>IF(OR('Por time'!E$2=Tabela2[[#This Row],[Mandante]], 'Por time'!E$2=Tabela2[[#This Row],[Visitante]]),1,0)</f>
        <v>1</v>
      </c>
      <c r="M192" s="25">
        <f>Tabela2[[#This Row],[Marcar time]]+M191</f>
        <v>20</v>
      </c>
      <c r="N192" s="25">
        <f>IMABS(Tabela2[[#This Row],[Gols M]]-Tabela2[[#This Row],[Gols V]])</f>
        <v>1</v>
      </c>
      <c r="O192" s="25">
        <f>Tabela2[[#This Row],[Gols M]]+Tabela2[[#This Row],[Gols V]]</f>
        <v>1</v>
      </c>
    </row>
    <row r="193" spans="1:15" x14ac:dyDescent="0.25">
      <c r="A193" s="19">
        <v>20</v>
      </c>
      <c r="B193" s="47" t="s">
        <v>84</v>
      </c>
      <c r="C193" s="48">
        <v>1</v>
      </c>
      <c r="D193" s="48">
        <v>0</v>
      </c>
      <c r="E193" s="47" t="s">
        <v>80</v>
      </c>
      <c r="F193" s="49" t="s">
        <v>113</v>
      </c>
      <c r="G193" s="49">
        <v>42597</v>
      </c>
      <c r="H193" s="49" t="s">
        <v>107</v>
      </c>
      <c r="I193" s="50" t="s">
        <v>1</v>
      </c>
      <c r="J193" s="19" t="str">
        <f>IF(Tabela2[[#This Row],[Gols M]]&lt;&gt;"",IF(Tabela2[[#This Row],[Gols M]]-Tabela2[[#This Row],[Gols V]]&gt;=0,IF(Tabela2[[#This Row],[Gols M]]-Tabela2[[#This Row],[Gols V]]&gt;0,"V","E"),"D"),"")</f>
        <v>V</v>
      </c>
      <c r="K193" s="19" t="str">
        <f>IF(Tabela2[[#This Row],[Gols M]]&lt;&gt;"",IF(Tabela2[[#This Row],[Gols V]]-Tabela2[[#This Row],[Gols M]]&gt;=0,IF(Tabela2[[#This Row],[Gols V]]-Tabela2[[#This Row],[Gols M]]&gt;0,"V","E"),"D"),"")</f>
        <v>D</v>
      </c>
      <c r="L193" s="19">
        <f>IF(OR('Por time'!E$2=Tabela2[[#This Row],[Mandante]], 'Por time'!E$2=Tabela2[[#This Row],[Visitante]]),1,0)</f>
        <v>0</v>
      </c>
      <c r="M193" s="25">
        <f>Tabela2[[#This Row],[Marcar time]]+M192</f>
        <v>20</v>
      </c>
      <c r="N193" s="25">
        <f>IMABS(Tabela2[[#This Row],[Gols M]]-Tabela2[[#This Row],[Gols V]])</f>
        <v>1</v>
      </c>
      <c r="O193" s="25">
        <f>Tabela2[[#This Row],[Gols M]]+Tabela2[[#This Row],[Gols V]]</f>
        <v>1</v>
      </c>
    </row>
    <row r="194" spans="1:15" x14ac:dyDescent="0.25">
      <c r="A194" s="19">
        <v>20</v>
      </c>
      <c r="B194" s="47" t="s">
        <v>85</v>
      </c>
      <c r="C194" s="48">
        <v>2</v>
      </c>
      <c r="D194" s="48">
        <v>2</v>
      </c>
      <c r="E194" s="47" t="s">
        <v>76</v>
      </c>
      <c r="F194" s="49" t="s">
        <v>95</v>
      </c>
      <c r="G194" s="49">
        <v>42596</v>
      </c>
      <c r="H194" s="49" t="s">
        <v>96</v>
      </c>
      <c r="I194" s="50" t="s">
        <v>11</v>
      </c>
      <c r="J194" s="19" t="str">
        <f>IF(Tabela2[[#This Row],[Gols M]]&lt;&gt;"",IF(Tabela2[[#This Row],[Gols M]]-Tabela2[[#This Row],[Gols V]]&gt;=0,IF(Tabela2[[#This Row],[Gols M]]-Tabela2[[#This Row],[Gols V]]&gt;0,"V","E"),"D"),"")</f>
        <v>E</v>
      </c>
      <c r="K194" s="19" t="str">
        <f>IF(Tabela2[[#This Row],[Gols M]]&lt;&gt;"",IF(Tabela2[[#This Row],[Gols V]]-Tabela2[[#This Row],[Gols M]]&gt;=0,IF(Tabela2[[#This Row],[Gols V]]-Tabela2[[#This Row],[Gols M]]&gt;0,"V","E"),"D"),"")</f>
        <v>E</v>
      </c>
      <c r="L194" s="19">
        <f>IF(OR('Por time'!E$2=Tabela2[[#This Row],[Mandante]], 'Por time'!E$2=Tabela2[[#This Row],[Visitante]]),1,0)</f>
        <v>0</v>
      </c>
      <c r="M194" s="25">
        <f>Tabela2[[#This Row],[Marcar time]]+M193</f>
        <v>20</v>
      </c>
      <c r="N194" s="25">
        <f>IMABS(Tabela2[[#This Row],[Gols M]]-Tabela2[[#This Row],[Gols V]])</f>
        <v>0</v>
      </c>
      <c r="O194" s="25">
        <f>Tabela2[[#This Row],[Gols M]]+Tabela2[[#This Row],[Gols V]]</f>
        <v>4</v>
      </c>
    </row>
    <row r="195" spans="1:15" x14ac:dyDescent="0.25">
      <c r="A195" s="19">
        <v>20</v>
      </c>
      <c r="B195" s="47" t="s">
        <v>86</v>
      </c>
      <c r="C195" s="48">
        <v>1</v>
      </c>
      <c r="D195" s="48">
        <v>0</v>
      </c>
      <c r="E195" s="47" t="s">
        <v>73</v>
      </c>
      <c r="F195" s="49" t="s">
        <v>95</v>
      </c>
      <c r="G195" s="49">
        <v>42596</v>
      </c>
      <c r="H195" s="49" t="s">
        <v>97</v>
      </c>
      <c r="I195" s="50" t="s">
        <v>48</v>
      </c>
      <c r="J195" s="19" t="str">
        <f>IF(Tabela2[[#This Row],[Gols M]]&lt;&gt;"",IF(Tabela2[[#This Row],[Gols M]]-Tabela2[[#This Row],[Gols V]]&gt;=0,IF(Tabela2[[#This Row],[Gols M]]-Tabela2[[#This Row],[Gols V]]&gt;0,"V","E"),"D"),"")</f>
        <v>V</v>
      </c>
      <c r="K195" s="19" t="str">
        <f>IF(Tabela2[[#This Row],[Gols M]]&lt;&gt;"",IF(Tabela2[[#This Row],[Gols V]]-Tabela2[[#This Row],[Gols M]]&gt;=0,IF(Tabela2[[#This Row],[Gols V]]-Tabela2[[#This Row],[Gols M]]&gt;0,"V","E"),"D"),"")</f>
        <v>D</v>
      </c>
      <c r="L195" s="19">
        <f>IF(OR('Por time'!E$2=Tabela2[[#This Row],[Mandante]], 'Por time'!E$2=Tabela2[[#This Row],[Visitante]]),1,0)</f>
        <v>0</v>
      </c>
      <c r="M195" s="25">
        <f>Tabela2[[#This Row],[Marcar time]]+M194</f>
        <v>20</v>
      </c>
      <c r="N195" s="25">
        <f>IMABS(Tabela2[[#This Row],[Gols M]]-Tabela2[[#This Row],[Gols V]])</f>
        <v>1</v>
      </c>
      <c r="O195" s="25">
        <f>Tabela2[[#This Row],[Gols M]]+Tabela2[[#This Row],[Gols V]]</f>
        <v>1</v>
      </c>
    </row>
    <row r="196" spans="1:15" x14ac:dyDescent="0.25">
      <c r="A196" s="19">
        <v>20</v>
      </c>
      <c r="B196" s="47" t="s">
        <v>87</v>
      </c>
      <c r="C196" s="48">
        <v>3</v>
      </c>
      <c r="D196" s="48">
        <v>0</v>
      </c>
      <c r="E196" s="47" t="s">
        <v>77</v>
      </c>
      <c r="F196" s="49" t="s">
        <v>95</v>
      </c>
      <c r="G196" s="49">
        <v>42596</v>
      </c>
      <c r="H196" s="49" t="s">
        <v>97</v>
      </c>
      <c r="I196" s="50" t="s">
        <v>4</v>
      </c>
      <c r="J196" s="19" t="str">
        <f>IF(Tabela2[[#This Row],[Gols M]]&lt;&gt;"",IF(Tabela2[[#This Row],[Gols M]]-Tabela2[[#This Row],[Gols V]]&gt;=0,IF(Tabela2[[#This Row],[Gols M]]-Tabela2[[#This Row],[Gols V]]&gt;0,"V","E"),"D"),"")</f>
        <v>V</v>
      </c>
      <c r="K196" s="19" t="str">
        <f>IF(Tabela2[[#This Row],[Gols M]]&lt;&gt;"",IF(Tabela2[[#This Row],[Gols V]]-Tabela2[[#This Row],[Gols M]]&gt;=0,IF(Tabela2[[#This Row],[Gols V]]-Tabela2[[#This Row],[Gols M]]&gt;0,"V","E"),"D"),"")</f>
        <v>D</v>
      </c>
      <c r="L196" s="19">
        <f>IF(OR('Por time'!E$2=Tabela2[[#This Row],[Mandante]], 'Por time'!E$2=Tabela2[[#This Row],[Visitante]]),1,0)</f>
        <v>0</v>
      </c>
      <c r="M196" s="25">
        <f>Tabela2[[#This Row],[Marcar time]]+M195</f>
        <v>20</v>
      </c>
      <c r="N196" s="25">
        <f>IMABS(Tabela2[[#This Row],[Gols M]]-Tabela2[[#This Row],[Gols V]])</f>
        <v>3</v>
      </c>
      <c r="O196" s="25">
        <f>Tabela2[[#This Row],[Gols M]]+Tabela2[[#This Row],[Gols V]]</f>
        <v>3</v>
      </c>
    </row>
    <row r="197" spans="1:15" x14ac:dyDescent="0.25">
      <c r="A197" s="19">
        <v>20</v>
      </c>
      <c r="B197" s="47" t="s">
        <v>88</v>
      </c>
      <c r="C197" s="48">
        <v>2</v>
      </c>
      <c r="D197" s="48">
        <v>0</v>
      </c>
      <c r="E197" s="47" t="s">
        <v>78</v>
      </c>
      <c r="F197" s="49" t="s">
        <v>98</v>
      </c>
      <c r="G197" s="49">
        <v>42595</v>
      </c>
      <c r="H197" s="49" t="s">
        <v>99</v>
      </c>
      <c r="I197" s="50" t="s">
        <v>5</v>
      </c>
      <c r="J197" s="19" t="str">
        <f>IF(Tabela2[[#This Row],[Gols M]]&lt;&gt;"",IF(Tabela2[[#This Row],[Gols M]]-Tabela2[[#This Row],[Gols V]]&gt;=0,IF(Tabela2[[#This Row],[Gols M]]-Tabela2[[#This Row],[Gols V]]&gt;0,"V","E"),"D"),"")</f>
        <v>V</v>
      </c>
      <c r="K197" s="19" t="str">
        <f>IF(Tabela2[[#This Row],[Gols M]]&lt;&gt;"",IF(Tabela2[[#This Row],[Gols V]]-Tabela2[[#This Row],[Gols M]]&gt;=0,IF(Tabela2[[#This Row],[Gols V]]-Tabela2[[#This Row],[Gols M]]&gt;0,"V","E"),"D"),"")</f>
        <v>D</v>
      </c>
      <c r="L197" s="19">
        <f>IF(OR('Por time'!E$2=Tabela2[[#This Row],[Mandante]], 'Por time'!E$2=Tabela2[[#This Row],[Visitante]]),1,0)</f>
        <v>0</v>
      </c>
      <c r="M197" s="25">
        <f>Tabela2[[#This Row],[Marcar time]]+M196</f>
        <v>20</v>
      </c>
      <c r="N197" s="25">
        <f>IMABS(Tabela2[[#This Row],[Gols M]]-Tabela2[[#This Row],[Gols V]])</f>
        <v>2</v>
      </c>
      <c r="O197" s="25">
        <f>Tabela2[[#This Row],[Gols M]]+Tabela2[[#This Row],[Gols V]]</f>
        <v>2</v>
      </c>
    </row>
    <row r="198" spans="1:15" x14ac:dyDescent="0.25">
      <c r="A198" s="19">
        <v>20</v>
      </c>
      <c r="B198" s="47" t="s">
        <v>89</v>
      </c>
      <c r="C198" s="48">
        <v>3</v>
      </c>
      <c r="D198" s="48">
        <v>0</v>
      </c>
      <c r="E198" s="47" t="s">
        <v>75</v>
      </c>
      <c r="F198" s="49" t="s">
        <v>95</v>
      </c>
      <c r="G198" s="49">
        <v>42596</v>
      </c>
      <c r="H198" s="49" t="s">
        <v>96</v>
      </c>
      <c r="I198" s="50" t="s">
        <v>6</v>
      </c>
      <c r="J198" s="19" t="str">
        <f>IF(Tabela2[[#This Row],[Gols M]]&lt;&gt;"",IF(Tabela2[[#This Row],[Gols M]]-Tabela2[[#This Row],[Gols V]]&gt;=0,IF(Tabela2[[#This Row],[Gols M]]-Tabela2[[#This Row],[Gols V]]&gt;0,"V","E"),"D"),"")</f>
        <v>V</v>
      </c>
      <c r="K198" s="19" t="str">
        <f>IF(Tabela2[[#This Row],[Gols M]]&lt;&gt;"",IF(Tabela2[[#This Row],[Gols V]]-Tabela2[[#This Row],[Gols M]]&gt;=0,IF(Tabela2[[#This Row],[Gols V]]-Tabela2[[#This Row],[Gols M]]&gt;0,"V","E"),"D"),"")</f>
        <v>D</v>
      </c>
      <c r="L198" s="19">
        <f>IF(OR('Por time'!E$2=Tabela2[[#This Row],[Mandante]], 'Por time'!E$2=Tabela2[[#This Row],[Visitante]]),1,0)</f>
        <v>0</v>
      </c>
      <c r="M198" s="25">
        <f>Tabela2[[#This Row],[Marcar time]]+M197</f>
        <v>20</v>
      </c>
      <c r="N198" s="25">
        <f>IMABS(Tabela2[[#This Row],[Gols M]]-Tabela2[[#This Row],[Gols V]])</f>
        <v>3</v>
      </c>
      <c r="O198" s="25">
        <f>Tabela2[[#This Row],[Gols M]]+Tabela2[[#This Row],[Gols V]]</f>
        <v>3</v>
      </c>
    </row>
    <row r="199" spans="1:15" x14ac:dyDescent="0.25">
      <c r="A199" s="19">
        <v>20</v>
      </c>
      <c r="B199" s="47" t="s">
        <v>92</v>
      </c>
      <c r="C199" s="48">
        <v>0</v>
      </c>
      <c r="D199" s="48">
        <v>1</v>
      </c>
      <c r="E199" s="47" t="s">
        <v>74</v>
      </c>
      <c r="F199" s="49" t="s">
        <v>95</v>
      </c>
      <c r="G199" s="49">
        <v>42596</v>
      </c>
      <c r="H199" s="49" t="s">
        <v>115</v>
      </c>
      <c r="I199" s="50" t="s">
        <v>41</v>
      </c>
      <c r="J199" s="19" t="str">
        <f>IF(Tabela2[[#This Row],[Gols M]]&lt;&gt;"",IF(Tabela2[[#This Row],[Gols M]]-Tabela2[[#This Row],[Gols V]]&gt;=0,IF(Tabela2[[#This Row],[Gols M]]-Tabela2[[#This Row],[Gols V]]&gt;0,"V","E"),"D"),"")</f>
        <v>D</v>
      </c>
      <c r="K199" s="19" t="str">
        <f>IF(Tabela2[[#This Row],[Gols M]]&lt;&gt;"",IF(Tabela2[[#This Row],[Gols V]]-Tabela2[[#This Row],[Gols M]]&gt;=0,IF(Tabela2[[#This Row],[Gols V]]-Tabela2[[#This Row],[Gols M]]&gt;0,"V","E"),"D"),"")</f>
        <v>V</v>
      </c>
      <c r="L199" s="19">
        <f>IF(OR('Por time'!E$2=Tabela2[[#This Row],[Mandante]], 'Por time'!E$2=Tabela2[[#This Row],[Visitante]]),1,0)</f>
        <v>0</v>
      </c>
      <c r="M199" s="25">
        <f>Tabela2[[#This Row],[Marcar time]]+M198</f>
        <v>20</v>
      </c>
      <c r="N199" s="25">
        <f>IMABS(Tabela2[[#This Row],[Gols M]]-Tabela2[[#This Row],[Gols V]])</f>
        <v>1</v>
      </c>
      <c r="O199" s="25">
        <f>Tabela2[[#This Row],[Gols M]]+Tabela2[[#This Row],[Gols V]]</f>
        <v>1</v>
      </c>
    </row>
    <row r="200" spans="1:15" x14ac:dyDescent="0.25">
      <c r="A200" s="19">
        <v>20</v>
      </c>
      <c r="B200" s="47" t="s">
        <v>90</v>
      </c>
      <c r="C200" s="48">
        <v>1</v>
      </c>
      <c r="D200" s="48">
        <v>0</v>
      </c>
      <c r="E200" s="47" t="s">
        <v>79</v>
      </c>
      <c r="F200" s="49" t="s">
        <v>98</v>
      </c>
      <c r="G200" s="49">
        <v>42595</v>
      </c>
      <c r="H200" s="49" t="s">
        <v>96</v>
      </c>
      <c r="I200" s="50" t="s">
        <v>49</v>
      </c>
      <c r="J200" s="19" t="str">
        <f>IF(Tabela2[[#This Row],[Gols M]]&lt;&gt;"",IF(Tabela2[[#This Row],[Gols M]]-Tabela2[[#This Row],[Gols V]]&gt;=0,IF(Tabela2[[#This Row],[Gols M]]-Tabela2[[#This Row],[Gols V]]&gt;0,"V","E"),"D"),"")</f>
        <v>V</v>
      </c>
      <c r="K200" s="19" t="str">
        <f>IF(Tabela2[[#This Row],[Gols M]]&lt;&gt;"",IF(Tabela2[[#This Row],[Gols V]]-Tabela2[[#This Row],[Gols M]]&gt;=0,IF(Tabela2[[#This Row],[Gols V]]-Tabela2[[#This Row],[Gols M]]&gt;0,"V","E"),"D"),"")</f>
        <v>D</v>
      </c>
      <c r="L200" s="19">
        <f>IF(OR('Por time'!E$2=Tabela2[[#This Row],[Mandante]], 'Por time'!E$2=Tabela2[[#This Row],[Visitante]]),1,0)</f>
        <v>0</v>
      </c>
      <c r="M200" s="25">
        <f>Tabela2[[#This Row],[Marcar time]]+M199</f>
        <v>20</v>
      </c>
      <c r="N200" s="25">
        <f>IMABS(Tabela2[[#This Row],[Gols M]]-Tabela2[[#This Row],[Gols V]])</f>
        <v>1</v>
      </c>
      <c r="O200" s="25">
        <f>Tabela2[[#This Row],[Gols M]]+Tabela2[[#This Row],[Gols V]]</f>
        <v>1</v>
      </c>
    </row>
    <row r="201" spans="1:15" x14ac:dyDescent="0.25">
      <c r="A201" s="19">
        <v>20</v>
      </c>
      <c r="B201" s="47" t="s">
        <v>91</v>
      </c>
      <c r="C201" s="48">
        <v>2</v>
      </c>
      <c r="D201" s="48">
        <v>2</v>
      </c>
      <c r="E201" s="47" t="s">
        <v>82</v>
      </c>
      <c r="F201" s="49" t="s">
        <v>95</v>
      </c>
      <c r="G201" s="49">
        <v>42596</v>
      </c>
      <c r="H201" s="49" t="s">
        <v>96</v>
      </c>
      <c r="I201" s="50" t="s">
        <v>9</v>
      </c>
      <c r="J201" s="19" t="str">
        <f>IF(Tabela2[[#This Row],[Gols M]]&lt;&gt;"",IF(Tabela2[[#This Row],[Gols M]]-Tabela2[[#This Row],[Gols V]]&gt;=0,IF(Tabela2[[#This Row],[Gols M]]-Tabela2[[#This Row],[Gols V]]&gt;0,"V","E"),"D"),"")</f>
        <v>E</v>
      </c>
      <c r="K201" s="19" t="str">
        <f>IF(Tabela2[[#This Row],[Gols M]]&lt;&gt;"",IF(Tabela2[[#This Row],[Gols V]]-Tabela2[[#This Row],[Gols M]]&gt;=0,IF(Tabela2[[#This Row],[Gols V]]-Tabela2[[#This Row],[Gols M]]&gt;0,"V","E"),"D"),"")</f>
        <v>E</v>
      </c>
      <c r="L201" s="19">
        <f>IF(OR('Por time'!E$2=Tabela2[[#This Row],[Mandante]], 'Por time'!E$2=Tabela2[[#This Row],[Visitante]]),1,0)</f>
        <v>0</v>
      </c>
      <c r="M201" s="25">
        <f>Tabela2[[#This Row],[Marcar time]]+M200</f>
        <v>20</v>
      </c>
      <c r="N201" s="25">
        <f>IMABS(Tabela2[[#This Row],[Gols M]]-Tabela2[[#This Row],[Gols V]])</f>
        <v>0</v>
      </c>
      <c r="O201" s="25">
        <f>Tabela2[[#This Row],[Gols M]]+Tabela2[[#This Row],[Gols V]]</f>
        <v>4</v>
      </c>
    </row>
    <row r="202" spans="1:15" x14ac:dyDescent="0.25">
      <c r="A202" s="19">
        <v>21</v>
      </c>
      <c r="B202" s="47" t="s">
        <v>73</v>
      </c>
      <c r="C202" s="48">
        <v>1</v>
      </c>
      <c r="D202" s="48">
        <v>2</v>
      </c>
      <c r="E202" s="47" t="s">
        <v>84</v>
      </c>
      <c r="F202" s="49" t="s">
        <v>116</v>
      </c>
      <c r="G202" s="49">
        <v>42601</v>
      </c>
      <c r="H202" s="49" t="s">
        <v>109</v>
      </c>
      <c r="I202" s="50" t="s">
        <v>11</v>
      </c>
      <c r="J202" s="19" t="str">
        <f>IF(Tabela2[[#This Row],[Gols M]]&lt;&gt;"",IF(Tabela2[[#This Row],[Gols M]]-Tabela2[[#This Row],[Gols V]]&gt;=0,IF(Tabela2[[#This Row],[Gols M]]-Tabela2[[#This Row],[Gols V]]&gt;0,"V","E"),"D"),"")</f>
        <v>D</v>
      </c>
      <c r="K202" s="19" t="str">
        <f>IF(Tabela2[[#This Row],[Gols M]]&lt;&gt;"",IF(Tabela2[[#This Row],[Gols V]]-Tabela2[[#This Row],[Gols M]]&gt;=0,IF(Tabela2[[#This Row],[Gols V]]-Tabela2[[#This Row],[Gols M]]&gt;0,"V","E"),"D"),"")</f>
        <v>V</v>
      </c>
      <c r="L202" s="19">
        <f>IF(OR('Por time'!E$2=Tabela2[[#This Row],[Mandante]], 'Por time'!E$2=Tabela2[[#This Row],[Visitante]]),1,0)</f>
        <v>0</v>
      </c>
      <c r="M202" s="25">
        <f>Tabela2[[#This Row],[Marcar time]]+M201</f>
        <v>20</v>
      </c>
      <c r="N202" s="25">
        <f>IMABS(Tabela2[[#This Row],[Gols M]]-Tabela2[[#This Row],[Gols V]])</f>
        <v>1</v>
      </c>
      <c r="O202" s="25">
        <f>Tabela2[[#This Row],[Gols M]]+Tabela2[[#This Row],[Gols V]]</f>
        <v>3</v>
      </c>
    </row>
    <row r="203" spans="1:15" x14ac:dyDescent="0.25">
      <c r="A203" s="19">
        <v>21</v>
      </c>
      <c r="B203" s="47" t="s">
        <v>74</v>
      </c>
      <c r="C203" s="48">
        <v>3</v>
      </c>
      <c r="D203" s="48">
        <v>0</v>
      </c>
      <c r="E203" s="47" t="s">
        <v>90</v>
      </c>
      <c r="F203" s="49" t="s">
        <v>98</v>
      </c>
      <c r="G203" s="49">
        <v>42602</v>
      </c>
      <c r="H203" s="49" t="s">
        <v>100</v>
      </c>
      <c r="I203" s="50" t="s">
        <v>51</v>
      </c>
      <c r="J203" s="19" t="str">
        <f>IF(Tabela2[[#This Row],[Gols M]]&lt;&gt;"",IF(Tabela2[[#This Row],[Gols M]]-Tabela2[[#This Row],[Gols V]]&gt;=0,IF(Tabela2[[#This Row],[Gols M]]-Tabela2[[#This Row],[Gols V]]&gt;0,"V","E"),"D"),"")</f>
        <v>V</v>
      </c>
      <c r="K203" s="19" t="str">
        <f>IF(Tabela2[[#This Row],[Gols M]]&lt;&gt;"",IF(Tabela2[[#This Row],[Gols V]]-Tabela2[[#This Row],[Gols M]]&gt;=0,IF(Tabela2[[#This Row],[Gols V]]-Tabela2[[#This Row],[Gols M]]&gt;0,"V","E"),"D"),"")</f>
        <v>D</v>
      </c>
      <c r="L203" s="19">
        <f>IF(OR('Por time'!E$2=Tabela2[[#This Row],[Mandante]], 'Por time'!E$2=Tabela2[[#This Row],[Visitante]]),1,0)</f>
        <v>0</v>
      </c>
      <c r="M203" s="25">
        <f>Tabela2[[#This Row],[Marcar time]]+M202</f>
        <v>20</v>
      </c>
      <c r="N203" s="25">
        <f>IMABS(Tabela2[[#This Row],[Gols M]]-Tabela2[[#This Row],[Gols V]])</f>
        <v>3</v>
      </c>
      <c r="O203" s="25">
        <f>Tabela2[[#This Row],[Gols M]]+Tabela2[[#This Row],[Gols V]]</f>
        <v>3</v>
      </c>
    </row>
    <row r="204" spans="1:15" x14ac:dyDescent="0.25">
      <c r="A204" s="19">
        <v>21</v>
      </c>
      <c r="B204" s="47" t="s">
        <v>75</v>
      </c>
      <c r="C204" s="48">
        <v>1</v>
      </c>
      <c r="D204" s="48">
        <v>0</v>
      </c>
      <c r="E204" s="47" t="s">
        <v>83</v>
      </c>
      <c r="F204" s="49" t="s">
        <v>95</v>
      </c>
      <c r="G204" s="49">
        <v>42603</v>
      </c>
      <c r="H204" s="49" t="s">
        <v>97</v>
      </c>
      <c r="I204" s="50" t="s">
        <v>11</v>
      </c>
      <c r="J204" s="19" t="str">
        <f>IF(Tabela2[[#This Row],[Gols M]]&lt;&gt;"",IF(Tabela2[[#This Row],[Gols M]]-Tabela2[[#This Row],[Gols V]]&gt;=0,IF(Tabela2[[#This Row],[Gols M]]-Tabela2[[#This Row],[Gols V]]&gt;0,"V","E"),"D"),"")</f>
        <v>V</v>
      </c>
      <c r="K204" s="19" t="str">
        <f>IF(Tabela2[[#This Row],[Gols M]]&lt;&gt;"",IF(Tabela2[[#This Row],[Gols V]]-Tabela2[[#This Row],[Gols M]]&gt;=0,IF(Tabela2[[#This Row],[Gols V]]-Tabela2[[#This Row],[Gols M]]&gt;0,"V","E"),"D"),"")</f>
        <v>D</v>
      </c>
      <c r="L204" s="19">
        <f>IF(OR('Por time'!E$2=Tabela2[[#This Row],[Mandante]], 'Por time'!E$2=Tabela2[[#This Row],[Visitante]]),1,0)</f>
        <v>1</v>
      </c>
      <c r="M204" s="25">
        <f>Tabela2[[#This Row],[Marcar time]]+M203</f>
        <v>21</v>
      </c>
      <c r="N204" s="25">
        <f>IMABS(Tabela2[[#This Row],[Gols M]]-Tabela2[[#This Row],[Gols V]])</f>
        <v>1</v>
      </c>
      <c r="O204" s="25">
        <f>Tabela2[[#This Row],[Gols M]]+Tabela2[[#This Row],[Gols V]]</f>
        <v>1</v>
      </c>
    </row>
    <row r="205" spans="1:15" x14ac:dyDescent="0.25">
      <c r="A205" s="19">
        <v>21</v>
      </c>
      <c r="B205" s="47" t="s">
        <v>76</v>
      </c>
      <c r="C205" s="48">
        <v>2</v>
      </c>
      <c r="D205" s="48">
        <v>1</v>
      </c>
      <c r="E205" s="47" t="s">
        <v>89</v>
      </c>
      <c r="F205" s="49" t="s">
        <v>95</v>
      </c>
      <c r="G205" s="49">
        <v>42603</v>
      </c>
      <c r="H205" s="49" t="s">
        <v>108</v>
      </c>
      <c r="I205" s="50" t="s">
        <v>40</v>
      </c>
      <c r="J205" s="19" t="str">
        <f>IF(Tabela2[[#This Row],[Gols M]]&lt;&gt;"",IF(Tabela2[[#This Row],[Gols M]]-Tabela2[[#This Row],[Gols V]]&gt;=0,IF(Tabela2[[#This Row],[Gols M]]-Tabela2[[#This Row],[Gols V]]&gt;0,"V","E"),"D"),"")</f>
        <v>V</v>
      </c>
      <c r="K205" s="19" t="str">
        <f>IF(Tabela2[[#This Row],[Gols M]]&lt;&gt;"",IF(Tabela2[[#This Row],[Gols V]]-Tabela2[[#This Row],[Gols M]]&gt;=0,IF(Tabela2[[#This Row],[Gols V]]-Tabela2[[#This Row],[Gols M]]&gt;0,"V","E"),"D"),"")</f>
        <v>D</v>
      </c>
      <c r="L205" s="19">
        <f>IF(OR('Por time'!E$2=Tabela2[[#This Row],[Mandante]], 'Por time'!E$2=Tabela2[[#This Row],[Visitante]]),1,0)</f>
        <v>0</v>
      </c>
      <c r="M205" s="25">
        <f>Tabela2[[#This Row],[Marcar time]]+M204</f>
        <v>21</v>
      </c>
      <c r="N205" s="25">
        <f>IMABS(Tabela2[[#This Row],[Gols M]]-Tabela2[[#This Row],[Gols V]])</f>
        <v>1</v>
      </c>
      <c r="O205" s="25">
        <f>Tabela2[[#This Row],[Gols M]]+Tabela2[[#This Row],[Gols V]]</f>
        <v>3</v>
      </c>
    </row>
    <row r="206" spans="1:15" x14ac:dyDescent="0.25">
      <c r="A206" s="19">
        <v>21</v>
      </c>
      <c r="B206" s="47" t="s">
        <v>77</v>
      </c>
      <c r="C206" s="48">
        <v>2</v>
      </c>
      <c r="D206" s="48">
        <v>1</v>
      </c>
      <c r="E206" s="47" t="s">
        <v>91</v>
      </c>
      <c r="F206" s="49" t="s">
        <v>113</v>
      </c>
      <c r="G206" s="49">
        <v>42604</v>
      </c>
      <c r="H206" s="49" t="s">
        <v>107</v>
      </c>
      <c r="I206" s="50" t="s">
        <v>18</v>
      </c>
      <c r="J206" s="19" t="str">
        <f>IF(Tabela2[[#This Row],[Gols M]]&lt;&gt;"",IF(Tabela2[[#This Row],[Gols M]]-Tabela2[[#This Row],[Gols V]]&gt;=0,IF(Tabela2[[#This Row],[Gols M]]-Tabela2[[#This Row],[Gols V]]&gt;0,"V","E"),"D"),"")</f>
        <v>V</v>
      </c>
      <c r="K206" s="19" t="str">
        <f>IF(Tabela2[[#This Row],[Gols M]]&lt;&gt;"",IF(Tabela2[[#This Row],[Gols V]]-Tabela2[[#This Row],[Gols M]]&gt;=0,IF(Tabela2[[#This Row],[Gols V]]-Tabela2[[#This Row],[Gols M]]&gt;0,"V","E"),"D"),"")</f>
        <v>D</v>
      </c>
      <c r="L206" s="19">
        <f>IF(OR('Por time'!E$2=Tabela2[[#This Row],[Mandante]], 'Por time'!E$2=Tabela2[[#This Row],[Visitante]]),1,0)</f>
        <v>0</v>
      </c>
      <c r="M206" s="25">
        <f>Tabela2[[#This Row],[Marcar time]]+M205</f>
        <v>21</v>
      </c>
      <c r="N206" s="25">
        <f>IMABS(Tabela2[[#This Row],[Gols M]]-Tabela2[[#This Row],[Gols V]])</f>
        <v>1</v>
      </c>
      <c r="O206" s="25">
        <f>Tabela2[[#This Row],[Gols M]]+Tabela2[[#This Row],[Gols V]]</f>
        <v>3</v>
      </c>
    </row>
    <row r="207" spans="1:15" x14ac:dyDescent="0.25">
      <c r="A207" s="19">
        <v>21</v>
      </c>
      <c r="B207" s="47" t="s">
        <v>78</v>
      </c>
      <c r="C207" s="48">
        <v>1</v>
      </c>
      <c r="D207" s="48">
        <v>2</v>
      </c>
      <c r="E207" s="47" t="s">
        <v>85</v>
      </c>
      <c r="F207" s="49" t="s">
        <v>95</v>
      </c>
      <c r="G207" s="49">
        <v>42603</v>
      </c>
      <c r="H207" s="49" t="s">
        <v>99</v>
      </c>
      <c r="I207" s="50" t="s">
        <v>33</v>
      </c>
      <c r="J207" s="19" t="str">
        <f>IF(Tabela2[[#This Row],[Gols M]]&lt;&gt;"",IF(Tabela2[[#This Row],[Gols M]]-Tabela2[[#This Row],[Gols V]]&gt;=0,IF(Tabela2[[#This Row],[Gols M]]-Tabela2[[#This Row],[Gols V]]&gt;0,"V","E"),"D"),"")</f>
        <v>D</v>
      </c>
      <c r="K207" s="19" t="str">
        <f>IF(Tabela2[[#This Row],[Gols M]]&lt;&gt;"",IF(Tabela2[[#This Row],[Gols V]]-Tabela2[[#This Row],[Gols M]]&gt;=0,IF(Tabela2[[#This Row],[Gols V]]-Tabela2[[#This Row],[Gols M]]&gt;0,"V","E"),"D"),"")</f>
        <v>V</v>
      </c>
      <c r="L207" s="19">
        <f>IF(OR('Por time'!E$2=Tabela2[[#This Row],[Mandante]], 'Por time'!E$2=Tabela2[[#This Row],[Visitante]]),1,0)</f>
        <v>0</v>
      </c>
      <c r="M207" s="25">
        <f>Tabela2[[#This Row],[Marcar time]]+M206</f>
        <v>21</v>
      </c>
      <c r="N207" s="25">
        <f>IMABS(Tabela2[[#This Row],[Gols M]]-Tabela2[[#This Row],[Gols V]])</f>
        <v>1</v>
      </c>
      <c r="O207" s="25">
        <f>Tabela2[[#This Row],[Gols M]]+Tabela2[[#This Row],[Gols V]]</f>
        <v>3</v>
      </c>
    </row>
    <row r="208" spans="1:15" x14ac:dyDescent="0.25">
      <c r="A208" s="19">
        <v>21</v>
      </c>
      <c r="B208" s="47" t="s">
        <v>79</v>
      </c>
      <c r="C208" s="48">
        <v>2</v>
      </c>
      <c r="D208" s="48">
        <v>1</v>
      </c>
      <c r="E208" s="47" t="s">
        <v>87</v>
      </c>
      <c r="F208" s="49" t="s">
        <v>95</v>
      </c>
      <c r="G208" s="49">
        <v>42603</v>
      </c>
      <c r="H208" s="49" t="s">
        <v>97</v>
      </c>
      <c r="I208" s="50" t="s">
        <v>50</v>
      </c>
      <c r="J208" s="19" t="str">
        <f>IF(Tabela2[[#This Row],[Gols M]]&lt;&gt;"",IF(Tabela2[[#This Row],[Gols M]]-Tabela2[[#This Row],[Gols V]]&gt;=0,IF(Tabela2[[#This Row],[Gols M]]-Tabela2[[#This Row],[Gols V]]&gt;0,"V","E"),"D"),"")</f>
        <v>V</v>
      </c>
      <c r="K208" s="19" t="str">
        <f>IF(Tabela2[[#This Row],[Gols M]]&lt;&gt;"",IF(Tabela2[[#This Row],[Gols V]]-Tabela2[[#This Row],[Gols M]]&gt;=0,IF(Tabela2[[#This Row],[Gols V]]-Tabela2[[#This Row],[Gols M]]&gt;0,"V","E"),"D"),"")</f>
        <v>D</v>
      </c>
      <c r="L208" s="19">
        <f>IF(OR('Por time'!E$2=Tabela2[[#This Row],[Mandante]], 'Por time'!E$2=Tabela2[[#This Row],[Visitante]]),1,0)</f>
        <v>0</v>
      </c>
      <c r="M208" s="25">
        <f>Tabela2[[#This Row],[Marcar time]]+M207</f>
        <v>21</v>
      </c>
      <c r="N208" s="25">
        <f>IMABS(Tabela2[[#This Row],[Gols M]]-Tabela2[[#This Row],[Gols V]])</f>
        <v>1</v>
      </c>
      <c r="O208" s="25">
        <f>Tabela2[[#This Row],[Gols M]]+Tabela2[[#This Row],[Gols V]]</f>
        <v>3</v>
      </c>
    </row>
    <row r="209" spans="1:15" x14ac:dyDescent="0.25">
      <c r="A209" s="19">
        <v>21</v>
      </c>
      <c r="B209" s="47" t="s">
        <v>80</v>
      </c>
      <c r="C209" s="48">
        <v>1</v>
      </c>
      <c r="D209" s="48">
        <v>1</v>
      </c>
      <c r="E209" s="47" t="s">
        <v>92</v>
      </c>
      <c r="F209" s="49" t="s">
        <v>95</v>
      </c>
      <c r="G209" s="49">
        <v>42603</v>
      </c>
      <c r="H209" s="49" t="s">
        <v>96</v>
      </c>
      <c r="I209" s="50" t="s">
        <v>27</v>
      </c>
      <c r="J209" s="19" t="str">
        <f>IF(Tabela2[[#This Row],[Gols M]]&lt;&gt;"",IF(Tabela2[[#This Row],[Gols M]]-Tabela2[[#This Row],[Gols V]]&gt;=0,IF(Tabela2[[#This Row],[Gols M]]-Tabela2[[#This Row],[Gols V]]&gt;0,"V","E"),"D"),"")</f>
        <v>E</v>
      </c>
      <c r="K209" s="19" t="str">
        <f>IF(Tabela2[[#This Row],[Gols M]]&lt;&gt;"",IF(Tabela2[[#This Row],[Gols V]]-Tabela2[[#This Row],[Gols M]]&gt;=0,IF(Tabela2[[#This Row],[Gols V]]-Tabela2[[#This Row],[Gols M]]&gt;0,"V","E"),"D"),"")</f>
        <v>E</v>
      </c>
      <c r="L209" s="19">
        <f>IF(OR('Por time'!E$2=Tabela2[[#This Row],[Mandante]], 'Por time'!E$2=Tabela2[[#This Row],[Visitante]]),1,0)</f>
        <v>0</v>
      </c>
      <c r="M209" s="25">
        <f>Tabela2[[#This Row],[Marcar time]]+M208</f>
        <v>21</v>
      </c>
      <c r="N209" s="25">
        <f>IMABS(Tabela2[[#This Row],[Gols M]]-Tabela2[[#This Row],[Gols V]])</f>
        <v>0</v>
      </c>
      <c r="O209" s="25">
        <f>Tabela2[[#This Row],[Gols M]]+Tabela2[[#This Row],[Gols V]]</f>
        <v>2</v>
      </c>
    </row>
    <row r="210" spans="1:15" x14ac:dyDescent="0.25">
      <c r="A210" s="19">
        <v>21</v>
      </c>
      <c r="B210" s="47" t="s">
        <v>81</v>
      </c>
      <c r="C210" s="48">
        <v>2</v>
      </c>
      <c r="D210" s="48">
        <v>2</v>
      </c>
      <c r="E210" s="47" t="s">
        <v>88</v>
      </c>
      <c r="F210" s="49" t="s">
        <v>95</v>
      </c>
      <c r="G210" s="49">
        <v>42603</v>
      </c>
      <c r="H210" s="49" t="s">
        <v>96</v>
      </c>
      <c r="I210" s="50" t="s">
        <v>30</v>
      </c>
      <c r="J210" s="19" t="str">
        <f>IF(Tabela2[[#This Row],[Gols M]]&lt;&gt;"",IF(Tabela2[[#This Row],[Gols M]]-Tabela2[[#This Row],[Gols V]]&gt;=0,IF(Tabela2[[#This Row],[Gols M]]-Tabela2[[#This Row],[Gols V]]&gt;0,"V","E"),"D"),"")</f>
        <v>E</v>
      </c>
      <c r="K210" s="19" t="str">
        <f>IF(Tabela2[[#This Row],[Gols M]]&lt;&gt;"",IF(Tabela2[[#This Row],[Gols V]]-Tabela2[[#This Row],[Gols M]]&gt;=0,IF(Tabela2[[#This Row],[Gols V]]-Tabela2[[#This Row],[Gols M]]&gt;0,"V","E"),"D"),"")</f>
        <v>E</v>
      </c>
      <c r="L210" s="19">
        <f>IF(OR('Por time'!E$2=Tabela2[[#This Row],[Mandante]], 'Por time'!E$2=Tabela2[[#This Row],[Visitante]]),1,0)</f>
        <v>0</v>
      </c>
      <c r="M210" s="25">
        <f>Tabela2[[#This Row],[Marcar time]]+M209</f>
        <v>21</v>
      </c>
      <c r="N210" s="25">
        <f>IMABS(Tabela2[[#This Row],[Gols M]]-Tabela2[[#This Row],[Gols V]])</f>
        <v>0</v>
      </c>
      <c r="O210" s="25">
        <f>Tabela2[[#This Row],[Gols M]]+Tabela2[[#This Row],[Gols V]]</f>
        <v>4</v>
      </c>
    </row>
    <row r="211" spans="1:15" x14ac:dyDescent="0.25">
      <c r="A211" s="19">
        <v>21</v>
      </c>
      <c r="B211" s="47" t="s">
        <v>82</v>
      </c>
      <c r="C211" s="48">
        <v>0</v>
      </c>
      <c r="D211" s="48">
        <v>1</v>
      </c>
      <c r="E211" s="47" t="s">
        <v>86</v>
      </c>
      <c r="F211" s="49" t="s">
        <v>95</v>
      </c>
      <c r="G211" s="49">
        <v>42603</v>
      </c>
      <c r="H211" s="49" t="s">
        <v>96</v>
      </c>
      <c r="I211" s="50" t="s">
        <v>36</v>
      </c>
      <c r="J211" s="19" t="str">
        <f>IF(Tabela2[[#This Row],[Gols M]]&lt;&gt;"",IF(Tabela2[[#This Row],[Gols M]]-Tabela2[[#This Row],[Gols V]]&gt;=0,IF(Tabela2[[#This Row],[Gols M]]-Tabela2[[#This Row],[Gols V]]&gt;0,"V","E"),"D"),"")</f>
        <v>D</v>
      </c>
      <c r="K211" s="19" t="str">
        <f>IF(Tabela2[[#This Row],[Gols M]]&lt;&gt;"",IF(Tabela2[[#This Row],[Gols V]]-Tabela2[[#This Row],[Gols M]]&gt;=0,IF(Tabela2[[#This Row],[Gols V]]-Tabela2[[#This Row],[Gols M]]&gt;0,"V","E"),"D"),"")</f>
        <v>V</v>
      </c>
      <c r="L211" s="19">
        <f>IF(OR('Por time'!E$2=Tabela2[[#This Row],[Mandante]], 'Por time'!E$2=Tabela2[[#This Row],[Visitante]]),1,0)</f>
        <v>0</v>
      </c>
      <c r="M211" s="25">
        <f>Tabela2[[#This Row],[Marcar time]]+M210</f>
        <v>21</v>
      </c>
      <c r="N211" s="25">
        <f>IMABS(Tabela2[[#This Row],[Gols M]]-Tabela2[[#This Row],[Gols V]])</f>
        <v>1</v>
      </c>
      <c r="O211" s="25">
        <f>Tabela2[[#This Row],[Gols M]]+Tabela2[[#This Row],[Gols V]]</f>
        <v>1</v>
      </c>
    </row>
    <row r="212" spans="1:15" x14ac:dyDescent="0.25">
      <c r="A212" s="19">
        <v>22</v>
      </c>
      <c r="B212" s="47" t="s">
        <v>83</v>
      </c>
      <c r="C212" s="48">
        <v>1</v>
      </c>
      <c r="D212" s="48">
        <v>0</v>
      </c>
      <c r="E212" s="47" t="s">
        <v>74</v>
      </c>
      <c r="F212" s="49" t="s">
        <v>113</v>
      </c>
      <c r="G212" s="49">
        <v>42611</v>
      </c>
      <c r="H212" s="49" t="s">
        <v>107</v>
      </c>
      <c r="I212" s="50" t="s">
        <v>0</v>
      </c>
      <c r="J212" s="19" t="str">
        <f>IF(Tabela2[[#This Row],[Gols M]]&lt;&gt;"",IF(Tabela2[[#This Row],[Gols M]]-Tabela2[[#This Row],[Gols V]]&gt;=0,IF(Tabela2[[#This Row],[Gols M]]-Tabela2[[#This Row],[Gols V]]&gt;0,"V","E"),"D"),"")</f>
        <v>V</v>
      </c>
      <c r="K212" s="19" t="str">
        <f>IF(Tabela2[[#This Row],[Gols M]]&lt;&gt;"",IF(Tabela2[[#This Row],[Gols V]]-Tabela2[[#This Row],[Gols M]]&gt;=0,IF(Tabela2[[#This Row],[Gols V]]-Tabela2[[#This Row],[Gols M]]&gt;0,"V","E"),"D"),"")</f>
        <v>D</v>
      </c>
      <c r="L212" s="19">
        <f>IF(OR('Por time'!E$2=Tabela2[[#This Row],[Mandante]], 'Por time'!E$2=Tabela2[[#This Row],[Visitante]]),1,0)</f>
        <v>1</v>
      </c>
      <c r="M212" s="25">
        <f>Tabela2[[#This Row],[Marcar time]]+M211</f>
        <v>22</v>
      </c>
      <c r="N212" s="25">
        <f>IMABS(Tabela2[[#This Row],[Gols M]]-Tabela2[[#This Row],[Gols V]])</f>
        <v>1</v>
      </c>
      <c r="O212" s="25">
        <f>Tabela2[[#This Row],[Gols M]]+Tabela2[[#This Row],[Gols V]]</f>
        <v>1</v>
      </c>
    </row>
    <row r="213" spans="1:15" x14ac:dyDescent="0.25">
      <c r="A213" s="19">
        <v>22</v>
      </c>
      <c r="B213" s="47" t="s">
        <v>84</v>
      </c>
      <c r="C213" s="48">
        <v>1</v>
      </c>
      <c r="D213" s="48">
        <v>3</v>
      </c>
      <c r="E213" s="47" t="s">
        <v>79</v>
      </c>
      <c r="F213" s="49" t="s">
        <v>95</v>
      </c>
      <c r="G213" s="49">
        <v>42610</v>
      </c>
      <c r="H213" s="49" t="s">
        <v>96</v>
      </c>
      <c r="I213" s="50" t="s">
        <v>1</v>
      </c>
      <c r="J213" s="19" t="str">
        <f>IF(Tabela2[[#This Row],[Gols M]]&lt;&gt;"",IF(Tabela2[[#This Row],[Gols M]]-Tabela2[[#This Row],[Gols V]]&gt;=0,IF(Tabela2[[#This Row],[Gols M]]-Tabela2[[#This Row],[Gols V]]&gt;0,"V","E"),"D"),"")</f>
        <v>D</v>
      </c>
      <c r="K213" s="19" t="str">
        <f>IF(Tabela2[[#This Row],[Gols M]]&lt;&gt;"",IF(Tabela2[[#This Row],[Gols V]]-Tabela2[[#This Row],[Gols M]]&gt;=0,IF(Tabela2[[#This Row],[Gols V]]-Tabela2[[#This Row],[Gols M]]&gt;0,"V","E"),"D"),"")</f>
        <v>V</v>
      </c>
      <c r="L213" s="19">
        <f>IF(OR('Por time'!E$2=Tabela2[[#This Row],[Mandante]], 'Por time'!E$2=Tabela2[[#This Row],[Visitante]]),1,0)</f>
        <v>0</v>
      </c>
      <c r="M213" s="25">
        <f>Tabela2[[#This Row],[Marcar time]]+M212</f>
        <v>22</v>
      </c>
      <c r="N213" s="25">
        <f>IMABS(Tabela2[[#This Row],[Gols M]]-Tabela2[[#This Row],[Gols V]])</f>
        <v>2</v>
      </c>
      <c r="O213" s="25">
        <f>Tabela2[[#This Row],[Gols M]]+Tabela2[[#This Row],[Gols V]]</f>
        <v>4</v>
      </c>
    </row>
    <row r="214" spans="1:15" x14ac:dyDescent="0.25">
      <c r="A214" s="19">
        <v>22</v>
      </c>
      <c r="B214" s="47" t="s">
        <v>85</v>
      </c>
      <c r="C214" s="48">
        <v>2</v>
      </c>
      <c r="D214" s="48">
        <v>0</v>
      </c>
      <c r="E214" s="47" t="s">
        <v>82</v>
      </c>
      <c r="F214" s="49" t="s">
        <v>95</v>
      </c>
      <c r="G214" s="49">
        <v>42610</v>
      </c>
      <c r="H214" s="49" t="s">
        <v>97</v>
      </c>
      <c r="I214" s="50" t="s">
        <v>2</v>
      </c>
      <c r="J214" s="19" t="str">
        <f>IF(Tabela2[[#This Row],[Gols M]]&lt;&gt;"",IF(Tabela2[[#This Row],[Gols M]]-Tabela2[[#This Row],[Gols V]]&gt;=0,IF(Tabela2[[#This Row],[Gols M]]-Tabela2[[#This Row],[Gols V]]&gt;0,"V","E"),"D"),"")</f>
        <v>V</v>
      </c>
      <c r="K214" s="19" t="str">
        <f>IF(Tabela2[[#This Row],[Gols M]]&lt;&gt;"",IF(Tabela2[[#This Row],[Gols V]]-Tabela2[[#This Row],[Gols M]]&gt;=0,IF(Tabela2[[#This Row],[Gols V]]-Tabela2[[#This Row],[Gols M]]&gt;0,"V","E"),"D"),"")</f>
        <v>D</v>
      </c>
      <c r="L214" s="19">
        <f>IF(OR('Por time'!E$2=Tabela2[[#This Row],[Mandante]], 'Por time'!E$2=Tabela2[[#This Row],[Visitante]]),1,0)</f>
        <v>0</v>
      </c>
      <c r="M214" s="25">
        <f>Tabela2[[#This Row],[Marcar time]]+M213</f>
        <v>22</v>
      </c>
      <c r="N214" s="25">
        <f>IMABS(Tabela2[[#This Row],[Gols M]]-Tabela2[[#This Row],[Gols V]])</f>
        <v>2</v>
      </c>
      <c r="O214" s="25">
        <f>Tabela2[[#This Row],[Gols M]]+Tabela2[[#This Row],[Gols V]]</f>
        <v>2</v>
      </c>
    </row>
    <row r="215" spans="1:15" x14ac:dyDescent="0.25">
      <c r="A215" s="19">
        <v>22</v>
      </c>
      <c r="B215" s="47" t="s">
        <v>86</v>
      </c>
      <c r="C215" s="48">
        <v>0</v>
      </c>
      <c r="D215" s="48">
        <v>2</v>
      </c>
      <c r="E215" s="47" t="s">
        <v>81</v>
      </c>
      <c r="F215" s="49" t="s">
        <v>95</v>
      </c>
      <c r="G215" s="49">
        <v>42610</v>
      </c>
      <c r="H215" s="49" t="s">
        <v>96</v>
      </c>
      <c r="I215" s="50" t="s">
        <v>50</v>
      </c>
      <c r="J215" s="19" t="str">
        <f>IF(Tabela2[[#This Row],[Gols M]]&lt;&gt;"",IF(Tabela2[[#This Row],[Gols M]]-Tabela2[[#This Row],[Gols V]]&gt;=0,IF(Tabela2[[#This Row],[Gols M]]-Tabela2[[#This Row],[Gols V]]&gt;0,"V","E"),"D"),"")</f>
        <v>D</v>
      </c>
      <c r="K215" s="19" t="str">
        <f>IF(Tabela2[[#This Row],[Gols M]]&lt;&gt;"",IF(Tabela2[[#This Row],[Gols V]]-Tabela2[[#This Row],[Gols M]]&gt;=0,IF(Tabela2[[#This Row],[Gols V]]-Tabela2[[#This Row],[Gols M]]&gt;0,"V","E"),"D"),"")</f>
        <v>V</v>
      </c>
      <c r="L215" s="19">
        <f>IF(OR('Por time'!E$2=Tabela2[[#This Row],[Mandante]], 'Por time'!E$2=Tabela2[[#This Row],[Visitante]]),1,0)</f>
        <v>0</v>
      </c>
      <c r="M215" s="25">
        <f>Tabela2[[#This Row],[Marcar time]]+M214</f>
        <v>22</v>
      </c>
      <c r="N215" s="25">
        <f>IMABS(Tabela2[[#This Row],[Gols M]]-Tabela2[[#This Row],[Gols V]])</f>
        <v>2</v>
      </c>
      <c r="O215" s="25">
        <f>Tabela2[[#This Row],[Gols M]]+Tabela2[[#This Row],[Gols V]]</f>
        <v>2</v>
      </c>
    </row>
    <row r="216" spans="1:15" x14ac:dyDescent="0.25">
      <c r="A216" s="19">
        <v>22</v>
      </c>
      <c r="B216" s="47" t="s">
        <v>87</v>
      </c>
      <c r="C216" s="48">
        <v>1</v>
      </c>
      <c r="D216" s="48">
        <v>1</v>
      </c>
      <c r="E216" s="47" t="s">
        <v>75</v>
      </c>
      <c r="F216" s="49" t="s">
        <v>95</v>
      </c>
      <c r="G216" s="49">
        <v>42610</v>
      </c>
      <c r="H216" s="49" t="s">
        <v>96</v>
      </c>
      <c r="I216" s="50" t="s">
        <v>4</v>
      </c>
      <c r="J216" s="19" t="str">
        <f>IF(Tabela2[[#This Row],[Gols M]]&lt;&gt;"",IF(Tabela2[[#This Row],[Gols M]]-Tabela2[[#This Row],[Gols V]]&gt;=0,IF(Tabela2[[#This Row],[Gols M]]-Tabela2[[#This Row],[Gols V]]&gt;0,"V","E"),"D"),"")</f>
        <v>E</v>
      </c>
      <c r="K216" s="19" t="str">
        <f>IF(Tabela2[[#This Row],[Gols M]]&lt;&gt;"",IF(Tabela2[[#This Row],[Gols V]]-Tabela2[[#This Row],[Gols M]]&gt;=0,IF(Tabela2[[#This Row],[Gols V]]-Tabela2[[#This Row],[Gols M]]&gt;0,"V","E"),"D"),"")</f>
        <v>E</v>
      </c>
      <c r="L216" s="19">
        <f>IF(OR('Por time'!E$2=Tabela2[[#This Row],[Mandante]], 'Por time'!E$2=Tabela2[[#This Row],[Visitante]]),1,0)</f>
        <v>0</v>
      </c>
      <c r="M216" s="25">
        <f>Tabela2[[#This Row],[Marcar time]]+M215</f>
        <v>22</v>
      </c>
      <c r="N216" s="25">
        <f>IMABS(Tabela2[[#This Row],[Gols M]]-Tabela2[[#This Row],[Gols V]])</f>
        <v>0</v>
      </c>
      <c r="O216" s="25">
        <f>Tabela2[[#This Row],[Gols M]]+Tabela2[[#This Row],[Gols V]]</f>
        <v>2</v>
      </c>
    </row>
    <row r="217" spans="1:15" x14ac:dyDescent="0.25">
      <c r="A217" s="19">
        <v>22</v>
      </c>
      <c r="B217" s="47" t="s">
        <v>88</v>
      </c>
      <c r="C217" s="48">
        <v>2</v>
      </c>
      <c r="D217" s="48">
        <v>0</v>
      </c>
      <c r="E217" s="47" t="s">
        <v>77</v>
      </c>
      <c r="F217" s="49" t="s">
        <v>98</v>
      </c>
      <c r="G217" s="49">
        <v>42609</v>
      </c>
      <c r="H217" s="49" t="s">
        <v>96</v>
      </c>
      <c r="I217" s="50" t="s">
        <v>5</v>
      </c>
      <c r="J217" s="19" t="str">
        <f>IF(Tabela2[[#This Row],[Gols M]]&lt;&gt;"",IF(Tabela2[[#This Row],[Gols M]]-Tabela2[[#This Row],[Gols V]]&gt;=0,IF(Tabela2[[#This Row],[Gols M]]-Tabela2[[#This Row],[Gols V]]&gt;0,"V","E"),"D"),"")</f>
        <v>V</v>
      </c>
      <c r="K217" s="19" t="str">
        <f>IF(Tabela2[[#This Row],[Gols M]]&lt;&gt;"",IF(Tabela2[[#This Row],[Gols V]]-Tabela2[[#This Row],[Gols M]]&gt;=0,IF(Tabela2[[#This Row],[Gols V]]-Tabela2[[#This Row],[Gols M]]&gt;0,"V","E"),"D"),"")</f>
        <v>D</v>
      </c>
      <c r="L217" s="19">
        <f>IF(OR('Por time'!E$2=Tabela2[[#This Row],[Mandante]], 'Por time'!E$2=Tabela2[[#This Row],[Visitante]]),1,0)</f>
        <v>0</v>
      </c>
      <c r="M217" s="25">
        <f>Tabela2[[#This Row],[Marcar time]]+M216</f>
        <v>22</v>
      </c>
      <c r="N217" s="25">
        <f>IMABS(Tabela2[[#This Row],[Gols M]]-Tabela2[[#This Row],[Gols V]])</f>
        <v>2</v>
      </c>
      <c r="O217" s="25">
        <f>Tabela2[[#This Row],[Gols M]]+Tabela2[[#This Row],[Gols V]]</f>
        <v>2</v>
      </c>
    </row>
    <row r="218" spans="1:15" x14ac:dyDescent="0.25">
      <c r="A218" s="19">
        <v>22</v>
      </c>
      <c r="B218" s="47" t="s">
        <v>89</v>
      </c>
      <c r="C218" s="48">
        <v>0</v>
      </c>
      <c r="D218" s="48">
        <v>1</v>
      </c>
      <c r="E218" s="47" t="s">
        <v>78</v>
      </c>
      <c r="F218" s="49" t="s">
        <v>95</v>
      </c>
      <c r="G218" s="49">
        <v>42610</v>
      </c>
      <c r="H218" s="49" t="s">
        <v>97</v>
      </c>
      <c r="I218" s="50" t="s">
        <v>6</v>
      </c>
      <c r="J218" s="19" t="str">
        <f>IF(Tabela2[[#This Row],[Gols M]]&lt;&gt;"",IF(Tabela2[[#This Row],[Gols M]]-Tabela2[[#This Row],[Gols V]]&gt;=0,IF(Tabela2[[#This Row],[Gols M]]-Tabela2[[#This Row],[Gols V]]&gt;0,"V","E"),"D"),"")</f>
        <v>D</v>
      </c>
      <c r="K218" s="19" t="str">
        <f>IF(Tabela2[[#This Row],[Gols M]]&lt;&gt;"",IF(Tabela2[[#This Row],[Gols V]]-Tabela2[[#This Row],[Gols M]]&gt;=0,IF(Tabela2[[#This Row],[Gols V]]-Tabela2[[#This Row],[Gols M]]&gt;0,"V","E"),"D"),"")</f>
        <v>V</v>
      </c>
      <c r="L218" s="19">
        <f>IF(OR('Por time'!E$2=Tabela2[[#This Row],[Mandante]], 'Por time'!E$2=Tabela2[[#This Row],[Visitante]]),1,0)</f>
        <v>0</v>
      </c>
      <c r="M218" s="25">
        <f>Tabela2[[#This Row],[Marcar time]]+M217</f>
        <v>22</v>
      </c>
      <c r="N218" s="25">
        <f>IMABS(Tabela2[[#This Row],[Gols M]]-Tabela2[[#This Row],[Gols V]])</f>
        <v>1</v>
      </c>
      <c r="O218" s="25">
        <f>Tabela2[[#This Row],[Gols M]]+Tabela2[[#This Row],[Gols V]]</f>
        <v>1</v>
      </c>
    </row>
    <row r="219" spans="1:15" x14ac:dyDescent="0.25">
      <c r="A219" s="19">
        <v>22</v>
      </c>
      <c r="B219" s="47" t="s">
        <v>92</v>
      </c>
      <c r="C219" s="48">
        <v>0</v>
      </c>
      <c r="D219" s="48">
        <v>0</v>
      </c>
      <c r="E219" s="47" t="s">
        <v>76</v>
      </c>
      <c r="F219" s="49" t="s">
        <v>95</v>
      </c>
      <c r="G219" s="49">
        <v>42610</v>
      </c>
      <c r="H219" s="49" t="s">
        <v>96</v>
      </c>
      <c r="I219" s="50" t="s">
        <v>41</v>
      </c>
      <c r="J219" s="19" t="str">
        <f>IF(Tabela2[[#This Row],[Gols M]]&lt;&gt;"",IF(Tabela2[[#This Row],[Gols M]]-Tabela2[[#This Row],[Gols V]]&gt;=0,IF(Tabela2[[#This Row],[Gols M]]-Tabela2[[#This Row],[Gols V]]&gt;0,"V","E"),"D"),"")</f>
        <v>E</v>
      </c>
      <c r="K219" s="19" t="str">
        <f>IF(Tabela2[[#This Row],[Gols M]]&lt;&gt;"",IF(Tabela2[[#This Row],[Gols V]]-Tabela2[[#This Row],[Gols M]]&gt;=0,IF(Tabela2[[#This Row],[Gols V]]-Tabela2[[#This Row],[Gols M]]&gt;0,"V","E"),"D"),"")</f>
        <v>E</v>
      </c>
      <c r="L219" s="19">
        <f>IF(OR('Por time'!E$2=Tabela2[[#This Row],[Mandante]], 'Por time'!E$2=Tabela2[[#This Row],[Visitante]]),1,0)</f>
        <v>0</v>
      </c>
      <c r="M219" s="25">
        <f>Tabela2[[#This Row],[Marcar time]]+M218</f>
        <v>22</v>
      </c>
      <c r="N219" s="25">
        <f>IMABS(Tabela2[[#This Row],[Gols M]]-Tabela2[[#This Row],[Gols V]])</f>
        <v>0</v>
      </c>
      <c r="O219" s="25">
        <f>Tabela2[[#This Row],[Gols M]]+Tabela2[[#This Row],[Gols V]]</f>
        <v>0</v>
      </c>
    </row>
    <row r="220" spans="1:15" x14ac:dyDescent="0.25">
      <c r="A220" s="19">
        <v>22</v>
      </c>
      <c r="B220" s="47" t="s">
        <v>90</v>
      </c>
      <c r="C220" s="48">
        <v>1</v>
      </c>
      <c r="D220" s="48">
        <v>1</v>
      </c>
      <c r="E220" s="47" t="s">
        <v>80</v>
      </c>
      <c r="F220" s="49" t="s">
        <v>95</v>
      </c>
      <c r="G220" s="49">
        <v>42610</v>
      </c>
      <c r="H220" s="49" t="s">
        <v>99</v>
      </c>
      <c r="I220" s="50" t="s">
        <v>49</v>
      </c>
      <c r="J220" s="19" t="str">
        <f>IF(Tabela2[[#This Row],[Gols M]]&lt;&gt;"",IF(Tabela2[[#This Row],[Gols M]]-Tabela2[[#This Row],[Gols V]]&gt;=0,IF(Tabela2[[#This Row],[Gols M]]-Tabela2[[#This Row],[Gols V]]&gt;0,"V","E"),"D"),"")</f>
        <v>E</v>
      </c>
      <c r="K220" s="19" t="str">
        <f>IF(Tabela2[[#This Row],[Gols M]]&lt;&gt;"",IF(Tabela2[[#This Row],[Gols V]]-Tabela2[[#This Row],[Gols M]]&gt;=0,IF(Tabela2[[#This Row],[Gols V]]-Tabela2[[#This Row],[Gols M]]&gt;0,"V","E"),"D"),"")</f>
        <v>E</v>
      </c>
      <c r="L220" s="19">
        <f>IF(OR('Por time'!E$2=Tabela2[[#This Row],[Mandante]], 'Por time'!E$2=Tabela2[[#This Row],[Visitante]]),1,0)</f>
        <v>0</v>
      </c>
      <c r="M220" s="25">
        <f>Tabela2[[#This Row],[Marcar time]]+M219</f>
        <v>22</v>
      </c>
      <c r="N220" s="25">
        <f>IMABS(Tabela2[[#This Row],[Gols M]]-Tabela2[[#This Row],[Gols V]])</f>
        <v>0</v>
      </c>
      <c r="O220" s="25">
        <f>Tabela2[[#This Row],[Gols M]]+Tabela2[[#This Row],[Gols V]]</f>
        <v>2</v>
      </c>
    </row>
    <row r="221" spans="1:15" x14ac:dyDescent="0.25">
      <c r="A221" s="19">
        <v>22</v>
      </c>
      <c r="B221" s="47" t="s">
        <v>91</v>
      </c>
      <c r="C221" s="48">
        <v>2</v>
      </c>
      <c r="D221" s="48">
        <v>1</v>
      </c>
      <c r="E221" s="47" t="s">
        <v>73</v>
      </c>
      <c r="F221" s="49" t="s">
        <v>95</v>
      </c>
      <c r="G221" s="49">
        <v>42610</v>
      </c>
      <c r="H221" s="49" t="s">
        <v>99</v>
      </c>
      <c r="I221" s="50" t="s">
        <v>46</v>
      </c>
      <c r="J221" s="19" t="str">
        <f>IF(Tabela2[[#This Row],[Gols M]]&lt;&gt;"",IF(Tabela2[[#This Row],[Gols M]]-Tabela2[[#This Row],[Gols V]]&gt;=0,IF(Tabela2[[#This Row],[Gols M]]-Tabela2[[#This Row],[Gols V]]&gt;0,"V","E"),"D"),"")</f>
        <v>V</v>
      </c>
      <c r="K221" s="19" t="str">
        <f>IF(Tabela2[[#This Row],[Gols M]]&lt;&gt;"",IF(Tabela2[[#This Row],[Gols V]]-Tabela2[[#This Row],[Gols M]]&gt;=0,IF(Tabela2[[#This Row],[Gols V]]-Tabela2[[#This Row],[Gols M]]&gt;0,"V","E"),"D"),"")</f>
        <v>D</v>
      </c>
      <c r="L221" s="19">
        <f>IF(OR('Por time'!E$2=Tabela2[[#This Row],[Mandante]], 'Por time'!E$2=Tabela2[[#This Row],[Visitante]]),1,0)</f>
        <v>0</v>
      </c>
      <c r="M221" s="25">
        <f>Tabela2[[#This Row],[Marcar time]]+M220</f>
        <v>22</v>
      </c>
      <c r="N221" s="25">
        <f>IMABS(Tabela2[[#This Row],[Gols M]]-Tabela2[[#This Row],[Gols V]])</f>
        <v>1</v>
      </c>
      <c r="O221" s="25">
        <f>Tabela2[[#This Row],[Gols M]]+Tabela2[[#This Row],[Gols V]]</f>
        <v>3</v>
      </c>
    </row>
    <row r="222" spans="1:15" x14ac:dyDescent="0.25">
      <c r="A222" s="19">
        <v>23</v>
      </c>
      <c r="B222" s="47" t="s">
        <v>73</v>
      </c>
      <c r="C222" s="48">
        <v>0</v>
      </c>
      <c r="D222" s="48">
        <v>2</v>
      </c>
      <c r="E222" s="47" t="s">
        <v>85</v>
      </c>
      <c r="F222" s="49" t="s">
        <v>103</v>
      </c>
      <c r="G222" s="49">
        <v>42621</v>
      </c>
      <c r="H222" s="49" t="s">
        <v>100</v>
      </c>
      <c r="I222" s="50" t="s">
        <v>11</v>
      </c>
      <c r="J222" s="19" t="str">
        <f>IF(Tabela2[[#This Row],[Gols M]]&lt;&gt;"",IF(Tabela2[[#This Row],[Gols M]]-Tabela2[[#This Row],[Gols V]]&gt;=0,IF(Tabela2[[#This Row],[Gols M]]-Tabela2[[#This Row],[Gols V]]&gt;0,"V","E"),"D"),"")</f>
        <v>D</v>
      </c>
      <c r="K222" s="19" t="str">
        <f>IF(Tabela2[[#This Row],[Gols M]]&lt;&gt;"",IF(Tabela2[[#This Row],[Gols V]]-Tabela2[[#This Row],[Gols M]]&gt;=0,IF(Tabela2[[#This Row],[Gols V]]-Tabela2[[#This Row],[Gols M]]&gt;0,"V","E"),"D"),"")</f>
        <v>V</v>
      </c>
      <c r="L222" s="19">
        <f>IF(OR('Por time'!E$2=Tabela2[[#This Row],[Mandante]], 'Por time'!E$2=Tabela2[[#This Row],[Visitante]]),1,0)</f>
        <v>0</v>
      </c>
      <c r="M222" s="25">
        <f>Tabela2[[#This Row],[Marcar time]]+M221</f>
        <v>22</v>
      </c>
      <c r="N222" s="25">
        <f>IMABS(Tabela2[[#This Row],[Gols M]]-Tabela2[[#This Row],[Gols V]])</f>
        <v>2</v>
      </c>
      <c r="O222" s="25">
        <f>Tabela2[[#This Row],[Gols M]]+Tabela2[[#This Row],[Gols V]]</f>
        <v>2</v>
      </c>
    </row>
    <row r="223" spans="1:15" x14ac:dyDescent="0.25">
      <c r="A223" s="19">
        <v>23</v>
      </c>
      <c r="B223" s="47" t="s">
        <v>74</v>
      </c>
      <c r="C223" s="48">
        <v>1</v>
      </c>
      <c r="D223" s="48">
        <v>0</v>
      </c>
      <c r="E223" s="47" t="s">
        <v>86</v>
      </c>
      <c r="F223" s="49" t="s">
        <v>101</v>
      </c>
      <c r="G223" s="49">
        <v>42620</v>
      </c>
      <c r="H223" s="49" t="s">
        <v>96</v>
      </c>
      <c r="I223" s="50" t="s">
        <v>14</v>
      </c>
      <c r="J223" s="19" t="str">
        <f>IF(Tabela2[[#This Row],[Gols M]]&lt;&gt;"",IF(Tabela2[[#This Row],[Gols M]]-Tabela2[[#This Row],[Gols V]]&gt;=0,IF(Tabela2[[#This Row],[Gols M]]-Tabela2[[#This Row],[Gols V]]&gt;0,"V","E"),"D"),"")</f>
        <v>V</v>
      </c>
      <c r="K223" s="19" t="str">
        <f>IF(Tabela2[[#This Row],[Gols M]]&lt;&gt;"",IF(Tabela2[[#This Row],[Gols V]]-Tabela2[[#This Row],[Gols M]]&gt;=0,IF(Tabela2[[#This Row],[Gols V]]-Tabela2[[#This Row],[Gols M]]&gt;0,"V","E"),"D"),"")</f>
        <v>D</v>
      </c>
      <c r="L223" s="19">
        <f>IF(OR('Por time'!E$2=Tabela2[[#This Row],[Mandante]], 'Por time'!E$2=Tabela2[[#This Row],[Visitante]]),1,0)</f>
        <v>0</v>
      </c>
      <c r="M223" s="25">
        <f>Tabela2[[#This Row],[Marcar time]]+M222</f>
        <v>22</v>
      </c>
      <c r="N223" s="25">
        <f>IMABS(Tabela2[[#This Row],[Gols M]]-Tabela2[[#This Row],[Gols V]])</f>
        <v>1</v>
      </c>
      <c r="O223" s="25">
        <f>Tabela2[[#This Row],[Gols M]]+Tabela2[[#This Row],[Gols V]]</f>
        <v>1</v>
      </c>
    </row>
    <row r="224" spans="1:15" x14ac:dyDescent="0.25">
      <c r="A224" s="19">
        <v>23</v>
      </c>
      <c r="B224" s="47" t="s">
        <v>75</v>
      </c>
      <c r="C224" s="48">
        <v>2</v>
      </c>
      <c r="D224" s="48">
        <v>1</v>
      </c>
      <c r="E224" s="47" t="s">
        <v>91</v>
      </c>
      <c r="F224" s="49" t="s">
        <v>101</v>
      </c>
      <c r="G224" s="49">
        <v>42620</v>
      </c>
      <c r="H224" s="49" t="s">
        <v>102</v>
      </c>
      <c r="I224" s="50" t="s">
        <v>11</v>
      </c>
      <c r="J224" s="19" t="str">
        <f>IF(Tabela2[[#This Row],[Gols M]]&lt;&gt;"",IF(Tabela2[[#This Row],[Gols M]]-Tabela2[[#This Row],[Gols V]]&gt;=0,IF(Tabela2[[#This Row],[Gols M]]-Tabela2[[#This Row],[Gols V]]&gt;0,"V","E"),"D"),"")</f>
        <v>V</v>
      </c>
      <c r="K224" s="19" t="str">
        <f>IF(Tabela2[[#This Row],[Gols M]]&lt;&gt;"",IF(Tabela2[[#This Row],[Gols V]]-Tabela2[[#This Row],[Gols M]]&gt;=0,IF(Tabela2[[#This Row],[Gols V]]-Tabela2[[#This Row],[Gols M]]&gt;0,"V","E"),"D"),"")</f>
        <v>D</v>
      </c>
      <c r="L224" s="19">
        <f>IF(OR('Por time'!E$2=Tabela2[[#This Row],[Mandante]], 'Por time'!E$2=Tabela2[[#This Row],[Visitante]]),1,0)</f>
        <v>0</v>
      </c>
      <c r="M224" s="25">
        <f>Tabela2[[#This Row],[Marcar time]]+M223</f>
        <v>22</v>
      </c>
      <c r="N224" s="25">
        <f>IMABS(Tabela2[[#This Row],[Gols M]]-Tabela2[[#This Row],[Gols V]])</f>
        <v>1</v>
      </c>
      <c r="O224" s="25">
        <f>Tabela2[[#This Row],[Gols M]]+Tabela2[[#This Row],[Gols V]]</f>
        <v>3</v>
      </c>
    </row>
    <row r="225" spans="1:15" x14ac:dyDescent="0.25">
      <c r="A225" s="19">
        <v>23</v>
      </c>
      <c r="B225" s="47" t="s">
        <v>76</v>
      </c>
      <c r="C225" s="48">
        <v>4</v>
      </c>
      <c r="D225" s="48">
        <v>0</v>
      </c>
      <c r="E225" s="47" t="s">
        <v>87</v>
      </c>
      <c r="F225" s="49" t="s">
        <v>101</v>
      </c>
      <c r="G225" s="49">
        <v>42620</v>
      </c>
      <c r="H225" s="49" t="s">
        <v>104</v>
      </c>
      <c r="I225" s="50" t="s">
        <v>40</v>
      </c>
      <c r="J225" s="19" t="str">
        <f>IF(Tabela2[[#This Row],[Gols M]]&lt;&gt;"",IF(Tabela2[[#This Row],[Gols M]]-Tabela2[[#This Row],[Gols V]]&gt;=0,IF(Tabela2[[#This Row],[Gols M]]-Tabela2[[#This Row],[Gols V]]&gt;0,"V","E"),"D"),"")</f>
        <v>V</v>
      </c>
      <c r="K225" s="19" t="str">
        <f>IF(Tabela2[[#This Row],[Gols M]]&lt;&gt;"",IF(Tabela2[[#This Row],[Gols V]]-Tabela2[[#This Row],[Gols M]]&gt;=0,IF(Tabela2[[#This Row],[Gols V]]-Tabela2[[#This Row],[Gols M]]&gt;0,"V","E"),"D"),"")</f>
        <v>D</v>
      </c>
      <c r="L225" s="19">
        <f>IF(OR('Por time'!E$2=Tabela2[[#This Row],[Mandante]], 'Por time'!E$2=Tabela2[[#This Row],[Visitante]]),1,0)</f>
        <v>0</v>
      </c>
      <c r="M225" s="25">
        <f>Tabela2[[#This Row],[Marcar time]]+M224</f>
        <v>22</v>
      </c>
      <c r="N225" s="25">
        <f>IMABS(Tabela2[[#This Row],[Gols M]]-Tabela2[[#This Row],[Gols V]])</f>
        <v>4</v>
      </c>
      <c r="O225" s="25">
        <f>Tabela2[[#This Row],[Gols M]]+Tabela2[[#This Row],[Gols V]]</f>
        <v>4</v>
      </c>
    </row>
    <row r="226" spans="1:15" x14ac:dyDescent="0.25">
      <c r="A226" s="19">
        <v>23</v>
      </c>
      <c r="B226" s="47" t="s">
        <v>77</v>
      </c>
      <c r="C226" s="48">
        <v>3</v>
      </c>
      <c r="D226" s="48">
        <v>0</v>
      </c>
      <c r="E226" s="47" t="s">
        <v>90</v>
      </c>
      <c r="F226" s="49" t="s">
        <v>103</v>
      </c>
      <c r="G226" s="49">
        <v>42621</v>
      </c>
      <c r="H226" s="49" t="s">
        <v>102</v>
      </c>
      <c r="I226" s="50" t="s">
        <v>18</v>
      </c>
      <c r="J226" s="19" t="str">
        <f>IF(Tabela2[[#This Row],[Gols M]]&lt;&gt;"",IF(Tabela2[[#This Row],[Gols M]]-Tabela2[[#This Row],[Gols V]]&gt;=0,IF(Tabela2[[#This Row],[Gols M]]-Tabela2[[#This Row],[Gols V]]&gt;0,"V","E"),"D"),"")</f>
        <v>V</v>
      </c>
      <c r="K226" s="19" t="str">
        <f>IF(Tabela2[[#This Row],[Gols M]]&lt;&gt;"",IF(Tabela2[[#This Row],[Gols V]]-Tabela2[[#This Row],[Gols M]]&gt;=0,IF(Tabela2[[#This Row],[Gols V]]-Tabela2[[#This Row],[Gols M]]&gt;0,"V","E"),"D"),"")</f>
        <v>D</v>
      </c>
      <c r="L226" s="19">
        <f>IF(OR('Por time'!E$2=Tabela2[[#This Row],[Mandante]], 'Por time'!E$2=Tabela2[[#This Row],[Visitante]]),1,0)</f>
        <v>0</v>
      </c>
      <c r="M226" s="25">
        <f>Tabela2[[#This Row],[Marcar time]]+M225</f>
        <v>22</v>
      </c>
      <c r="N226" s="25">
        <f>IMABS(Tabela2[[#This Row],[Gols M]]-Tabela2[[#This Row],[Gols V]])</f>
        <v>3</v>
      </c>
      <c r="O226" s="25">
        <f>Tabela2[[#This Row],[Gols M]]+Tabela2[[#This Row],[Gols V]]</f>
        <v>3</v>
      </c>
    </row>
    <row r="227" spans="1:15" x14ac:dyDescent="0.25">
      <c r="A227" s="19">
        <v>23</v>
      </c>
      <c r="B227" s="47" t="s">
        <v>78</v>
      </c>
      <c r="C227" s="48">
        <v>1</v>
      </c>
      <c r="D227" s="48">
        <v>0</v>
      </c>
      <c r="E227" s="47" t="s">
        <v>83</v>
      </c>
      <c r="F227" s="49" t="s">
        <v>101</v>
      </c>
      <c r="G227" s="49">
        <v>42620</v>
      </c>
      <c r="H227" s="49" t="s">
        <v>96</v>
      </c>
      <c r="I227" s="50" t="s">
        <v>33</v>
      </c>
      <c r="J227" s="19" t="str">
        <f>IF(Tabela2[[#This Row],[Gols M]]&lt;&gt;"",IF(Tabela2[[#This Row],[Gols M]]-Tabela2[[#This Row],[Gols V]]&gt;=0,IF(Tabela2[[#This Row],[Gols M]]-Tabela2[[#This Row],[Gols V]]&gt;0,"V","E"),"D"),"")</f>
        <v>V</v>
      </c>
      <c r="K227" s="19" t="str">
        <f>IF(Tabela2[[#This Row],[Gols M]]&lt;&gt;"",IF(Tabela2[[#This Row],[Gols V]]-Tabela2[[#This Row],[Gols M]]&gt;=0,IF(Tabela2[[#This Row],[Gols V]]-Tabela2[[#This Row],[Gols M]]&gt;0,"V","E"),"D"),"")</f>
        <v>D</v>
      </c>
      <c r="L227" s="19">
        <f>IF(OR('Por time'!E$2=Tabela2[[#This Row],[Mandante]], 'Por time'!E$2=Tabela2[[#This Row],[Visitante]]),1,0)</f>
        <v>1</v>
      </c>
      <c r="M227" s="25">
        <f>Tabela2[[#This Row],[Marcar time]]+M226</f>
        <v>23</v>
      </c>
      <c r="N227" s="25">
        <f>IMABS(Tabela2[[#This Row],[Gols M]]-Tabela2[[#This Row],[Gols V]])</f>
        <v>1</v>
      </c>
      <c r="O227" s="25">
        <f>Tabela2[[#This Row],[Gols M]]+Tabela2[[#This Row],[Gols V]]</f>
        <v>1</v>
      </c>
    </row>
    <row r="228" spans="1:15" x14ac:dyDescent="0.25">
      <c r="A228" s="19">
        <v>23</v>
      </c>
      <c r="B228" s="47" t="s">
        <v>79</v>
      </c>
      <c r="C228" s="48">
        <v>2</v>
      </c>
      <c r="D228" s="48">
        <v>1</v>
      </c>
      <c r="E228" s="47" t="s">
        <v>88</v>
      </c>
      <c r="F228" s="49" t="s">
        <v>101</v>
      </c>
      <c r="G228" s="49">
        <v>42620</v>
      </c>
      <c r="H228" s="49" t="s">
        <v>104</v>
      </c>
      <c r="I228" s="50" t="s">
        <v>48</v>
      </c>
      <c r="J228" s="19" t="str">
        <f>IF(Tabela2[[#This Row],[Gols M]]&lt;&gt;"",IF(Tabela2[[#This Row],[Gols M]]-Tabela2[[#This Row],[Gols V]]&gt;=0,IF(Tabela2[[#This Row],[Gols M]]-Tabela2[[#This Row],[Gols V]]&gt;0,"V","E"),"D"),"")</f>
        <v>V</v>
      </c>
      <c r="K228" s="19" t="str">
        <f>IF(Tabela2[[#This Row],[Gols M]]&lt;&gt;"",IF(Tabela2[[#This Row],[Gols V]]-Tabela2[[#This Row],[Gols M]]&gt;=0,IF(Tabela2[[#This Row],[Gols V]]-Tabela2[[#This Row],[Gols M]]&gt;0,"V","E"),"D"),"")</f>
        <v>D</v>
      </c>
      <c r="L228" s="19">
        <f>IF(OR('Por time'!E$2=Tabela2[[#This Row],[Mandante]], 'Por time'!E$2=Tabela2[[#This Row],[Visitante]]),1,0)</f>
        <v>0</v>
      </c>
      <c r="M228" s="25">
        <f>Tabela2[[#This Row],[Marcar time]]+M227</f>
        <v>23</v>
      </c>
      <c r="N228" s="25">
        <f>IMABS(Tabela2[[#This Row],[Gols M]]-Tabela2[[#This Row],[Gols V]])</f>
        <v>1</v>
      </c>
      <c r="O228" s="25">
        <f>Tabela2[[#This Row],[Gols M]]+Tabela2[[#This Row],[Gols V]]</f>
        <v>3</v>
      </c>
    </row>
    <row r="229" spans="1:15" x14ac:dyDescent="0.25">
      <c r="A229" s="19">
        <v>23</v>
      </c>
      <c r="B229" s="47" t="s">
        <v>80</v>
      </c>
      <c r="C229" s="48">
        <v>2</v>
      </c>
      <c r="D229" s="48">
        <v>1</v>
      </c>
      <c r="E229" s="47" t="s">
        <v>89</v>
      </c>
      <c r="F229" s="49" t="s">
        <v>103</v>
      </c>
      <c r="G229" s="49">
        <v>42621</v>
      </c>
      <c r="H229" s="49" t="s">
        <v>100</v>
      </c>
      <c r="I229" s="50" t="s">
        <v>27</v>
      </c>
      <c r="J229" s="19" t="str">
        <f>IF(Tabela2[[#This Row],[Gols M]]&lt;&gt;"",IF(Tabela2[[#This Row],[Gols M]]-Tabela2[[#This Row],[Gols V]]&gt;=0,IF(Tabela2[[#This Row],[Gols M]]-Tabela2[[#This Row],[Gols V]]&gt;0,"V","E"),"D"),"")</f>
        <v>V</v>
      </c>
      <c r="K229" s="19" t="str">
        <f>IF(Tabela2[[#This Row],[Gols M]]&lt;&gt;"",IF(Tabela2[[#This Row],[Gols V]]-Tabela2[[#This Row],[Gols M]]&gt;=0,IF(Tabela2[[#This Row],[Gols V]]-Tabela2[[#This Row],[Gols M]]&gt;0,"V","E"),"D"),"")</f>
        <v>D</v>
      </c>
      <c r="L229" s="19">
        <f>IF(OR('Por time'!E$2=Tabela2[[#This Row],[Mandante]], 'Por time'!E$2=Tabela2[[#This Row],[Visitante]]),1,0)</f>
        <v>0</v>
      </c>
      <c r="M229" s="25">
        <f>Tabela2[[#This Row],[Marcar time]]+M228</f>
        <v>23</v>
      </c>
      <c r="N229" s="25">
        <f>IMABS(Tabela2[[#This Row],[Gols M]]-Tabela2[[#This Row],[Gols V]])</f>
        <v>1</v>
      </c>
      <c r="O229" s="25">
        <f>Tabela2[[#This Row],[Gols M]]+Tabela2[[#This Row],[Gols V]]</f>
        <v>3</v>
      </c>
    </row>
    <row r="230" spans="1:15" x14ac:dyDescent="0.25">
      <c r="A230" s="19">
        <v>23</v>
      </c>
      <c r="B230" s="47" t="s">
        <v>81</v>
      </c>
      <c r="C230" s="48">
        <v>2</v>
      </c>
      <c r="D230" s="48">
        <v>1</v>
      </c>
      <c r="E230" s="47" t="s">
        <v>92</v>
      </c>
      <c r="F230" s="49" t="s">
        <v>101</v>
      </c>
      <c r="G230" s="49">
        <v>42620</v>
      </c>
      <c r="H230" s="49" t="s">
        <v>104</v>
      </c>
      <c r="I230" s="50" t="s">
        <v>30</v>
      </c>
      <c r="J230" s="19" t="str">
        <f>IF(Tabela2[[#This Row],[Gols M]]&lt;&gt;"",IF(Tabela2[[#This Row],[Gols M]]-Tabela2[[#This Row],[Gols V]]&gt;=0,IF(Tabela2[[#This Row],[Gols M]]-Tabela2[[#This Row],[Gols V]]&gt;0,"V","E"),"D"),"")</f>
        <v>V</v>
      </c>
      <c r="K230" s="19" t="str">
        <f>IF(Tabela2[[#This Row],[Gols M]]&lt;&gt;"",IF(Tabela2[[#This Row],[Gols V]]-Tabela2[[#This Row],[Gols M]]&gt;=0,IF(Tabela2[[#This Row],[Gols V]]-Tabela2[[#This Row],[Gols M]]&gt;0,"V","E"),"D"),"")</f>
        <v>D</v>
      </c>
      <c r="L230" s="19">
        <f>IF(OR('Por time'!E$2=Tabela2[[#This Row],[Mandante]], 'Por time'!E$2=Tabela2[[#This Row],[Visitante]]),1,0)</f>
        <v>0</v>
      </c>
      <c r="M230" s="25">
        <f>Tabela2[[#This Row],[Marcar time]]+M229</f>
        <v>23</v>
      </c>
      <c r="N230" s="25">
        <f>IMABS(Tabela2[[#This Row],[Gols M]]-Tabela2[[#This Row],[Gols V]])</f>
        <v>1</v>
      </c>
      <c r="O230" s="25">
        <f>Tabela2[[#This Row],[Gols M]]+Tabela2[[#This Row],[Gols V]]</f>
        <v>3</v>
      </c>
    </row>
    <row r="231" spans="1:15" x14ac:dyDescent="0.25">
      <c r="A231" s="19">
        <v>23</v>
      </c>
      <c r="B231" s="47" t="s">
        <v>82</v>
      </c>
      <c r="C231" s="48">
        <v>2</v>
      </c>
      <c r="D231" s="48">
        <v>2</v>
      </c>
      <c r="E231" s="47" t="s">
        <v>84</v>
      </c>
      <c r="F231" s="49" t="s">
        <v>101</v>
      </c>
      <c r="G231" s="49">
        <v>42620</v>
      </c>
      <c r="H231" s="49" t="s">
        <v>96</v>
      </c>
      <c r="I231" s="50" t="s">
        <v>49</v>
      </c>
      <c r="J231" s="19" t="str">
        <f>IF(Tabela2[[#This Row],[Gols M]]&lt;&gt;"",IF(Tabela2[[#This Row],[Gols M]]-Tabela2[[#This Row],[Gols V]]&gt;=0,IF(Tabela2[[#This Row],[Gols M]]-Tabela2[[#This Row],[Gols V]]&gt;0,"V","E"),"D"),"")</f>
        <v>E</v>
      </c>
      <c r="K231" s="19" t="str">
        <f>IF(Tabela2[[#This Row],[Gols M]]&lt;&gt;"",IF(Tabela2[[#This Row],[Gols V]]-Tabela2[[#This Row],[Gols M]]&gt;=0,IF(Tabela2[[#This Row],[Gols V]]-Tabela2[[#This Row],[Gols M]]&gt;0,"V","E"),"D"),"")</f>
        <v>E</v>
      </c>
      <c r="L231" s="19">
        <f>IF(OR('Por time'!E$2=Tabela2[[#This Row],[Mandante]], 'Por time'!E$2=Tabela2[[#This Row],[Visitante]]),1,0)</f>
        <v>0</v>
      </c>
      <c r="M231" s="25">
        <f>Tabela2[[#This Row],[Marcar time]]+M230</f>
        <v>23</v>
      </c>
      <c r="N231" s="25">
        <f>IMABS(Tabela2[[#This Row],[Gols M]]-Tabela2[[#This Row],[Gols V]])</f>
        <v>0</v>
      </c>
      <c r="O231" s="25">
        <f>Tabela2[[#This Row],[Gols M]]+Tabela2[[#This Row],[Gols V]]</f>
        <v>4</v>
      </c>
    </row>
    <row r="232" spans="1:15" x14ac:dyDescent="0.25">
      <c r="A232" s="19">
        <v>24</v>
      </c>
      <c r="B232" s="47" t="s">
        <v>83</v>
      </c>
      <c r="C232" s="48">
        <v>2</v>
      </c>
      <c r="D232" s="48">
        <v>1</v>
      </c>
      <c r="E232" s="47" t="s">
        <v>80</v>
      </c>
      <c r="F232" s="49" t="s">
        <v>95</v>
      </c>
      <c r="G232" s="49">
        <v>42624</v>
      </c>
      <c r="H232" s="49" t="s">
        <v>96</v>
      </c>
      <c r="I232" s="50" t="s">
        <v>0</v>
      </c>
      <c r="J232" s="19" t="str">
        <f>IF(Tabela2[[#This Row],[Gols M]]&lt;&gt;"",IF(Tabela2[[#This Row],[Gols M]]-Tabela2[[#This Row],[Gols V]]&gt;=0,IF(Tabela2[[#This Row],[Gols M]]-Tabela2[[#This Row],[Gols V]]&gt;0,"V","E"),"D"),"")</f>
        <v>V</v>
      </c>
      <c r="K232" s="19" t="str">
        <f>IF(Tabela2[[#This Row],[Gols M]]&lt;&gt;"",IF(Tabela2[[#This Row],[Gols V]]-Tabela2[[#This Row],[Gols M]]&gt;=0,IF(Tabela2[[#This Row],[Gols V]]-Tabela2[[#This Row],[Gols M]]&gt;0,"V","E"),"D"),"")</f>
        <v>D</v>
      </c>
      <c r="L232" s="19">
        <f>IF(OR('Por time'!E$2=Tabela2[[#This Row],[Mandante]], 'Por time'!E$2=Tabela2[[#This Row],[Visitante]]),1,0)</f>
        <v>1</v>
      </c>
      <c r="M232" s="25">
        <f>Tabela2[[#This Row],[Marcar time]]+M231</f>
        <v>24</v>
      </c>
      <c r="N232" s="25">
        <f>IMABS(Tabela2[[#This Row],[Gols M]]-Tabela2[[#This Row],[Gols V]])</f>
        <v>1</v>
      </c>
      <c r="O232" s="25">
        <f>Tabela2[[#This Row],[Gols M]]+Tabela2[[#This Row],[Gols V]]</f>
        <v>3</v>
      </c>
    </row>
    <row r="233" spans="1:15" x14ac:dyDescent="0.25">
      <c r="A233" s="19">
        <v>24</v>
      </c>
      <c r="B233" s="47" t="s">
        <v>84</v>
      </c>
      <c r="C233" s="48">
        <v>1</v>
      </c>
      <c r="D233" s="48">
        <v>0</v>
      </c>
      <c r="E233" s="47" t="s">
        <v>76</v>
      </c>
      <c r="F233" s="49" t="s">
        <v>95</v>
      </c>
      <c r="G233" s="49">
        <v>42624</v>
      </c>
      <c r="H233" s="49" t="s">
        <v>97</v>
      </c>
      <c r="I233" s="50" t="s">
        <v>1</v>
      </c>
      <c r="J233" s="19" t="str">
        <f>IF(Tabela2[[#This Row],[Gols M]]&lt;&gt;"",IF(Tabela2[[#This Row],[Gols M]]-Tabela2[[#This Row],[Gols V]]&gt;=0,IF(Tabela2[[#This Row],[Gols M]]-Tabela2[[#This Row],[Gols V]]&gt;0,"V","E"),"D"),"")</f>
        <v>V</v>
      </c>
      <c r="K233" s="19" t="str">
        <f>IF(Tabela2[[#This Row],[Gols M]]&lt;&gt;"",IF(Tabela2[[#This Row],[Gols V]]-Tabela2[[#This Row],[Gols M]]&gt;=0,IF(Tabela2[[#This Row],[Gols V]]-Tabela2[[#This Row],[Gols M]]&gt;0,"V","E"),"D"),"")</f>
        <v>D</v>
      </c>
      <c r="L233" s="19">
        <f>IF(OR('Por time'!E$2=Tabela2[[#This Row],[Mandante]], 'Por time'!E$2=Tabela2[[#This Row],[Visitante]]),1,0)</f>
        <v>0</v>
      </c>
      <c r="M233" s="25">
        <f>Tabela2[[#This Row],[Marcar time]]+M232</f>
        <v>24</v>
      </c>
      <c r="N233" s="25">
        <f>IMABS(Tabela2[[#This Row],[Gols M]]-Tabela2[[#This Row],[Gols V]])</f>
        <v>1</v>
      </c>
      <c r="O233" s="25">
        <f>Tabela2[[#This Row],[Gols M]]+Tabela2[[#This Row],[Gols V]]</f>
        <v>1</v>
      </c>
    </row>
    <row r="234" spans="1:15" x14ac:dyDescent="0.25">
      <c r="A234" s="19">
        <v>24</v>
      </c>
      <c r="B234" s="47" t="s">
        <v>85</v>
      </c>
      <c r="C234" s="48">
        <v>0</v>
      </c>
      <c r="D234" s="48">
        <v>2</v>
      </c>
      <c r="E234" s="47" t="s">
        <v>74</v>
      </c>
      <c r="F234" s="49" t="s">
        <v>95</v>
      </c>
      <c r="G234" s="49">
        <v>42624</v>
      </c>
      <c r="H234" s="49" t="s">
        <v>96</v>
      </c>
      <c r="I234" s="50" t="s">
        <v>2</v>
      </c>
      <c r="J234" s="19" t="str">
        <f>IF(Tabela2[[#This Row],[Gols M]]&lt;&gt;"",IF(Tabela2[[#This Row],[Gols M]]-Tabela2[[#This Row],[Gols V]]&gt;=0,IF(Tabela2[[#This Row],[Gols M]]-Tabela2[[#This Row],[Gols V]]&gt;0,"V","E"),"D"),"")</f>
        <v>D</v>
      </c>
      <c r="K234" s="19" t="str">
        <f>IF(Tabela2[[#This Row],[Gols M]]&lt;&gt;"",IF(Tabela2[[#This Row],[Gols V]]-Tabela2[[#This Row],[Gols M]]&gt;=0,IF(Tabela2[[#This Row],[Gols V]]-Tabela2[[#This Row],[Gols M]]&gt;0,"V","E"),"D"),"")</f>
        <v>V</v>
      </c>
      <c r="L234" s="19">
        <f>IF(OR('Por time'!E$2=Tabela2[[#This Row],[Mandante]], 'Por time'!E$2=Tabela2[[#This Row],[Visitante]]),1,0)</f>
        <v>0</v>
      </c>
      <c r="M234" s="25">
        <f>Tabela2[[#This Row],[Marcar time]]+M233</f>
        <v>24</v>
      </c>
      <c r="N234" s="25">
        <f>IMABS(Tabela2[[#This Row],[Gols M]]-Tabela2[[#This Row],[Gols V]])</f>
        <v>2</v>
      </c>
      <c r="O234" s="25">
        <f>Tabela2[[#This Row],[Gols M]]+Tabela2[[#This Row],[Gols V]]</f>
        <v>2</v>
      </c>
    </row>
    <row r="235" spans="1:15" x14ac:dyDescent="0.25">
      <c r="A235" s="19">
        <v>24</v>
      </c>
      <c r="B235" s="47" t="s">
        <v>86</v>
      </c>
      <c r="C235" s="48">
        <v>4</v>
      </c>
      <c r="D235" s="48">
        <v>2</v>
      </c>
      <c r="E235" s="47" t="s">
        <v>75</v>
      </c>
      <c r="F235" s="49" t="s">
        <v>113</v>
      </c>
      <c r="G235" s="49">
        <v>42625</v>
      </c>
      <c r="H235" s="49" t="s">
        <v>107</v>
      </c>
      <c r="I235" s="50" t="s">
        <v>3</v>
      </c>
      <c r="J235" s="19" t="str">
        <f>IF(Tabela2[[#This Row],[Gols M]]&lt;&gt;"",IF(Tabela2[[#This Row],[Gols M]]-Tabela2[[#This Row],[Gols V]]&gt;=0,IF(Tabela2[[#This Row],[Gols M]]-Tabela2[[#This Row],[Gols V]]&gt;0,"V","E"),"D"),"")</f>
        <v>V</v>
      </c>
      <c r="K235" s="19" t="str">
        <f>IF(Tabela2[[#This Row],[Gols M]]&lt;&gt;"",IF(Tabela2[[#This Row],[Gols V]]-Tabela2[[#This Row],[Gols M]]&gt;=0,IF(Tabela2[[#This Row],[Gols V]]-Tabela2[[#This Row],[Gols M]]&gt;0,"V","E"),"D"),"")</f>
        <v>D</v>
      </c>
      <c r="L235" s="19">
        <f>IF(OR('Por time'!E$2=Tabela2[[#This Row],[Mandante]], 'Por time'!E$2=Tabela2[[#This Row],[Visitante]]),1,0)</f>
        <v>0</v>
      </c>
      <c r="M235" s="25">
        <f>Tabela2[[#This Row],[Marcar time]]+M234</f>
        <v>24</v>
      </c>
      <c r="N235" s="25">
        <f>IMABS(Tabela2[[#This Row],[Gols M]]-Tabela2[[#This Row],[Gols V]])</f>
        <v>2</v>
      </c>
      <c r="O235" s="25">
        <f>Tabela2[[#This Row],[Gols M]]+Tabela2[[#This Row],[Gols V]]</f>
        <v>6</v>
      </c>
    </row>
    <row r="236" spans="1:15" x14ac:dyDescent="0.25">
      <c r="A236" s="19">
        <v>24</v>
      </c>
      <c r="B236" s="47" t="s">
        <v>87</v>
      </c>
      <c r="C236" s="48">
        <v>0</v>
      </c>
      <c r="D236" s="48">
        <v>0</v>
      </c>
      <c r="E236" s="47" t="s">
        <v>81</v>
      </c>
      <c r="F236" s="49" t="s">
        <v>95</v>
      </c>
      <c r="G236" s="49">
        <v>42624</v>
      </c>
      <c r="H236" s="49" t="s">
        <v>99</v>
      </c>
      <c r="I236" s="50" t="s">
        <v>4</v>
      </c>
      <c r="J236" s="19" t="str">
        <f>IF(Tabela2[[#This Row],[Gols M]]&lt;&gt;"",IF(Tabela2[[#This Row],[Gols M]]-Tabela2[[#This Row],[Gols V]]&gt;=0,IF(Tabela2[[#This Row],[Gols M]]-Tabela2[[#This Row],[Gols V]]&gt;0,"V","E"),"D"),"")</f>
        <v>E</v>
      </c>
      <c r="K236" s="19" t="str">
        <f>IF(Tabela2[[#This Row],[Gols M]]&lt;&gt;"",IF(Tabela2[[#This Row],[Gols V]]-Tabela2[[#This Row],[Gols M]]&gt;=0,IF(Tabela2[[#This Row],[Gols V]]-Tabela2[[#This Row],[Gols M]]&gt;0,"V","E"),"D"),"")</f>
        <v>E</v>
      </c>
      <c r="L236" s="19">
        <f>IF(OR('Por time'!E$2=Tabela2[[#This Row],[Mandante]], 'Por time'!E$2=Tabela2[[#This Row],[Visitante]]),1,0)</f>
        <v>0</v>
      </c>
      <c r="M236" s="25">
        <f>Tabela2[[#This Row],[Marcar time]]+M235</f>
        <v>24</v>
      </c>
      <c r="N236" s="25">
        <f>IMABS(Tabela2[[#This Row],[Gols M]]-Tabela2[[#This Row],[Gols V]])</f>
        <v>0</v>
      </c>
      <c r="O236" s="25">
        <f>Tabela2[[#This Row],[Gols M]]+Tabela2[[#This Row],[Gols V]]</f>
        <v>0</v>
      </c>
    </row>
    <row r="237" spans="1:15" x14ac:dyDescent="0.25">
      <c r="A237" s="19">
        <v>24</v>
      </c>
      <c r="B237" s="47" t="s">
        <v>88</v>
      </c>
      <c r="C237" s="48">
        <v>1</v>
      </c>
      <c r="D237" s="48">
        <v>1</v>
      </c>
      <c r="E237" s="47" t="s">
        <v>73</v>
      </c>
      <c r="F237" s="49" t="s">
        <v>95</v>
      </c>
      <c r="G237" s="49">
        <v>42624</v>
      </c>
      <c r="H237" s="49" t="s">
        <v>99</v>
      </c>
      <c r="I237" s="50" t="s">
        <v>5</v>
      </c>
      <c r="J237" s="19" t="str">
        <f>IF(Tabela2[[#This Row],[Gols M]]&lt;&gt;"",IF(Tabela2[[#This Row],[Gols M]]-Tabela2[[#This Row],[Gols V]]&gt;=0,IF(Tabela2[[#This Row],[Gols M]]-Tabela2[[#This Row],[Gols V]]&gt;0,"V","E"),"D"),"")</f>
        <v>E</v>
      </c>
      <c r="K237" s="19" t="str">
        <f>IF(Tabela2[[#This Row],[Gols M]]&lt;&gt;"",IF(Tabela2[[#This Row],[Gols V]]-Tabela2[[#This Row],[Gols M]]&gt;=0,IF(Tabela2[[#This Row],[Gols V]]-Tabela2[[#This Row],[Gols M]]&gt;0,"V","E"),"D"),"")</f>
        <v>E</v>
      </c>
      <c r="L237" s="19">
        <f>IF(OR('Por time'!E$2=Tabela2[[#This Row],[Mandante]], 'Por time'!E$2=Tabela2[[#This Row],[Visitante]]),1,0)</f>
        <v>0</v>
      </c>
      <c r="M237" s="25">
        <f>Tabela2[[#This Row],[Marcar time]]+M236</f>
        <v>24</v>
      </c>
      <c r="N237" s="25">
        <f>IMABS(Tabela2[[#This Row],[Gols M]]-Tabela2[[#This Row],[Gols V]])</f>
        <v>0</v>
      </c>
      <c r="O237" s="25">
        <f>Tabela2[[#This Row],[Gols M]]+Tabela2[[#This Row],[Gols V]]</f>
        <v>2</v>
      </c>
    </row>
    <row r="238" spans="1:15" x14ac:dyDescent="0.25">
      <c r="A238" s="19">
        <v>24</v>
      </c>
      <c r="B238" s="47" t="s">
        <v>89</v>
      </c>
      <c r="C238" s="48">
        <v>2</v>
      </c>
      <c r="D238" s="48">
        <v>1</v>
      </c>
      <c r="E238" s="47" t="s">
        <v>77</v>
      </c>
      <c r="F238" s="49" t="s">
        <v>95</v>
      </c>
      <c r="G238" s="49">
        <v>42624</v>
      </c>
      <c r="H238" s="49" t="s">
        <v>96</v>
      </c>
      <c r="I238" s="50" t="s">
        <v>6</v>
      </c>
      <c r="J238" s="19" t="str">
        <f>IF(Tabela2[[#This Row],[Gols M]]&lt;&gt;"",IF(Tabela2[[#This Row],[Gols M]]-Tabela2[[#This Row],[Gols V]]&gt;=0,IF(Tabela2[[#This Row],[Gols M]]-Tabela2[[#This Row],[Gols V]]&gt;0,"V","E"),"D"),"")</f>
        <v>V</v>
      </c>
      <c r="K238" s="19" t="str">
        <f>IF(Tabela2[[#This Row],[Gols M]]&lt;&gt;"",IF(Tabela2[[#This Row],[Gols V]]-Tabela2[[#This Row],[Gols M]]&gt;=0,IF(Tabela2[[#This Row],[Gols V]]-Tabela2[[#This Row],[Gols M]]&gt;0,"V","E"),"D"),"")</f>
        <v>D</v>
      </c>
      <c r="L238" s="19">
        <f>IF(OR('Por time'!E$2=Tabela2[[#This Row],[Mandante]], 'Por time'!E$2=Tabela2[[#This Row],[Visitante]]),1,0)</f>
        <v>0</v>
      </c>
      <c r="M238" s="25">
        <f>Tabela2[[#This Row],[Marcar time]]+M237</f>
        <v>24</v>
      </c>
      <c r="N238" s="25">
        <f>IMABS(Tabela2[[#This Row],[Gols M]]-Tabela2[[#This Row],[Gols V]])</f>
        <v>1</v>
      </c>
      <c r="O238" s="25">
        <f>Tabela2[[#This Row],[Gols M]]+Tabela2[[#This Row],[Gols V]]</f>
        <v>3</v>
      </c>
    </row>
    <row r="239" spans="1:15" x14ac:dyDescent="0.25">
      <c r="A239" s="19">
        <v>24</v>
      </c>
      <c r="B239" s="47" t="s">
        <v>92</v>
      </c>
      <c r="C239" s="48">
        <v>3</v>
      </c>
      <c r="D239" s="48">
        <v>1</v>
      </c>
      <c r="E239" s="47" t="s">
        <v>78</v>
      </c>
      <c r="F239" s="49" t="s">
        <v>95</v>
      </c>
      <c r="G239" s="49">
        <v>42624</v>
      </c>
      <c r="H239" s="49" t="s">
        <v>97</v>
      </c>
      <c r="I239" s="50" t="s">
        <v>41</v>
      </c>
      <c r="J239" s="19" t="str">
        <f>IF(Tabela2[[#This Row],[Gols M]]&lt;&gt;"",IF(Tabela2[[#This Row],[Gols M]]-Tabela2[[#This Row],[Gols V]]&gt;=0,IF(Tabela2[[#This Row],[Gols M]]-Tabela2[[#This Row],[Gols V]]&gt;0,"V","E"),"D"),"")</f>
        <v>V</v>
      </c>
      <c r="K239" s="19" t="str">
        <f>IF(Tabela2[[#This Row],[Gols M]]&lt;&gt;"",IF(Tabela2[[#This Row],[Gols V]]-Tabela2[[#This Row],[Gols M]]&gt;=0,IF(Tabela2[[#This Row],[Gols V]]-Tabela2[[#This Row],[Gols M]]&gt;0,"V","E"),"D"),"")</f>
        <v>D</v>
      </c>
      <c r="L239" s="19">
        <f>IF(OR('Por time'!E$2=Tabela2[[#This Row],[Mandante]], 'Por time'!E$2=Tabela2[[#This Row],[Visitante]]),1,0)</f>
        <v>0</v>
      </c>
      <c r="M239" s="25">
        <f>Tabela2[[#This Row],[Marcar time]]+M238</f>
        <v>24</v>
      </c>
      <c r="N239" s="25">
        <f>IMABS(Tabela2[[#This Row],[Gols M]]-Tabela2[[#This Row],[Gols V]])</f>
        <v>2</v>
      </c>
      <c r="O239" s="25">
        <f>Tabela2[[#This Row],[Gols M]]+Tabela2[[#This Row],[Gols V]]</f>
        <v>4</v>
      </c>
    </row>
    <row r="240" spans="1:15" x14ac:dyDescent="0.25">
      <c r="A240" s="19">
        <v>24</v>
      </c>
      <c r="B240" s="47" t="s">
        <v>90</v>
      </c>
      <c r="C240" s="48">
        <v>5</v>
      </c>
      <c r="D240" s="48">
        <v>3</v>
      </c>
      <c r="E240" s="47" t="s">
        <v>82</v>
      </c>
      <c r="F240" s="49" t="s">
        <v>95</v>
      </c>
      <c r="G240" s="49">
        <v>42624</v>
      </c>
      <c r="H240" s="49" t="s">
        <v>96</v>
      </c>
      <c r="I240" s="50" t="s">
        <v>8</v>
      </c>
      <c r="J240" s="19" t="str">
        <f>IF(Tabela2[[#This Row],[Gols M]]&lt;&gt;"",IF(Tabela2[[#This Row],[Gols M]]-Tabela2[[#This Row],[Gols V]]&gt;=0,IF(Tabela2[[#This Row],[Gols M]]-Tabela2[[#This Row],[Gols V]]&gt;0,"V","E"),"D"),"")</f>
        <v>V</v>
      </c>
      <c r="K240" s="19" t="str">
        <f>IF(Tabela2[[#This Row],[Gols M]]&lt;&gt;"",IF(Tabela2[[#This Row],[Gols V]]-Tabela2[[#This Row],[Gols M]]&gt;=0,IF(Tabela2[[#This Row],[Gols V]]-Tabela2[[#This Row],[Gols M]]&gt;0,"V","E"),"D"),"")</f>
        <v>D</v>
      </c>
      <c r="L240" s="19">
        <f>IF(OR('Por time'!E$2=Tabela2[[#This Row],[Mandante]], 'Por time'!E$2=Tabela2[[#This Row],[Visitante]]),1,0)</f>
        <v>0</v>
      </c>
      <c r="M240" s="25">
        <f>Tabela2[[#This Row],[Marcar time]]+M239</f>
        <v>24</v>
      </c>
      <c r="N240" s="25">
        <f>IMABS(Tabela2[[#This Row],[Gols M]]-Tabela2[[#This Row],[Gols V]])</f>
        <v>2</v>
      </c>
      <c r="O240" s="25">
        <f>Tabela2[[#This Row],[Gols M]]+Tabela2[[#This Row],[Gols V]]</f>
        <v>8</v>
      </c>
    </row>
    <row r="241" spans="1:15" x14ac:dyDescent="0.25">
      <c r="A241" s="19">
        <v>24</v>
      </c>
      <c r="B241" s="47" t="s">
        <v>91</v>
      </c>
      <c r="C241" s="48">
        <v>1</v>
      </c>
      <c r="D241" s="48">
        <v>2</v>
      </c>
      <c r="E241" s="47" t="s">
        <v>79</v>
      </c>
      <c r="F241" s="49" t="s">
        <v>98</v>
      </c>
      <c r="G241" s="49">
        <v>42623</v>
      </c>
      <c r="H241" s="49" t="s">
        <v>99</v>
      </c>
      <c r="I241" s="50" t="s">
        <v>9</v>
      </c>
      <c r="J241" s="19" t="str">
        <f>IF(Tabela2[[#This Row],[Gols M]]&lt;&gt;"",IF(Tabela2[[#This Row],[Gols M]]-Tabela2[[#This Row],[Gols V]]&gt;=0,IF(Tabela2[[#This Row],[Gols M]]-Tabela2[[#This Row],[Gols V]]&gt;0,"V","E"),"D"),"")</f>
        <v>D</v>
      </c>
      <c r="K241" s="19" t="str">
        <f>IF(Tabela2[[#This Row],[Gols M]]&lt;&gt;"",IF(Tabela2[[#This Row],[Gols V]]-Tabela2[[#This Row],[Gols M]]&gt;=0,IF(Tabela2[[#This Row],[Gols V]]-Tabela2[[#This Row],[Gols M]]&gt;0,"V","E"),"D"),"")</f>
        <v>V</v>
      </c>
      <c r="L241" s="19">
        <f>IF(OR('Por time'!E$2=Tabela2[[#This Row],[Mandante]], 'Por time'!E$2=Tabela2[[#This Row],[Visitante]]),1,0)</f>
        <v>0</v>
      </c>
      <c r="M241" s="25">
        <f>Tabela2[[#This Row],[Marcar time]]+M240</f>
        <v>24</v>
      </c>
      <c r="N241" s="25">
        <f>IMABS(Tabela2[[#This Row],[Gols M]]-Tabela2[[#This Row],[Gols V]])</f>
        <v>1</v>
      </c>
      <c r="O241" s="25">
        <f>Tabela2[[#This Row],[Gols M]]+Tabela2[[#This Row],[Gols V]]</f>
        <v>3</v>
      </c>
    </row>
    <row r="242" spans="1:15" x14ac:dyDescent="0.25">
      <c r="A242" s="19">
        <v>25</v>
      </c>
      <c r="B242" s="47" t="s">
        <v>74</v>
      </c>
      <c r="C242" s="48">
        <v>0</v>
      </c>
      <c r="D242" s="48">
        <v>1</v>
      </c>
      <c r="E242" s="47" t="s">
        <v>89</v>
      </c>
      <c r="F242" s="49" t="s">
        <v>101</v>
      </c>
      <c r="G242" s="49">
        <v>42627</v>
      </c>
      <c r="H242" s="49" t="s">
        <v>102</v>
      </c>
      <c r="I242" s="50" t="s">
        <v>14</v>
      </c>
      <c r="J242" s="19" t="str">
        <f>IF(Tabela2[[#This Row],[Gols M]]&lt;&gt;"",IF(Tabela2[[#This Row],[Gols M]]-Tabela2[[#This Row],[Gols V]]&gt;=0,IF(Tabela2[[#This Row],[Gols M]]-Tabela2[[#This Row],[Gols V]]&gt;0,"V","E"),"D"),"")</f>
        <v>D</v>
      </c>
      <c r="K242" s="19" t="str">
        <f>IF(Tabela2[[#This Row],[Gols M]]&lt;&gt;"",IF(Tabela2[[#This Row],[Gols V]]-Tabela2[[#This Row],[Gols M]]&gt;=0,IF(Tabela2[[#This Row],[Gols V]]-Tabela2[[#This Row],[Gols M]]&gt;0,"V","E"),"D"),"")</f>
        <v>V</v>
      </c>
      <c r="L242" s="19">
        <f>IF(OR('Por time'!E$2=Tabela2[[#This Row],[Mandante]], 'Por time'!E$2=Tabela2[[#This Row],[Visitante]]),1,0)</f>
        <v>0</v>
      </c>
      <c r="M242" s="25">
        <f>Tabela2[[#This Row],[Marcar time]]+M241</f>
        <v>24</v>
      </c>
      <c r="N242" s="25">
        <f>IMABS(Tabela2[[#This Row],[Gols M]]-Tabela2[[#This Row],[Gols V]])</f>
        <v>1</v>
      </c>
      <c r="O242" s="25">
        <f>Tabela2[[#This Row],[Gols M]]+Tabela2[[#This Row],[Gols V]]</f>
        <v>1</v>
      </c>
    </row>
    <row r="243" spans="1:15" x14ac:dyDescent="0.25">
      <c r="A243" s="19">
        <v>25</v>
      </c>
      <c r="B243" s="47" t="s">
        <v>75</v>
      </c>
      <c r="C243" s="48">
        <v>1</v>
      </c>
      <c r="D243" s="48">
        <v>0</v>
      </c>
      <c r="E243" s="47" t="s">
        <v>90</v>
      </c>
      <c r="F243" s="49" t="s">
        <v>103</v>
      </c>
      <c r="G243" s="49">
        <v>42628</v>
      </c>
      <c r="H243" s="49" t="s">
        <v>102</v>
      </c>
      <c r="I243" s="50" t="s">
        <v>11</v>
      </c>
      <c r="J243" s="19" t="str">
        <f>IF(Tabela2[[#This Row],[Gols M]]&lt;&gt;"",IF(Tabela2[[#This Row],[Gols M]]-Tabela2[[#This Row],[Gols V]]&gt;=0,IF(Tabela2[[#This Row],[Gols M]]-Tabela2[[#This Row],[Gols V]]&gt;0,"V","E"),"D"),"")</f>
        <v>V</v>
      </c>
      <c r="K243" s="19" t="str">
        <f>IF(Tabela2[[#This Row],[Gols M]]&lt;&gt;"",IF(Tabela2[[#This Row],[Gols V]]-Tabela2[[#This Row],[Gols M]]&gt;=0,IF(Tabela2[[#This Row],[Gols V]]-Tabela2[[#This Row],[Gols M]]&gt;0,"V","E"),"D"),"")</f>
        <v>D</v>
      </c>
      <c r="L243" s="19">
        <f>IF(OR('Por time'!E$2=Tabela2[[#This Row],[Mandante]], 'Por time'!E$2=Tabela2[[#This Row],[Visitante]]),1,0)</f>
        <v>0</v>
      </c>
      <c r="M243" s="25">
        <f>Tabela2[[#This Row],[Marcar time]]+M242</f>
        <v>24</v>
      </c>
      <c r="N243" s="25">
        <f>IMABS(Tabela2[[#This Row],[Gols M]]-Tabela2[[#This Row],[Gols V]])</f>
        <v>1</v>
      </c>
      <c r="O243" s="25">
        <f>Tabela2[[#This Row],[Gols M]]+Tabela2[[#This Row],[Gols V]]</f>
        <v>1</v>
      </c>
    </row>
    <row r="244" spans="1:15" x14ac:dyDescent="0.25">
      <c r="A244" s="19">
        <v>25</v>
      </c>
      <c r="B244" s="47" t="s">
        <v>76</v>
      </c>
      <c r="C244" s="48">
        <v>1</v>
      </c>
      <c r="D244" s="48">
        <v>1</v>
      </c>
      <c r="E244" s="47" t="s">
        <v>77</v>
      </c>
      <c r="F244" s="49" t="s">
        <v>101</v>
      </c>
      <c r="G244" s="49">
        <v>42627</v>
      </c>
      <c r="H244" s="49" t="s">
        <v>104</v>
      </c>
      <c r="I244" s="50" t="s">
        <v>40</v>
      </c>
      <c r="J244" s="19" t="str">
        <f>IF(Tabela2[[#This Row],[Gols M]]&lt;&gt;"",IF(Tabela2[[#This Row],[Gols M]]-Tabela2[[#This Row],[Gols V]]&gt;=0,IF(Tabela2[[#This Row],[Gols M]]-Tabela2[[#This Row],[Gols V]]&gt;0,"V","E"),"D"),"")</f>
        <v>E</v>
      </c>
      <c r="K244" s="19" t="str">
        <f>IF(Tabela2[[#This Row],[Gols M]]&lt;&gt;"",IF(Tabela2[[#This Row],[Gols V]]-Tabela2[[#This Row],[Gols M]]&gt;=0,IF(Tabela2[[#This Row],[Gols V]]-Tabela2[[#This Row],[Gols M]]&gt;0,"V","E"),"D"),"")</f>
        <v>E</v>
      </c>
      <c r="L244" s="19">
        <f>IF(OR('Por time'!E$2=Tabela2[[#This Row],[Mandante]], 'Por time'!E$2=Tabela2[[#This Row],[Visitante]]),1,0)</f>
        <v>0</v>
      </c>
      <c r="M244" s="25">
        <f>Tabela2[[#This Row],[Marcar time]]+M243</f>
        <v>24</v>
      </c>
      <c r="N244" s="25">
        <f>IMABS(Tabela2[[#This Row],[Gols M]]-Tabela2[[#This Row],[Gols V]])</f>
        <v>0</v>
      </c>
      <c r="O244" s="25">
        <f>Tabela2[[#This Row],[Gols M]]+Tabela2[[#This Row],[Gols V]]</f>
        <v>2</v>
      </c>
    </row>
    <row r="245" spans="1:15" x14ac:dyDescent="0.25">
      <c r="A245" s="19">
        <v>25</v>
      </c>
      <c r="B245" s="47" t="s">
        <v>78</v>
      </c>
      <c r="C245" s="48">
        <v>2</v>
      </c>
      <c r="D245" s="48">
        <v>2</v>
      </c>
      <c r="E245" s="47" t="s">
        <v>73</v>
      </c>
      <c r="F245" s="49" t="s">
        <v>101</v>
      </c>
      <c r="G245" s="49">
        <v>42627</v>
      </c>
      <c r="H245" s="49" t="s">
        <v>102</v>
      </c>
      <c r="I245" s="50" t="s">
        <v>33</v>
      </c>
      <c r="J245" s="19" t="str">
        <f>IF(Tabela2[[#This Row],[Gols M]]&lt;&gt;"",IF(Tabela2[[#This Row],[Gols M]]-Tabela2[[#This Row],[Gols V]]&gt;=0,IF(Tabela2[[#This Row],[Gols M]]-Tabela2[[#This Row],[Gols V]]&gt;0,"V","E"),"D"),"")</f>
        <v>E</v>
      </c>
      <c r="K245" s="19" t="str">
        <f>IF(Tabela2[[#This Row],[Gols M]]&lt;&gt;"",IF(Tabela2[[#This Row],[Gols V]]-Tabela2[[#This Row],[Gols M]]&gt;=0,IF(Tabela2[[#This Row],[Gols V]]-Tabela2[[#This Row],[Gols M]]&gt;0,"V","E"),"D"),"")</f>
        <v>E</v>
      </c>
      <c r="L245" s="19">
        <f>IF(OR('Por time'!E$2=Tabela2[[#This Row],[Mandante]], 'Por time'!E$2=Tabela2[[#This Row],[Visitante]]),1,0)</f>
        <v>0</v>
      </c>
      <c r="M245" s="25">
        <f>Tabela2[[#This Row],[Marcar time]]+M244</f>
        <v>24</v>
      </c>
      <c r="N245" s="25">
        <f>IMABS(Tabela2[[#This Row],[Gols M]]-Tabela2[[#This Row],[Gols V]])</f>
        <v>0</v>
      </c>
      <c r="O245" s="25">
        <f>Tabela2[[#This Row],[Gols M]]+Tabela2[[#This Row],[Gols V]]</f>
        <v>4</v>
      </c>
    </row>
    <row r="246" spans="1:15" x14ac:dyDescent="0.25">
      <c r="A246" s="19">
        <v>25</v>
      </c>
      <c r="B246" s="47" t="s">
        <v>86</v>
      </c>
      <c r="C246" s="48">
        <v>1</v>
      </c>
      <c r="D246" s="48">
        <v>2</v>
      </c>
      <c r="E246" s="47" t="s">
        <v>84</v>
      </c>
      <c r="F246" s="49" t="s">
        <v>103</v>
      </c>
      <c r="G246" s="49">
        <v>42628</v>
      </c>
      <c r="H246" s="49" t="s">
        <v>102</v>
      </c>
      <c r="I246" s="50" t="s">
        <v>3</v>
      </c>
      <c r="J246" s="19" t="str">
        <f>IF(Tabela2[[#This Row],[Gols M]]&lt;&gt;"",IF(Tabela2[[#This Row],[Gols M]]-Tabela2[[#This Row],[Gols V]]&gt;=0,IF(Tabela2[[#This Row],[Gols M]]-Tabela2[[#This Row],[Gols V]]&gt;0,"V","E"),"D"),"")</f>
        <v>D</v>
      </c>
      <c r="K246" s="19" t="str">
        <f>IF(Tabela2[[#This Row],[Gols M]]&lt;&gt;"",IF(Tabela2[[#This Row],[Gols V]]-Tabela2[[#This Row],[Gols M]]&gt;=0,IF(Tabela2[[#This Row],[Gols V]]-Tabela2[[#This Row],[Gols M]]&gt;0,"V","E"),"D"),"")</f>
        <v>V</v>
      </c>
      <c r="L246" s="19">
        <f>IF(OR('Por time'!E$2=Tabela2[[#This Row],[Mandante]], 'Por time'!E$2=Tabela2[[#This Row],[Visitante]]),1,0)</f>
        <v>0</v>
      </c>
      <c r="M246" s="25">
        <f>Tabela2[[#This Row],[Marcar time]]+M245</f>
        <v>24</v>
      </c>
      <c r="N246" s="25">
        <f>IMABS(Tabela2[[#This Row],[Gols M]]-Tabela2[[#This Row],[Gols V]])</f>
        <v>1</v>
      </c>
      <c r="O246" s="25">
        <f>Tabela2[[#This Row],[Gols M]]+Tabela2[[#This Row],[Gols V]]</f>
        <v>3</v>
      </c>
    </row>
    <row r="247" spans="1:15" x14ac:dyDescent="0.25">
      <c r="A247" s="19">
        <v>25</v>
      </c>
      <c r="B247" s="47" t="s">
        <v>80</v>
      </c>
      <c r="C247" s="48">
        <v>0</v>
      </c>
      <c r="D247" s="48">
        <v>1</v>
      </c>
      <c r="E247" s="47" t="s">
        <v>91</v>
      </c>
      <c r="F247" s="49" t="s">
        <v>103</v>
      </c>
      <c r="G247" s="49">
        <v>42628</v>
      </c>
      <c r="H247" s="49" t="s">
        <v>100</v>
      </c>
      <c r="I247" s="50" t="s">
        <v>27</v>
      </c>
      <c r="J247" s="19" t="str">
        <f>IF(Tabela2[[#This Row],[Gols M]]&lt;&gt;"",IF(Tabela2[[#This Row],[Gols M]]-Tabela2[[#This Row],[Gols V]]&gt;=0,IF(Tabela2[[#This Row],[Gols M]]-Tabela2[[#This Row],[Gols V]]&gt;0,"V","E"),"D"),"")</f>
        <v>D</v>
      </c>
      <c r="K247" s="19" t="str">
        <f>IF(Tabela2[[#This Row],[Gols M]]&lt;&gt;"",IF(Tabela2[[#This Row],[Gols V]]-Tabela2[[#This Row],[Gols M]]&gt;=0,IF(Tabela2[[#This Row],[Gols V]]-Tabela2[[#This Row],[Gols M]]&gt;0,"V","E"),"D"),"")</f>
        <v>V</v>
      </c>
      <c r="L247" s="19">
        <f>IF(OR('Por time'!E$2=Tabela2[[#This Row],[Mandante]], 'Por time'!E$2=Tabela2[[#This Row],[Visitante]]),1,0)</f>
        <v>0</v>
      </c>
      <c r="M247" s="25">
        <f>Tabela2[[#This Row],[Marcar time]]+M246</f>
        <v>24</v>
      </c>
      <c r="N247" s="25">
        <f>IMABS(Tabela2[[#This Row],[Gols M]]-Tabela2[[#This Row],[Gols V]])</f>
        <v>1</v>
      </c>
      <c r="O247" s="25">
        <f>Tabela2[[#This Row],[Gols M]]+Tabela2[[#This Row],[Gols V]]</f>
        <v>1</v>
      </c>
    </row>
    <row r="248" spans="1:15" x14ac:dyDescent="0.25">
      <c r="A248" s="19">
        <v>25</v>
      </c>
      <c r="B248" s="47" t="s">
        <v>81</v>
      </c>
      <c r="C248" s="48">
        <v>1</v>
      </c>
      <c r="D248" s="48">
        <v>1</v>
      </c>
      <c r="E248" s="47" t="s">
        <v>79</v>
      </c>
      <c r="F248" s="49" t="s">
        <v>101</v>
      </c>
      <c r="G248" s="49">
        <v>42627</v>
      </c>
      <c r="H248" s="49" t="s">
        <v>104</v>
      </c>
      <c r="I248" s="50" t="s">
        <v>30</v>
      </c>
      <c r="J248" s="19" t="str">
        <f>IF(Tabela2[[#This Row],[Gols M]]&lt;&gt;"",IF(Tabela2[[#This Row],[Gols M]]-Tabela2[[#This Row],[Gols V]]&gt;=0,IF(Tabela2[[#This Row],[Gols M]]-Tabela2[[#This Row],[Gols V]]&gt;0,"V","E"),"D"),"")</f>
        <v>E</v>
      </c>
      <c r="K248" s="19" t="str">
        <f>IF(Tabela2[[#This Row],[Gols M]]&lt;&gt;"",IF(Tabela2[[#This Row],[Gols V]]-Tabela2[[#This Row],[Gols M]]&gt;=0,IF(Tabela2[[#This Row],[Gols V]]-Tabela2[[#This Row],[Gols M]]&gt;0,"V","E"),"D"),"")</f>
        <v>E</v>
      </c>
      <c r="L248" s="19">
        <f>IF(OR('Por time'!E$2=Tabela2[[#This Row],[Mandante]], 'Por time'!E$2=Tabela2[[#This Row],[Visitante]]),1,0)</f>
        <v>0</v>
      </c>
      <c r="M248" s="25">
        <f>Tabela2[[#This Row],[Marcar time]]+M247</f>
        <v>24</v>
      </c>
      <c r="N248" s="25">
        <f>IMABS(Tabela2[[#This Row],[Gols M]]-Tabela2[[#This Row],[Gols V]])</f>
        <v>0</v>
      </c>
      <c r="O248" s="25">
        <f>Tabela2[[#This Row],[Gols M]]+Tabela2[[#This Row],[Gols V]]</f>
        <v>2</v>
      </c>
    </row>
    <row r="249" spans="1:15" x14ac:dyDescent="0.25">
      <c r="A249" s="19">
        <v>25</v>
      </c>
      <c r="B249" s="47" t="s">
        <v>88</v>
      </c>
      <c r="C249" s="48">
        <v>3</v>
      </c>
      <c r="D249" s="48">
        <v>0</v>
      </c>
      <c r="E249" s="47" t="s">
        <v>87</v>
      </c>
      <c r="F249" s="49" t="s">
        <v>101</v>
      </c>
      <c r="G249" s="49">
        <v>42627</v>
      </c>
      <c r="H249" s="49" t="s">
        <v>100</v>
      </c>
      <c r="I249" s="50" t="s">
        <v>5</v>
      </c>
      <c r="J249" s="19" t="str">
        <f>IF(Tabela2[[#This Row],[Gols M]]&lt;&gt;"",IF(Tabela2[[#This Row],[Gols M]]-Tabela2[[#This Row],[Gols V]]&gt;=0,IF(Tabela2[[#This Row],[Gols M]]-Tabela2[[#This Row],[Gols V]]&gt;0,"V","E"),"D"),"")</f>
        <v>V</v>
      </c>
      <c r="K249" s="19" t="str">
        <f>IF(Tabela2[[#This Row],[Gols M]]&lt;&gt;"",IF(Tabela2[[#This Row],[Gols V]]-Tabela2[[#This Row],[Gols M]]&gt;=0,IF(Tabela2[[#This Row],[Gols V]]-Tabela2[[#This Row],[Gols M]]&gt;0,"V","E"),"D"),"")</f>
        <v>D</v>
      </c>
      <c r="L249" s="19">
        <f>IF(OR('Por time'!E$2=Tabela2[[#This Row],[Mandante]], 'Por time'!E$2=Tabela2[[#This Row],[Visitante]]),1,0)</f>
        <v>0</v>
      </c>
      <c r="M249" s="25">
        <f>Tabela2[[#This Row],[Marcar time]]+M248</f>
        <v>24</v>
      </c>
      <c r="N249" s="25">
        <f>IMABS(Tabela2[[#This Row],[Gols M]]-Tabela2[[#This Row],[Gols V]])</f>
        <v>3</v>
      </c>
      <c r="O249" s="25">
        <f>Tabela2[[#This Row],[Gols M]]+Tabela2[[#This Row],[Gols V]]</f>
        <v>3</v>
      </c>
    </row>
    <row r="250" spans="1:15" x14ac:dyDescent="0.25">
      <c r="A250" s="19">
        <v>25</v>
      </c>
      <c r="B250" s="47" t="s">
        <v>92</v>
      </c>
      <c r="C250" s="48">
        <v>1</v>
      </c>
      <c r="D250" s="48">
        <v>0</v>
      </c>
      <c r="E250" s="47" t="s">
        <v>85</v>
      </c>
      <c r="F250" s="49" t="s">
        <v>103</v>
      </c>
      <c r="G250" s="49">
        <v>42628</v>
      </c>
      <c r="H250" s="49" t="s">
        <v>100</v>
      </c>
      <c r="I250" s="50" t="s">
        <v>41</v>
      </c>
      <c r="J250" s="19" t="str">
        <f>IF(Tabela2[[#This Row],[Gols M]]&lt;&gt;"",IF(Tabela2[[#This Row],[Gols M]]-Tabela2[[#This Row],[Gols V]]&gt;=0,IF(Tabela2[[#This Row],[Gols M]]-Tabela2[[#This Row],[Gols V]]&gt;0,"V","E"),"D"),"")</f>
        <v>V</v>
      </c>
      <c r="K250" s="19" t="str">
        <f>IF(Tabela2[[#This Row],[Gols M]]&lt;&gt;"",IF(Tabela2[[#This Row],[Gols V]]-Tabela2[[#This Row],[Gols M]]&gt;=0,IF(Tabela2[[#This Row],[Gols V]]-Tabela2[[#This Row],[Gols M]]&gt;0,"V","E"),"D"),"")</f>
        <v>D</v>
      </c>
      <c r="L250" s="19">
        <f>IF(OR('Por time'!E$2=Tabela2[[#This Row],[Mandante]], 'Por time'!E$2=Tabela2[[#This Row],[Visitante]]),1,0)</f>
        <v>0</v>
      </c>
      <c r="M250" s="25">
        <f>Tabela2[[#This Row],[Marcar time]]+M249</f>
        <v>24</v>
      </c>
      <c r="N250" s="25">
        <f>IMABS(Tabela2[[#This Row],[Gols M]]-Tabela2[[#This Row],[Gols V]])</f>
        <v>1</v>
      </c>
      <c r="O250" s="25">
        <f>Tabela2[[#This Row],[Gols M]]+Tabela2[[#This Row],[Gols V]]</f>
        <v>1</v>
      </c>
    </row>
    <row r="251" spans="1:15" x14ac:dyDescent="0.25">
      <c r="A251" s="19">
        <v>25</v>
      </c>
      <c r="B251" s="47" t="s">
        <v>82</v>
      </c>
      <c r="C251" s="48">
        <v>1</v>
      </c>
      <c r="D251" s="48">
        <v>0</v>
      </c>
      <c r="E251" s="47" t="s">
        <v>83</v>
      </c>
      <c r="F251" s="49" t="s">
        <v>101</v>
      </c>
      <c r="G251" s="49">
        <v>42627</v>
      </c>
      <c r="H251" s="49" t="s">
        <v>100</v>
      </c>
      <c r="I251" s="50" t="s">
        <v>36</v>
      </c>
      <c r="J251" s="19" t="str">
        <f>IF(Tabela2[[#This Row],[Gols M]]&lt;&gt;"",IF(Tabela2[[#This Row],[Gols M]]-Tabela2[[#This Row],[Gols V]]&gt;=0,IF(Tabela2[[#This Row],[Gols M]]-Tabela2[[#This Row],[Gols V]]&gt;0,"V","E"),"D"),"")</f>
        <v>V</v>
      </c>
      <c r="K251" s="19" t="str">
        <f>IF(Tabela2[[#This Row],[Gols M]]&lt;&gt;"",IF(Tabela2[[#This Row],[Gols V]]-Tabela2[[#This Row],[Gols M]]&gt;=0,IF(Tabela2[[#This Row],[Gols V]]-Tabela2[[#This Row],[Gols M]]&gt;0,"V","E"),"D"),"")</f>
        <v>D</v>
      </c>
      <c r="L251" s="19">
        <f>IF(OR('Por time'!E$2=Tabela2[[#This Row],[Mandante]], 'Por time'!E$2=Tabela2[[#This Row],[Visitante]]),1,0)</f>
        <v>1</v>
      </c>
      <c r="M251" s="25">
        <f>Tabela2[[#This Row],[Marcar time]]+M250</f>
        <v>25</v>
      </c>
      <c r="N251" s="25">
        <f>IMABS(Tabela2[[#This Row],[Gols M]]-Tabela2[[#This Row],[Gols V]])</f>
        <v>1</v>
      </c>
      <c r="O251" s="25">
        <f>Tabela2[[#This Row],[Gols M]]+Tabela2[[#This Row],[Gols V]]</f>
        <v>1</v>
      </c>
    </row>
    <row r="252" spans="1:15" x14ac:dyDescent="0.25">
      <c r="A252" s="19">
        <v>26</v>
      </c>
      <c r="B252" s="47" t="s">
        <v>73</v>
      </c>
      <c r="C252" s="48">
        <v>1</v>
      </c>
      <c r="D252" s="48">
        <v>0</v>
      </c>
      <c r="E252" s="47" t="s">
        <v>80</v>
      </c>
      <c r="F252" s="49" t="s">
        <v>113</v>
      </c>
      <c r="G252" s="49">
        <v>42632</v>
      </c>
      <c r="H252" s="49" t="s">
        <v>107</v>
      </c>
      <c r="I252" s="50" t="s">
        <v>11</v>
      </c>
      <c r="J252" s="19" t="str">
        <f>IF(Tabela2[[#This Row],[Gols M]]&lt;&gt;"",IF(Tabela2[[#This Row],[Gols M]]-Tabela2[[#This Row],[Gols V]]&gt;=0,IF(Tabela2[[#This Row],[Gols M]]-Tabela2[[#This Row],[Gols V]]&gt;0,"V","E"),"D"),"")</f>
        <v>V</v>
      </c>
      <c r="K252" s="19" t="str">
        <f>IF(Tabela2[[#This Row],[Gols M]]&lt;&gt;"",IF(Tabela2[[#This Row],[Gols V]]-Tabela2[[#This Row],[Gols M]]&gt;=0,IF(Tabela2[[#This Row],[Gols V]]-Tabela2[[#This Row],[Gols M]]&gt;0,"V","E"),"D"),"")</f>
        <v>D</v>
      </c>
      <c r="L252" s="19">
        <f>IF(OR('Por time'!E$2=Tabela2[[#This Row],[Mandante]], 'Por time'!E$2=Tabela2[[#This Row],[Visitante]]),1,0)</f>
        <v>0</v>
      </c>
      <c r="M252" s="25">
        <f>Tabela2[[#This Row],[Marcar time]]+M251</f>
        <v>25</v>
      </c>
      <c r="N252" s="25">
        <f>IMABS(Tabela2[[#This Row],[Gols M]]-Tabela2[[#This Row],[Gols V]])</f>
        <v>1</v>
      </c>
      <c r="O252" s="25">
        <f>Tabela2[[#This Row],[Gols M]]+Tabela2[[#This Row],[Gols V]]</f>
        <v>1</v>
      </c>
    </row>
    <row r="253" spans="1:15" x14ac:dyDescent="0.25">
      <c r="A253" s="19">
        <v>26</v>
      </c>
      <c r="B253" s="47" t="s">
        <v>83</v>
      </c>
      <c r="C253" s="48">
        <v>1</v>
      </c>
      <c r="D253" s="48">
        <v>0</v>
      </c>
      <c r="E253" s="47" t="s">
        <v>92</v>
      </c>
      <c r="F253" s="49" t="s">
        <v>95</v>
      </c>
      <c r="G253" s="49">
        <v>42631</v>
      </c>
      <c r="H253" s="49" t="s">
        <v>96</v>
      </c>
      <c r="I253" s="50" t="s">
        <v>0</v>
      </c>
      <c r="J253" s="19" t="str">
        <f>IF(Tabela2[[#This Row],[Gols M]]&lt;&gt;"",IF(Tabela2[[#This Row],[Gols M]]-Tabela2[[#This Row],[Gols V]]&gt;=0,IF(Tabela2[[#This Row],[Gols M]]-Tabela2[[#This Row],[Gols V]]&gt;0,"V","E"),"D"),"")</f>
        <v>V</v>
      </c>
      <c r="K253" s="19" t="str">
        <f>IF(Tabela2[[#This Row],[Gols M]]&lt;&gt;"",IF(Tabela2[[#This Row],[Gols V]]-Tabela2[[#This Row],[Gols M]]&gt;=0,IF(Tabela2[[#This Row],[Gols V]]-Tabela2[[#This Row],[Gols M]]&gt;0,"V","E"),"D"),"")</f>
        <v>D</v>
      </c>
      <c r="L253" s="19">
        <f>IF(OR('Por time'!E$2=Tabela2[[#This Row],[Mandante]], 'Por time'!E$2=Tabela2[[#This Row],[Visitante]]),1,0)</f>
        <v>1</v>
      </c>
      <c r="M253" s="25">
        <f>Tabela2[[#This Row],[Marcar time]]+M252</f>
        <v>26</v>
      </c>
      <c r="N253" s="25">
        <f>IMABS(Tabela2[[#This Row],[Gols M]]-Tabela2[[#This Row],[Gols V]])</f>
        <v>1</v>
      </c>
      <c r="O253" s="25">
        <f>Tabela2[[#This Row],[Gols M]]+Tabela2[[#This Row],[Gols V]]</f>
        <v>1</v>
      </c>
    </row>
    <row r="254" spans="1:15" x14ac:dyDescent="0.25">
      <c r="A254" s="19">
        <v>26</v>
      </c>
      <c r="B254" s="47" t="s">
        <v>84</v>
      </c>
      <c r="C254" s="48">
        <v>2</v>
      </c>
      <c r="D254" s="48">
        <v>2</v>
      </c>
      <c r="E254" s="47" t="s">
        <v>88</v>
      </c>
      <c r="F254" s="49" t="s">
        <v>95</v>
      </c>
      <c r="G254" s="49">
        <v>42631</v>
      </c>
      <c r="H254" s="49" t="s">
        <v>96</v>
      </c>
      <c r="I254" s="50" t="s">
        <v>1</v>
      </c>
      <c r="J254" s="19" t="str">
        <f>IF(Tabela2[[#This Row],[Gols M]]&lt;&gt;"",IF(Tabela2[[#This Row],[Gols M]]-Tabela2[[#This Row],[Gols V]]&gt;=0,IF(Tabela2[[#This Row],[Gols M]]-Tabela2[[#This Row],[Gols V]]&gt;0,"V","E"),"D"),"")</f>
        <v>E</v>
      </c>
      <c r="K254" s="19" t="str">
        <f>IF(Tabela2[[#This Row],[Gols M]]&lt;&gt;"",IF(Tabela2[[#This Row],[Gols V]]-Tabela2[[#This Row],[Gols M]]&gt;=0,IF(Tabela2[[#This Row],[Gols V]]-Tabela2[[#This Row],[Gols M]]&gt;0,"V","E"),"D"),"")</f>
        <v>E</v>
      </c>
      <c r="L254" s="19">
        <f>IF(OR('Por time'!E$2=Tabela2[[#This Row],[Mandante]], 'Por time'!E$2=Tabela2[[#This Row],[Visitante]]),1,0)</f>
        <v>0</v>
      </c>
      <c r="M254" s="25">
        <f>Tabela2[[#This Row],[Marcar time]]+M253</f>
        <v>26</v>
      </c>
      <c r="N254" s="25">
        <f>IMABS(Tabela2[[#This Row],[Gols M]]-Tabela2[[#This Row],[Gols V]])</f>
        <v>0</v>
      </c>
      <c r="O254" s="25">
        <f>Tabela2[[#This Row],[Gols M]]+Tabela2[[#This Row],[Gols V]]</f>
        <v>4</v>
      </c>
    </row>
    <row r="255" spans="1:15" x14ac:dyDescent="0.25">
      <c r="A255" s="19">
        <v>26</v>
      </c>
      <c r="B255" s="47" t="s">
        <v>77</v>
      </c>
      <c r="C255" s="48">
        <v>0</v>
      </c>
      <c r="D255" s="48">
        <v>2</v>
      </c>
      <c r="E255" s="47" t="s">
        <v>81</v>
      </c>
      <c r="F255" s="49" t="s">
        <v>98</v>
      </c>
      <c r="G255" s="49">
        <v>42630</v>
      </c>
      <c r="H255" s="49" t="s">
        <v>96</v>
      </c>
      <c r="I255" s="50" t="s">
        <v>18</v>
      </c>
      <c r="J255" s="19" t="str">
        <f>IF(Tabela2[[#This Row],[Gols M]]&lt;&gt;"",IF(Tabela2[[#This Row],[Gols M]]-Tabela2[[#This Row],[Gols V]]&gt;=0,IF(Tabela2[[#This Row],[Gols M]]-Tabela2[[#This Row],[Gols V]]&gt;0,"V","E"),"D"),"")</f>
        <v>D</v>
      </c>
      <c r="K255" s="19" t="str">
        <f>IF(Tabela2[[#This Row],[Gols M]]&lt;&gt;"",IF(Tabela2[[#This Row],[Gols V]]-Tabela2[[#This Row],[Gols M]]&gt;=0,IF(Tabela2[[#This Row],[Gols V]]-Tabela2[[#This Row],[Gols M]]&gt;0,"V","E"),"D"),"")</f>
        <v>V</v>
      </c>
      <c r="L255" s="19">
        <f>IF(OR('Por time'!E$2=Tabela2[[#This Row],[Mandante]], 'Por time'!E$2=Tabela2[[#This Row],[Visitante]]),1,0)</f>
        <v>0</v>
      </c>
      <c r="M255" s="25">
        <f>Tabela2[[#This Row],[Marcar time]]+M254</f>
        <v>26</v>
      </c>
      <c r="N255" s="25">
        <f>IMABS(Tabela2[[#This Row],[Gols M]]-Tabela2[[#This Row],[Gols V]])</f>
        <v>2</v>
      </c>
      <c r="O255" s="25">
        <f>Tabela2[[#This Row],[Gols M]]+Tabela2[[#This Row],[Gols V]]</f>
        <v>2</v>
      </c>
    </row>
    <row r="256" spans="1:15" x14ac:dyDescent="0.25">
      <c r="A256" s="19">
        <v>26</v>
      </c>
      <c r="B256" s="47" t="s">
        <v>85</v>
      </c>
      <c r="C256" s="48">
        <v>1</v>
      </c>
      <c r="D256" s="48">
        <v>1</v>
      </c>
      <c r="E256" s="47" t="s">
        <v>75</v>
      </c>
      <c r="F256" s="49" t="s">
        <v>95</v>
      </c>
      <c r="G256" s="49">
        <v>42631</v>
      </c>
      <c r="H256" s="49" t="s">
        <v>96</v>
      </c>
      <c r="I256" s="50" t="s">
        <v>2</v>
      </c>
      <c r="J256" s="19" t="str">
        <f>IF(Tabela2[[#This Row],[Gols M]]&lt;&gt;"",IF(Tabela2[[#This Row],[Gols M]]-Tabela2[[#This Row],[Gols V]]&gt;=0,IF(Tabela2[[#This Row],[Gols M]]-Tabela2[[#This Row],[Gols V]]&gt;0,"V","E"),"D"),"")</f>
        <v>E</v>
      </c>
      <c r="K256" s="19" t="str">
        <f>IF(Tabela2[[#This Row],[Gols M]]&lt;&gt;"",IF(Tabela2[[#This Row],[Gols V]]-Tabela2[[#This Row],[Gols M]]&gt;=0,IF(Tabela2[[#This Row],[Gols V]]-Tabela2[[#This Row],[Gols M]]&gt;0,"V","E"),"D"),"")</f>
        <v>E</v>
      </c>
      <c r="L256" s="19">
        <f>IF(OR('Por time'!E$2=Tabela2[[#This Row],[Mandante]], 'Por time'!E$2=Tabela2[[#This Row],[Visitante]]),1,0)</f>
        <v>0</v>
      </c>
      <c r="M256" s="25">
        <f>Tabela2[[#This Row],[Marcar time]]+M255</f>
        <v>26</v>
      </c>
      <c r="N256" s="25">
        <f>IMABS(Tabela2[[#This Row],[Gols M]]-Tabela2[[#This Row],[Gols V]])</f>
        <v>0</v>
      </c>
      <c r="O256" s="25">
        <f>Tabela2[[#This Row],[Gols M]]+Tabela2[[#This Row],[Gols V]]</f>
        <v>2</v>
      </c>
    </row>
    <row r="257" spans="1:15" x14ac:dyDescent="0.25">
      <c r="A257" s="19">
        <v>26</v>
      </c>
      <c r="B257" s="47" t="s">
        <v>79</v>
      </c>
      <c r="C257" s="48">
        <v>2</v>
      </c>
      <c r="D257" s="48">
        <v>0</v>
      </c>
      <c r="E257" s="47" t="s">
        <v>78</v>
      </c>
      <c r="F257" s="49" t="s">
        <v>95</v>
      </c>
      <c r="G257" s="49">
        <v>42631</v>
      </c>
      <c r="H257" s="49" t="s">
        <v>97</v>
      </c>
      <c r="I257" s="50" t="s">
        <v>7</v>
      </c>
      <c r="J257" s="19" t="str">
        <f>IF(Tabela2[[#This Row],[Gols M]]&lt;&gt;"",IF(Tabela2[[#This Row],[Gols M]]-Tabela2[[#This Row],[Gols V]]&gt;=0,IF(Tabela2[[#This Row],[Gols M]]-Tabela2[[#This Row],[Gols V]]&gt;0,"V","E"),"D"),"")</f>
        <v>V</v>
      </c>
      <c r="K257" s="19" t="str">
        <f>IF(Tabela2[[#This Row],[Gols M]]&lt;&gt;"",IF(Tabela2[[#This Row],[Gols V]]-Tabela2[[#This Row],[Gols M]]&gt;=0,IF(Tabela2[[#This Row],[Gols V]]-Tabela2[[#This Row],[Gols M]]&gt;0,"V","E"),"D"),"")</f>
        <v>D</v>
      </c>
      <c r="L257" s="19">
        <f>IF(OR('Por time'!E$2=Tabela2[[#This Row],[Mandante]], 'Por time'!E$2=Tabela2[[#This Row],[Visitante]]),1,0)</f>
        <v>0</v>
      </c>
      <c r="M257" s="25">
        <f>Tabela2[[#This Row],[Marcar time]]+M256</f>
        <v>26</v>
      </c>
      <c r="N257" s="25">
        <f>IMABS(Tabela2[[#This Row],[Gols M]]-Tabela2[[#This Row],[Gols V]])</f>
        <v>2</v>
      </c>
      <c r="O257" s="25">
        <f>Tabela2[[#This Row],[Gols M]]+Tabela2[[#This Row],[Gols V]]</f>
        <v>2</v>
      </c>
    </row>
    <row r="258" spans="1:15" x14ac:dyDescent="0.25">
      <c r="A258" s="19">
        <v>26</v>
      </c>
      <c r="B258" s="47" t="s">
        <v>87</v>
      </c>
      <c r="C258" s="48">
        <v>0</v>
      </c>
      <c r="D258" s="48">
        <v>1</v>
      </c>
      <c r="E258" s="47" t="s">
        <v>86</v>
      </c>
      <c r="F258" s="49" t="s">
        <v>95</v>
      </c>
      <c r="G258" s="49">
        <v>42631</v>
      </c>
      <c r="H258" s="49" t="s">
        <v>96</v>
      </c>
      <c r="I258" s="50" t="s">
        <v>4</v>
      </c>
      <c r="J258" s="19" t="str">
        <f>IF(Tabela2[[#This Row],[Gols M]]&lt;&gt;"",IF(Tabela2[[#This Row],[Gols M]]-Tabela2[[#This Row],[Gols V]]&gt;=0,IF(Tabela2[[#This Row],[Gols M]]-Tabela2[[#This Row],[Gols V]]&gt;0,"V","E"),"D"),"")</f>
        <v>D</v>
      </c>
      <c r="K258" s="19" t="str">
        <f>IF(Tabela2[[#This Row],[Gols M]]&lt;&gt;"",IF(Tabela2[[#This Row],[Gols V]]-Tabela2[[#This Row],[Gols M]]&gt;=0,IF(Tabela2[[#This Row],[Gols V]]-Tabela2[[#This Row],[Gols M]]&gt;0,"V","E"),"D"),"")</f>
        <v>V</v>
      </c>
      <c r="L258" s="19">
        <f>IF(OR('Por time'!E$2=Tabela2[[#This Row],[Mandante]], 'Por time'!E$2=Tabela2[[#This Row],[Visitante]]),1,0)</f>
        <v>0</v>
      </c>
      <c r="M258" s="25">
        <f>Tabela2[[#This Row],[Marcar time]]+M257</f>
        <v>26</v>
      </c>
      <c r="N258" s="25">
        <f>IMABS(Tabela2[[#This Row],[Gols M]]-Tabela2[[#This Row],[Gols V]])</f>
        <v>1</v>
      </c>
      <c r="O258" s="25">
        <f>Tabela2[[#This Row],[Gols M]]+Tabela2[[#This Row],[Gols V]]</f>
        <v>1</v>
      </c>
    </row>
    <row r="259" spans="1:15" x14ac:dyDescent="0.25">
      <c r="A259" s="19">
        <v>26</v>
      </c>
      <c r="B259" s="47" t="s">
        <v>89</v>
      </c>
      <c r="C259" s="48">
        <v>3</v>
      </c>
      <c r="D259" s="48">
        <v>2</v>
      </c>
      <c r="E259" s="47" t="s">
        <v>82</v>
      </c>
      <c r="F259" s="49" t="s">
        <v>95</v>
      </c>
      <c r="G259" s="49">
        <v>42631</v>
      </c>
      <c r="H259" s="49" t="s">
        <v>99</v>
      </c>
      <c r="I259" s="50" t="s">
        <v>7</v>
      </c>
      <c r="J259" s="19" t="str">
        <f>IF(Tabela2[[#This Row],[Gols M]]&lt;&gt;"",IF(Tabela2[[#This Row],[Gols M]]-Tabela2[[#This Row],[Gols V]]&gt;=0,IF(Tabela2[[#This Row],[Gols M]]-Tabela2[[#This Row],[Gols V]]&gt;0,"V","E"),"D"),"")</f>
        <v>V</v>
      </c>
      <c r="K259" s="19" t="str">
        <f>IF(Tabela2[[#This Row],[Gols M]]&lt;&gt;"",IF(Tabela2[[#This Row],[Gols V]]-Tabela2[[#This Row],[Gols M]]&gt;=0,IF(Tabela2[[#This Row],[Gols V]]-Tabela2[[#This Row],[Gols M]]&gt;0,"V","E"),"D"),"")</f>
        <v>D</v>
      </c>
      <c r="L259" s="19">
        <f>IF(OR('Por time'!E$2=Tabela2[[#This Row],[Mandante]], 'Por time'!E$2=Tabela2[[#This Row],[Visitante]]),1,0)</f>
        <v>0</v>
      </c>
      <c r="M259" s="25">
        <f>Tabela2[[#This Row],[Marcar time]]+M258</f>
        <v>26</v>
      </c>
      <c r="N259" s="25">
        <f>IMABS(Tabela2[[#This Row],[Gols M]]-Tabela2[[#This Row],[Gols V]])</f>
        <v>1</v>
      </c>
      <c r="O259" s="25">
        <f>Tabela2[[#This Row],[Gols M]]+Tabela2[[#This Row],[Gols V]]</f>
        <v>5</v>
      </c>
    </row>
    <row r="260" spans="1:15" x14ac:dyDescent="0.25">
      <c r="A260" s="19">
        <v>26</v>
      </c>
      <c r="B260" s="47" t="s">
        <v>90</v>
      </c>
      <c r="C260" s="48">
        <v>0</v>
      </c>
      <c r="D260" s="48">
        <v>1</v>
      </c>
      <c r="E260" s="47" t="s">
        <v>76</v>
      </c>
      <c r="F260" s="49" t="s">
        <v>95</v>
      </c>
      <c r="G260" s="49">
        <v>42631</v>
      </c>
      <c r="H260" s="49" t="s">
        <v>96</v>
      </c>
      <c r="I260" s="50" t="s">
        <v>8</v>
      </c>
      <c r="J260" s="19" t="str">
        <f>IF(Tabela2[[#This Row],[Gols M]]&lt;&gt;"",IF(Tabela2[[#This Row],[Gols M]]-Tabela2[[#This Row],[Gols V]]&gt;=0,IF(Tabela2[[#This Row],[Gols M]]-Tabela2[[#This Row],[Gols V]]&gt;0,"V","E"),"D"),"")</f>
        <v>D</v>
      </c>
      <c r="K260" s="19" t="str">
        <f>IF(Tabela2[[#This Row],[Gols M]]&lt;&gt;"",IF(Tabela2[[#This Row],[Gols V]]-Tabela2[[#This Row],[Gols M]]&gt;=0,IF(Tabela2[[#This Row],[Gols V]]-Tabela2[[#This Row],[Gols M]]&gt;0,"V","E"),"D"),"")</f>
        <v>V</v>
      </c>
      <c r="L260" s="19">
        <f>IF(OR('Por time'!E$2=Tabela2[[#This Row],[Mandante]], 'Por time'!E$2=Tabela2[[#This Row],[Visitante]]),1,0)</f>
        <v>0</v>
      </c>
      <c r="M260" s="25">
        <f>Tabela2[[#This Row],[Marcar time]]+M259</f>
        <v>26</v>
      </c>
      <c r="N260" s="25">
        <f>IMABS(Tabela2[[#This Row],[Gols M]]-Tabela2[[#This Row],[Gols V]])</f>
        <v>1</v>
      </c>
      <c r="O260" s="25">
        <f>Tabela2[[#This Row],[Gols M]]+Tabela2[[#This Row],[Gols V]]</f>
        <v>1</v>
      </c>
    </row>
    <row r="261" spans="1:15" x14ac:dyDescent="0.25">
      <c r="A261" s="19">
        <v>26</v>
      </c>
      <c r="B261" s="47" t="s">
        <v>91</v>
      </c>
      <c r="C261" s="48">
        <v>0</v>
      </c>
      <c r="D261" s="48">
        <v>1</v>
      </c>
      <c r="E261" s="47" t="s">
        <v>74</v>
      </c>
      <c r="F261" s="49" t="s">
        <v>95</v>
      </c>
      <c r="G261" s="49">
        <v>42631</v>
      </c>
      <c r="H261" s="49" t="s">
        <v>99</v>
      </c>
      <c r="I261" s="50" t="s">
        <v>9</v>
      </c>
      <c r="J261" s="19" t="str">
        <f>IF(Tabela2[[#This Row],[Gols M]]&lt;&gt;"",IF(Tabela2[[#This Row],[Gols M]]-Tabela2[[#This Row],[Gols V]]&gt;=0,IF(Tabela2[[#This Row],[Gols M]]-Tabela2[[#This Row],[Gols V]]&gt;0,"V","E"),"D"),"")</f>
        <v>D</v>
      </c>
      <c r="K261" s="19" t="str">
        <f>IF(Tabela2[[#This Row],[Gols M]]&lt;&gt;"",IF(Tabela2[[#This Row],[Gols V]]-Tabela2[[#This Row],[Gols M]]&gt;=0,IF(Tabela2[[#This Row],[Gols V]]-Tabela2[[#This Row],[Gols M]]&gt;0,"V","E"),"D"),"")</f>
        <v>V</v>
      </c>
      <c r="L261" s="19">
        <f>IF(OR('Por time'!E$2=Tabela2[[#This Row],[Mandante]], 'Por time'!E$2=Tabela2[[#This Row],[Visitante]]),1,0)</f>
        <v>0</v>
      </c>
      <c r="M261" s="25">
        <f>Tabela2[[#This Row],[Marcar time]]+M260</f>
        <v>26</v>
      </c>
      <c r="N261" s="25">
        <f>IMABS(Tabela2[[#This Row],[Gols M]]-Tabela2[[#This Row],[Gols V]])</f>
        <v>1</v>
      </c>
      <c r="O261" s="25">
        <f>Tabela2[[#This Row],[Gols M]]+Tabela2[[#This Row],[Gols V]]</f>
        <v>1</v>
      </c>
    </row>
    <row r="262" spans="1:15" x14ac:dyDescent="0.25">
      <c r="A262" s="19">
        <v>27</v>
      </c>
      <c r="B262" s="47" t="s">
        <v>73</v>
      </c>
      <c r="C262" s="48">
        <v>1</v>
      </c>
      <c r="D262" s="48">
        <v>0</v>
      </c>
      <c r="E262" s="47" t="s">
        <v>74</v>
      </c>
      <c r="F262" s="49" t="s">
        <v>98</v>
      </c>
      <c r="G262" s="49">
        <v>42637</v>
      </c>
      <c r="H262" s="49" t="s">
        <v>100</v>
      </c>
      <c r="I262" s="50" t="s">
        <v>11</v>
      </c>
      <c r="J262" s="19" t="str">
        <f>IF(Tabela2[[#This Row],[Gols M]]&lt;&gt;"",IF(Tabela2[[#This Row],[Gols M]]-Tabela2[[#This Row],[Gols V]]&gt;=0,IF(Tabela2[[#This Row],[Gols M]]-Tabela2[[#This Row],[Gols V]]&gt;0,"V","E"),"D"),"")</f>
        <v>V</v>
      </c>
      <c r="K262" s="19" t="str">
        <f>IF(Tabela2[[#This Row],[Gols M]]&lt;&gt;"",IF(Tabela2[[#This Row],[Gols V]]-Tabela2[[#This Row],[Gols M]]&gt;=0,IF(Tabela2[[#This Row],[Gols V]]-Tabela2[[#This Row],[Gols M]]&gt;0,"V","E"),"D"),"")</f>
        <v>D</v>
      </c>
      <c r="L262" s="19">
        <f>IF(OR('Por time'!E$2=Tabela2[[#This Row],[Mandante]], 'Por time'!E$2=Tabela2[[#This Row],[Visitante]]),1,0)</f>
        <v>0</v>
      </c>
      <c r="M262" s="25">
        <f>Tabela2[[#This Row],[Marcar time]]+M261</f>
        <v>26</v>
      </c>
      <c r="N262" s="25">
        <f>IMABS(Tabela2[[#This Row],[Gols M]]-Tabela2[[#This Row],[Gols V]])</f>
        <v>1</v>
      </c>
      <c r="O262" s="25">
        <f>Tabela2[[#This Row],[Gols M]]+Tabela2[[#This Row],[Gols V]]</f>
        <v>1</v>
      </c>
    </row>
    <row r="263" spans="1:15" x14ac:dyDescent="0.25">
      <c r="A263" s="19">
        <v>27</v>
      </c>
      <c r="B263" s="47" t="s">
        <v>75</v>
      </c>
      <c r="C263" s="48">
        <v>3</v>
      </c>
      <c r="D263" s="48">
        <v>1</v>
      </c>
      <c r="E263" s="47" t="s">
        <v>80</v>
      </c>
      <c r="F263" s="49" t="s">
        <v>95</v>
      </c>
      <c r="G263" s="49">
        <v>42638</v>
      </c>
      <c r="H263" s="49" t="s">
        <v>99</v>
      </c>
      <c r="I263" s="50" t="s">
        <v>11</v>
      </c>
      <c r="J263" s="19" t="str">
        <f>IF(Tabela2[[#This Row],[Gols M]]&lt;&gt;"",IF(Tabela2[[#This Row],[Gols M]]-Tabela2[[#This Row],[Gols V]]&gt;=0,IF(Tabela2[[#This Row],[Gols M]]-Tabela2[[#This Row],[Gols V]]&gt;0,"V","E"),"D"),"")</f>
        <v>V</v>
      </c>
      <c r="K263" s="19" t="str">
        <f>IF(Tabela2[[#This Row],[Gols M]]&lt;&gt;"",IF(Tabela2[[#This Row],[Gols V]]-Tabela2[[#This Row],[Gols M]]&gt;=0,IF(Tabela2[[#This Row],[Gols V]]-Tabela2[[#This Row],[Gols M]]&gt;0,"V","E"),"D"),"")</f>
        <v>D</v>
      </c>
      <c r="L263" s="19">
        <f>IF(OR('Por time'!E$2=Tabela2[[#This Row],[Mandante]], 'Por time'!E$2=Tabela2[[#This Row],[Visitante]]),1,0)</f>
        <v>0</v>
      </c>
      <c r="M263" s="25">
        <f>Tabela2[[#This Row],[Marcar time]]+M262</f>
        <v>26</v>
      </c>
      <c r="N263" s="25">
        <f>IMABS(Tabela2[[#This Row],[Gols M]]-Tabela2[[#This Row],[Gols V]])</f>
        <v>2</v>
      </c>
      <c r="O263" s="25">
        <f>Tabela2[[#This Row],[Gols M]]+Tabela2[[#This Row],[Gols V]]</f>
        <v>4</v>
      </c>
    </row>
    <row r="264" spans="1:15" x14ac:dyDescent="0.25">
      <c r="A264" s="19">
        <v>27</v>
      </c>
      <c r="B264" s="47" t="s">
        <v>83</v>
      </c>
      <c r="C264" s="48">
        <v>3</v>
      </c>
      <c r="D264" s="48">
        <v>0</v>
      </c>
      <c r="E264" s="47" t="s">
        <v>88</v>
      </c>
      <c r="F264" s="49" t="s">
        <v>95</v>
      </c>
      <c r="G264" s="49">
        <v>42638</v>
      </c>
      <c r="H264" s="49" t="s">
        <v>97</v>
      </c>
      <c r="I264" s="50" t="s">
        <v>0</v>
      </c>
      <c r="J264" s="19" t="str">
        <f>IF(Tabela2[[#This Row],[Gols M]]&lt;&gt;"",IF(Tabela2[[#This Row],[Gols M]]-Tabela2[[#This Row],[Gols V]]&gt;=0,IF(Tabela2[[#This Row],[Gols M]]-Tabela2[[#This Row],[Gols V]]&gt;0,"V","E"),"D"),"")</f>
        <v>V</v>
      </c>
      <c r="K264" s="19" t="str">
        <f>IF(Tabela2[[#This Row],[Gols M]]&lt;&gt;"",IF(Tabela2[[#This Row],[Gols V]]-Tabela2[[#This Row],[Gols M]]&gt;=0,IF(Tabela2[[#This Row],[Gols V]]-Tabela2[[#This Row],[Gols M]]&gt;0,"V","E"),"D"),"")</f>
        <v>D</v>
      </c>
      <c r="L264" s="19">
        <f>IF(OR('Por time'!E$2=Tabela2[[#This Row],[Mandante]], 'Por time'!E$2=Tabela2[[#This Row],[Visitante]]),1,0)</f>
        <v>1</v>
      </c>
      <c r="M264" s="25">
        <f>Tabela2[[#This Row],[Marcar time]]+M263</f>
        <v>27</v>
      </c>
      <c r="N264" s="25">
        <f>IMABS(Tabela2[[#This Row],[Gols M]]-Tabela2[[#This Row],[Gols V]])</f>
        <v>3</v>
      </c>
      <c r="O264" s="25">
        <f>Tabela2[[#This Row],[Gols M]]+Tabela2[[#This Row],[Gols V]]</f>
        <v>3</v>
      </c>
    </row>
    <row r="265" spans="1:15" x14ac:dyDescent="0.25">
      <c r="A265" s="19">
        <v>27</v>
      </c>
      <c r="B265" s="47" t="s">
        <v>77</v>
      </c>
      <c r="C265" s="48">
        <v>0</v>
      </c>
      <c r="D265" s="48">
        <v>1</v>
      </c>
      <c r="E265" s="47" t="s">
        <v>86</v>
      </c>
      <c r="F265" s="49" t="s">
        <v>95</v>
      </c>
      <c r="G265" s="49">
        <v>42638</v>
      </c>
      <c r="H265" s="49" t="s">
        <v>96</v>
      </c>
      <c r="I265" s="50" t="s">
        <v>18</v>
      </c>
      <c r="J265" s="19" t="str">
        <f>IF(Tabela2[[#This Row],[Gols M]]&lt;&gt;"",IF(Tabela2[[#This Row],[Gols M]]-Tabela2[[#This Row],[Gols V]]&gt;=0,IF(Tabela2[[#This Row],[Gols M]]-Tabela2[[#This Row],[Gols V]]&gt;0,"V","E"),"D"),"")</f>
        <v>D</v>
      </c>
      <c r="K265" s="19" t="str">
        <f>IF(Tabela2[[#This Row],[Gols M]]&lt;&gt;"",IF(Tabela2[[#This Row],[Gols V]]-Tabela2[[#This Row],[Gols M]]&gt;=0,IF(Tabela2[[#This Row],[Gols V]]-Tabela2[[#This Row],[Gols M]]&gt;0,"V","E"),"D"),"")</f>
        <v>V</v>
      </c>
      <c r="L265" s="19">
        <f>IF(OR('Por time'!E$2=Tabela2[[#This Row],[Mandante]], 'Por time'!E$2=Tabela2[[#This Row],[Visitante]]),1,0)</f>
        <v>0</v>
      </c>
      <c r="M265" s="25">
        <f>Tabela2[[#This Row],[Marcar time]]+M264</f>
        <v>27</v>
      </c>
      <c r="N265" s="25">
        <f>IMABS(Tabela2[[#This Row],[Gols M]]-Tabela2[[#This Row],[Gols V]])</f>
        <v>1</v>
      </c>
      <c r="O265" s="25">
        <f>Tabela2[[#This Row],[Gols M]]+Tabela2[[#This Row],[Gols V]]</f>
        <v>1</v>
      </c>
    </row>
    <row r="266" spans="1:15" x14ac:dyDescent="0.25">
      <c r="A266" s="19">
        <v>27</v>
      </c>
      <c r="B266" s="47" t="s">
        <v>78</v>
      </c>
      <c r="C266" s="48">
        <v>3</v>
      </c>
      <c r="D266" s="48">
        <v>1</v>
      </c>
      <c r="E266" s="47" t="s">
        <v>82</v>
      </c>
      <c r="F266" s="49" t="s">
        <v>95</v>
      </c>
      <c r="G266" s="49">
        <v>42638</v>
      </c>
      <c r="H266" s="49" t="s">
        <v>97</v>
      </c>
      <c r="I266" s="50" t="s">
        <v>33</v>
      </c>
      <c r="J266" s="19" t="str">
        <f>IF(Tabela2[[#This Row],[Gols M]]&lt;&gt;"",IF(Tabela2[[#This Row],[Gols M]]-Tabela2[[#This Row],[Gols V]]&gt;=0,IF(Tabela2[[#This Row],[Gols M]]-Tabela2[[#This Row],[Gols V]]&gt;0,"V","E"),"D"),"")</f>
        <v>V</v>
      </c>
      <c r="K266" s="19" t="str">
        <f>IF(Tabela2[[#This Row],[Gols M]]&lt;&gt;"",IF(Tabela2[[#This Row],[Gols V]]-Tabela2[[#This Row],[Gols M]]&gt;=0,IF(Tabela2[[#This Row],[Gols V]]-Tabela2[[#This Row],[Gols M]]&gt;0,"V","E"),"D"),"")</f>
        <v>D</v>
      </c>
      <c r="L266" s="19">
        <f>IF(OR('Por time'!E$2=Tabela2[[#This Row],[Mandante]], 'Por time'!E$2=Tabela2[[#This Row],[Visitante]]),1,0)</f>
        <v>0</v>
      </c>
      <c r="M266" s="25">
        <f>Tabela2[[#This Row],[Marcar time]]+M265</f>
        <v>27</v>
      </c>
      <c r="N266" s="25">
        <f>IMABS(Tabela2[[#This Row],[Gols M]]-Tabela2[[#This Row],[Gols V]])</f>
        <v>2</v>
      </c>
      <c r="O266" s="25">
        <f>Tabela2[[#This Row],[Gols M]]+Tabela2[[#This Row],[Gols V]]</f>
        <v>4</v>
      </c>
    </row>
    <row r="267" spans="1:15" x14ac:dyDescent="0.25">
      <c r="A267" s="19">
        <v>27</v>
      </c>
      <c r="B267" s="47" t="s">
        <v>79</v>
      </c>
      <c r="C267" s="48">
        <v>2</v>
      </c>
      <c r="D267" s="48">
        <v>1</v>
      </c>
      <c r="E267" s="47" t="s">
        <v>85</v>
      </c>
      <c r="F267" s="49" t="s">
        <v>95</v>
      </c>
      <c r="G267" s="49">
        <v>42638</v>
      </c>
      <c r="H267" s="49" t="s">
        <v>96</v>
      </c>
      <c r="I267" s="50" t="s">
        <v>48</v>
      </c>
      <c r="J267" s="19" t="str">
        <f>IF(Tabela2[[#This Row],[Gols M]]&lt;&gt;"",IF(Tabela2[[#This Row],[Gols M]]-Tabela2[[#This Row],[Gols V]]&gt;=0,IF(Tabela2[[#This Row],[Gols M]]-Tabela2[[#This Row],[Gols V]]&gt;0,"V","E"),"D"),"")</f>
        <v>V</v>
      </c>
      <c r="K267" s="19" t="str">
        <f>IF(Tabela2[[#This Row],[Gols M]]&lt;&gt;"",IF(Tabela2[[#This Row],[Gols V]]-Tabela2[[#This Row],[Gols M]]&gt;=0,IF(Tabela2[[#This Row],[Gols V]]-Tabela2[[#This Row],[Gols M]]&gt;0,"V","E"),"D"),"")</f>
        <v>D</v>
      </c>
      <c r="L267" s="19">
        <f>IF(OR('Por time'!E$2=Tabela2[[#This Row],[Mandante]], 'Por time'!E$2=Tabela2[[#This Row],[Visitante]]),1,0)</f>
        <v>0</v>
      </c>
      <c r="M267" s="25">
        <f>Tabela2[[#This Row],[Marcar time]]+M266</f>
        <v>27</v>
      </c>
      <c r="N267" s="25">
        <f>IMABS(Tabela2[[#This Row],[Gols M]]-Tabela2[[#This Row],[Gols V]])</f>
        <v>1</v>
      </c>
      <c r="O267" s="25">
        <f>Tabela2[[#This Row],[Gols M]]+Tabela2[[#This Row],[Gols V]]</f>
        <v>3</v>
      </c>
    </row>
    <row r="268" spans="1:15" x14ac:dyDescent="0.25">
      <c r="A268" s="19">
        <v>27</v>
      </c>
      <c r="B268" s="47" t="s">
        <v>87</v>
      </c>
      <c r="C268" s="48">
        <v>1</v>
      </c>
      <c r="D268" s="48">
        <v>0</v>
      </c>
      <c r="E268" s="47" t="s">
        <v>84</v>
      </c>
      <c r="F268" s="49" t="s">
        <v>95</v>
      </c>
      <c r="G268" s="49">
        <v>42638</v>
      </c>
      <c r="H268" s="49" t="s">
        <v>96</v>
      </c>
      <c r="I268" s="50" t="s">
        <v>4</v>
      </c>
      <c r="J268" s="19" t="str">
        <f>IF(Tabela2[[#This Row],[Gols M]]&lt;&gt;"",IF(Tabela2[[#This Row],[Gols M]]-Tabela2[[#This Row],[Gols V]]&gt;=0,IF(Tabela2[[#This Row],[Gols M]]-Tabela2[[#This Row],[Gols V]]&gt;0,"V","E"),"D"),"")</f>
        <v>V</v>
      </c>
      <c r="K268" s="19" t="str">
        <f>IF(Tabela2[[#This Row],[Gols M]]&lt;&gt;"",IF(Tabela2[[#This Row],[Gols V]]-Tabela2[[#This Row],[Gols M]]&gt;=0,IF(Tabela2[[#This Row],[Gols V]]-Tabela2[[#This Row],[Gols M]]&gt;0,"V","E"),"D"),"")</f>
        <v>D</v>
      </c>
      <c r="L268" s="19">
        <f>IF(OR('Por time'!E$2=Tabela2[[#This Row],[Mandante]], 'Por time'!E$2=Tabela2[[#This Row],[Visitante]]),1,0)</f>
        <v>0</v>
      </c>
      <c r="M268" s="25">
        <f>Tabela2[[#This Row],[Marcar time]]+M267</f>
        <v>27</v>
      </c>
      <c r="N268" s="25">
        <f>IMABS(Tabela2[[#This Row],[Gols M]]-Tabela2[[#This Row],[Gols V]])</f>
        <v>1</v>
      </c>
      <c r="O268" s="25">
        <f>Tabela2[[#This Row],[Gols M]]+Tabela2[[#This Row],[Gols V]]</f>
        <v>1</v>
      </c>
    </row>
    <row r="269" spans="1:15" x14ac:dyDescent="0.25">
      <c r="A269" s="19">
        <v>27</v>
      </c>
      <c r="B269" s="47" t="s">
        <v>81</v>
      </c>
      <c r="C269" s="48">
        <v>2</v>
      </c>
      <c r="D269" s="48">
        <v>1</v>
      </c>
      <c r="E269" s="47" t="s">
        <v>76</v>
      </c>
      <c r="F269" s="49" t="s">
        <v>98</v>
      </c>
      <c r="G269" s="49">
        <v>42637</v>
      </c>
      <c r="H269" s="49" t="s">
        <v>96</v>
      </c>
      <c r="I269" s="50" t="s">
        <v>30</v>
      </c>
      <c r="J269" s="19" t="str">
        <f>IF(Tabela2[[#This Row],[Gols M]]&lt;&gt;"",IF(Tabela2[[#This Row],[Gols M]]-Tabela2[[#This Row],[Gols V]]&gt;=0,IF(Tabela2[[#This Row],[Gols M]]-Tabela2[[#This Row],[Gols V]]&gt;0,"V","E"),"D"),"")</f>
        <v>V</v>
      </c>
      <c r="K269" s="19" t="str">
        <f>IF(Tabela2[[#This Row],[Gols M]]&lt;&gt;"",IF(Tabela2[[#This Row],[Gols V]]-Tabela2[[#This Row],[Gols M]]&gt;=0,IF(Tabela2[[#This Row],[Gols V]]-Tabela2[[#This Row],[Gols M]]&gt;0,"V","E"),"D"),"")</f>
        <v>D</v>
      </c>
      <c r="L269" s="19">
        <f>IF(OR('Por time'!E$2=Tabela2[[#This Row],[Mandante]], 'Por time'!E$2=Tabela2[[#This Row],[Visitante]]),1,0)</f>
        <v>0</v>
      </c>
      <c r="M269" s="25">
        <f>Tabela2[[#This Row],[Marcar time]]+M268</f>
        <v>27</v>
      </c>
      <c r="N269" s="25">
        <f>IMABS(Tabela2[[#This Row],[Gols M]]-Tabela2[[#This Row],[Gols V]])</f>
        <v>1</v>
      </c>
      <c r="O269" s="25">
        <f>Tabela2[[#This Row],[Gols M]]+Tabela2[[#This Row],[Gols V]]</f>
        <v>3</v>
      </c>
    </row>
    <row r="270" spans="1:15" x14ac:dyDescent="0.25">
      <c r="A270" s="19">
        <v>27</v>
      </c>
      <c r="B270" s="47" t="s">
        <v>90</v>
      </c>
      <c r="C270" s="48">
        <v>1</v>
      </c>
      <c r="D270" s="48">
        <v>0</v>
      </c>
      <c r="E270" s="47" t="s">
        <v>89</v>
      </c>
      <c r="F270" s="49" t="s">
        <v>98</v>
      </c>
      <c r="G270" s="49">
        <v>42637</v>
      </c>
      <c r="H270" s="49" t="s">
        <v>99</v>
      </c>
      <c r="I270" s="50" t="s">
        <v>8</v>
      </c>
      <c r="J270" s="19" t="str">
        <f>IF(Tabela2[[#This Row],[Gols M]]&lt;&gt;"",IF(Tabela2[[#This Row],[Gols M]]-Tabela2[[#This Row],[Gols V]]&gt;=0,IF(Tabela2[[#This Row],[Gols M]]-Tabela2[[#This Row],[Gols V]]&gt;0,"V","E"),"D"),"")</f>
        <v>V</v>
      </c>
      <c r="K270" s="19" t="str">
        <f>IF(Tabela2[[#This Row],[Gols M]]&lt;&gt;"",IF(Tabela2[[#This Row],[Gols V]]-Tabela2[[#This Row],[Gols M]]&gt;=0,IF(Tabela2[[#This Row],[Gols V]]-Tabela2[[#This Row],[Gols M]]&gt;0,"V","E"),"D"),"")</f>
        <v>D</v>
      </c>
      <c r="L270" s="19">
        <f>IF(OR('Por time'!E$2=Tabela2[[#This Row],[Mandante]], 'Por time'!E$2=Tabela2[[#This Row],[Visitante]]),1,0)</f>
        <v>0</v>
      </c>
      <c r="M270" s="25">
        <f>Tabela2[[#This Row],[Marcar time]]+M269</f>
        <v>27</v>
      </c>
      <c r="N270" s="25">
        <f>IMABS(Tabela2[[#This Row],[Gols M]]-Tabela2[[#This Row],[Gols V]])</f>
        <v>1</v>
      </c>
      <c r="O270" s="25">
        <f>Tabela2[[#This Row],[Gols M]]+Tabela2[[#This Row],[Gols V]]</f>
        <v>1</v>
      </c>
    </row>
    <row r="271" spans="1:15" x14ac:dyDescent="0.25">
      <c r="A271" s="19">
        <v>27</v>
      </c>
      <c r="B271" s="47" t="s">
        <v>91</v>
      </c>
      <c r="C271" s="48">
        <v>2</v>
      </c>
      <c r="D271" s="48">
        <v>0</v>
      </c>
      <c r="E271" s="47" t="s">
        <v>92</v>
      </c>
      <c r="F271" s="49" t="s">
        <v>95</v>
      </c>
      <c r="G271" s="49">
        <v>42638</v>
      </c>
      <c r="H271" s="49" t="s">
        <v>96</v>
      </c>
      <c r="I271" s="50" t="s">
        <v>9</v>
      </c>
      <c r="J271" s="19" t="str">
        <f>IF(Tabela2[[#This Row],[Gols M]]&lt;&gt;"",IF(Tabela2[[#This Row],[Gols M]]-Tabela2[[#This Row],[Gols V]]&gt;=0,IF(Tabela2[[#This Row],[Gols M]]-Tabela2[[#This Row],[Gols V]]&gt;0,"V","E"),"D"),"")</f>
        <v>V</v>
      </c>
      <c r="K271" s="19" t="str">
        <f>IF(Tabela2[[#This Row],[Gols M]]&lt;&gt;"",IF(Tabela2[[#This Row],[Gols V]]-Tabela2[[#This Row],[Gols M]]&gt;=0,IF(Tabela2[[#This Row],[Gols V]]-Tabela2[[#This Row],[Gols M]]&gt;0,"V","E"),"D"),"")</f>
        <v>D</v>
      </c>
      <c r="L271" s="19">
        <f>IF(OR('Por time'!E$2=Tabela2[[#This Row],[Mandante]], 'Por time'!E$2=Tabela2[[#This Row],[Visitante]]),1,0)</f>
        <v>0</v>
      </c>
      <c r="M271" s="25">
        <f>Tabela2[[#This Row],[Marcar time]]+M270</f>
        <v>27</v>
      </c>
      <c r="N271" s="25">
        <f>IMABS(Tabela2[[#This Row],[Gols M]]-Tabela2[[#This Row],[Gols V]])</f>
        <v>2</v>
      </c>
      <c r="O271" s="25">
        <f>Tabela2[[#This Row],[Gols M]]+Tabela2[[#This Row],[Gols V]]</f>
        <v>2</v>
      </c>
    </row>
    <row r="272" spans="1:15" x14ac:dyDescent="0.25">
      <c r="A272" s="19">
        <v>28</v>
      </c>
      <c r="B272" s="47" t="s">
        <v>74</v>
      </c>
      <c r="C272" s="48">
        <v>2</v>
      </c>
      <c r="D272" s="48">
        <v>0</v>
      </c>
      <c r="E272" s="47" t="s">
        <v>77</v>
      </c>
      <c r="F272" s="49" t="s">
        <v>98</v>
      </c>
      <c r="G272" s="49">
        <v>42644</v>
      </c>
      <c r="H272" s="49" t="s">
        <v>114</v>
      </c>
      <c r="I272" s="50" t="s">
        <v>14</v>
      </c>
      <c r="J272" s="19" t="str">
        <f>IF(Tabela2[[#This Row],[Gols M]]&lt;&gt;"",IF(Tabela2[[#This Row],[Gols M]]-Tabela2[[#This Row],[Gols V]]&gt;=0,IF(Tabela2[[#This Row],[Gols M]]-Tabela2[[#This Row],[Gols V]]&gt;0,"V","E"),"D"),"")</f>
        <v>V</v>
      </c>
      <c r="K272" s="19" t="str">
        <f>IF(Tabela2[[#This Row],[Gols M]]&lt;&gt;"",IF(Tabela2[[#This Row],[Gols V]]-Tabela2[[#This Row],[Gols M]]&gt;=0,IF(Tabela2[[#This Row],[Gols V]]-Tabela2[[#This Row],[Gols M]]&gt;0,"V","E"),"D"),"")</f>
        <v>D</v>
      </c>
      <c r="L272" s="19">
        <f>IF(OR('Por time'!E$2=Tabela2[[#This Row],[Mandante]], 'Por time'!E$2=Tabela2[[#This Row],[Visitante]]),1,0)</f>
        <v>0</v>
      </c>
      <c r="M272" s="25">
        <f>Tabela2[[#This Row],[Marcar time]]+M271</f>
        <v>27</v>
      </c>
      <c r="N272" s="25">
        <f>IMABS(Tabela2[[#This Row],[Gols M]]-Tabela2[[#This Row],[Gols V]])</f>
        <v>2</v>
      </c>
      <c r="O272" s="25">
        <f>Tabela2[[#This Row],[Gols M]]+Tabela2[[#This Row],[Gols V]]</f>
        <v>2</v>
      </c>
    </row>
    <row r="273" spans="1:15" x14ac:dyDescent="0.25">
      <c r="A273" s="19">
        <v>28</v>
      </c>
      <c r="B273" s="47" t="s">
        <v>76</v>
      </c>
      <c r="C273" s="48">
        <v>3</v>
      </c>
      <c r="D273" s="48">
        <v>0</v>
      </c>
      <c r="E273" s="47" t="s">
        <v>73</v>
      </c>
      <c r="F273" s="49" t="s">
        <v>113</v>
      </c>
      <c r="G273" s="49">
        <v>42646</v>
      </c>
      <c r="H273" s="49" t="s">
        <v>100</v>
      </c>
      <c r="I273" s="50" t="s">
        <v>40</v>
      </c>
      <c r="J273" s="19" t="str">
        <f>IF(Tabela2[[#This Row],[Gols M]]&lt;&gt;"",IF(Tabela2[[#This Row],[Gols M]]-Tabela2[[#This Row],[Gols V]]&gt;=0,IF(Tabela2[[#This Row],[Gols M]]-Tabela2[[#This Row],[Gols V]]&gt;0,"V","E"),"D"),"")</f>
        <v>V</v>
      </c>
      <c r="K273" s="19" t="str">
        <f>IF(Tabela2[[#This Row],[Gols M]]&lt;&gt;"",IF(Tabela2[[#This Row],[Gols V]]-Tabela2[[#This Row],[Gols M]]&gt;=0,IF(Tabela2[[#This Row],[Gols V]]-Tabela2[[#This Row],[Gols M]]&gt;0,"V","E"),"D"),"")</f>
        <v>D</v>
      </c>
      <c r="L273" s="19">
        <f>IF(OR('Por time'!E$2=Tabela2[[#This Row],[Mandante]], 'Por time'!E$2=Tabela2[[#This Row],[Visitante]]),1,0)</f>
        <v>0</v>
      </c>
      <c r="M273" s="25">
        <f>Tabela2[[#This Row],[Marcar time]]+M272</f>
        <v>27</v>
      </c>
      <c r="N273" s="25">
        <f>IMABS(Tabela2[[#This Row],[Gols M]]-Tabela2[[#This Row],[Gols V]])</f>
        <v>3</v>
      </c>
      <c r="O273" s="25">
        <f>Tabela2[[#This Row],[Gols M]]+Tabela2[[#This Row],[Gols V]]</f>
        <v>3</v>
      </c>
    </row>
    <row r="274" spans="1:15" x14ac:dyDescent="0.25">
      <c r="A274" s="19">
        <v>28</v>
      </c>
      <c r="B274" s="47" t="s">
        <v>84</v>
      </c>
      <c r="C274" s="48">
        <v>1</v>
      </c>
      <c r="D274" s="48">
        <v>4</v>
      </c>
      <c r="E274" s="47" t="s">
        <v>91</v>
      </c>
      <c r="F274" s="49" t="s">
        <v>98</v>
      </c>
      <c r="G274" s="49">
        <v>42644</v>
      </c>
      <c r="H274" s="49" t="s">
        <v>96</v>
      </c>
      <c r="I274" s="50" t="s">
        <v>1</v>
      </c>
      <c r="J274" s="19" t="str">
        <f>IF(Tabela2[[#This Row],[Gols M]]&lt;&gt;"",IF(Tabela2[[#This Row],[Gols M]]-Tabela2[[#This Row],[Gols V]]&gt;=0,IF(Tabela2[[#This Row],[Gols M]]-Tabela2[[#This Row],[Gols V]]&gt;0,"V","E"),"D"),"")</f>
        <v>D</v>
      </c>
      <c r="K274" s="19" t="str">
        <f>IF(Tabela2[[#This Row],[Gols M]]&lt;&gt;"",IF(Tabela2[[#This Row],[Gols V]]-Tabela2[[#This Row],[Gols M]]&gt;=0,IF(Tabela2[[#This Row],[Gols V]]-Tabela2[[#This Row],[Gols M]]&gt;0,"V","E"),"D"),"")</f>
        <v>V</v>
      </c>
      <c r="L274" s="19">
        <f>IF(OR('Por time'!E$2=Tabela2[[#This Row],[Mandante]], 'Por time'!E$2=Tabela2[[#This Row],[Visitante]]),1,0)</f>
        <v>0</v>
      </c>
      <c r="M274" s="25">
        <f>Tabela2[[#This Row],[Marcar time]]+M273</f>
        <v>27</v>
      </c>
      <c r="N274" s="25">
        <f>IMABS(Tabela2[[#This Row],[Gols M]]-Tabela2[[#This Row],[Gols V]])</f>
        <v>3</v>
      </c>
      <c r="O274" s="25">
        <f>Tabela2[[#This Row],[Gols M]]+Tabela2[[#This Row],[Gols V]]</f>
        <v>5</v>
      </c>
    </row>
    <row r="275" spans="1:15" x14ac:dyDescent="0.25">
      <c r="A275" s="19">
        <v>28</v>
      </c>
      <c r="B275" s="47" t="s">
        <v>85</v>
      </c>
      <c r="C275" s="48">
        <v>1</v>
      </c>
      <c r="D275" s="48">
        <v>0</v>
      </c>
      <c r="E275" s="47" t="s">
        <v>87</v>
      </c>
      <c r="F275" s="49" t="s">
        <v>98</v>
      </c>
      <c r="G275" s="49">
        <v>42644</v>
      </c>
      <c r="H275" s="49" t="s">
        <v>99</v>
      </c>
      <c r="I275" s="50" t="s">
        <v>2</v>
      </c>
      <c r="J275" s="19" t="str">
        <f>IF(Tabela2[[#This Row],[Gols M]]&lt;&gt;"",IF(Tabela2[[#This Row],[Gols M]]-Tabela2[[#This Row],[Gols V]]&gt;=0,IF(Tabela2[[#This Row],[Gols M]]-Tabela2[[#This Row],[Gols V]]&gt;0,"V","E"),"D"),"")</f>
        <v>V</v>
      </c>
      <c r="K275" s="19" t="str">
        <f>IF(Tabela2[[#This Row],[Gols M]]&lt;&gt;"",IF(Tabela2[[#This Row],[Gols V]]-Tabela2[[#This Row],[Gols M]]&gt;=0,IF(Tabela2[[#This Row],[Gols V]]-Tabela2[[#This Row],[Gols M]]&gt;0,"V","E"),"D"),"")</f>
        <v>D</v>
      </c>
      <c r="L275" s="19">
        <f>IF(OR('Por time'!E$2=Tabela2[[#This Row],[Mandante]], 'Por time'!E$2=Tabela2[[#This Row],[Visitante]]),1,0)</f>
        <v>0</v>
      </c>
      <c r="M275" s="25">
        <f>Tabela2[[#This Row],[Marcar time]]+M274</f>
        <v>27</v>
      </c>
      <c r="N275" s="25">
        <f>IMABS(Tabela2[[#This Row],[Gols M]]-Tabela2[[#This Row],[Gols V]])</f>
        <v>1</v>
      </c>
      <c r="O275" s="25">
        <f>Tabela2[[#This Row],[Gols M]]+Tabela2[[#This Row],[Gols V]]</f>
        <v>1</v>
      </c>
    </row>
    <row r="276" spans="1:15" x14ac:dyDescent="0.25">
      <c r="A276" s="19">
        <v>28</v>
      </c>
      <c r="B276" s="47" t="s">
        <v>86</v>
      </c>
      <c r="C276" s="48">
        <v>3</v>
      </c>
      <c r="D276" s="48">
        <v>1</v>
      </c>
      <c r="E276" s="47" t="s">
        <v>90</v>
      </c>
      <c r="F276" s="49" t="s">
        <v>98</v>
      </c>
      <c r="G276" s="49">
        <v>42644</v>
      </c>
      <c r="H276" s="49" t="s">
        <v>97</v>
      </c>
      <c r="I276" s="50" t="s">
        <v>3</v>
      </c>
      <c r="J276" s="19" t="str">
        <f>IF(Tabela2[[#This Row],[Gols M]]&lt;&gt;"",IF(Tabela2[[#This Row],[Gols M]]-Tabela2[[#This Row],[Gols V]]&gt;=0,IF(Tabela2[[#This Row],[Gols M]]-Tabela2[[#This Row],[Gols V]]&gt;0,"V","E"),"D"),"")</f>
        <v>V</v>
      </c>
      <c r="K276" s="19" t="str">
        <f>IF(Tabela2[[#This Row],[Gols M]]&lt;&gt;"",IF(Tabela2[[#This Row],[Gols V]]-Tabela2[[#This Row],[Gols M]]&gt;=0,IF(Tabela2[[#This Row],[Gols V]]-Tabela2[[#This Row],[Gols M]]&gt;0,"V","E"),"D"),"")</f>
        <v>D</v>
      </c>
      <c r="L276" s="19">
        <f>IF(OR('Por time'!E$2=Tabela2[[#This Row],[Mandante]], 'Por time'!E$2=Tabela2[[#This Row],[Visitante]]),1,0)</f>
        <v>0</v>
      </c>
      <c r="M276" s="25">
        <f>Tabela2[[#This Row],[Marcar time]]+M275</f>
        <v>27</v>
      </c>
      <c r="N276" s="25">
        <f>IMABS(Tabela2[[#This Row],[Gols M]]-Tabela2[[#This Row],[Gols V]])</f>
        <v>2</v>
      </c>
      <c r="O276" s="25">
        <f>Tabela2[[#This Row],[Gols M]]+Tabela2[[#This Row],[Gols V]]</f>
        <v>4</v>
      </c>
    </row>
    <row r="277" spans="1:15" x14ac:dyDescent="0.25">
      <c r="A277" s="19">
        <v>28</v>
      </c>
      <c r="B277" s="47" t="s">
        <v>80</v>
      </c>
      <c r="C277" s="48">
        <v>1</v>
      </c>
      <c r="D277" s="48">
        <v>0</v>
      </c>
      <c r="E277" s="47" t="s">
        <v>78</v>
      </c>
      <c r="F277" s="49" t="s">
        <v>98</v>
      </c>
      <c r="G277" s="49">
        <v>42644</v>
      </c>
      <c r="H277" s="49" t="s">
        <v>100</v>
      </c>
      <c r="I277" s="50" t="s">
        <v>27</v>
      </c>
      <c r="J277" s="19" t="str">
        <f>IF(Tabela2[[#This Row],[Gols M]]&lt;&gt;"",IF(Tabela2[[#This Row],[Gols M]]-Tabela2[[#This Row],[Gols V]]&gt;=0,IF(Tabela2[[#This Row],[Gols M]]-Tabela2[[#This Row],[Gols V]]&gt;0,"V","E"),"D"),"")</f>
        <v>V</v>
      </c>
      <c r="K277" s="19" t="str">
        <f>IF(Tabela2[[#This Row],[Gols M]]&lt;&gt;"",IF(Tabela2[[#This Row],[Gols V]]-Tabela2[[#This Row],[Gols M]]&gt;=0,IF(Tabela2[[#This Row],[Gols V]]-Tabela2[[#This Row],[Gols M]]&gt;0,"V","E"),"D"),"")</f>
        <v>D</v>
      </c>
      <c r="L277" s="19">
        <f>IF(OR('Por time'!E$2=Tabela2[[#This Row],[Mandante]], 'Por time'!E$2=Tabela2[[#This Row],[Visitante]]),1,0)</f>
        <v>0</v>
      </c>
      <c r="M277" s="25">
        <f>Tabela2[[#This Row],[Marcar time]]+M276</f>
        <v>27</v>
      </c>
      <c r="N277" s="25">
        <f>IMABS(Tabela2[[#This Row],[Gols M]]-Tabela2[[#This Row],[Gols V]])</f>
        <v>1</v>
      </c>
      <c r="O277" s="25">
        <f>Tabela2[[#This Row],[Gols M]]+Tabela2[[#This Row],[Gols V]]</f>
        <v>1</v>
      </c>
    </row>
    <row r="278" spans="1:15" x14ac:dyDescent="0.25">
      <c r="A278" s="19">
        <v>28</v>
      </c>
      <c r="B278" s="47" t="s">
        <v>88</v>
      </c>
      <c r="C278" s="48">
        <v>1</v>
      </c>
      <c r="D278" s="48">
        <v>2</v>
      </c>
      <c r="E278" s="47" t="s">
        <v>75</v>
      </c>
      <c r="F278" s="49" t="s">
        <v>98</v>
      </c>
      <c r="G278" s="49">
        <v>42644</v>
      </c>
      <c r="H278" s="49" t="s">
        <v>114</v>
      </c>
      <c r="I278" s="50" t="s">
        <v>5</v>
      </c>
      <c r="J278" s="19" t="str">
        <f>IF(Tabela2[[#This Row],[Gols M]]&lt;&gt;"",IF(Tabela2[[#This Row],[Gols M]]-Tabela2[[#This Row],[Gols V]]&gt;=0,IF(Tabela2[[#This Row],[Gols M]]-Tabela2[[#This Row],[Gols V]]&gt;0,"V","E"),"D"),"")</f>
        <v>D</v>
      </c>
      <c r="K278" s="19" t="str">
        <f>IF(Tabela2[[#This Row],[Gols M]]&lt;&gt;"",IF(Tabela2[[#This Row],[Gols V]]-Tabela2[[#This Row],[Gols M]]&gt;=0,IF(Tabela2[[#This Row],[Gols V]]-Tabela2[[#This Row],[Gols M]]&gt;0,"V","E"),"D"),"")</f>
        <v>V</v>
      </c>
      <c r="L278" s="19">
        <f>IF(OR('Por time'!E$2=Tabela2[[#This Row],[Mandante]], 'Por time'!E$2=Tabela2[[#This Row],[Visitante]]),1,0)</f>
        <v>0</v>
      </c>
      <c r="M278" s="25">
        <f>Tabela2[[#This Row],[Marcar time]]+M277</f>
        <v>27</v>
      </c>
      <c r="N278" s="25">
        <f>IMABS(Tabela2[[#This Row],[Gols M]]-Tabela2[[#This Row],[Gols V]])</f>
        <v>1</v>
      </c>
      <c r="O278" s="25">
        <f>Tabela2[[#This Row],[Gols M]]+Tabela2[[#This Row],[Gols V]]</f>
        <v>3</v>
      </c>
    </row>
    <row r="279" spans="1:15" x14ac:dyDescent="0.25">
      <c r="A279" s="19">
        <v>28</v>
      </c>
      <c r="B279" s="47" t="s">
        <v>89</v>
      </c>
      <c r="C279" s="48">
        <v>2</v>
      </c>
      <c r="D279" s="48">
        <v>0</v>
      </c>
      <c r="E279" s="47" t="s">
        <v>83</v>
      </c>
      <c r="F279" s="49" t="s">
        <v>98</v>
      </c>
      <c r="G279" s="49">
        <v>42644</v>
      </c>
      <c r="H279" s="49" t="s">
        <v>96</v>
      </c>
      <c r="I279" s="50" t="s">
        <v>6</v>
      </c>
      <c r="J279" s="19" t="str">
        <f>IF(Tabela2[[#This Row],[Gols M]]&lt;&gt;"",IF(Tabela2[[#This Row],[Gols M]]-Tabela2[[#This Row],[Gols V]]&gt;=0,IF(Tabela2[[#This Row],[Gols M]]-Tabela2[[#This Row],[Gols V]]&gt;0,"V","E"),"D"),"")</f>
        <v>V</v>
      </c>
      <c r="K279" s="19" t="str">
        <f>IF(Tabela2[[#This Row],[Gols M]]&lt;&gt;"",IF(Tabela2[[#This Row],[Gols V]]-Tabela2[[#This Row],[Gols M]]&gt;=0,IF(Tabela2[[#This Row],[Gols V]]-Tabela2[[#This Row],[Gols M]]&gt;0,"V","E"),"D"),"")</f>
        <v>D</v>
      </c>
      <c r="L279" s="19">
        <f>IF(OR('Por time'!E$2=Tabela2[[#This Row],[Mandante]], 'Por time'!E$2=Tabela2[[#This Row],[Visitante]]),1,0)</f>
        <v>1</v>
      </c>
      <c r="M279" s="25">
        <f>Tabela2[[#This Row],[Marcar time]]+M278</f>
        <v>28</v>
      </c>
      <c r="N279" s="25">
        <f>IMABS(Tabela2[[#This Row],[Gols M]]-Tabela2[[#This Row],[Gols V]])</f>
        <v>2</v>
      </c>
      <c r="O279" s="25">
        <f>Tabela2[[#This Row],[Gols M]]+Tabela2[[#This Row],[Gols V]]</f>
        <v>2</v>
      </c>
    </row>
    <row r="280" spans="1:15" x14ac:dyDescent="0.25">
      <c r="A280" s="19">
        <v>28</v>
      </c>
      <c r="B280" s="47" t="s">
        <v>92</v>
      </c>
      <c r="C280" s="48">
        <v>0</v>
      </c>
      <c r="D280" s="48">
        <v>0</v>
      </c>
      <c r="E280" s="47" t="s">
        <v>79</v>
      </c>
      <c r="F280" s="49" t="s">
        <v>98</v>
      </c>
      <c r="G280" s="49">
        <v>42644</v>
      </c>
      <c r="H280" s="49" t="s">
        <v>96</v>
      </c>
      <c r="I280" s="50" t="s">
        <v>41</v>
      </c>
      <c r="J280" s="19" t="str">
        <f>IF(Tabela2[[#This Row],[Gols M]]&lt;&gt;"",IF(Tabela2[[#This Row],[Gols M]]-Tabela2[[#This Row],[Gols V]]&gt;=0,IF(Tabela2[[#This Row],[Gols M]]-Tabela2[[#This Row],[Gols V]]&gt;0,"V","E"),"D"),"")</f>
        <v>E</v>
      </c>
      <c r="K280" s="19" t="str">
        <f>IF(Tabela2[[#This Row],[Gols M]]&lt;&gt;"",IF(Tabela2[[#This Row],[Gols V]]-Tabela2[[#This Row],[Gols M]]&gt;=0,IF(Tabela2[[#This Row],[Gols V]]-Tabela2[[#This Row],[Gols M]]&gt;0,"V","E"),"D"),"")</f>
        <v>E</v>
      </c>
      <c r="L280" s="19">
        <f>IF(OR('Por time'!E$2=Tabela2[[#This Row],[Mandante]], 'Por time'!E$2=Tabela2[[#This Row],[Visitante]]),1,0)</f>
        <v>0</v>
      </c>
      <c r="M280" s="25">
        <f>Tabela2[[#This Row],[Marcar time]]+M279</f>
        <v>28</v>
      </c>
      <c r="N280" s="25">
        <f>IMABS(Tabela2[[#This Row],[Gols M]]-Tabela2[[#This Row],[Gols V]])</f>
        <v>0</v>
      </c>
      <c r="O280" s="25">
        <f>Tabela2[[#This Row],[Gols M]]+Tabela2[[#This Row],[Gols V]]</f>
        <v>0</v>
      </c>
    </row>
    <row r="281" spans="1:15" x14ac:dyDescent="0.25">
      <c r="A281" s="19">
        <v>28</v>
      </c>
      <c r="B281" s="47" t="s">
        <v>82</v>
      </c>
      <c r="C281" s="48">
        <v>2</v>
      </c>
      <c r="D281" s="48">
        <v>3</v>
      </c>
      <c r="E281" s="47" t="s">
        <v>81</v>
      </c>
      <c r="F281" s="49" t="s">
        <v>113</v>
      </c>
      <c r="G281" s="49">
        <v>42646</v>
      </c>
      <c r="H281" s="49" t="s">
        <v>107</v>
      </c>
      <c r="I281" s="50" t="s">
        <v>36</v>
      </c>
      <c r="J281" s="19" t="str">
        <f>IF(Tabela2[[#This Row],[Gols M]]&lt;&gt;"",IF(Tabela2[[#This Row],[Gols M]]-Tabela2[[#This Row],[Gols V]]&gt;=0,IF(Tabela2[[#This Row],[Gols M]]-Tabela2[[#This Row],[Gols V]]&gt;0,"V","E"),"D"),"")</f>
        <v>D</v>
      </c>
      <c r="K281" s="19" t="str">
        <f>IF(Tabela2[[#This Row],[Gols M]]&lt;&gt;"",IF(Tabela2[[#This Row],[Gols V]]-Tabela2[[#This Row],[Gols M]]&gt;=0,IF(Tabela2[[#This Row],[Gols V]]-Tabela2[[#This Row],[Gols M]]&gt;0,"V","E"),"D"),"")</f>
        <v>V</v>
      </c>
      <c r="L281" s="19">
        <f>IF(OR('Por time'!E$2=Tabela2[[#This Row],[Mandante]], 'Por time'!E$2=Tabela2[[#This Row],[Visitante]]),1,0)</f>
        <v>0</v>
      </c>
      <c r="M281" s="25">
        <f>Tabela2[[#This Row],[Marcar time]]+M280</f>
        <v>28</v>
      </c>
      <c r="N281" s="25">
        <f>IMABS(Tabela2[[#This Row],[Gols M]]-Tabela2[[#This Row],[Gols V]])</f>
        <v>1</v>
      </c>
      <c r="O281" s="25">
        <f>Tabela2[[#This Row],[Gols M]]+Tabela2[[#This Row],[Gols V]]</f>
        <v>5</v>
      </c>
    </row>
    <row r="282" spans="1:15" x14ac:dyDescent="0.25">
      <c r="A282" s="19">
        <v>29</v>
      </c>
      <c r="B282" s="47" t="s">
        <v>73</v>
      </c>
      <c r="C282" s="48">
        <v>0</v>
      </c>
      <c r="D282" s="48">
        <v>2</v>
      </c>
      <c r="E282" s="47" t="s">
        <v>81</v>
      </c>
      <c r="F282" s="49" t="s">
        <v>95</v>
      </c>
      <c r="G282" s="49">
        <v>42652</v>
      </c>
      <c r="H282" s="49" t="s">
        <v>117</v>
      </c>
      <c r="I282" s="50" t="s">
        <v>47</v>
      </c>
      <c r="J282" s="19" t="str">
        <f>IF(Tabela2[[#This Row],[Gols M]]&lt;&gt;"",IF(Tabela2[[#This Row],[Gols M]]-Tabela2[[#This Row],[Gols V]]&gt;=0,IF(Tabela2[[#This Row],[Gols M]]-Tabela2[[#This Row],[Gols V]]&gt;0,"V","E"),"D"),"")</f>
        <v>D</v>
      </c>
      <c r="K282" s="19" t="str">
        <f>IF(Tabela2[[#This Row],[Gols M]]&lt;&gt;"",IF(Tabela2[[#This Row],[Gols V]]-Tabela2[[#This Row],[Gols M]]&gt;=0,IF(Tabela2[[#This Row],[Gols V]]-Tabela2[[#This Row],[Gols M]]&gt;0,"V","E"),"D"),"")</f>
        <v>V</v>
      </c>
      <c r="L282" s="19">
        <f>IF(OR('Por time'!E$2=Tabela2[[#This Row],[Mandante]], 'Por time'!E$2=Tabela2[[#This Row],[Visitante]]),1,0)</f>
        <v>0</v>
      </c>
      <c r="M282" s="25">
        <f>Tabela2[[#This Row],[Marcar time]]+M281</f>
        <v>28</v>
      </c>
      <c r="N282" s="25">
        <f>IMABS(Tabela2[[#This Row],[Gols M]]-Tabela2[[#This Row],[Gols V]])</f>
        <v>2</v>
      </c>
      <c r="O282" s="25">
        <f>Tabela2[[#This Row],[Gols M]]+Tabela2[[#This Row],[Gols V]]</f>
        <v>2</v>
      </c>
    </row>
    <row r="283" spans="1:15" x14ac:dyDescent="0.25">
      <c r="A283" s="19">
        <v>29</v>
      </c>
      <c r="B283" s="47" t="s">
        <v>83</v>
      </c>
      <c r="C283" s="48">
        <v>3</v>
      </c>
      <c r="D283" s="48">
        <v>1</v>
      </c>
      <c r="E283" s="47" t="s">
        <v>84</v>
      </c>
      <c r="F283" s="49" t="s">
        <v>101</v>
      </c>
      <c r="G283" s="49">
        <v>42648</v>
      </c>
      <c r="H283" s="49" t="s">
        <v>102</v>
      </c>
      <c r="I283" s="50" t="s">
        <v>0</v>
      </c>
      <c r="J283" s="19" t="str">
        <f>IF(Tabela2[[#This Row],[Gols M]]&lt;&gt;"",IF(Tabela2[[#This Row],[Gols M]]-Tabela2[[#This Row],[Gols V]]&gt;=0,IF(Tabela2[[#This Row],[Gols M]]-Tabela2[[#This Row],[Gols V]]&gt;0,"V","E"),"D"),"")</f>
        <v>V</v>
      </c>
      <c r="K283" s="19" t="str">
        <f>IF(Tabela2[[#This Row],[Gols M]]&lt;&gt;"",IF(Tabela2[[#This Row],[Gols V]]-Tabela2[[#This Row],[Gols M]]&gt;=0,IF(Tabela2[[#This Row],[Gols V]]-Tabela2[[#This Row],[Gols M]]&gt;0,"V","E"),"D"),"")</f>
        <v>D</v>
      </c>
      <c r="L283" s="19">
        <f>IF(OR('Por time'!E$2=Tabela2[[#This Row],[Mandante]], 'Por time'!E$2=Tabela2[[#This Row],[Visitante]]),1,0)</f>
        <v>1</v>
      </c>
      <c r="M283" s="25">
        <f>Tabela2[[#This Row],[Marcar time]]+M282</f>
        <v>29</v>
      </c>
      <c r="N283" s="25">
        <f>IMABS(Tabela2[[#This Row],[Gols M]]-Tabela2[[#This Row],[Gols V]])</f>
        <v>2</v>
      </c>
      <c r="O283" s="25">
        <f>Tabela2[[#This Row],[Gols M]]+Tabela2[[#This Row],[Gols V]]</f>
        <v>4</v>
      </c>
    </row>
    <row r="284" spans="1:15" x14ac:dyDescent="0.25">
      <c r="A284" s="19">
        <v>29</v>
      </c>
      <c r="B284" s="47" t="s">
        <v>77</v>
      </c>
      <c r="C284" s="48">
        <v>0</v>
      </c>
      <c r="D284" s="48">
        <v>0</v>
      </c>
      <c r="E284" s="47" t="s">
        <v>75</v>
      </c>
      <c r="F284" s="49" t="s">
        <v>101</v>
      </c>
      <c r="G284" s="49">
        <v>42648</v>
      </c>
      <c r="H284" s="49" t="s">
        <v>100</v>
      </c>
      <c r="I284" s="50" t="s">
        <v>18</v>
      </c>
      <c r="J284" s="19" t="str">
        <f>IF(Tabela2[[#This Row],[Gols M]]&lt;&gt;"",IF(Tabela2[[#This Row],[Gols M]]-Tabela2[[#This Row],[Gols V]]&gt;=0,IF(Tabela2[[#This Row],[Gols M]]-Tabela2[[#This Row],[Gols V]]&gt;0,"V","E"),"D"),"")</f>
        <v>E</v>
      </c>
      <c r="K284" s="19" t="str">
        <f>IF(Tabela2[[#This Row],[Gols M]]&lt;&gt;"",IF(Tabela2[[#This Row],[Gols V]]-Tabela2[[#This Row],[Gols M]]&gt;=0,IF(Tabela2[[#This Row],[Gols V]]-Tabela2[[#This Row],[Gols M]]&gt;0,"V","E"),"D"),"")</f>
        <v>E</v>
      </c>
      <c r="L284" s="19">
        <f>IF(OR('Por time'!E$2=Tabela2[[#This Row],[Mandante]], 'Por time'!E$2=Tabela2[[#This Row],[Visitante]]),1,0)</f>
        <v>0</v>
      </c>
      <c r="M284" s="25">
        <f>Tabela2[[#This Row],[Marcar time]]+M283</f>
        <v>29</v>
      </c>
      <c r="N284" s="25">
        <f>IMABS(Tabela2[[#This Row],[Gols M]]-Tabela2[[#This Row],[Gols V]])</f>
        <v>0</v>
      </c>
      <c r="O284" s="25">
        <f>Tabela2[[#This Row],[Gols M]]+Tabela2[[#This Row],[Gols V]]</f>
        <v>0</v>
      </c>
    </row>
    <row r="285" spans="1:15" x14ac:dyDescent="0.25">
      <c r="A285" s="19">
        <v>29</v>
      </c>
      <c r="B285" s="47" t="s">
        <v>85</v>
      </c>
      <c r="C285" s="48">
        <v>2</v>
      </c>
      <c r="D285" s="48">
        <v>0</v>
      </c>
      <c r="E285" s="47" t="s">
        <v>88</v>
      </c>
      <c r="F285" s="49" t="s">
        <v>98</v>
      </c>
      <c r="G285" s="49">
        <v>42651</v>
      </c>
      <c r="H285" s="49" t="s">
        <v>100</v>
      </c>
      <c r="I285" s="50" t="s">
        <v>2</v>
      </c>
      <c r="J285" s="19" t="str">
        <f>IF(Tabela2[[#This Row],[Gols M]]&lt;&gt;"",IF(Tabela2[[#This Row],[Gols M]]-Tabela2[[#This Row],[Gols V]]&gt;=0,IF(Tabela2[[#This Row],[Gols M]]-Tabela2[[#This Row],[Gols V]]&gt;0,"V","E"),"D"),"")</f>
        <v>V</v>
      </c>
      <c r="K285" s="19" t="str">
        <f>IF(Tabela2[[#This Row],[Gols M]]&lt;&gt;"",IF(Tabela2[[#This Row],[Gols V]]-Tabela2[[#This Row],[Gols M]]&gt;=0,IF(Tabela2[[#This Row],[Gols V]]-Tabela2[[#This Row],[Gols M]]&gt;0,"V","E"),"D"),"")</f>
        <v>D</v>
      </c>
      <c r="L285" s="19">
        <f>IF(OR('Por time'!E$2=Tabela2[[#This Row],[Mandante]], 'Por time'!E$2=Tabela2[[#This Row],[Visitante]]),1,0)</f>
        <v>0</v>
      </c>
      <c r="M285" s="25">
        <f>Tabela2[[#This Row],[Marcar time]]+M284</f>
        <v>29</v>
      </c>
      <c r="N285" s="25">
        <f>IMABS(Tabela2[[#This Row],[Gols M]]-Tabela2[[#This Row],[Gols V]])</f>
        <v>2</v>
      </c>
      <c r="O285" s="25">
        <f>Tabela2[[#This Row],[Gols M]]+Tabela2[[#This Row],[Gols V]]</f>
        <v>2</v>
      </c>
    </row>
    <row r="286" spans="1:15" x14ac:dyDescent="0.25">
      <c r="A286" s="19">
        <v>29</v>
      </c>
      <c r="B286" s="47" t="s">
        <v>78</v>
      </c>
      <c r="C286" s="48">
        <v>0</v>
      </c>
      <c r="D286" s="48">
        <v>1</v>
      </c>
      <c r="E286" s="47" t="s">
        <v>74</v>
      </c>
      <c r="F286" s="49" t="s">
        <v>95</v>
      </c>
      <c r="G286" s="49">
        <v>42652</v>
      </c>
      <c r="H286" s="49" t="s">
        <v>117</v>
      </c>
      <c r="I286" s="50" t="s">
        <v>33</v>
      </c>
      <c r="J286" s="19" t="str">
        <f>IF(Tabela2[[#This Row],[Gols M]]&lt;&gt;"",IF(Tabela2[[#This Row],[Gols M]]-Tabela2[[#This Row],[Gols V]]&gt;=0,IF(Tabela2[[#This Row],[Gols M]]-Tabela2[[#This Row],[Gols V]]&gt;0,"V","E"),"D"),"")</f>
        <v>D</v>
      </c>
      <c r="K286" s="19" t="str">
        <f>IF(Tabela2[[#This Row],[Gols M]]&lt;&gt;"",IF(Tabela2[[#This Row],[Gols V]]-Tabela2[[#This Row],[Gols M]]&gt;=0,IF(Tabela2[[#This Row],[Gols V]]-Tabela2[[#This Row],[Gols M]]&gt;0,"V","E"),"D"),"")</f>
        <v>V</v>
      </c>
      <c r="L286" s="19">
        <f>IF(OR('Por time'!E$2=Tabela2[[#This Row],[Mandante]], 'Por time'!E$2=Tabela2[[#This Row],[Visitante]]),1,0)</f>
        <v>0</v>
      </c>
      <c r="M286" s="25">
        <f>Tabela2[[#This Row],[Marcar time]]+M285</f>
        <v>29</v>
      </c>
      <c r="N286" s="25">
        <f>IMABS(Tabela2[[#This Row],[Gols M]]-Tabela2[[#This Row],[Gols V]])</f>
        <v>1</v>
      </c>
      <c r="O286" s="25">
        <f>Tabela2[[#This Row],[Gols M]]+Tabela2[[#This Row],[Gols V]]</f>
        <v>1</v>
      </c>
    </row>
    <row r="287" spans="1:15" x14ac:dyDescent="0.25">
      <c r="A287" s="19">
        <v>29</v>
      </c>
      <c r="B287" s="47" t="s">
        <v>79</v>
      </c>
      <c r="C287" s="48">
        <v>3</v>
      </c>
      <c r="D287" s="48">
        <v>0</v>
      </c>
      <c r="E287" s="47" t="s">
        <v>82</v>
      </c>
      <c r="F287" s="49" t="s">
        <v>95</v>
      </c>
      <c r="G287" s="49">
        <v>42652</v>
      </c>
      <c r="H287" s="49" t="s">
        <v>117</v>
      </c>
      <c r="I287" s="50" t="s">
        <v>7</v>
      </c>
      <c r="J287" s="19" t="str">
        <f>IF(Tabela2[[#This Row],[Gols M]]&lt;&gt;"",IF(Tabela2[[#This Row],[Gols M]]-Tabela2[[#This Row],[Gols V]]&gt;=0,IF(Tabela2[[#This Row],[Gols M]]-Tabela2[[#This Row],[Gols V]]&gt;0,"V","E"),"D"),"")</f>
        <v>V</v>
      </c>
      <c r="K287" s="19" t="str">
        <f>IF(Tabela2[[#This Row],[Gols M]]&lt;&gt;"",IF(Tabela2[[#This Row],[Gols V]]-Tabela2[[#This Row],[Gols M]]&gt;=0,IF(Tabela2[[#This Row],[Gols V]]-Tabela2[[#This Row],[Gols M]]&gt;0,"V","E"),"D"),"")</f>
        <v>D</v>
      </c>
      <c r="L287" s="19">
        <f>IF(OR('Por time'!E$2=Tabela2[[#This Row],[Mandante]], 'Por time'!E$2=Tabela2[[#This Row],[Visitante]]),1,0)</f>
        <v>0</v>
      </c>
      <c r="M287" s="25">
        <f>Tabela2[[#This Row],[Marcar time]]+M286</f>
        <v>29</v>
      </c>
      <c r="N287" s="25">
        <f>IMABS(Tabela2[[#This Row],[Gols M]]-Tabela2[[#This Row],[Gols V]])</f>
        <v>3</v>
      </c>
      <c r="O287" s="25">
        <f>Tabela2[[#This Row],[Gols M]]+Tabela2[[#This Row],[Gols V]]</f>
        <v>3</v>
      </c>
    </row>
    <row r="288" spans="1:15" x14ac:dyDescent="0.25">
      <c r="A288" s="19">
        <v>29</v>
      </c>
      <c r="B288" s="47" t="s">
        <v>80</v>
      </c>
      <c r="C288" s="48">
        <v>1</v>
      </c>
      <c r="D288" s="48">
        <v>0</v>
      </c>
      <c r="E288" s="47" t="s">
        <v>76</v>
      </c>
      <c r="F288" s="49" t="s">
        <v>103</v>
      </c>
      <c r="G288" s="49">
        <v>42649</v>
      </c>
      <c r="H288" s="49" t="s">
        <v>102</v>
      </c>
      <c r="I288" s="50" t="s">
        <v>27</v>
      </c>
      <c r="J288" s="19" t="str">
        <f>IF(Tabela2[[#This Row],[Gols M]]&lt;&gt;"",IF(Tabela2[[#This Row],[Gols M]]-Tabela2[[#This Row],[Gols V]]&gt;=0,IF(Tabela2[[#This Row],[Gols M]]-Tabela2[[#This Row],[Gols V]]&gt;0,"V","E"),"D"),"")</f>
        <v>V</v>
      </c>
      <c r="K288" s="19" t="str">
        <f>IF(Tabela2[[#This Row],[Gols M]]&lt;&gt;"",IF(Tabela2[[#This Row],[Gols V]]-Tabela2[[#This Row],[Gols M]]&gt;=0,IF(Tabela2[[#This Row],[Gols V]]-Tabela2[[#This Row],[Gols M]]&gt;0,"V","E"),"D"),"")</f>
        <v>D</v>
      </c>
      <c r="L288" s="19">
        <f>IF(OR('Por time'!E$2=Tabela2[[#This Row],[Mandante]], 'Por time'!E$2=Tabela2[[#This Row],[Visitante]]),1,0)</f>
        <v>0</v>
      </c>
      <c r="M288" s="25">
        <f>Tabela2[[#This Row],[Marcar time]]+M287</f>
        <v>29</v>
      </c>
      <c r="N288" s="25">
        <f>IMABS(Tabela2[[#This Row],[Gols M]]-Tabela2[[#This Row],[Gols V]])</f>
        <v>1</v>
      </c>
      <c r="O288" s="25">
        <f>Tabela2[[#This Row],[Gols M]]+Tabela2[[#This Row],[Gols V]]</f>
        <v>1</v>
      </c>
    </row>
    <row r="289" spans="1:15" x14ac:dyDescent="0.25">
      <c r="A289" s="19">
        <v>29</v>
      </c>
      <c r="B289" s="47" t="s">
        <v>89</v>
      </c>
      <c r="C289" s="48">
        <v>2</v>
      </c>
      <c r="D289" s="48">
        <v>1</v>
      </c>
      <c r="E289" s="47" t="s">
        <v>86</v>
      </c>
      <c r="F289" s="49" t="s">
        <v>101</v>
      </c>
      <c r="G289" s="49">
        <v>42648</v>
      </c>
      <c r="H289" s="49" t="s">
        <v>100</v>
      </c>
      <c r="I289" s="50" t="s">
        <v>6</v>
      </c>
      <c r="J289" s="19" t="str">
        <f>IF(Tabela2[[#This Row],[Gols M]]&lt;&gt;"",IF(Tabela2[[#This Row],[Gols M]]-Tabela2[[#This Row],[Gols V]]&gt;=0,IF(Tabela2[[#This Row],[Gols M]]-Tabela2[[#This Row],[Gols V]]&gt;0,"V","E"),"D"),"")</f>
        <v>V</v>
      </c>
      <c r="K289" s="19" t="str">
        <f>IF(Tabela2[[#This Row],[Gols M]]&lt;&gt;"",IF(Tabela2[[#This Row],[Gols V]]-Tabela2[[#This Row],[Gols M]]&gt;=0,IF(Tabela2[[#This Row],[Gols V]]-Tabela2[[#This Row],[Gols M]]&gt;0,"V","E"),"D"),"")</f>
        <v>D</v>
      </c>
      <c r="L289" s="19">
        <f>IF(OR('Por time'!E$2=Tabela2[[#This Row],[Mandante]], 'Por time'!E$2=Tabela2[[#This Row],[Visitante]]),1,0)</f>
        <v>0</v>
      </c>
      <c r="M289" s="25">
        <f>Tabela2[[#This Row],[Marcar time]]+M288</f>
        <v>29</v>
      </c>
      <c r="N289" s="25">
        <f>IMABS(Tabela2[[#This Row],[Gols M]]-Tabela2[[#This Row],[Gols V]])</f>
        <v>1</v>
      </c>
      <c r="O289" s="25">
        <f>Tabela2[[#This Row],[Gols M]]+Tabela2[[#This Row],[Gols V]]</f>
        <v>3</v>
      </c>
    </row>
    <row r="290" spans="1:15" x14ac:dyDescent="0.25">
      <c r="A290" s="19">
        <v>29</v>
      </c>
      <c r="B290" s="47" t="s">
        <v>90</v>
      </c>
      <c r="C290" s="48">
        <v>1</v>
      </c>
      <c r="D290" s="48">
        <v>1</v>
      </c>
      <c r="E290" s="47" t="s">
        <v>92</v>
      </c>
      <c r="F290" s="49" t="s">
        <v>101</v>
      </c>
      <c r="G290" s="49">
        <v>42648</v>
      </c>
      <c r="H290" s="49" t="s">
        <v>104</v>
      </c>
      <c r="I290" s="50" t="s">
        <v>8</v>
      </c>
      <c r="J290" s="19" t="str">
        <f>IF(Tabela2[[#This Row],[Gols M]]&lt;&gt;"",IF(Tabela2[[#This Row],[Gols M]]-Tabela2[[#This Row],[Gols V]]&gt;=0,IF(Tabela2[[#This Row],[Gols M]]-Tabela2[[#This Row],[Gols V]]&gt;0,"V","E"),"D"),"")</f>
        <v>E</v>
      </c>
      <c r="K290" s="19" t="str">
        <f>IF(Tabela2[[#This Row],[Gols M]]&lt;&gt;"",IF(Tabela2[[#This Row],[Gols V]]-Tabela2[[#This Row],[Gols M]]&gt;=0,IF(Tabela2[[#This Row],[Gols V]]-Tabela2[[#This Row],[Gols M]]&gt;0,"V","E"),"D"),"")</f>
        <v>E</v>
      </c>
      <c r="L290" s="19">
        <f>IF(OR('Por time'!E$2=Tabela2[[#This Row],[Mandante]], 'Por time'!E$2=Tabela2[[#This Row],[Visitante]]),1,0)</f>
        <v>0</v>
      </c>
      <c r="M290" s="25">
        <f>Tabela2[[#This Row],[Marcar time]]+M289</f>
        <v>29</v>
      </c>
      <c r="N290" s="25">
        <f>IMABS(Tabela2[[#This Row],[Gols M]]-Tabela2[[#This Row],[Gols V]])</f>
        <v>0</v>
      </c>
      <c r="O290" s="25">
        <f>Tabela2[[#This Row],[Gols M]]+Tabela2[[#This Row],[Gols V]]</f>
        <v>2</v>
      </c>
    </row>
    <row r="291" spans="1:15" x14ac:dyDescent="0.25">
      <c r="A291" s="19">
        <v>29</v>
      </c>
      <c r="B291" s="47" t="s">
        <v>91</v>
      </c>
      <c r="C291" s="48">
        <v>0</v>
      </c>
      <c r="D291" s="48">
        <v>1</v>
      </c>
      <c r="E291" s="47" t="s">
        <v>87</v>
      </c>
      <c r="F291" s="49" t="s">
        <v>101</v>
      </c>
      <c r="G291" s="49">
        <v>42648</v>
      </c>
      <c r="H291" s="49" t="s">
        <v>102</v>
      </c>
      <c r="I291" s="50" t="s">
        <v>46</v>
      </c>
      <c r="J291" s="19" t="str">
        <f>IF(Tabela2[[#This Row],[Gols M]]&lt;&gt;"",IF(Tabela2[[#This Row],[Gols M]]-Tabela2[[#This Row],[Gols V]]&gt;=0,IF(Tabela2[[#This Row],[Gols M]]-Tabela2[[#This Row],[Gols V]]&gt;0,"V","E"),"D"),"")</f>
        <v>D</v>
      </c>
      <c r="K291" s="19" t="str">
        <f>IF(Tabela2[[#This Row],[Gols M]]&lt;&gt;"",IF(Tabela2[[#This Row],[Gols V]]-Tabela2[[#This Row],[Gols M]]&gt;=0,IF(Tabela2[[#This Row],[Gols V]]-Tabela2[[#This Row],[Gols M]]&gt;0,"V","E"),"D"),"")</f>
        <v>V</v>
      </c>
      <c r="L291" s="19">
        <f>IF(OR('Por time'!E$2=Tabela2[[#This Row],[Mandante]], 'Por time'!E$2=Tabela2[[#This Row],[Visitante]]),1,0)</f>
        <v>0</v>
      </c>
      <c r="M291" s="25">
        <f>Tabela2[[#This Row],[Marcar time]]+M290</f>
        <v>29</v>
      </c>
      <c r="N291" s="25">
        <f>IMABS(Tabela2[[#This Row],[Gols M]]-Tabela2[[#This Row],[Gols V]])</f>
        <v>1</v>
      </c>
      <c r="O291" s="25">
        <f>Tabela2[[#This Row],[Gols M]]+Tabela2[[#This Row],[Gols V]]</f>
        <v>1</v>
      </c>
    </row>
    <row r="292" spans="1:15" x14ac:dyDescent="0.25">
      <c r="A292" s="19">
        <v>30</v>
      </c>
      <c r="B292" s="47" t="s">
        <v>74</v>
      </c>
      <c r="C292" s="48">
        <v>1</v>
      </c>
      <c r="D292" s="48">
        <v>0</v>
      </c>
      <c r="E292" s="47" t="s">
        <v>80</v>
      </c>
      <c r="F292" s="49" t="s">
        <v>101</v>
      </c>
      <c r="G292" s="49">
        <v>42655</v>
      </c>
      <c r="H292" s="49" t="s">
        <v>104</v>
      </c>
      <c r="I292" s="50" t="s">
        <v>14</v>
      </c>
      <c r="J292" s="19" t="str">
        <f>IF(Tabela2[[#This Row],[Gols M]]&lt;&gt;"",IF(Tabela2[[#This Row],[Gols M]]-Tabela2[[#This Row],[Gols V]]&gt;=0,IF(Tabela2[[#This Row],[Gols M]]-Tabela2[[#This Row],[Gols V]]&gt;0,"V","E"),"D"),"")</f>
        <v>V</v>
      </c>
      <c r="K292" s="19" t="str">
        <f>IF(Tabela2[[#This Row],[Gols M]]&lt;&gt;"",IF(Tabela2[[#This Row],[Gols V]]-Tabela2[[#This Row],[Gols M]]&gt;=0,IF(Tabela2[[#This Row],[Gols V]]-Tabela2[[#This Row],[Gols M]]&gt;0,"V","E"),"D"),"")</f>
        <v>D</v>
      </c>
      <c r="L292" s="19">
        <f>IF(OR('Por time'!E$2=Tabela2[[#This Row],[Mandante]], 'Por time'!E$2=Tabela2[[#This Row],[Visitante]]),1,0)</f>
        <v>0</v>
      </c>
      <c r="M292" s="25">
        <f>Tabela2[[#This Row],[Marcar time]]+M291</f>
        <v>29</v>
      </c>
      <c r="N292" s="25">
        <f>IMABS(Tabela2[[#This Row],[Gols M]]-Tabela2[[#This Row],[Gols V]])</f>
        <v>1</v>
      </c>
      <c r="O292" s="25">
        <f>Tabela2[[#This Row],[Gols M]]+Tabela2[[#This Row],[Gols V]]</f>
        <v>1</v>
      </c>
    </row>
    <row r="293" spans="1:15" x14ac:dyDescent="0.25">
      <c r="A293" s="19">
        <v>30</v>
      </c>
      <c r="B293" s="47" t="s">
        <v>75</v>
      </c>
      <c r="C293" s="48">
        <v>3</v>
      </c>
      <c r="D293" s="48">
        <v>0</v>
      </c>
      <c r="E293" s="47" t="s">
        <v>73</v>
      </c>
      <c r="F293" s="49" t="s">
        <v>103</v>
      </c>
      <c r="G293" s="49">
        <v>42656</v>
      </c>
      <c r="H293" s="49" t="s">
        <v>102</v>
      </c>
      <c r="I293" s="50" t="s">
        <v>2</v>
      </c>
      <c r="J293" s="19" t="str">
        <f>IF(Tabela2[[#This Row],[Gols M]]&lt;&gt;"",IF(Tabela2[[#This Row],[Gols M]]-Tabela2[[#This Row],[Gols V]]&gt;=0,IF(Tabela2[[#This Row],[Gols M]]-Tabela2[[#This Row],[Gols V]]&gt;0,"V","E"),"D"),"")</f>
        <v>V</v>
      </c>
      <c r="K293" s="19" t="str">
        <f>IF(Tabela2[[#This Row],[Gols M]]&lt;&gt;"",IF(Tabela2[[#This Row],[Gols V]]-Tabela2[[#This Row],[Gols M]]&gt;=0,IF(Tabela2[[#This Row],[Gols V]]-Tabela2[[#This Row],[Gols M]]&gt;0,"V","E"),"D"),"")</f>
        <v>D</v>
      </c>
      <c r="L293" s="19">
        <f>IF(OR('Por time'!E$2=Tabela2[[#This Row],[Mandante]], 'Por time'!E$2=Tabela2[[#This Row],[Visitante]]),1,0)</f>
        <v>0</v>
      </c>
      <c r="M293" s="25">
        <f>Tabela2[[#This Row],[Marcar time]]+M292</f>
        <v>29</v>
      </c>
      <c r="N293" s="25">
        <f>IMABS(Tabela2[[#This Row],[Gols M]]-Tabela2[[#This Row],[Gols V]])</f>
        <v>3</v>
      </c>
      <c r="O293" s="25">
        <f>Tabela2[[#This Row],[Gols M]]+Tabela2[[#This Row],[Gols V]]</f>
        <v>3</v>
      </c>
    </row>
    <row r="294" spans="1:15" x14ac:dyDescent="0.25">
      <c r="A294" s="19">
        <v>30</v>
      </c>
      <c r="B294" s="47" t="s">
        <v>76</v>
      </c>
      <c r="C294" s="48">
        <v>0</v>
      </c>
      <c r="D294" s="48">
        <v>0</v>
      </c>
      <c r="E294" s="47" t="s">
        <v>78</v>
      </c>
      <c r="F294" s="49" t="s">
        <v>101</v>
      </c>
      <c r="G294" s="49">
        <v>42655</v>
      </c>
      <c r="H294" s="49" t="s">
        <v>102</v>
      </c>
      <c r="I294" s="50" t="s">
        <v>40</v>
      </c>
      <c r="J294" s="19" t="str">
        <f>IF(Tabela2[[#This Row],[Gols M]]&lt;&gt;"",IF(Tabela2[[#This Row],[Gols M]]-Tabela2[[#This Row],[Gols V]]&gt;=0,IF(Tabela2[[#This Row],[Gols M]]-Tabela2[[#This Row],[Gols V]]&gt;0,"V","E"),"D"),"")</f>
        <v>E</v>
      </c>
      <c r="K294" s="19" t="str">
        <f>IF(Tabela2[[#This Row],[Gols M]]&lt;&gt;"",IF(Tabela2[[#This Row],[Gols V]]-Tabela2[[#This Row],[Gols M]]&gt;=0,IF(Tabela2[[#This Row],[Gols V]]-Tabela2[[#This Row],[Gols M]]&gt;0,"V","E"),"D"),"")</f>
        <v>E</v>
      </c>
      <c r="L294" s="19">
        <f>IF(OR('Por time'!E$2=Tabela2[[#This Row],[Mandante]], 'Por time'!E$2=Tabela2[[#This Row],[Visitante]]),1,0)</f>
        <v>0</v>
      </c>
      <c r="M294" s="25">
        <f>Tabela2[[#This Row],[Marcar time]]+M293</f>
        <v>29</v>
      </c>
      <c r="N294" s="25">
        <f>IMABS(Tabela2[[#This Row],[Gols M]]-Tabela2[[#This Row],[Gols V]])</f>
        <v>0</v>
      </c>
      <c r="O294" s="25">
        <f>Tabela2[[#This Row],[Gols M]]+Tabela2[[#This Row],[Gols V]]</f>
        <v>0</v>
      </c>
    </row>
    <row r="295" spans="1:15" x14ac:dyDescent="0.25">
      <c r="A295" s="19">
        <v>30</v>
      </c>
      <c r="B295" s="47" t="s">
        <v>84</v>
      </c>
      <c r="C295" s="48">
        <v>3</v>
      </c>
      <c r="D295" s="48">
        <v>0</v>
      </c>
      <c r="E295" s="47" t="s">
        <v>90</v>
      </c>
      <c r="F295" s="49" t="s">
        <v>101</v>
      </c>
      <c r="G295" s="49">
        <v>42655</v>
      </c>
      <c r="H295" s="49" t="s">
        <v>97</v>
      </c>
      <c r="I295" s="50" t="s">
        <v>1</v>
      </c>
      <c r="J295" s="19" t="str">
        <f>IF(Tabela2[[#This Row],[Gols M]]&lt;&gt;"",IF(Tabela2[[#This Row],[Gols M]]-Tabela2[[#This Row],[Gols V]]&gt;=0,IF(Tabela2[[#This Row],[Gols M]]-Tabela2[[#This Row],[Gols V]]&gt;0,"V","E"),"D"),"")</f>
        <v>V</v>
      </c>
      <c r="K295" s="19" t="str">
        <f>IF(Tabela2[[#This Row],[Gols M]]&lt;&gt;"",IF(Tabela2[[#This Row],[Gols V]]-Tabela2[[#This Row],[Gols M]]&gt;=0,IF(Tabela2[[#This Row],[Gols V]]-Tabela2[[#This Row],[Gols M]]&gt;0,"V","E"),"D"),"")</f>
        <v>D</v>
      </c>
      <c r="L295" s="19">
        <f>IF(OR('Por time'!E$2=Tabela2[[#This Row],[Mandante]], 'Por time'!E$2=Tabela2[[#This Row],[Visitante]]),1,0)</f>
        <v>0</v>
      </c>
      <c r="M295" s="25">
        <f>Tabela2[[#This Row],[Marcar time]]+M294</f>
        <v>29</v>
      </c>
      <c r="N295" s="25">
        <f>IMABS(Tabela2[[#This Row],[Gols M]]-Tabela2[[#This Row],[Gols V]])</f>
        <v>3</v>
      </c>
      <c r="O295" s="25">
        <f>Tabela2[[#This Row],[Gols M]]+Tabela2[[#This Row],[Gols V]]</f>
        <v>3</v>
      </c>
    </row>
    <row r="296" spans="1:15" x14ac:dyDescent="0.25">
      <c r="A296" s="19">
        <v>30</v>
      </c>
      <c r="B296" s="47" t="s">
        <v>86</v>
      </c>
      <c r="C296" s="48">
        <v>1</v>
      </c>
      <c r="D296" s="48">
        <v>2</v>
      </c>
      <c r="E296" s="47" t="s">
        <v>79</v>
      </c>
      <c r="F296" s="49" t="s">
        <v>103</v>
      </c>
      <c r="G296" s="49">
        <v>42656</v>
      </c>
      <c r="H296" s="49" t="s">
        <v>100</v>
      </c>
      <c r="I296" s="50" t="s">
        <v>45</v>
      </c>
      <c r="J296" s="19" t="str">
        <f>IF(Tabela2[[#This Row],[Gols M]]&lt;&gt;"",IF(Tabela2[[#This Row],[Gols M]]-Tabela2[[#This Row],[Gols V]]&gt;=0,IF(Tabela2[[#This Row],[Gols M]]-Tabela2[[#This Row],[Gols V]]&gt;0,"V","E"),"D"),"")</f>
        <v>D</v>
      </c>
      <c r="K296" s="19" t="str">
        <f>IF(Tabela2[[#This Row],[Gols M]]&lt;&gt;"",IF(Tabela2[[#This Row],[Gols V]]-Tabela2[[#This Row],[Gols M]]&gt;=0,IF(Tabela2[[#This Row],[Gols V]]-Tabela2[[#This Row],[Gols M]]&gt;0,"V","E"),"D"),"")</f>
        <v>V</v>
      </c>
      <c r="L296" s="19">
        <f>IF(OR('Por time'!E$2=Tabela2[[#This Row],[Mandante]], 'Por time'!E$2=Tabela2[[#This Row],[Visitante]]),1,0)</f>
        <v>0</v>
      </c>
      <c r="M296" s="25">
        <f>Tabela2[[#This Row],[Marcar time]]+M295</f>
        <v>29</v>
      </c>
      <c r="N296" s="25">
        <f>IMABS(Tabela2[[#This Row],[Gols M]]-Tabela2[[#This Row],[Gols V]])</f>
        <v>1</v>
      </c>
      <c r="O296" s="25">
        <f>Tabela2[[#This Row],[Gols M]]+Tabela2[[#This Row],[Gols V]]</f>
        <v>3</v>
      </c>
    </row>
    <row r="297" spans="1:15" x14ac:dyDescent="0.25">
      <c r="A297" s="19">
        <v>30</v>
      </c>
      <c r="B297" s="47" t="s">
        <v>87</v>
      </c>
      <c r="C297" s="48">
        <v>1</v>
      </c>
      <c r="D297" s="48">
        <v>0</v>
      </c>
      <c r="E297" s="47" t="s">
        <v>83</v>
      </c>
      <c r="F297" s="49" t="s">
        <v>103</v>
      </c>
      <c r="G297" s="49">
        <v>42656</v>
      </c>
      <c r="H297" s="49" t="s">
        <v>100</v>
      </c>
      <c r="I297" s="50" t="s">
        <v>4</v>
      </c>
      <c r="J297" s="19" t="str">
        <f>IF(Tabela2[[#This Row],[Gols M]]&lt;&gt;"",IF(Tabela2[[#This Row],[Gols M]]-Tabela2[[#This Row],[Gols V]]&gt;=0,IF(Tabela2[[#This Row],[Gols M]]-Tabela2[[#This Row],[Gols V]]&gt;0,"V","E"),"D"),"")</f>
        <v>V</v>
      </c>
      <c r="K297" s="19" t="str">
        <f>IF(Tabela2[[#This Row],[Gols M]]&lt;&gt;"",IF(Tabela2[[#This Row],[Gols V]]-Tabela2[[#This Row],[Gols M]]&gt;=0,IF(Tabela2[[#This Row],[Gols V]]-Tabela2[[#This Row],[Gols M]]&gt;0,"V","E"),"D"),"")</f>
        <v>D</v>
      </c>
      <c r="L297" s="19">
        <f>IF(OR('Por time'!E$2=Tabela2[[#This Row],[Mandante]], 'Por time'!E$2=Tabela2[[#This Row],[Visitante]]),1,0)</f>
        <v>1</v>
      </c>
      <c r="M297" s="25">
        <f>Tabela2[[#This Row],[Marcar time]]+M296</f>
        <v>30</v>
      </c>
      <c r="N297" s="25">
        <f>IMABS(Tabela2[[#This Row],[Gols M]]-Tabela2[[#This Row],[Gols V]])</f>
        <v>1</v>
      </c>
      <c r="O297" s="25">
        <f>Tabela2[[#This Row],[Gols M]]+Tabela2[[#This Row],[Gols V]]</f>
        <v>1</v>
      </c>
    </row>
    <row r="298" spans="1:15" x14ac:dyDescent="0.25">
      <c r="A298" s="19">
        <v>30</v>
      </c>
      <c r="B298" s="47" t="s">
        <v>81</v>
      </c>
      <c r="C298" s="48">
        <v>0</v>
      </c>
      <c r="D298" s="48">
        <v>0</v>
      </c>
      <c r="E298" s="47" t="s">
        <v>85</v>
      </c>
      <c r="F298" s="49" t="s">
        <v>103</v>
      </c>
      <c r="G298" s="49">
        <v>42656</v>
      </c>
      <c r="H298" s="49" t="s">
        <v>102</v>
      </c>
      <c r="I298" s="50" t="s">
        <v>44</v>
      </c>
      <c r="J298" s="19" t="str">
        <f>IF(Tabela2[[#This Row],[Gols M]]&lt;&gt;"",IF(Tabela2[[#This Row],[Gols M]]-Tabela2[[#This Row],[Gols V]]&gt;=0,IF(Tabela2[[#This Row],[Gols M]]-Tabela2[[#This Row],[Gols V]]&gt;0,"V","E"),"D"),"")</f>
        <v>E</v>
      </c>
      <c r="K298" s="19" t="str">
        <f>IF(Tabela2[[#This Row],[Gols M]]&lt;&gt;"",IF(Tabela2[[#This Row],[Gols V]]-Tabela2[[#This Row],[Gols M]]&gt;=0,IF(Tabela2[[#This Row],[Gols V]]-Tabela2[[#This Row],[Gols M]]&gt;0,"V","E"),"D"),"")</f>
        <v>E</v>
      </c>
      <c r="L298" s="19">
        <f>IF(OR('Por time'!E$2=Tabela2[[#This Row],[Mandante]], 'Por time'!E$2=Tabela2[[#This Row],[Visitante]]),1,0)</f>
        <v>0</v>
      </c>
      <c r="M298" s="25">
        <f>Tabela2[[#This Row],[Marcar time]]+M297</f>
        <v>30</v>
      </c>
      <c r="N298" s="25">
        <f>IMABS(Tabela2[[#This Row],[Gols M]]-Tabela2[[#This Row],[Gols V]])</f>
        <v>0</v>
      </c>
      <c r="O298" s="25">
        <f>Tabela2[[#This Row],[Gols M]]+Tabela2[[#This Row],[Gols V]]</f>
        <v>0</v>
      </c>
    </row>
    <row r="299" spans="1:15" x14ac:dyDescent="0.25">
      <c r="A299" s="19">
        <v>30</v>
      </c>
      <c r="B299" s="47" t="s">
        <v>88</v>
      </c>
      <c r="C299" s="48">
        <v>2</v>
      </c>
      <c r="D299" s="48">
        <v>0</v>
      </c>
      <c r="E299" s="47" t="s">
        <v>91</v>
      </c>
      <c r="F299" s="49" t="s">
        <v>103</v>
      </c>
      <c r="G299" s="49">
        <v>42656</v>
      </c>
      <c r="H299" s="49" t="s">
        <v>102</v>
      </c>
      <c r="I299" s="50" t="s">
        <v>5</v>
      </c>
      <c r="J299" s="19" t="str">
        <f>IF(Tabela2[[#This Row],[Gols M]]&lt;&gt;"",IF(Tabela2[[#This Row],[Gols M]]-Tabela2[[#This Row],[Gols V]]&gt;=0,IF(Tabela2[[#This Row],[Gols M]]-Tabela2[[#This Row],[Gols V]]&gt;0,"V","E"),"D"),"")</f>
        <v>V</v>
      </c>
      <c r="K299" s="19" t="str">
        <f>IF(Tabela2[[#This Row],[Gols M]]&lt;&gt;"",IF(Tabela2[[#This Row],[Gols V]]-Tabela2[[#This Row],[Gols M]]&gt;=0,IF(Tabela2[[#This Row],[Gols V]]-Tabela2[[#This Row],[Gols M]]&gt;0,"V","E"),"D"),"")</f>
        <v>D</v>
      </c>
      <c r="L299" s="19">
        <f>IF(OR('Por time'!E$2=Tabela2[[#This Row],[Mandante]], 'Por time'!E$2=Tabela2[[#This Row],[Visitante]]),1,0)</f>
        <v>0</v>
      </c>
      <c r="M299" s="25">
        <f>Tabela2[[#This Row],[Marcar time]]+M298</f>
        <v>30</v>
      </c>
      <c r="N299" s="25">
        <f>IMABS(Tabela2[[#This Row],[Gols M]]-Tabela2[[#This Row],[Gols V]])</f>
        <v>2</v>
      </c>
      <c r="O299" s="25">
        <f>Tabela2[[#This Row],[Gols M]]+Tabela2[[#This Row],[Gols V]]</f>
        <v>2</v>
      </c>
    </row>
    <row r="300" spans="1:15" x14ac:dyDescent="0.25">
      <c r="A300" s="19">
        <v>30</v>
      </c>
      <c r="B300" s="47" t="s">
        <v>92</v>
      </c>
      <c r="C300" s="48">
        <v>0</v>
      </c>
      <c r="D300" s="48">
        <v>1</v>
      </c>
      <c r="E300" s="47" t="s">
        <v>89</v>
      </c>
      <c r="F300" s="49" t="s">
        <v>103</v>
      </c>
      <c r="G300" s="49">
        <v>42656</v>
      </c>
      <c r="H300" s="49" t="s">
        <v>100</v>
      </c>
      <c r="I300" s="50" t="s">
        <v>7</v>
      </c>
      <c r="J300" s="19" t="str">
        <f>IF(Tabela2[[#This Row],[Gols M]]&lt;&gt;"",IF(Tabela2[[#This Row],[Gols M]]-Tabela2[[#This Row],[Gols V]]&gt;=0,IF(Tabela2[[#This Row],[Gols M]]-Tabela2[[#This Row],[Gols V]]&gt;0,"V","E"),"D"),"")</f>
        <v>D</v>
      </c>
      <c r="K300" s="19" t="str">
        <f>IF(Tabela2[[#This Row],[Gols M]]&lt;&gt;"",IF(Tabela2[[#This Row],[Gols V]]-Tabela2[[#This Row],[Gols M]]&gt;=0,IF(Tabela2[[#This Row],[Gols V]]-Tabela2[[#This Row],[Gols M]]&gt;0,"V","E"),"D"),"")</f>
        <v>V</v>
      </c>
      <c r="L300" s="19">
        <f>IF(OR('Por time'!E$2=Tabela2[[#This Row],[Mandante]], 'Por time'!E$2=Tabela2[[#This Row],[Visitante]]),1,0)</f>
        <v>0</v>
      </c>
      <c r="M300" s="25">
        <f>Tabela2[[#This Row],[Marcar time]]+M299</f>
        <v>30</v>
      </c>
      <c r="N300" s="25">
        <f>IMABS(Tabela2[[#This Row],[Gols M]]-Tabela2[[#This Row],[Gols V]])</f>
        <v>1</v>
      </c>
      <c r="O300" s="25">
        <f>Tabela2[[#This Row],[Gols M]]+Tabela2[[#This Row],[Gols V]]</f>
        <v>1</v>
      </c>
    </row>
    <row r="301" spans="1:15" x14ac:dyDescent="0.25">
      <c r="A301" s="19">
        <v>30</v>
      </c>
      <c r="B301" s="47" t="s">
        <v>82</v>
      </c>
      <c r="C301" s="48">
        <v>2</v>
      </c>
      <c r="D301" s="48">
        <v>4</v>
      </c>
      <c r="E301" s="47" t="s">
        <v>77</v>
      </c>
      <c r="F301" s="49" t="s">
        <v>101</v>
      </c>
      <c r="G301" s="49">
        <v>42655</v>
      </c>
      <c r="H301" s="49" t="s">
        <v>104</v>
      </c>
      <c r="I301" s="50" t="s">
        <v>43</v>
      </c>
      <c r="J301" s="19" t="str">
        <f>IF(Tabela2[[#This Row],[Gols M]]&lt;&gt;"",IF(Tabela2[[#This Row],[Gols M]]-Tabela2[[#This Row],[Gols V]]&gt;=0,IF(Tabela2[[#This Row],[Gols M]]-Tabela2[[#This Row],[Gols V]]&gt;0,"V","E"),"D"),"")</f>
        <v>D</v>
      </c>
      <c r="K301" s="19" t="str">
        <f>IF(Tabela2[[#This Row],[Gols M]]&lt;&gt;"",IF(Tabela2[[#This Row],[Gols V]]-Tabela2[[#This Row],[Gols M]]&gt;=0,IF(Tabela2[[#This Row],[Gols V]]-Tabela2[[#This Row],[Gols M]]&gt;0,"V","E"),"D"),"")</f>
        <v>V</v>
      </c>
      <c r="L301" s="19">
        <f>IF(OR('Por time'!E$2=Tabela2[[#This Row],[Mandante]], 'Por time'!E$2=Tabela2[[#This Row],[Visitante]]),1,0)</f>
        <v>0</v>
      </c>
      <c r="M301" s="25">
        <f>Tabela2[[#This Row],[Marcar time]]+M300</f>
        <v>30</v>
      </c>
      <c r="N301" s="25">
        <f>IMABS(Tabela2[[#This Row],[Gols M]]-Tabela2[[#This Row],[Gols V]])</f>
        <v>2</v>
      </c>
      <c r="O301" s="25">
        <f>Tabela2[[#This Row],[Gols M]]+Tabela2[[#This Row],[Gols V]]</f>
        <v>6</v>
      </c>
    </row>
    <row r="302" spans="1:15" x14ac:dyDescent="0.25">
      <c r="A302" s="19">
        <v>31</v>
      </c>
      <c r="B302" s="47" t="s">
        <v>74</v>
      </c>
      <c r="C302" s="48">
        <v>3</v>
      </c>
      <c r="D302" s="48">
        <v>2</v>
      </c>
      <c r="E302" s="47" t="s">
        <v>75</v>
      </c>
      <c r="F302" s="49" t="s">
        <v>95</v>
      </c>
      <c r="G302" s="49">
        <v>42659</v>
      </c>
      <c r="H302" s="49" t="s">
        <v>117</v>
      </c>
      <c r="I302" s="50" t="s">
        <v>14</v>
      </c>
      <c r="J302" s="19" t="str">
        <f>IF(Tabela2[[#This Row],[Gols M]]&lt;&gt;"",IF(Tabela2[[#This Row],[Gols M]]-Tabela2[[#This Row],[Gols V]]&gt;=0,IF(Tabela2[[#This Row],[Gols M]]-Tabela2[[#This Row],[Gols V]]&gt;0,"V","E"),"D"),"")</f>
        <v>V</v>
      </c>
      <c r="K302" s="19" t="str">
        <f>IF(Tabela2[[#This Row],[Gols M]]&lt;&gt;"",IF(Tabela2[[#This Row],[Gols V]]-Tabela2[[#This Row],[Gols M]]&gt;=0,IF(Tabela2[[#This Row],[Gols V]]-Tabela2[[#This Row],[Gols M]]&gt;0,"V","E"),"D"),"")</f>
        <v>D</v>
      </c>
      <c r="L302" s="19">
        <f>IF(OR('Por time'!E$2=Tabela2[[#This Row],[Mandante]], 'Por time'!E$2=Tabela2[[#This Row],[Visitante]]),1,0)</f>
        <v>0</v>
      </c>
      <c r="M302" s="25">
        <f>Tabela2[[#This Row],[Marcar time]]+M301</f>
        <v>30</v>
      </c>
      <c r="N302" s="25">
        <f>IMABS(Tabela2[[#This Row],[Gols M]]-Tabela2[[#This Row],[Gols V]])</f>
        <v>1</v>
      </c>
      <c r="O302" s="25">
        <f>Tabela2[[#This Row],[Gols M]]+Tabela2[[#This Row],[Gols V]]</f>
        <v>5</v>
      </c>
    </row>
    <row r="303" spans="1:15" x14ac:dyDescent="0.25">
      <c r="A303" s="19">
        <v>31</v>
      </c>
      <c r="B303" s="47" t="s">
        <v>83</v>
      </c>
      <c r="C303" s="48">
        <v>2</v>
      </c>
      <c r="D303" s="48">
        <v>0</v>
      </c>
      <c r="E303" s="47" t="s">
        <v>76</v>
      </c>
      <c r="F303" s="49" t="s">
        <v>95</v>
      </c>
      <c r="G303" s="49">
        <v>42659</v>
      </c>
      <c r="H303" s="49" t="s">
        <v>117</v>
      </c>
      <c r="I303" s="50" t="s">
        <v>42</v>
      </c>
      <c r="J303" s="19" t="str">
        <f>IF(Tabela2[[#This Row],[Gols M]]&lt;&gt;"",IF(Tabela2[[#This Row],[Gols M]]-Tabela2[[#This Row],[Gols V]]&gt;=0,IF(Tabela2[[#This Row],[Gols M]]-Tabela2[[#This Row],[Gols V]]&gt;0,"V","E"),"D"),"")</f>
        <v>V</v>
      </c>
      <c r="K303" s="19" t="str">
        <f>IF(Tabela2[[#This Row],[Gols M]]&lt;&gt;"",IF(Tabela2[[#This Row],[Gols V]]-Tabela2[[#This Row],[Gols M]]&gt;=0,IF(Tabela2[[#This Row],[Gols V]]-Tabela2[[#This Row],[Gols M]]&gt;0,"V","E"),"D"),"")</f>
        <v>D</v>
      </c>
      <c r="L303" s="19">
        <f>IF(OR('Por time'!E$2=Tabela2[[#This Row],[Mandante]], 'Por time'!E$2=Tabela2[[#This Row],[Visitante]]),1,0)</f>
        <v>1</v>
      </c>
      <c r="M303" s="25">
        <f>Tabela2[[#This Row],[Marcar time]]+M302</f>
        <v>31</v>
      </c>
      <c r="N303" s="25">
        <f>IMABS(Tabela2[[#This Row],[Gols M]]-Tabela2[[#This Row],[Gols V]])</f>
        <v>2</v>
      </c>
      <c r="O303" s="25">
        <f>Tabela2[[#This Row],[Gols M]]+Tabela2[[#This Row],[Gols V]]</f>
        <v>2</v>
      </c>
    </row>
    <row r="304" spans="1:15" x14ac:dyDescent="0.25">
      <c r="A304" s="19">
        <v>31</v>
      </c>
      <c r="B304" s="47" t="s">
        <v>77</v>
      </c>
      <c r="C304" s="48">
        <v>2</v>
      </c>
      <c r="D304" s="48">
        <v>0</v>
      </c>
      <c r="E304" s="47" t="s">
        <v>73</v>
      </c>
      <c r="F304" s="49" t="s">
        <v>95</v>
      </c>
      <c r="G304" s="49">
        <v>42659</v>
      </c>
      <c r="H304" s="49" t="s">
        <v>99</v>
      </c>
      <c r="I304" s="50" t="s">
        <v>18</v>
      </c>
      <c r="J304" s="19" t="str">
        <f>IF(Tabela2[[#This Row],[Gols M]]&lt;&gt;"",IF(Tabela2[[#This Row],[Gols M]]-Tabela2[[#This Row],[Gols V]]&gt;=0,IF(Tabela2[[#This Row],[Gols M]]-Tabela2[[#This Row],[Gols V]]&gt;0,"V","E"),"D"),"")</f>
        <v>V</v>
      </c>
      <c r="K304" s="19" t="str">
        <f>IF(Tabela2[[#This Row],[Gols M]]&lt;&gt;"",IF(Tabela2[[#This Row],[Gols V]]-Tabela2[[#This Row],[Gols M]]&gt;=0,IF(Tabela2[[#This Row],[Gols V]]-Tabela2[[#This Row],[Gols M]]&gt;0,"V","E"),"D"),"")</f>
        <v>D</v>
      </c>
      <c r="L304" s="19">
        <f>IF(OR('Por time'!E$2=Tabela2[[#This Row],[Mandante]], 'Por time'!E$2=Tabela2[[#This Row],[Visitante]]),1,0)</f>
        <v>0</v>
      </c>
      <c r="M304" s="25">
        <f>Tabela2[[#This Row],[Marcar time]]+M303</f>
        <v>31</v>
      </c>
      <c r="N304" s="25">
        <f>IMABS(Tabela2[[#This Row],[Gols M]]-Tabela2[[#This Row],[Gols V]])</f>
        <v>2</v>
      </c>
      <c r="O304" s="25">
        <f>Tabela2[[#This Row],[Gols M]]+Tabela2[[#This Row],[Gols V]]</f>
        <v>2</v>
      </c>
    </row>
    <row r="305" spans="1:15" x14ac:dyDescent="0.25">
      <c r="A305" s="19">
        <v>31</v>
      </c>
      <c r="B305" s="47" t="s">
        <v>85</v>
      </c>
      <c r="C305" s="48">
        <v>0</v>
      </c>
      <c r="D305" s="48">
        <v>0</v>
      </c>
      <c r="E305" s="47" t="s">
        <v>84</v>
      </c>
      <c r="F305" s="49" t="s">
        <v>95</v>
      </c>
      <c r="G305" s="49">
        <v>42659</v>
      </c>
      <c r="H305" s="49" t="s">
        <v>117</v>
      </c>
      <c r="I305" s="50" t="s">
        <v>2</v>
      </c>
      <c r="J305" s="19" t="str">
        <f>IF(Tabela2[[#This Row],[Gols M]]&lt;&gt;"",IF(Tabela2[[#This Row],[Gols M]]-Tabela2[[#This Row],[Gols V]]&gt;=0,IF(Tabela2[[#This Row],[Gols M]]-Tabela2[[#This Row],[Gols V]]&gt;0,"V","E"),"D"),"")</f>
        <v>E</v>
      </c>
      <c r="K305" s="19" t="str">
        <f>IF(Tabela2[[#This Row],[Gols M]]&lt;&gt;"",IF(Tabela2[[#This Row],[Gols V]]-Tabela2[[#This Row],[Gols M]]&gt;=0,IF(Tabela2[[#This Row],[Gols V]]-Tabela2[[#This Row],[Gols M]]&gt;0,"V","E"),"D"),"")</f>
        <v>E</v>
      </c>
      <c r="L305" s="19">
        <f>IF(OR('Por time'!E$2=Tabela2[[#This Row],[Mandante]], 'Por time'!E$2=Tabela2[[#This Row],[Visitante]]),1,0)</f>
        <v>0</v>
      </c>
      <c r="M305" s="25">
        <f>Tabela2[[#This Row],[Marcar time]]+M304</f>
        <v>31</v>
      </c>
      <c r="N305" s="25">
        <f>IMABS(Tabela2[[#This Row],[Gols M]]-Tabela2[[#This Row],[Gols V]])</f>
        <v>0</v>
      </c>
      <c r="O305" s="25">
        <f>Tabela2[[#This Row],[Gols M]]+Tabela2[[#This Row],[Gols V]]</f>
        <v>0</v>
      </c>
    </row>
    <row r="306" spans="1:15" x14ac:dyDescent="0.25">
      <c r="A306" s="19">
        <v>31</v>
      </c>
      <c r="B306" s="47" t="s">
        <v>78</v>
      </c>
      <c r="C306" s="48">
        <v>1</v>
      </c>
      <c r="D306" s="48">
        <v>2</v>
      </c>
      <c r="E306" s="47" t="s">
        <v>81</v>
      </c>
      <c r="F306" s="49" t="s">
        <v>95</v>
      </c>
      <c r="G306" s="49">
        <v>42659</v>
      </c>
      <c r="H306" s="49" t="s">
        <v>117</v>
      </c>
      <c r="I306" s="50" t="s">
        <v>33</v>
      </c>
      <c r="J306" s="19" t="str">
        <f>IF(Tabela2[[#This Row],[Gols M]]&lt;&gt;"",IF(Tabela2[[#This Row],[Gols M]]-Tabela2[[#This Row],[Gols V]]&gt;=0,IF(Tabela2[[#This Row],[Gols M]]-Tabela2[[#This Row],[Gols V]]&gt;0,"V","E"),"D"),"")</f>
        <v>D</v>
      </c>
      <c r="K306" s="19" t="str">
        <f>IF(Tabela2[[#This Row],[Gols M]]&lt;&gt;"",IF(Tabela2[[#This Row],[Gols V]]-Tabela2[[#This Row],[Gols M]]&gt;=0,IF(Tabela2[[#This Row],[Gols V]]-Tabela2[[#This Row],[Gols M]]&gt;0,"V","E"),"D"),"")</f>
        <v>V</v>
      </c>
      <c r="L306" s="19">
        <f>IF(OR('Por time'!E$2=Tabela2[[#This Row],[Mandante]], 'Por time'!E$2=Tabela2[[#This Row],[Visitante]]),1,0)</f>
        <v>0</v>
      </c>
      <c r="M306" s="25">
        <f>Tabela2[[#This Row],[Marcar time]]+M305</f>
        <v>31</v>
      </c>
      <c r="N306" s="25">
        <f>IMABS(Tabela2[[#This Row],[Gols M]]-Tabela2[[#This Row],[Gols V]])</f>
        <v>1</v>
      </c>
      <c r="O306" s="25">
        <f>Tabela2[[#This Row],[Gols M]]+Tabela2[[#This Row],[Gols V]]</f>
        <v>3</v>
      </c>
    </row>
    <row r="307" spans="1:15" x14ac:dyDescent="0.25">
      <c r="A307" s="19">
        <v>31</v>
      </c>
      <c r="B307" s="47" t="s">
        <v>86</v>
      </c>
      <c r="C307" s="48">
        <v>1</v>
      </c>
      <c r="D307" s="48">
        <v>2</v>
      </c>
      <c r="E307" s="47" t="s">
        <v>92</v>
      </c>
      <c r="F307" s="49" t="s">
        <v>113</v>
      </c>
      <c r="G307" s="49">
        <v>42660</v>
      </c>
      <c r="H307" s="49" t="s">
        <v>107</v>
      </c>
      <c r="I307" s="50" t="s">
        <v>3</v>
      </c>
      <c r="J307" s="19" t="str">
        <f>IF(Tabela2[[#This Row],[Gols M]]&lt;&gt;"",IF(Tabela2[[#This Row],[Gols M]]-Tabela2[[#This Row],[Gols V]]&gt;=0,IF(Tabela2[[#This Row],[Gols M]]-Tabela2[[#This Row],[Gols V]]&gt;0,"V","E"),"D"),"")</f>
        <v>D</v>
      </c>
      <c r="K307" s="19" t="str">
        <f>IF(Tabela2[[#This Row],[Gols M]]&lt;&gt;"",IF(Tabela2[[#This Row],[Gols V]]-Tabela2[[#This Row],[Gols M]]&gt;=0,IF(Tabela2[[#This Row],[Gols V]]-Tabela2[[#This Row],[Gols M]]&gt;0,"V","E"),"D"),"")</f>
        <v>V</v>
      </c>
      <c r="L307" s="19">
        <f>IF(OR('Por time'!E$2=Tabela2[[#This Row],[Mandante]], 'Por time'!E$2=Tabela2[[#This Row],[Visitante]]),1,0)</f>
        <v>0</v>
      </c>
      <c r="M307" s="25">
        <f>Tabela2[[#This Row],[Marcar time]]+M306</f>
        <v>31</v>
      </c>
      <c r="N307" s="25">
        <f>IMABS(Tabela2[[#This Row],[Gols M]]-Tabela2[[#This Row],[Gols V]])</f>
        <v>1</v>
      </c>
      <c r="O307" s="25">
        <f>Tabela2[[#This Row],[Gols M]]+Tabela2[[#This Row],[Gols V]]</f>
        <v>3</v>
      </c>
    </row>
    <row r="308" spans="1:15" x14ac:dyDescent="0.25">
      <c r="A308" s="19">
        <v>31</v>
      </c>
      <c r="B308" s="47" t="s">
        <v>80</v>
      </c>
      <c r="C308" s="48">
        <v>2</v>
      </c>
      <c r="D308" s="48">
        <v>1</v>
      </c>
      <c r="E308" s="47" t="s">
        <v>79</v>
      </c>
      <c r="F308" s="49" t="s">
        <v>95</v>
      </c>
      <c r="G308" s="49">
        <v>42659</v>
      </c>
      <c r="H308" s="49" t="s">
        <v>117</v>
      </c>
      <c r="I308" s="50" t="s">
        <v>27</v>
      </c>
      <c r="J308" s="19" t="str">
        <f>IF(Tabela2[[#This Row],[Gols M]]&lt;&gt;"",IF(Tabela2[[#This Row],[Gols M]]-Tabela2[[#This Row],[Gols V]]&gt;=0,IF(Tabela2[[#This Row],[Gols M]]-Tabela2[[#This Row],[Gols V]]&gt;0,"V","E"),"D"),"")</f>
        <v>V</v>
      </c>
      <c r="K308" s="19" t="str">
        <f>IF(Tabela2[[#This Row],[Gols M]]&lt;&gt;"",IF(Tabela2[[#This Row],[Gols V]]-Tabela2[[#This Row],[Gols M]]&gt;=0,IF(Tabela2[[#This Row],[Gols V]]-Tabela2[[#This Row],[Gols M]]&gt;0,"V","E"),"D"),"")</f>
        <v>D</v>
      </c>
      <c r="L308" s="19">
        <f>IF(OR('Por time'!E$2=Tabela2[[#This Row],[Mandante]], 'Por time'!E$2=Tabela2[[#This Row],[Visitante]]),1,0)</f>
        <v>0</v>
      </c>
      <c r="M308" s="25">
        <f>Tabela2[[#This Row],[Marcar time]]+M307</f>
        <v>31</v>
      </c>
      <c r="N308" s="25">
        <f>IMABS(Tabela2[[#This Row],[Gols M]]-Tabela2[[#This Row],[Gols V]])</f>
        <v>1</v>
      </c>
      <c r="O308" s="25">
        <f>Tabela2[[#This Row],[Gols M]]+Tabela2[[#This Row],[Gols V]]</f>
        <v>3</v>
      </c>
    </row>
    <row r="309" spans="1:15" x14ac:dyDescent="0.25">
      <c r="A309" s="19">
        <v>31</v>
      </c>
      <c r="B309" s="47" t="s">
        <v>88</v>
      </c>
      <c r="C309" s="48">
        <v>3</v>
      </c>
      <c r="D309" s="48">
        <v>0</v>
      </c>
      <c r="E309" s="47" t="s">
        <v>82</v>
      </c>
      <c r="F309" s="49" t="s">
        <v>95</v>
      </c>
      <c r="G309" s="49">
        <v>42659</v>
      </c>
      <c r="H309" s="49" t="s">
        <v>99</v>
      </c>
      <c r="I309" s="50" t="s">
        <v>5</v>
      </c>
      <c r="J309" s="19" t="str">
        <f>IF(Tabela2[[#This Row],[Gols M]]&lt;&gt;"",IF(Tabela2[[#This Row],[Gols M]]-Tabela2[[#This Row],[Gols V]]&gt;=0,IF(Tabela2[[#This Row],[Gols M]]-Tabela2[[#This Row],[Gols V]]&gt;0,"V","E"),"D"),"")</f>
        <v>V</v>
      </c>
      <c r="K309" s="19" t="str">
        <f>IF(Tabela2[[#This Row],[Gols M]]&lt;&gt;"",IF(Tabela2[[#This Row],[Gols V]]-Tabela2[[#This Row],[Gols M]]&gt;=0,IF(Tabela2[[#This Row],[Gols V]]-Tabela2[[#This Row],[Gols M]]&gt;0,"V","E"),"D"),"")</f>
        <v>D</v>
      </c>
      <c r="L309" s="19">
        <f>IF(OR('Por time'!E$2=Tabela2[[#This Row],[Mandante]], 'Por time'!E$2=Tabela2[[#This Row],[Visitante]]),1,0)</f>
        <v>0</v>
      </c>
      <c r="M309" s="25">
        <f>Tabela2[[#This Row],[Marcar time]]+M308</f>
        <v>31</v>
      </c>
      <c r="N309" s="25">
        <f>IMABS(Tabela2[[#This Row],[Gols M]]-Tabela2[[#This Row],[Gols V]])</f>
        <v>3</v>
      </c>
      <c r="O309" s="25">
        <f>Tabela2[[#This Row],[Gols M]]+Tabela2[[#This Row],[Gols V]]</f>
        <v>3</v>
      </c>
    </row>
    <row r="310" spans="1:15" x14ac:dyDescent="0.25">
      <c r="A310" s="19">
        <v>31</v>
      </c>
      <c r="B310" s="47" t="s">
        <v>89</v>
      </c>
      <c r="C310" s="48">
        <v>1</v>
      </c>
      <c r="D310" s="48">
        <v>1</v>
      </c>
      <c r="E310" s="47" t="s">
        <v>87</v>
      </c>
      <c r="F310" s="49" t="s">
        <v>95</v>
      </c>
      <c r="G310" s="49">
        <v>42659</v>
      </c>
      <c r="H310" s="49" t="s">
        <v>102</v>
      </c>
      <c r="I310" s="50" t="s">
        <v>6</v>
      </c>
      <c r="J310" s="19" t="str">
        <f>IF(Tabela2[[#This Row],[Gols M]]&lt;&gt;"",IF(Tabela2[[#This Row],[Gols M]]-Tabela2[[#This Row],[Gols V]]&gt;=0,IF(Tabela2[[#This Row],[Gols M]]-Tabela2[[#This Row],[Gols V]]&gt;0,"V","E"),"D"),"")</f>
        <v>E</v>
      </c>
      <c r="K310" s="19" t="str">
        <f>IF(Tabela2[[#This Row],[Gols M]]&lt;&gt;"",IF(Tabela2[[#This Row],[Gols V]]-Tabela2[[#This Row],[Gols M]]&gt;=0,IF(Tabela2[[#This Row],[Gols V]]-Tabela2[[#This Row],[Gols M]]&gt;0,"V","E"),"D"),"")</f>
        <v>E</v>
      </c>
      <c r="L310" s="19">
        <f>IF(OR('Por time'!E$2=Tabela2[[#This Row],[Mandante]], 'Por time'!E$2=Tabela2[[#This Row],[Visitante]]),1,0)</f>
        <v>0</v>
      </c>
      <c r="M310" s="25">
        <f>Tabela2[[#This Row],[Marcar time]]+M309</f>
        <v>31</v>
      </c>
      <c r="N310" s="25">
        <f>IMABS(Tabela2[[#This Row],[Gols M]]-Tabela2[[#This Row],[Gols V]])</f>
        <v>0</v>
      </c>
      <c r="O310" s="25">
        <f>Tabela2[[#This Row],[Gols M]]+Tabela2[[#This Row],[Gols V]]</f>
        <v>2</v>
      </c>
    </row>
    <row r="311" spans="1:15" x14ac:dyDescent="0.25">
      <c r="A311" s="19">
        <v>31</v>
      </c>
      <c r="B311" s="47" t="s">
        <v>90</v>
      </c>
      <c r="C311" s="48">
        <v>1</v>
      </c>
      <c r="D311" s="48">
        <v>0</v>
      </c>
      <c r="E311" s="47" t="s">
        <v>91</v>
      </c>
      <c r="F311" s="49" t="s">
        <v>95</v>
      </c>
      <c r="G311" s="49">
        <v>42659</v>
      </c>
      <c r="H311" s="49" t="s">
        <v>102</v>
      </c>
      <c r="I311" s="50" t="s">
        <v>8</v>
      </c>
      <c r="J311" s="19" t="str">
        <f>IF(Tabela2[[#This Row],[Gols M]]&lt;&gt;"",IF(Tabela2[[#This Row],[Gols M]]-Tabela2[[#This Row],[Gols V]]&gt;=0,IF(Tabela2[[#This Row],[Gols M]]-Tabela2[[#This Row],[Gols V]]&gt;0,"V","E"),"D"),"")</f>
        <v>V</v>
      </c>
      <c r="K311" s="19" t="str">
        <f>IF(Tabela2[[#This Row],[Gols M]]&lt;&gt;"",IF(Tabela2[[#This Row],[Gols V]]-Tabela2[[#This Row],[Gols M]]&gt;=0,IF(Tabela2[[#This Row],[Gols V]]-Tabela2[[#This Row],[Gols M]]&gt;0,"V","E"),"D"),"")</f>
        <v>D</v>
      </c>
      <c r="L311" s="19">
        <f>IF(OR('Por time'!E$2=Tabela2[[#This Row],[Mandante]], 'Por time'!E$2=Tabela2[[#This Row],[Visitante]]),1,0)</f>
        <v>0</v>
      </c>
      <c r="M311" s="25">
        <f>Tabela2[[#This Row],[Marcar time]]+M310</f>
        <v>31</v>
      </c>
      <c r="N311" s="25">
        <f>IMABS(Tabela2[[#This Row],[Gols M]]-Tabela2[[#This Row],[Gols V]])</f>
        <v>1</v>
      </c>
      <c r="O311" s="25">
        <f>Tabela2[[#This Row],[Gols M]]+Tabela2[[#This Row],[Gols V]]</f>
        <v>1</v>
      </c>
    </row>
    <row r="312" spans="1:15" x14ac:dyDescent="0.25">
      <c r="A312" s="19">
        <v>32</v>
      </c>
      <c r="B312" s="47" t="s">
        <v>73</v>
      </c>
      <c r="C312" s="48">
        <v>1</v>
      </c>
      <c r="D312" s="48">
        <v>0</v>
      </c>
      <c r="E312" s="47" t="s">
        <v>83</v>
      </c>
      <c r="F312" s="49" t="s">
        <v>113</v>
      </c>
      <c r="G312" s="49">
        <v>42667</v>
      </c>
      <c r="H312" s="49" t="s">
        <v>107</v>
      </c>
      <c r="I312" s="50" t="s">
        <v>11</v>
      </c>
      <c r="J312" s="19" t="str">
        <f>IF(Tabela2[[#This Row],[Gols M]]&lt;&gt;"",IF(Tabela2[[#This Row],[Gols M]]-Tabela2[[#This Row],[Gols V]]&gt;=0,IF(Tabela2[[#This Row],[Gols M]]-Tabela2[[#This Row],[Gols V]]&gt;0,"V","E"),"D"),"")</f>
        <v>V</v>
      </c>
      <c r="K312" s="19" t="str">
        <f>IF(Tabela2[[#This Row],[Gols M]]&lt;&gt;"",IF(Tabela2[[#This Row],[Gols V]]-Tabela2[[#This Row],[Gols M]]&gt;=0,IF(Tabela2[[#This Row],[Gols V]]-Tabela2[[#This Row],[Gols M]]&gt;0,"V","E"),"D"),"")</f>
        <v>D</v>
      </c>
      <c r="L312" s="19">
        <f>IF(OR('Por time'!E$2=Tabela2[[#This Row],[Mandante]], 'Por time'!E$2=Tabela2[[#This Row],[Visitante]]),1,0)</f>
        <v>1</v>
      </c>
      <c r="M312" s="25">
        <f>Tabela2[[#This Row],[Marcar time]]+M311</f>
        <v>32</v>
      </c>
      <c r="N312" s="25">
        <f>IMABS(Tabela2[[#This Row],[Gols M]]-Tabela2[[#This Row],[Gols V]])</f>
        <v>1</v>
      </c>
      <c r="O312" s="25">
        <f>Tabela2[[#This Row],[Gols M]]+Tabela2[[#This Row],[Gols V]]</f>
        <v>1</v>
      </c>
    </row>
    <row r="313" spans="1:15" x14ac:dyDescent="0.25">
      <c r="A313" s="19">
        <v>32</v>
      </c>
      <c r="B313" s="47" t="s">
        <v>75</v>
      </c>
      <c r="C313" s="48">
        <v>3</v>
      </c>
      <c r="D313" s="48">
        <v>0</v>
      </c>
      <c r="E313" s="47" t="s">
        <v>78</v>
      </c>
      <c r="F313" s="49" t="s">
        <v>95</v>
      </c>
      <c r="G313" s="49">
        <v>42666</v>
      </c>
      <c r="H313" s="49" t="s">
        <v>102</v>
      </c>
      <c r="I313" s="50" t="s">
        <v>11</v>
      </c>
      <c r="J313" s="19" t="str">
        <f>IF(Tabela2[[#This Row],[Gols M]]&lt;&gt;"",IF(Tabela2[[#This Row],[Gols M]]-Tabela2[[#This Row],[Gols V]]&gt;=0,IF(Tabela2[[#This Row],[Gols M]]-Tabela2[[#This Row],[Gols V]]&gt;0,"V","E"),"D"),"")</f>
        <v>V</v>
      </c>
      <c r="K313" s="19" t="str">
        <f>IF(Tabela2[[#This Row],[Gols M]]&lt;&gt;"",IF(Tabela2[[#This Row],[Gols V]]-Tabela2[[#This Row],[Gols M]]&gt;=0,IF(Tabela2[[#This Row],[Gols V]]-Tabela2[[#This Row],[Gols M]]&gt;0,"V","E"),"D"),"")</f>
        <v>D</v>
      </c>
      <c r="L313" s="19">
        <f>IF(OR('Por time'!E$2=Tabela2[[#This Row],[Mandante]], 'Por time'!E$2=Tabela2[[#This Row],[Visitante]]),1,0)</f>
        <v>0</v>
      </c>
      <c r="M313" s="25">
        <f>Tabela2[[#This Row],[Marcar time]]+M312</f>
        <v>32</v>
      </c>
      <c r="N313" s="25">
        <f>IMABS(Tabela2[[#This Row],[Gols M]]-Tabela2[[#This Row],[Gols V]])</f>
        <v>3</v>
      </c>
      <c r="O313" s="25">
        <f>Tabela2[[#This Row],[Gols M]]+Tabela2[[#This Row],[Gols V]]</f>
        <v>3</v>
      </c>
    </row>
    <row r="314" spans="1:15" x14ac:dyDescent="0.25">
      <c r="A314" s="19">
        <v>32</v>
      </c>
      <c r="B314" s="47" t="s">
        <v>76</v>
      </c>
      <c r="C314" s="48">
        <v>1</v>
      </c>
      <c r="D314" s="48">
        <v>1</v>
      </c>
      <c r="E314" s="47" t="s">
        <v>86</v>
      </c>
      <c r="F314" s="49" t="s">
        <v>95</v>
      </c>
      <c r="G314" s="49">
        <v>42666</v>
      </c>
      <c r="H314" s="49" t="s">
        <v>99</v>
      </c>
      <c r="I314" s="50" t="s">
        <v>40</v>
      </c>
      <c r="J314" s="19" t="str">
        <f>IF(Tabela2[[#This Row],[Gols M]]&lt;&gt;"",IF(Tabela2[[#This Row],[Gols M]]-Tabela2[[#This Row],[Gols V]]&gt;=0,IF(Tabela2[[#This Row],[Gols M]]-Tabela2[[#This Row],[Gols V]]&gt;0,"V","E"),"D"),"")</f>
        <v>E</v>
      </c>
      <c r="K314" s="19" t="str">
        <f>IF(Tabela2[[#This Row],[Gols M]]&lt;&gt;"",IF(Tabela2[[#This Row],[Gols V]]-Tabela2[[#This Row],[Gols M]]&gt;=0,IF(Tabela2[[#This Row],[Gols V]]-Tabela2[[#This Row],[Gols M]]&gt;0,"V","E"),"D"),"")</f>
        <v>E</v>
      </c>
      <c r="L314" s="19">
        <f>IF(OR('Por time'!E$2=Tabela2[[#This Row],[Mandante]], 'Por time'!E$2=Tabela2[[#This Row],[Visitante]]),1,0)</f>
        <v>0</v>
      </c>
      <c r="M314" s="25">
        <f>Tabela2[[#This Row],[Marcar time]]+M313</f>
        <v>32</v>
      </c>
      <c r="N314" s="25">
        <f>IMABS(Tabela2[[#This Row],[Gols M]]-Tabela2[[#This Row],[Gols V]])</f>
        <v>0</v>
      </c>
      <c r="O314" s="25">
        <f>Tabela2[[#This Row],[Gols M]]+Tabela2[[#This Row],[Gols V]]</f>
        <v>2</v>
      </c>
    </row>
    <row r="315" spans="1:15" x14ac:dyDescent="0.25">
      <c r="A315" s="19">
        <v>32</v>
      </c>
      <c r="B315" s="47" t="s">
        <v>84</v>
      </c>
      <c r="C315" s="48">
        <v>0</v>
      </c>
      <c r="D315" s="48">
        <v>1</v>
      </c>
      <c r="E315" s="47" t="s">
        <v>89</v>
      </c>
      <c r="F315" s="49" t="s">
        <v>95</v>
      </c>
      <c r="G315" s="49">
        <v>42666</v>
      </c>
      <c r="H315" s="49" t="s">
        <v>102</v>
      </c>
      <c r="I315" s="50" t="s">
        <v>1</v>
      </c>
      <c r="J315" s="19" t="str">
        <f>IF(Tabela2[[#This Row],[Gols M]]&lt;&gt;"",IF(Tabela2[[#This Row],[Gols M]]-Tabela2[[#This Row],[Gols V]]&gt;=0,IF(Tabela2[[#This Row],[Gols M]]-Tabela2[[#This Row],[Gols V]]&gt;0,"V","E"),"D"),"")</f>
        <v>D</v>
      </c>
      <c r="K315" s="19" t="str">
        <f>IF(Tabela2[[#This Row],[Gols M]]&lt;&gt;"",IF(Tabela2[[#This Row],[Gols V]]-Tabela2[[#This Row],[Gols M]]&gt;=0,IF(Tabela2[[#This Row],[Gols V]]-Tabela2[[#This Row],[Gols M]]&gt;0,"V","E"),"D"),"")</f>
        <v>V</v>
      </c>
      <c r="L315" s="19">
        <f>IF(OR('Por time'!E$2=Tabela2[[#This Row],[Mandante]], 'Por time'!E$2=Tabela2[[#This Row],[Visitante]]),1,0)</f>
        <v>0</v>
      </c>
      <c r="M315" s="25">
        <f>Tabela2[[#This Row],[Marcar time]]+M314</f>
        <v>32</v>
      </c>
      <c r="N315" s="25">
        <f>IMABS(Tabela2[[#This Row],[Gols M]]-Tabela2[[#This Row],[Gols V]])</f>
        <v>1</v>
      </c>
      <c r="O315" s="25">
        <f>Tabela2[[#This Row],[Gols M]]+Tabela2[[#This Row],[Gols V]]</f>
        <v>1</v>
      </c>
    </row>
    <row r="316" spans="1:15" x14ac:dyDescent="0.25">
      <c r="A316" s="19">
        <v>32</v>
      </c>
      <c r="B316" s="47" t="s">
        <v>79</v>
      </c>
      <c r="C316" s="48">
        <v>2</v>
      </c>
      <c r="D316" s="48">
        <v>2</v>
      </c>
      <c r="E316" s="47" t="s">
        <v>77</v>
      </c>
      <c r="F316" s="49" t="s">
        <v>95</v>
      </c>
      <c r="G316" s="49">
        <v>42666</v>
      </c>
      <c r="H316" s="49" t="s">
        <v>117</v>
      </c>
      <c r="I316" s="50" t="s">
        <v>23</v>
      </c>
      <c r="J316" s="19" t="str">
        <f>IF(Tabela2[[#This Row],[Gols M]]&lt;&gt;"",IF(Tabela2[[#This Row],[Gols M]]-Tabela2[[#This Row],[Gols V]]&gt;=0,IF(Tabela2[[#This Row],[Gols M]]-Tabela2[[#This Row],[Gols V]]&gt;0,"V","E"),"D"),"")</f>
        <v>E</v>
      </c>
      <c r="K316" s="19" t="str">
        <f>IF(Tabela2[[#This Row],[Gols M]]&lt;&gt;"",IF(Tabela2[[#This Row],[Gols V]]-Tabela2[[#This Row],[Gols M]]&gt;=0,IF(Tabela2[[#This Row],[Gols V]]-Tabela2[[#This Row],[Gols M]]&gt;0,"V","E"),"D"),"")</f>
        <v>E</v>
      </c>
      <c r="L316" s="19">
        <f>IF(OR('Por time'!E$2=Tabela2[[#This Row],[Mandante]], 'Por time'!E$2=Tabela2[[#This Row],[Visitante]]),1,0)</f>
        <v>0</v>
      </c>
      <c r="M316" s="25">
        <f>Tabela2[[#This Row],[Marcar time]]+M315</f>
        <v>32</v>
      </c>
      <c r="N316" s="25">
        <f>IMABS(Tabela2[[#This Row],[Gols M]]-Tabela2[[#This Row],[Gols V]])</f>
        <v>0</v>
      </c>
      <c r="O316" s="25">
        <f>Tabela2[[#This Row],[Gols M]]+Tabela2[[#This Row],[Gols V]]</f>
        <v>4</v>
      </c>
    </row>
    <row r="317" spans="1:15" x14ac:dyDescent="0.25">
      <c r="A317" s="19">
        <v>32</v>
      </c>
      <c r="B317" s="47" t="s">
        <v>87</v>
      </c>
      <c r="C317" s="48">
        <v>0</v>
      </c>
      <c r="D317" s="48">
        <v>0</v>
      </c>
      <c r="E317" s="47" t="s">
        <v>80</v>
      </c>
      <c r="F317" s="49" t="s">
        <v>95</v>
      </c>
      <c r="G317" s="49">
        <v>42666</v>
      </c>
      <c r="H317" s="49" t="s">
        <v>117</v>
      </c>
      <c r="I317" s="50" t="s">
        <v>4</v>
      </c>
      <c r="J317" s="19" t="str">
        <f>IF(Tabela2[[#This Row],[Gols M]]&lt;&gt;"",IF(Tabela2[[#This Row],[Gols M]]-Tabela2[[#This Row],[Gols V]]&gt;=0,IF(Tabela2[[#This Row],[Gols M]]-Tabela2[[#This Row],[Gols V]]&gt;0,"V","E"),"D"),"")</f>
        <v>E</v>
      </c>
      <c r="K317" s="19" t="str">
        <f>IF(Tabela2[[#This Row],[Gols M]]&lt;&gt;"",IF(Tabela2[[#This Row],[Gols V]]-Tabela2[[#This Row],[Gols M]]&gt;=0,IF(Tabela2[[#This Row],[Gols V]]-Tabela2[[#This Row],[Gols M]]&gt;0,"V","E"),"D"),"")</f>
        <v>E</v>
      </c>
      <c r="L317" s="19">
        <f>IF(OR('Por time'!E$2=Tabela2[[#This Row],[Mandante]], 'Por time'!E$2=Tabela2[[#This Row],[Visitante]]),1,0)</f>
        <v>0</v>
      </c>
      <c r="M317" s="25">
        <f>Tabela2[[#This Row],[Marcar time]]+M316</f>
        <v>32</v>
      </c>
      <c r="N317" s="25">
        <f>IMABS(Tabela2[[#This Row],[Gols M]]-Tabela2[[#This Row],[Gols V]])</f>
        <v>0</v>
      </c>
      <c r="O317" s="25">
        <f>Tabela2[[#This Row],[Gols M]]+Tabela2[[#This Row],[Gols V]]</f>
        <v>0</v>
      </c>
    </row>
    <row r="318" spans="1:15" x14ac:dyDescent="0.25">
      <c r="A318" s="19">
        <v>32</v>
      </c>
      <c r="B318" s="47" t="s">
        <v>81</v>
      </c>
      <c r="C318" s="48">
        <v>2</v>
      </c>
      <c r="D318" s="48">
        <v>1</v>
      </c>
      <c r="E318" s="47" t="s">
        <v>90</v>
      </c>
      <c r="F318" s="49" t="s">
        <v>95</v>
      </c>
      <c r="G318" s="49">
        <v>42666</v>
      </c>
      <c r="H318" s="49" t="s">
        <v>117</v>
      </c>
      <c r="I318" s="50" t="s">
        <v>30</v>
      </c>
      <c r="J318" s="19" t="str">
        <f>IF(Tabela2[[#This Row],[Gols M]]&lt;&gt;"",IF(Tabela2[[#This Row],[Gols M]]-Tabela2[[#This Row],[Gols V]]&gt;=0,IF(Tabela2[[#This Row],[Gols M]]-Tabela2[[#This Row],[Gols V]]&gt;0,"V","E"),"D"),"")</f>
        <v>V</v>
      </c>
      <c r="K318" s="19" t="str">
        <f>IF(Tabela2[[#This Row],[Gols M]]&lt;&gt;"",IF(Tabela2[[#This Row],[Gols V]]-Tabela2[[#This Row],[Gols M]]&gt;=0,IF(Tabela2[[#This Row],[Gols V]]-Tabela2[[#This Row],[Gols M]]&gt;0,"V","E"),"D"),"")</f>
        <v>D</v>
      </c>
      <c r="L318" s="19">
        <f>IF(OR('Por time'!E$2=Tabela2[[#This Row],[Mandante]], 'Por time'!E$2=Tabela2[[#This Row],[Visitante]]),1,0)</f>
        <v>0</v>
      </c>
      <c r="M318" s="25">
        <f>Tabela2[[#This Row],[Marcar time]]+M317</f>
        <v>32</v>
      </c>
      <c r="N318" s="25">
        <f>IMABS(Tabela2[[#This Row],[Gols M]]-Tabela2[[#This Row],[Gols V]])</f>
        <v>1</v>
      </c>
      <c r="O318" s="25">
        <f>Tabela2[[#This Row],[Gols M]]+Tabela2[[#This Row],[Gols V]]</f>
        <v>3</v>
      </c>
    </row>
    <row r="319" spans="1:15" x14ac:dyDescent="0.25">
      <c r="A319" s="19">
        <v>32</v>
      </c>
      <c r="B319" s="47" t="s">
        <v>92</v>
      </c>
      <c r="C319" s="48">
        <v>2</v>
      </c>
      <c r="D319" s="48">
        <v>0</v>
      </c>
      <c r="E319" s="47" t="s">
        <v>88</v>
      </c>
      <c r="F319" s="49" t="s">
        <v>98</v>
      </c>
      <c r="G319" s="49">
        <v>42665</v>
      </c>
      <c r="H319" s="49" t="s">
        <v>117</v>
      </c>
      <c r="I319" s="50" t="s">
        <v>41</v>
      </c>
      <c r="J319" s="19" t="str">
        <f>IF(Tabela2[[#This Row],[Gols M]]&lt;&gt;"",IF(Tabela2[[#This Row],[Gols M]]-Tabela2[[#This Row],[Gols V]]&gt;=0,IF(Tabela2[[#This Row],[Gols M]]-Tabela2[[#This Row],[Gols V]]&gt;0,"V","E"),"D"),"")</f>
        <v>V</v>
      </c>
      <c r="K319" s="19" t="str">
        <f>IF(Tabela2[[#This Row],[Gols M]]&lt;&gt;"",IF(Tabela2[[#This Row],[Gols V]]-Tabela2[[#This Row],[Gols M]]&gt;=0,IF(Tabela2[[#This Row],[Gols V]]-Tabela2[[#This Row],[Gols M]]&gt;0,"V","E"),"D"),"")</f>
        <v>D</v>
      </c>
      <c r="L319" s="19">
        <f>IF(OR('Por time'!E$2=Tabela2[[#This Row],[Mandante]], 'Por time'!E$2=Tabela2[[#This Row],[Visitante]]),1,0)</f>
        <v>0</v>
      </c>
      <c r="M319" s="25">
        <f>Tabela2[[#This Row],[Marcar time]]+M318</f>
        <v>32</v>
      </c>
      <c r="N319" s="25">
        <f>IMABS(Tabela2[[#This Row],[Gols M]]-Tabela2[[#This Row],[Gols V]])</f>
        <v>2</v>
      </c>
      <c r="O319" s="25">
        <f>Tabela2[[#This Row],[Gols M]]+Tabela2[[#This Row],[Gols V]]</f>
        <v>2</v>
      </c>
    </row>
    <row r="320" spans="1:15" x14ac:dyDescent="0.25">
      <c r="A320" s="19">
        <v>32</v>
      </c>
      <c r="B320" s="47" t="s">
        <v>82</v>
      </c>
      <c r="C320" s="48">
        <v>0</v>
      </c>
      <c r="D320" s="48">
        <v>1</v>
      </c>
      <c r="E320" s="47" t="s">
        <v>74</v>
      </c>
      <c r="F320" s="49" t="s">
        <v>101</v>
      </c>
      <c r="G320" s="49">
        <v>42662</v>
      </c>
      <c r="H320" s="49" t="s">
        <v>104</v>
      </c>
      <c r="I320" s="50" t="s">
        <v>36</v>
      </c>
      <c r="J320" s="19" t="str">
        <f>IF(Tabela2[[#This Row],[Gols M]]&lt;&gt;"",IF(Tabela2[[#This Row],[Gols M]]-Tabela2[[#This Row],[Gols V]]&gt;=0,IF(Tabela2[[#This Row],[Gols M]]-Tabela2[[#This Row],[Gols V]]&gt;0,"V","E"),"D"),"")</f>
        <v>D</v>
      </c>
      <c r="K320" s="19" t="str">
        <f>IF(Tabela2[[#This Row],[Gols M]]&lt;&gt;"",IF(Tabela2[[#This Row],[Gols V]]-Tabela2[[#This Row],[Gols M]]&gt;=0,IF(Tabela2[[#This Row],[Gols V]]-Tabela2[[#This Row],[Gols M]]&gt;0,"V","E"),"D"),"")</f>
        <v>V</v>
      </c>
      <c r="L320" s="19">
        <f>IF(OR('Por time'!E$2=Tabela2[[#This Row],[Mandante]], 'Por time'!E$2=Tabela2[[#This Row],[Visitante]]),1,0)</f>
        <v>0</v>
      </c>
      <c r="M320" s="25">
        <f>Tabela2[[#This Row],[Marcar time]]+M319</f>
        <v>32</v>
      </c>
      <c r="N320" s="25">
        <f>IMABS(Tabela2[[#This Row],[Gols M]]-Tabela2[[#This Row],[Gols V]])</f>
        <v>1</v>
      </c>
      <c r="O320" s="25">
        <f>Tabela2[[#This Row],[Gols M]]+Tabela2[[#This Row],[Gols V]]</f>
        <v>1</v>
      </c>
    </row>
    <row r="321" spans="1:15" x14ac:dyDescent="0.25">
      <c r="A321" s="19">
        <v>32</v>
      </c>
      <c r="B321" s="47" t="s">
        <v>91</v>
      </c>
      <c r="C321" s="48">
        <v>0</v>
      </c>
      <c r="D321" s="48">
        <v>1</v>
      </c>
      <c r="E321" s="47" t="s">
        <v>85</v>
      </c>
      <c r="F321" s="49" t="s">
        <v>95</v>
      </c>
      <c r="G321" s="49">
        <v>42666</v>
      </c>
      <c r="H321" s="49" t="s">
        <v>117</v>
      </c>
      <c r="I321" s="50" t="s">
        <v>9</v>
      </c>
      <c r="J321" s="19" t="str">
        <f>IF(Tabela2[[#This Row],[Gols M]]&lt;&gt;"",IF(Tabela2[[#This Row],[Gols M]]-Tabela2[[#This Row],[Gols V]]&gt;=0,IF(Tabela2[[#This Row],[Gols M]]-Tabela2[[#This Row],[Gols V]]&gt;0,"V","E"),"D"),"")</f>
        <v>D</v>
      </c>
      <c r="K321" s="19" t="str">
        <f>IF(Tabela2[[#This Row],[Gols M]]&lt;&gt;"",IF(Tabela2[[#This Row],[Gols V]]-Tabela2[[#This Row],[Gols M]]&gt;=0,IF(Tabela2[[#This Row],[Gols V]]-Tabela2[[#This Row],[Gols M]]&gt;0,"V","E"),"D"),"")</f>
        <v>V</v>
      </c>
      <c r="L321" s="19">
        <f>IF(OR('Por time'!E$2=Tabela2[[#This Row],[Mandante]], 'Por time'!E$2=Tabela2[[#This Row],[Visitante]]),1,0)</f>
        <v>0</v>
      </c>
      <c r="M321" s="25">
        <f>Tabela2[[#This Row],[Marcar time]]+M320</f>
        <v>32</v>
      </c>
      <c r="N321" s="25">
        <f>IMABS(Tabela2[[#This Row],[Gols M]]-Tabela2[[#This Row],[Gols V]])</f>
        <v>1</v>
      </c>
      <c r="O321" s="25">
        <f>Tabela2[[#This Row],[Gols M]]+Tabela2[[#This Row],[Gols V]]</f>
        <v>1</v>
      </c>
    </row>
    <row r="322" spans="1:15" x14ac:dyDescent="0.25">
      <c r="A322" s="19">
        <v>33</v>
      </c>
      <c r="B322" s="47" t="s">
        <v>73</v>
      </c>
      <c r="C322" s="48">
        <v>1</v>
      </c>
      <c r="D322" s="48">
        <v>0</v>
      </c>
      <c r="E322" s="47" t="s">
        <v>92</v>
      </c>
      <c r="F322" s="49" t="s">
        <v>113</v>
      </c>
      <c r="G322" s="49">
        <v>42674</v>
      </c>
      <c r="H322" s="49" t="s">
        <v>107</v>
      </c>
      <c r="I322" s="50" t="s">
        <v>11</v>
      </c>
      <c r="J322" s="19" t="str">
        <f>IF(Tabela2[[#This Row],[Gols M]]&lt;&gt;"",IF(Tabela2[[#This Row],[Gols M]]-Tabela2[[#This Row],[Gols V]]&gt;=0,IF(Tabela2[[#This Row],[Gols M]]-Tabela2[[#This Row],[Gols V]]&gt;0,"V","E"),"D"),"")</f>
        <v>V</v>
      </c>
      <c r="K322" s="19" t="str">
        <f>IF(Tabela2[[#This Row],[Gols M]]&lt;&gt;"",IF(Tabela2[[#This Row],[Gols V]]-Tabela2[[#This Row],[Gols M]]&gt;=0,IF(Tabela2[[#This Row],[Gols V]]-Tabela2[[#This Row],[Gols M]]&gt;0,"V","E"),"D"),"")</f>
        <v>D</v>
      </c>
      <c r="L322" s="19">
        <f>IF(OR('Por time'!E$2=Tabela2[[#This Row],[Mandante]], 'Por time'!E$2=Tabela2[[#This Row],[Visitante]]),1,0)</f>
        <v>0</v>
      </c>
      <c r="M322" s="25">
        <f>Tabela2[[#This Row],[Marcar time]]+M321</f>
        <v>32</v>
      </c>
      <c r="N322" s="25">
        <f>IMABS(Tabela2[[#This Row],[Gols M]]-Tabela2[[#This Row],[Gols V]])</f>
        <v>1</v>
      </c>
      <c r="O322" s="25">
        <f>Tabela2[[#This Row],[Gols M]]+Tabela2[[#This Row],[Gols V]]</f>
        <v>1</v>
      </c>
    </row>
    <row r="323" spans="1:15" x14ac:dyDescent="0.25">
      <c r="A323" s="19">
        <v>33</v>
      </c>
      <c r="B323" s="47" t="s">
        <v>74</v>
      </c>
      <c r="C323" s="48">
        <v>0</v>
      </c>
      <c r="D323" s="48">
        <v>0</v>
      </c>
      <c r="E323" s="47" t="s">
        <v>76</v>
      </c>
      <c r="F323" s="49" t="s">
        <v>98</v>
      </c>
      <c r="G323" s="49">
        <v>42672</v>
      </c>
      <c r="H323" s="49" t="s">
        <v>99</v>
      </c>
      <c r="I323" s="50" t="s">
        <v>14</v>
      </c>
      <c r="J323" s="19" t="str">
        <f>IF(Tabela2[[#This Row],[Gols M]]&lt;&gt;"",IF(Tabela2[[#This Row],[Gols M]]-Tabela2[[#This Row],[Gols V]]&gt;=0,IF(Tabela2[[#This Row],[Gols M]]-Tabela2[[#This Row],[Gols V]]&gt;0,"V","E"),"D"),"")</f>
        <v>E</v>
      </c>
      <c r="K323" s="19" t="str">
        <f>IF(Tabela2[[#This Row],[Gols M]]&lt;&gt;"",IF(Tabela2[[#This Row],[Gols V]]-Tabela2[[#This Row],[Gols M]]&gt;=0,IF(Tabela2[[#This Row],[Gols V]]-Tabela2[[#This Row],[Gols M]]&gt;0,"V","E"),"D"),"")</f>
        <v>E</v>
      </c>
      <c r="L323" s="19">
        <f>IF(OR('Por time'!E$2=Tabela2[[#This Row],[Mandante]], 'Por time'!E$2=Tabela2[[#This Row],[Visitante]]),1,0)</f>
        <v>0</v>
      </c>
      <c r="M323" s="25">
        <f>Tabela2[[#This Row],[Marcar time]]+M322</f>
        <v>32</v>
      </c>
      <c r="N323" s="25">
        <f>IMABS(Tabela2[[#This Row],[Gols M]]-Tabela2[[#This Row],[Gols V]])</f>
        <v>0</v>
      </c>
      <c r="O323" s="25">
        <f>Tabela2[[#This Row],[Gols M]]+Tabela2[[#This Row],[Gols V]]</f>
        <v>0</v>
      </c>
    </row>
    <row r="324" spans="1:15" x14ac:dyDescent="0.25">
      <c r="A324" s="19">
        <v>33</v>
      </c>
      <c r="B324" s="47" t="s">
        <v>75</v>
      </c>
      <c r="C324" s="48">
        <v>2</v>
      </c>
      <c r="D324" s="48">
        <v>2</v>
      </c>
      <c r="E324" s="47" t="s">
        <v>79</v>
      </c>
      <c r="F324" s="49" t="s">
        <v>98</v>
      </c>
      <c r="G324" s="49">
        <v>42672</v>
      </c>
      <c r="H324" s="49" t="s">
        <v>114</v>
      </c>
      <c r="I324" s="50" t="s">
        <v>2</v>
      </c>
      <c r="J324" s="19" t="str">
        <f>IF(Tabela2[[#This Row],[Gols M]]&lt;&gt;"",IF(Tabela2[[#This Row],[Gols M]]-Tabela2[[#This Row],[Gols V]]&gt;=0,IF(Tabela2[[#This Row],[Gols M]]-Tabela2[[#This Row],[Gols V]]&gt;0,"V","E"),"D"),"")</f>
        <v>E</v>
      </c>
      <c r="K324" s="19" t="str">
        <f>IF(Tabela2[[#This Row],[Gols M]]&lt;&gt;"",IF(Tabela2[[#This Row],[Gols V]]-Tabela2[[#This Row],[Gols M]]&gt;=0,IF(Tabela2[[#This Row],[Gols V]]-Tabela2[[#This Row],[Gols M]]&gt;0,"V","E"),"D"),"")</f>
        <v>E</v>
      </c>
      <c r="L324" s="19">
        <f>IF(OR('Por time'!E$2=Tabela2[[#This Row],[Mandante]], 'Por time'!E$2=Tabela2[[#This Row],[Visitante]]),1,0)</f>
        <v>0</v>
      </c>
      <c r="M324" s="25">
        <f>Tabela2[[#This Row],[Marcar time]]+M323</f>
        <v>32</v>
      </c>
      <c r="N324" s="25">
        <f>IMABS(Tabela2[[#This Row],[Gols M]]-Tabela2[[#This Row],[Gols V]])</f>
        <v>0</v>
      </c>
      <c r="O324" s="25">
        <f>Tabela2[[#This Row],[Gols M]]+Tabela2[[#This Row],[Gols V]]</f>
        <v>4</v>
      </c>
    </row>
    <row r="325" spans="1:15" x14ac:dyDescent="0.25">
      <c r="A325" s="19">
        <v>33</v>
      </c>
      <c r="B325" s="47" t="s">
        <v>83</v>
      </c>
      <c r="C325" s="48">
        <v>1</v>
      </c>
      <c r="D325" s="48">
        <v>0</v>
      </c>
      <c r="E325" s="47" t="s">
        <v>85</v>
      </c>
      <c r="F325" s="49" t="s">
        <v>98</v>
      </c>
      <c r="G325" s="49">
        <v>42672</v>
      </c>
      <c r="H325" s="49" t="s">
        <v>114</v>
      </c>
      <c r="I325" s="50" t="s">
        <v>0</v>
      </c>
      <c r="J325" s="19" t="str">
        <f>IF(Tabela2[[#This Row],[Gols M]]&lt;&gt;"",IF(Tabela2[[#This Row],[Gols M]]-Tabela2[[#This Row],[Gols V]]&gt;=0,IF(Tabela2[[#This Row],[Gols M]]-Tabela2[[#This Row],[Gols V]]&gt;0,"V","E"),"D"),"")</f>
        <v>V</v>
      </c>
      <c r="K325" s="19" t="str">
        <f>IF(Tabela2[[#This Row],[Gols M]]&lt;&gt;"",IF(Tabela2[[#This Row],[Gols V]]-Tabela2[[#This Row],[Gols M]]&gt;=0,IF(Tabela2[[#This Row],[Gols V]]-Tabela2[[#This Row],[Gols M]]&gt;0,"V","E"),"D"),"")</f>
        <v>D</v>
      </c>
      <c r="L325" s="19">
        <f>IF(OR('Por time'!E$2=Tabela2[[#This Row],[Mandante]], 'Por time'!E$2=Tabela2[[#This Row],[Visitante]]),1,0)</f>
        <v>1</v>
      </c>
      <c r="M325" s="25">
        <f>Tabela2[[#This Row],[Marcar time]]+M324</f>
        <v>33</v>
      </c>
      <c r="N325" s="25">
        <f>IMABS(Tabela2[[#This Row],[Gols M]]-Tabela2[[#This Row],[Gols V]])</f>
        <v>1</v>
      </c>
      <c r="O325" s="25">
        <f>Tabela2[[#This Row],[Gols M]]+Tabela2[[#This Row],[Gols V]]</f>
        <v>1</v>
      </c>
    </row>
    <row r="326" spans="1:15" x14ac:dyDescent="0.25">
      <c r="A326" s="19">
        <v>33</v>
      </c>
      <c r="B326" s="47" t="s">
        <v>77</v>
      </c>
      <c r="C326" s="48">
        <v>1</v>
      </c>
      <c r="D326" s="48">
        <v>1</v>
      </c>
      <c r="E326" s="47" t="s">
        <v>84</v>
      </c>
      <c r="F326" s="49" t="s">
        <v>98</v>
      </c>
      <c r="G326" s="49">
        <v>42672</v>
      </c>
      <c r="H326" s="49" t="s">
        <v>114</v>
      </c>
      <c r="I326" s="50" t="s">
        <v>18</v>
      </c>
      <c r="J326" s="19" t="str">
        <f>IF(Tabela2[[#This Row],[Gols M]]&lt;&gt;"",IF(Tabela2[[#This Row],[Gols M]]-Tabela2[[#This Row],[Gols V]]&gt;=0,IF(Tabela2[[#This Row],[Gols M]]-Tabela2[[#This Row],[Gols V]]&gt;0,"V","E"),"D"),"")</f>
        <v>E</v>
      </c>
      <c r="K326" s="19" t="str">
        <f>IF(Tabela2[[#This Row],[Gols M]]&lt;&gt;"",IF(Tabela2[[#This Row],[Gols V]]-Tabela2[[#This Row],[Gols M]]&gt;=0,IF(Tabela2[[#This Row],[Gols V]]-Tabela2[[#This Row],[Gols M]]&gt;0,"V","E"),"D"),"")</f>
        <v>E</v>
      </c>
      <c r="L326" s="19">
        <f>IF(OR('Por time'!E$2=Tabela2[[#This Row],[Mandante]], 'Por time'!E$2=Tabela2[[#This Row],[Visitante]]),1,0)</f>
        <v>0</v>
      </c>
      <c r="M326" s="25">
        <f>Tabela2[[#This Row],[Marcar time]]+M325</f>
        <v>33</v>
      </c>
      <c r="N326" s="25">
        <f>IMABS(Tabela2[[#This Row],[Gols M]]-Tabela2[[#This Row],[Gols V]])</f>
        <v>0</v>
      </c>
      <c r="O326" s="25">
        <f>Tabela2[[#This Row],[Gols M]]+Tabela2[[#This Row],[Gols V]]</f>
        <v>2</v>
      </c>
    </row>
    <row r="327" spans="1:15" x14ac:dyDescent="0.25">
      <c r="A327" s="19">
        <v>33</v>
      </c>
      <c r="B327" s="47" t="s">
        <v>78</v>
      </c>
      <c r="C327" s="48">
        <v>0</v>
      </c>
      <c r="D327" s="48">
        <v>0</v>
      </c>
      <c r="E327" s="47" t="s">
        <v>87</v>
      </c>
      <c r="F327" s="49" t="s">
        <v>98</v>
      </c>
      <c r="G327" s="49">
        <v>42672</v>
      </c>
      <c r="H327" s="49" t="s">
        <v>102</v>
      </c>
      <c r="I327" s="50" t="s">
        <v>33</v>
      </c>
      <c r="J327" s="19" t="str">
        <f>IF(Tabela2[[#This Row],[Gols M]]&lt;&gt;"",IF(Tabela2[[#This Row],[Gols M]]-Tabela2[[#This Row],[Gols V]]&gt;=0,IF(Tabela2[[#This Row],[Gols M]]-Tabela2[[#This Row],[Gols V]]&gt;0,"V","E"),"D"),"")</f>
        <v>E</v>
      </c>
      <c r="K327" s="19" t="str">
        <f>IF(Tabela2[[#This Row],[Gols M]]&lt;&gt;"",IF(Tabela2[[#This Row],[Gols V]]-Tabela2[[#This Row],[Gols M]]&gt;=0,IF(Tabela2[[#This Row],[Gols V]]-Tabela2[[#This Row],[Gols M]]&gt;0,"V","E"),"D"),"")</f>
        <v>E</v>
      </c>
      <c r="L327" s="19">
        <f>IF(OR('Por time'!E$2=Tabela2[[#This Row],[Mandante]], 'Por time'!E$2=Tabela2[[#This Row],[Visitante]]),1,0)</f>
        <v>0</v>
      </c>
      <c r="M327" s="25">
        <f>Tabela2[[#This Row],[Marcar time]]+M326</f>
        <v>33</v>
      </c>
      <c r="N327" s="25">
        <f>IMABS(Tabela2[[#This Row],[Gols M]]-Tabela2[[#This Row],[Gols V]])</f>
        <v>0</v>
      </c>
      <c r="O327" s="25">
        <f>Tabela2[[#This Row],[Gols M]]+Tabela2[[#This Row],[Gols V]]</f>
        <v>0</v>
      </c>
    </row>
    <row r="328" spans="1:15" x14ac:dyDescent="0.25">
      <c r="A328" s="19">
        <v>33</v>
      </c>
      <c r="B328" s="47" t="s">
        <v>86</v>
      </c>
      <c r="C328" s="48">
        <v>2</v>
      </c>
      <c r="D328" s="48">
        <v>2</v>
      </c>
      <c r="E328" s="47" t="s">
        <v>91</v>
      </c>
      <c r="F328" s="49" t="s">
        <v>116</v>
      </c>
      <c r="G328" s="49">
        <v>42671</v>
      </c>
      <c r="H328" s="49" t="s">
        <v>102</v>
      </c>
      <c r="I328" s="50" t="s">
        <v>23</v>
      </c>
      <c r="J328" s="19" t="str">
        <f>IF(Tabela2[[#This Row],[Gols M]]&lt;&gt;"",IF(Tabela2[[#This Row],[Gols M]]-Tabela2[[#This Row],[Gols V]]&gt;=0,IF(Tabela2[[#This Row],[Gols M]]-Tabela2[[#This Row],[Gols V]]&gt;0,"V","E"),"D"),"")</f>
        <v>E</v>
      </c>
      <c r="K328" s="19" t="str">
        <f>IF(Tabela2[[#This Row],[Gols M]]&lt;&gt;"",IF(Tabela2[[#This Row],[Gols V]]-Tabela2[[#This Row],[Gols M]]&gt;=0,IF(Tabela2[[#This Row],[Gols V]]-Tabela2[[#This Row],[Gols M]]&gt;0,"V","E"),"D"),"")</f>
        <v>E</v>
      </c>
      <c r="L328" s="19">
        <f>IF(OR('Por time'!E$2=Tabela2[[#This Row],[Mandante]], 'Por time'!E$2=Tabela2[[#This Row],[Visitante]]),1,0)</f>
        <v>0</v>
      </c>
      <c r="M328" s="25">
        <f>Tabela2[[#This Row],[Marcar time]]+M327</f>
        <v>33</v>
      </c>
      <c r="N328" s="25">
        <f>IMABS(Tabela2[[#This Row],[Gols M]]-Tabela2[[#This Row],[Gols V]])</f>
        <v>0</v>
      </c>
      <c r="O328" s="25">
        <f>Tabela2[[#This Row],[Gols M]]+Tabela2[[#This Row],[Gols V]]</f>
        <v>4</v>
      </c>
    </row>
    <row r="329" spans="1:15" x14ac:dyDescent="0.25">
      <c r="A329" s="19">
        <v>33</v>
      </c>
      <c r="B329" s="47" t="s">
        <v>80</v>
      </c>
      <c r="C329" s="48">
        <v>1</v>
      </c>
      <c r="D329" s="48">
        <v>1</v>
      </c>
      <c r="E329" s="47" t="s">
        <v>82</v>
      </c>
      <c r="F329" s="49" t="s">
        <v>98</v>
      </c>
      <c r="G329" s="49">
        <v>42672</v>
      </c>
      <c r="H329" s="49" t="s">
        <v>99</v>
      </c>
      <c r="I329" s="50" t="s">
        <v>27</v>
      </c>
      <c r="J329" s="19" t="str">
        <f>IF(Tabela2[[#This Row],[Gols M]]&lt;&gt;"",IF(Tabela2[[#This Row],[Gols M]]-Tabela2[[#This Row],[Gols V]]&gt;=0,IF(Tabela2[[#This Row],[Gols M]]-Tabela2[[#This Row],[Gols V]]&gt;0,"V","E"),"D"),"")</f>
        <v>E</v>
      </c>
      <c r="K329" s="19" t="str">
        <f>IF(Tabela2[[#This Row],[Gols M]]&lt;&gt;"",IF(Tabela2[[#This Row],[Gols V]]-Tabela2[[#This Row],[Gols M]]&gt;=0,IF(Tabela2[[#This Row],[Gols V]]-Tabela2[[#This Row],[Gols M]]&gt;0,"V","E"),"D"),"")</f>
        <v>E</v>
      </c>
      <c r="L329" s="19">
        <f>IF(OR('Por time'!E$2=Tabela2[[#This Row],[Mandante]], 'Por time'!E$2=Tabela2[[#This Row],[Visitante]]),1,0)</f>
        <v>0</v>
      </c>
      <c r="M329" s="25">
        <f>Tabela2[[#This Row],[Marcar time]]+M328</f>
        <v>33</v>
      </c>
      <c r="N329" s="25">
        <f>IMABS(Tabela2[[#This Row],[Gols M]]-Tabela2[[#This Row],[Gols V]])</f>
        <v>0</v>
      </c>
      <c r="O329" s="25">
        <f>Tabela2[[#This Row],[Gols M]]+Tabela2[[#This Row],[Gols V]]</f>
        <v>2</v>
      </c>
    </row>
    <row r="330" spans="1:15" x14ac:dyDescent="0.25">
      <c r="A330" s="19">
        <v>33</v>
      </c>
      <c r="B330" s="47" t="s">
        <v>89</v>
      </c>
      <c r="C330" s="48">
        <v>1</v>
      </c>
      <c r="D330" s="48">
        <v>0</v>
      </c>
      <c r="E330" s="47" t="s">
        <v>81</v>
      </c>
      <c r="F330" s="49" t="s">
        <v>98</v>
      </c>
      <c r="G330" s="49">
        <v>42672</v>
      </c>
      <c r="H330" s="49" t="s">
        <v>102</v>
      </c>
      <c r="I330" s="50" t="s">
        <v>6</v>
      </c>
      <c r="J330" s="19" t="str">
        <f>IF(Tabela2[[#This Row],[Gols M]]&lt;&gt;"",IF(Tabela2[[#This Row],[Gols M]]-Tabela2[[#This Row],[Gols V]]&gt;=0,IF(Tabela2[[#This Row],[Gols M]]-Tabela2[[#This Row],[Gols V]]&gt;0,"V","E"),"D"),"")</f>
        <v>V</v>
      </c>
      <c r="K330" s="19" t="str">
        <f>IF(Tabela2[[#This Row],[Gols M]]&lt;&gt;"",IF(Tabela2[[#This Row],[Gols V]]-Tabela2[[#This Row],[Gols M]]&gt;=0,IF(Tabela2[[#This Row],[Gols V]]-Tabela2[[#This Row],[Gols M]]&gt;0,"V","E"),"D"),"")</f>
        <v>D</v>
      </c>
      <c r="L330" s="19">
        <f>IF(OR('Por time'!E$2=Tabela2[[#This Row],[Mandante]], 'Por time'!E$2=Tabela2[[#This Row],[Visitante]]),1,0)</f>
        <v>0</v>
      </c>
      <c r="M330" s="25">
        <f>Tabela2[[#This Row],[Marcar time]]+M329</f>
        <v>33</v>
      </c>
      <c r="N330" s="25">
        <f>IMABS(Tabela2[[#This Row],[Gols M]]-Tabela2[[#This Row],[Gols V]])</f>
        <v>1</v>
      </c>
      <c r="O330" s="25">
        <f>Tabela2[[#This Row],[Gols M]]+Tabela2[[#This Row],[Gols V]]</f>
        <v>1</v>
      </c>
    </row>
    <row r="331" spans="1:15" x14ac:dyDescent="0.25">
      <c r="A331" s="19">
        <v>33</v>
      </c>
      <c r="B331" s="47" t="s">
        <v>90</v>
      </c>
      <c r="C331" s="48">
        <v>1</v>
      </c>
      <c r="D331" s="48">
        <v>0</v>
      </c>
      <c r="E331" s="47" t="s">
        <v>88</v>
      </c>
      <c r="F331" s="49" t="s">
        <v>103</v>
      </c>
      <c r="G331" s="49">
        <v>42670</v>
      </c>
      <c r="H331" s="49" t="s">
        <v>105</v>
      </c>
      <c r="I331" s="50" t="s">
        <v>8</v>
      </c>
      <c r="J331" s="19" t="str">
        <f>IF(Tabela2[[#This Row],[Gols M]]&lt;&gt;"",IF(Tabela2[[#This Row],[Gols M]]-Tabela2[[#This Row],[Gols V]]&gt;=0,IF(Tabela2[[#This Row],[Gols M]]-Tabela2[[#This Row],[Gols V]]&gt;0,"V","E"),"D"),"")</f>
        <v>V</v>
      </c>
      <c r="K331" s="19" t="str">
        <f>IF(Tabela2[[#This Row],[Gols M]]&lt;&gt;"",IF(Tabela2[[#This Row],[Gols V]]-Tabela2[[#This Row],[Gols M]]&gt;=0,IF(Tabela2[[#This Row],[Gols V]]-Tabela2[[#This Row],[Gols M]]&gt;0,"V","E"),"D"),"")</f>
        <v>D</v>
      </c>
      <c r="L331" s="19">
        <f>IF(OR('Por time'!E$2=Tabela2[[#This Row],[Mandante]], 'Por time'!E$2=Tabela2[[#This Row],[Visitante]]),1,0)</f>
        <v>0</v>
      </c>
      <c r="M331" s="25">
        <f>Tabela2[[#This Row],[Marcar time]]+M330</f>
        <v>33</v>
      </c>
      <c r="N331" s="25">
        <f>IMABS(Tabela2[[#This Row],[Gols M]]-Tabela2[[#This Row],[Gols V]])</f>
        <v>1</v>
      </c>
      <c r="O331" s="25">
        <f>Tabela2[[#This Row],[Gols M]]+Tabela2[[#This Row],[Gols V]]</f>
        <v>1</v>
      </c>
    </row>
    <row r="332" spans="1:15" x14ac:dyDescent="0.25">
      <c r="A332" s="19">
        <v>34</v>
      </c>
      <c r="B332" s="47" t="s">
        <v>76</v>
      </c>
      <c r="C332" s="48">
        <v>2</v>
      </c>
      <c r="D332" s="48">
        <v>0</v>
      </c>
      <c r="E332" s="47" t="s">
        <v>75</v>
      </c>
      <c r="F332" s="49" t="s">
        <v>95</v>
      </c>
      <c r="G332" s="49">
        <v>42680</v>
      </c>
      <c r="H332" s="49" t="s">
        <v>102</v>
      </c>
      <c r="I332" s="50" t="s">
        <v>40</v>
      </c>
      <c r="J332" s="19" t="str">
        <f>IF(Tabela2[[#This Row],[Gols M]]&lt;&gt;"",IF(Tabela2[[#This Row],[Gols M]]-Tabela2[[#This Row],[Gols V]]&gt;=0,IF(Tabela2[[#This Row],[Gols M]]-Tabela2[[#This Row],[Gols V]]&gt;0,"V","E"),"D"),"")</f>
        <v>V</v>
      </c>
      <c r="K332" s="19" t="str">
        <f>IF(Tabela2[[#This Row],[Gols M]]&lt;&gt;"",IF(Tabela2[[#This Row],[Gols V]]-Tabela2[[#This Row],[Gols M]]&gt;=0,IF(Tabela2[[#This Row],[Gols V]]-Tabela2[[#This Row],[Gols M]]&gt;0,"V","E"),"D"),"")</f>
        <v>D</v>
      </c>
      <c r="L332" s="19">
        <f>IF(OR('Por time'!E$2=Tabela2[[#This Row],[Mandante]], 'Por time'!E$2=Tabela2[[#This Row],[Visitante]]),1,0)</f>
        <v>0</v>
      </c>
      <c r="M332" s="25">
        <f>Tabela2[[#This Row],[Marcar time]]+M331</f>
        <v>33</v>
      </c>
      <c r="N332" s="25">
        <f>IMABS(Tabela2[[#This Row],[Gols M]]-Tabela2[[#This Row],[Gols V]])</f>
        <v>2</v>
      </c>
      <c r="O332" s="25">
        <f>Tabela2[[#This Row],[Gols M]]+Tabela2[[#This Row],[Gols V]]</f>
        <v>2</v>
      </c>
    </row>
    <row r="333" spans="1:15" x14ac:dyDescent="0.25">
      <c r="A333" s="19">
        <v>34</v>
      </c>
      <c r="B333" s="47" t="s">
        <v>84</v>
      </c>
      <c r="C333" s="48">
        <v>1</v>
      </c>
      <c r="D333" s="48">
        <v>0</v>
      </c>
      <c r="E333" s="47" t="s">
        <v>78</v>
      </c>
      <c r="F333" s="49" t="s">
        <v>95</v>
      </c>
      <c r="G333" s="49">
        <v>42680</v>
      </c>
      <c r="H333" s="49" t="s">
        <v>102</v>
      </c>
      <c r="I333" s="50" t="s">
        <v>1</v>
      </c>
      <c r="J333" s="19" t="str">
        <f>IF(Tabela2[[#This Row],[Gols M]]&lt;&gt;"",IF(Tabela2[[#This Row],[Gols M]]-Tabela2[[#This Row],[Gols V]]&gt;=0,IF(Tabela2[[#This Row],[Gols M]]-Tabela2[[#This Row],[Gols V]]&gt;0,"V","E"),"D"),"")</f>
        <v>V</v>
      </c>
      <c r="K333" s="19" t="str">
        <f>IF(Tabela2[[#This Row],[Gols M]]&lt;&gt;"",IF(Tabela2[[#This Row],[Gols V]]-Tabela2[[#This Row],[Gols M]]&gt;=0,IF(Tabela2[[#This Row],[Gols V]]-Tabela2[[#This Row],[Gols M]]&gt;0,"V","E"),"D"),"")</f>
        <v>D</v>
      </c>
      <c r="L333" s="19">
        <f>IF(OR('Por time'!E$2=Tabela2[[#This Row],[Mandante]], 'Por time'!E$2=Tabela2[[#This Row],[Visitante]]),1,0)</f>
        <v>0</v>
      </c>
      <c r="M333" s="25">
        <f>Tabela2[[#This Row],[Marcar time]]+M332</f>
        <v>33</v>
      </c>
      <c r="N333" s="25">
        <f>IMABS(Tabela2[[#This Row],[Gols M]]-Tabela2[[#This Row],[Gols V]])</f>
        <v>1</v>
      </c>
      <c r="O333" s="25">
        <f>Tabela2[[#This Row],[Gols M]]+Tabela2[[#This Row],[Gols V]]</f>
        <v>1</v>
      </c>
    </row>
    <row r="334" spans="1:15" x14ac:dyDescent="0.25">
      <c r="A334" s="19">
        <v>34</v>
      </c>
      <c r="B334" s="47" t="s">
        <v>85</v>
      </c>
      <c r="C334" s="48">
        <v>4</v>
      </c>
      <c r="D334" s="48">
        <v>2</v>
      </c>
      <c r="E334" s="47" t="s">
        <v>86</v>
      </c>
      <c r="F334" s="49" t="s">
        <v>95</v>
      </c>
      <c r="G334" s="49">
        <v>42680</v>
      </c>
      <c r="H334" s="49" t="s">
        <v>117</v>
      </c>
      <c r="I334" s="50" t="s">
        <v>2</v>
      </c>
      <c r="J334" s="19" t="str">
        <f>IF(Tabela2[[#This Row],[Gols M]]&lt;&gt;"",IF(Tabela2[[#This Row],[Gols M]]-Tabela2[[#This Row],[Gols V]]&gt;=0,IF(Tabela2[[#This Row],[Gols M]]-Tabela2[[#This Row],[Gols V]]&gt;0,"V","E"),"D"),"")</f>
        <v>V</v>
      </c>
      <c r="K334" s="19" t="str">
        <f>IF(Tabela2[[#This Row],[Gols M]]&lt;&gt;"",IF(Tabela2[[#This Row],[Gols V]]-Tabela2[[#This Row],[Gols M]]&gt;=0,IF(Tabela2[[#This Row],[Gols V]]-Tabela2[[#This Row],[Gols M]]&gt;0,"V","E"),"D"),"")</f>
        <v>D</v>
      </c>
      <c r="L334" s="19">
        <f>IF(OR('Por time'!E$2=Tabela2[[#This Row],[Mandante]], 'Por time'!E$2=Tabela2[[#This Row],[Visitante]]),1,0)</f>
        <v>0</v>
      </c>
      <c r="M334" s="25">
        <f>Tabela2[[#This Row],[Marcar time]]+M333</f>
        <v>33</v>
      </c>
      <c r="N334" s="25">
        <f>IMABS(Tabela2[[#This Row],[Gols M]]-Tabela2[[#This Row],[Gols V]])</f>
        <v>2</v>
      </c>
      <c r="O334" s="25">
        <f>Tabela2[[#This Row],[Gols M]]+Tabela2[[#This Row],[Gols V]]</f>
        <v>6</v>
      </c>
    </row>
    <row r="335" spans="1:15" x14ac:dyDescent="0.25">
      <c r="A335" s="19">
        <v>34</v>
      </c>
      <c r="B335" s="47" t="s">
        <v>79</v>
      </c>
      <c r="C335" s="48">
        <v>0</v>
      </c>
      <c r="D335" s="48">
        <v>0</v>
      </c>
      <c r="E335" s="47" t="s">
        <v>74</v>
      </c>
      <c r="F335" s="49" t="s">
        <v>98</v>
      </c>
      <c r="G335" s="49">
        <v>42679</v>
      </c>
      <c r="H335" s="49" t="s">
        <v>117</v>
      </c>
      <c r="I335" s="50" t="s">
        <v>23</v>
      </c>
      <c r="J335" s="19" t="str">
        <f>IF(Tabela2[[#This Row],[Gols M]]&lt;&gt;"",IF(Tabela2[[#This Row],[Gols M]]-Tabela2[[#This Row],[Gols V]]&gt;=0,IF(Tabela2[[#This Row],[Gols M]]-Tabela2[[#This Row],[Gols V]]&gt;0,"V","E"),"D"),"")</f>
        <v>E</v>
      </c>
      <c r="K335" s="19" t="str">
        <f>IF(Tabela2[[#This Row],[Gols M]]&lt;&gt;"",IF(Tabela2[[#This Row],[Gols V]]-Tabela2[[#This Row],[Gols M]]&gt;=0,IF(Tabela2[[#This Row],[Gols V]]-Tabela2[[#This Row],[Gols M]]&gt;0,"V","E"),"D"),"")</f>
        <v>E</v>
      </c>
      <c r="L335" s="19">
        <f>IF(OR('Por time'!E$2=Tabela2[[#This Row],[Mandante]], 'Por time'!E$2=Tabela2[[#This Row],[Visitante]]),1,0)</f>
        <v>0</v>
      </c>
      <c r="M335" s="25">
        <f>Tabela2[[#This Row],[Marcar time]]+M334</f>
        <v>33</v>
      </c>
      <c r="N335" s="25">
        <f>IMABS(Tabela2[[#This Row],[Gols M]]-Tabela2[[#This Row],[Gols V]])</f>
        <v>0</v>
      </c>
      <c r="O335" s="25">
        <f>Tabela2[[#This Row],[Gols M]]+Tabela2[[#This Row],[Gols V]]</f>
        <v>0</v>
      </c>
    </row>
    <row r="336" spans="1:15" x14ac:dyDescent="0.25">
      <c r="A336" s="19">
        <v>34</v>
      </c>
      <c r="B336" s="47" t="s">
        <v>87</v>
      </c>
      <c r="C336" s="48">
        <v>0</v>
      </c>
      <c r="D336" s="48">
        <v>3</v>
      </c>
      <c r="E336" s="47" t="s">
        <v>90</v>
      </c>
      <c r="F336" s="49" t="s">
        <v>113</v>
      </c>
      <c r="G336" s="49">
        <v>42681</v>
      </c>
      <c r="H336" s="49" t="s">
        <v>107</v>
      </c>
      <c r="I336" s="50" t="s">
        <v>4</v>
      </c>
      <c r="J336" s="19" t="str">
        <f>IF(Tabela2[[#This Row],[Gols M]]&lt;&gt;"",IF(Tabela2[[#This Row],[Gols M]]-Tabela2[[#This Row],[Gols V]]&gt;=0,IF(Tabela2[[#This Row],[Gols M]]-Tabela2[[#This Row],[Gols V]]&gt;0,"V","E"),"D"),"")</f>
        <v>D</v>
      </c>
      <c r="K336" s="19" t="str">
        <f>IF(Tabela2[[#This Row],[Gols M]]&lt;&gt;"",IF(Tabela2[[#This Row],[Gols V]]-Tabela2[[#This Row],[Gols M]]&gt;=0,IF(Tabela2[[#This Row],[Gols V]]-Tabela2[[#This Row],[Gols M]]&gt;0,"V","E"),"D"),"")</f>
        <v>V</v>
      </c>
      <c r="L336" s="19">
        <f>IF(OR('Por time'!E$2=Tabela2[[#This Row],[Mandante]], 'Por time'!E$2=Tabela2[[#This Row],[Visitante]]),1,0)</f>
        <v>0</v>
      </c>
      <c r="M336" s="25">
        <f>Tabela2[[#This Row],[Marcar time]]+M335</f>
        <v>33</v>
      </c>
      <c r="N336" s="25">
        <f>IMABS(Tabela2[[#This Row],[Gols M]]-Tabela2[[#This Row],[Gols V]])</f>
        <v>3</v>
      </c>
      <c r="O336" s="25">
        <f>Tabela2[[#This Row],[Gols M]]+Tabela2[[#This Row],[Gols V]]</f>
        <v>3</v>
      </c>
    </row>
    <row r="337" spans="1:15" x14ac:dyDescent="0.25">
      <c r="A337" s="19">
        <v>34</v>
      </c>
      <c r="B337" s="47" t="s">
        <v>81</v>
      </c>
      <c r="C337" s="48">
        <v>1</v>
      </c>
      <c r="D337" s="48">
        <v>0</v>
      </c>
      <c r="E337" s="47" t="s">
        <v>80</v>
      </c>
      <c r="F337" s="49" t="s">
        <v>95</v>
      </c>
      <c r="G337" s="49">
        <v>42680</v>
      </c>
      <c r="H337" s="49" t="s">
        <v>117</v>
      </c>
      <c r="I337" s="50" t="s">
        <v>30</v>
      </c>
      <c r="J337" s="19" t="str">
        <f>IF(Tabela2[[#This Row],[Gols M]]&lt;&gt;"",IF(Tabela2[[#This Row],[Gols M]]-Tabela2[[#This Row],[Gols V]]&gt;=0,IF(Tabela2[[#This Row],[Gols M]]-Tabela2[[#This Row],[Gols V]]&gt;0,"V","E"),"D"),"")</f>
        <v>V</v>
      </c>
      <c r="K337" s="19" t="str">
        <f>IF(Tabela2[[#This Row],[Gols M]]&lt;&gt;"",IF(Tabela2[[#This Row],[Gols V]]-Tabela2[[#This Row],[Gols M]]&gt;=0,IF(Tabela2[[#This Row],[Gols V]]-Tabela2[[#This Row],[Gols M]]&gt;0,"V","E"),"D"),"")</f>
        <v>D</v>
      </c>
      <c r="L337" s="19">
        <f>IF(OR('Por time'!E$2=Tabela2[[#This Row],[Mandante]], 'Por time'!E$2=Tabela2[[#This Row],[Visitante]]),1,0)</f>
        <v>0</v>
      </c>
      <c r="M337" s="25">
        <f>Tabela2[[#This Row],[Marcar time]]+M336</f>
        <v>33</v>
      </c>
      <c r="N337" s="25">
        <f>IMABS(Tabela2[[#This Row],[Gols M]]-Tabela2[[#This Row],[Gols V]])</f>
        <v>1</v>
      </c>
      <c r="O337" s="25">
        <f>Tabela2[[#This Row],[Gols M]]+Tabela2[[#This Row],[Gols V]]</f>
        <v>1</v>
      </c>
    </row>
    <row r="338" spans="1:15" x14ac:dyDescent="0.25">
      <c r="A338" s="19">
        <v>34</v>
      </c>
      <c r="B338" s="47" t="s">
        <v>88</v>
      </c>
      <c r="C338" s="48">
        <v>1</v>
      </c>
      <c r="D338" s="48">
        <v>2</v>
      </c>
      <c r="E338" s="47" t="s">
        <v>89</v>
      </c>
      <c r="F338" s="49" t="s">
        <v>95</v>
      </c>
      <c r="G338" s="49">
        <v>42680</v>
      </c>
      <c r="H338" s="49" t="s">
        <v>97</v>
      </c>
      <c r="I338" s="50" t="s">
        <v>5</v>
      </c>
      <c r="J338" s="19" t="str">
        <f>IF(Tabela2[[#This Row],[Gols M]]&lt;&gt;"",IF(Tabela2[[#This Row],[Gols M]]-Tabela2[[#This Row],[Gols V]]&gt;=0,IF(Tabela2[[#This Row],[Gols M]]-Tabela2[[#This Row],[Gols V]]&gt;0,"V","E"),"D"),"")</f>
        <v>D</v>
      </c>
      <c r="K338" s="19" t="str">
        <f>IF(Tabela2[[#This Row],[Gols M]]&lt;&gt;"",IF(Tabela2[[#This Row],[Gols V]]-Tabela2[[#This Row],[Gols M]]&gt;=0,IF(Tabela2[[#This Row],[Gols V]]-Tabela2[[#This Row],[Gols M]]&gt;0,"V","E"),"D"),"")</f>
        <v>V</v>
      </c>
      <c r="L338" s="19">
        <f>IF(OR('Por time'!E$2=Tabela2[[#This Row],[Mandante]], 'Por time'!E$2=Tabela2[[#This Row],[Visitante]]),1,0)</f>
        <v>0</v>
      </c>
      <c r="M338" s="25">
        <f>Tabela2[[#This Row],[Marcar time]]+M337</f>
        <v>33</v>
      </c>
      <c r="N338" s="25">
        <f>IMABS(Tabela2[[#This Row],[Gols M]]-Tabela2[[#This Row],[Gols V]])</f>
        <v>1</v>
      </c>
      <c r="O338" s="25">
        <f>Tabela2[[#This Row],[Gols M]]+Tabela2[[#This Row],[Gols V]]</f>
        <v>3</v>
      </c>
    </row>
    <row r="339" spans="1:15" x14ac:dyDescent="0.25">
      <c r="A339" s="19">
        <v>34</v>
      </c>
      <c r="B339" s="47" t="s">
        <v>92</v>
      </c>
      <c r="C339" s="48">
        <v>4</v>
      </c>
      <c r="D339" s="48">
        <v>0</v>
      </c>
      <c r="E339" s="47" t="s">
        <v>77</v>
      </c>
      <c r="F339" s="49" t="s">
        <v>98</v>
      </c>
      <c r="G339" s="49">
        <v>42679</v>
      </c>
      <c r="H339" s="49" t="s">
        <v>102</v>
      </c>
      <c r="I339" s="50" t="s">
        <v>41</v>
      </c>
      <c r="J339" s="19" t="str">
        <f>IF(Tabela2[[#This Row],[Gols M]]&lt;&gt;"",IF(Tabela2[[#This Row],[Gols M]]-Tabela2[[#This Row],[Gols V]]&gt;=0,IF(Tabela2[[#This Row],[Gols M]]-Tabela2[[#This Row],[Gols V]]&gt;0,"V","E"),"D"),"")</f>
        <v>V</v>
      </c>
      <c r="K339" s="19" t="str">
        <f>IF(Tabela2[[#This Row],[Gols M]]&lt;&gt;"",IF(Tabela2[[#This Row],[Gols V]]-Tabela2[[#This Row],[Gols M]]&gt;=0,IF(Tabela2[[#This Row],[Gols V]]-Tabela2[[#This Row],[Gols M]]&gt;0,"V","E"),"D"),"")</f>
        <v>D</v>
      </c>
      <c r="L339" s="19">
        <f>IF(OR('Por time'!E$2=Tabela2[[#This Row],[Mandante]], 'Por time'!E$2=Tabela2[[#This Row],[Visitante]]),1,0)</f>
        <v>0</v>
      </c>
      <c r="M339" s="25">
        <f>Tabela2[[#This Row],[Marcar time]]+M338</f>
        <v>33</v>
      </c>
      <c r="N339" s="25">
        <f>IMABS(Tabela2[[#This Row],[Gols M]]-Tabela2[[#This Row],[Gols V]])</f>
        <v>4</v>
      </c>
      <c r="O339" s="25">
        <f>Tabela2[[#This Row],[Gols M]]+Tabela2[[#This Row],[Gols V]]</f>
        <v>4</v>
      </c>
    </row>
    <row r="340" spans="1:15" x14ac:dyDescent="0.25">
      <c r="A340" s="19">
        <v>34</v>
      </c>
      <c r="B340" s="47" t="s">
        <v>82</v>
      </c>
      <c r="C340" s="48">
        <v>1</v>
      </c>
      <c r="D340" s="48">
        <v>0</v>
      </c>
      <c r="E340" s="47" t="s">
        <v>73</v>
      </c>
      <c r="F340" s="49" t="s">
        <v>95</v>
      </c>
      <c r="G340" s="49">
        <v>42680</v>
      </c>
      <c r="H340" s="49" t="s">
        <v>117</v>
      </c>
      <c r="I340" s="50" t="s">
        <v>36</v>
      </c>
      <c r="J340" s="19" t="str">
        <f>IF(Tabela2[[#This Row],[Gols M]]&lt;&gt;"",IF(Tabela2[[#This Row],[Gols M]]-Tabela2[[#This Row],[Gols V]]&gt;=0,IF(Tabela2[[#This Row],[Gols M]]-Tabela2[[#This Row],[Gols V]]&gt;0,"V","E"),"D"),"")</f>
        <v>V</v>
      </c>
      <c r="K340" s="19" t="str">
        <f>IF(Tabela2[[#This Row],[Gols M]]&lt;&gt;"",IF(Tabela2[[#This Row],[Gols V]]-Tabela2[[#This Row],[Gols M]]&gt;=0,IF(Tabela2[[#This Row],[Gols V]]-Tabela2[[#This Row],[Gols M]]&gt;0,"V","E"),"D"),"")</f>
        <v>D</v>
      </c>
      <c r="L340" s="19">
        <f>IF(OR('Por time'!E$2=Tabela2[[#This Row],[Mandante]], 'Por time'!E$2=Tabela2[[#This Row],[Visitante]]),1,0)</f>
        <v>0</v>
      </c>
      <c r="M340" s="25">
        <f>Tabela2[[#This Row],[Marcar time]]+M339</f>
        <v>33</v>
      </c>
      <c r="N340" s="25">
        <f>IMABS(Tabela2[[#This Row],[Gols M]]-Tabela2[[#This Row],[Gols V]])</f>
        <v>1</v>
      </c>
      <c r="O340" s="25">
        <f>Tabela2[[#This Row],[Gols M]]+Tabela2[[#This Row],[Gols V]]</f>
        <v>1</v>
      </c>
    </row>
    <row r="341" spans="1:15" x14ac:dyDescent="0.25">
      <c r="A341" s="19">
        <v>34</v>
      </c>
      <c r="B341" s="47" t="s">
        <v>91</v>
      </c>
      <c r="C341" s="48">
        <v>3</v>
      </c>
      <c r="D341" s="48">
        <v>2</v>
      </c>
      <c r="E341" s="47" t="s">
        <v>83</v>
      </c>
      <c r="F341" s="49" t="s">
        <v>95</v>
      </c>
      <c r="G341" s="49">
        <v>42680</v>
      </c>
      <c r="H341" s="49" t="s">
        <v>117</v>
      </c>
      <c r="I341" s="50" t="s">
        <v>9</v>
      </c>
      <c r="J341" s="19" t="str">
        <f>IF(Tabela2[[#This Row],[Gols M]]&lt;&gt;"",IF(Tabela2[[#This Row],[Gols M]]-Tabela2[[#This Row],[Gols V]]&gt;=0,IF(Tabela2[[#This Row],[Gols M]]-Tabela2[[#This Row],[Gols V]]&gt;0,"V","E"),"D"),"")</f>
        <v>V</v>
      </c>
      <c r="K341" s="19" t="str">
        <f>IF(Tabela2[[#This Row],[Gols M]]&lt;&gt;"",IF(Tabela2[[#This Row],[Gols V]]-Tabela2[[#This Row],[Gols M]]&gt;=0,IF(Tabela2[[#This Row],[Gols V]]-Tabela2[[#This Row],[Gols M]]&gt;0,"V","E"),"D"),"")</f>
        <v>D</v>
      </c>
      <c r="L341" s="19">
        <f>IF(OR('Por time'!E$2=Tabela2[[#This Row],[Mandante]], 'Por time'!E$2=Tabela2[[#This Row],[Visitante]]),1,0)</f>
        <v>1</v>
      </c>
      <c r="M341" s="25">
        <f>Tabela2[[#This Row],[Marcar time]]+M340</f>
        <v>34</v>
      </c>
      <c r="N341" s="25">
        <f>IMABS(Tabela2[[#This Row],[Gols M]]-Tabela2[[#This Row],[Gols V]])</f>
        <v>1</v>
      </c>
      <c r="O341" s="25">
        <f>Tabela2[[#This Row],[Gols M]]+Tabela2[[#This Row],[Gols V]]</f>
        <v>5</v>
      </c>
    </row>
    <row r="342" spans="1:15" x14ac:dyDescent="0.25">
      <c r="A342" s="19">
        <v>35</v>
      </c>
      <c r="B342" s="47" t="s">
        <v>73</v>
      </c>
      <c r="C342" s="48">
        <v>0</v>
      </c>
      <c r="D342" s="48">
        <v>1</v>
      </c>
      <c r="E342" s="47" t="s">
        <v>79</v>
      </c>
      <c r="F342" s="49" t="s">
        <v>101</v>
      </c>
      <c r="G342" s="49">
        <v>42690</v>
      </c>
      <c r="H342" s="49" t="s">
        <v>104</v>
      </c>
      <c r="I342" s="50" t="s">
        <v>2</v>
      </c>
      <c r="J342" s="19" t="str">
        <f>IF(Tabela2[[#This Row],[Gols M]]&lt;&gt;"",IF(Tabela2[[#This Row],[Gols M]]-Tabela2[[#This Row],[Gols V]]&gt;=0,IF(Tabela2[[#This Row],[Gols M]]-Tabela2[[#This Row],[Gols V]]&gt;0,"V","E"),"D"),"")</f>
        <v>D</v>
      </c>
      <c r="K342" s="19" t="str">
        <f>IF(Tabela2[[#This Row],[Gols M]]&lt;&gt;"",IF(Tabela2[[#This Row],[Gols V]]-Tabela2[[#This Row],[Gols M]]&gt;=0,IF(Tabela2[[#This Row],[Gols V]]-Tabela2[[#This Row],[Gols M]]&gt;0,"V","E"),"D"),"")</f>
        <v>V</v>
      </c>
      <c r="L342" s="19">
        <f>IF(OR('Por time'!E$2=Tabela2[[#This Row],[Mandante]], 'Por time'!E$2=Tabela2[[#This Row],[Visitante]]),1,0)</f>
        <v>0</v>
      </c>
      <c r="M342" s="25">
        <f>Tabela2[[#This Row],[Marcar time]]+M341</f>
        <v>34</v>
      </c>
      <c r="N342" s="25">
        <f>IMABS(Tabela2[[#This Row],[Gols M]]-Tabela2[[#This Row],[Gols V]])</f>
        <v>1</v>
      </c>
      <c r="O342" s="25">
        <f>Tabela2[[#This Row],[Gols M]]+Tabela2[[#This Row],[Gols V]]</f>
        <v>1</v>
      </c>
    </row>
    <row r="343" spans="1:15" x14ac:dyDescent="0.25">
      <c r="A343" s="19">
        <v>35</v>
      </c>
      <c r="B343" s="47" t="s">
        <v>74</v>
      </c>
      <c r="C343" s="48">
        <v>0</v>
      </c>
      <c r="D343" s="48">
        <v>2</v>
      </c>
      <c r="E343" s="47" t="s">
        <v>84</v>
      </c>
      <c r="F343" s="49" t="s">
        <v>101</v>
      </c>
      <c r="G343" s="49">
        <v>42690</v>
      </c>
      <c r="H343" s="49" t="s">
        <v>102</v>
      </c>
      <c r="I343" s="50" t="s">
        <v>14</v>
      </c>
      <c r="J343" s="19" t="str">
        <f>IF(Tabela2[[#This Row],[Gols M]]&lt;&gt;"",IF(Tabela2[[#This Row],[Gols M]]-Tabela2[[#This Row],[Gols V]]&gt;=0,IF(Tabela2[[#This Row],[Gols M]]-Tabela2[[#This Row],[Gols V]]&gt;0,"V","E"),"D"),"")</f>
        <v>D</v>
      </c>
      <c r="K343" s="19" t="str">
        <f>IF(Tabela2[[#This Row],[Gols M]]&lt;&gt;"",IF(Tabela2[[#This Row],[Gols V]]-Tabela2[[#This Row],[Gols M]]&gt;=0,IF(Tabela2[[#This Row],[Gols V]]-Tabela2[[#This Row],[Gols M]]&gt;0,"V","E"),"D"),"")</f>
        <v>V</v>
      </c>
      <c r="L343" s="19">
        <f>IF(OR('Por time'!E$2=Tabela2[[#This Row],[Mandante]], 'Por time'!E$2=Tabela2[[#This Row],[Visitante]]),1,0)</f>
        <v>0</v>
      </c>
      <c r="M343" s="25">
        <f>Tabela2[[#This Row],[Marcar time]]+M342</f>
        <v>34</v>
      </c>
      <c r="N343" s="25">
        <f>IMABS(Tabela2[[#This Row],[Gols M]]-Tabela2[[#This Row],[Gols V]])</f>
        <v>2</v>
      </c>
      <c r="O343" s="25">
        <f>Tabela2[[#This Row],[Gols M]]+Tabela2[[#This Row],[Gols V]]</f>
        <v>2</v>
      </c>
    </row>
    <row r="344" spans="1:15" x14ac:dyDescent="0.25">
      <c r="A344" s="19">
        <v>35</v>
      </c>
      <c r="B344" s="47" t="s">
        <v>75</v>
      </c>
      <c r="C344" s="48">
        <v>1</v>
      </c>
      <c r="D344" s="48">
        <v>1</v>
      </c>
      <c r="E344" s="47" t="s">
        <v>81</v>
      </c>
      <c r="F344" s="49" t="s">
        <v>103</v>
      </c>
      <c r="G344" s="49">
        <v>42691</v>
      </c>
      <c r="H344" s="49" t="s">
        <v>100</v>
      </c>
      <c r="I344" s="50" t="s">
        <v>11</v>
      </c>
      <c r="J344" s="19" t="str">
        <f>IF(Tabela2[[#This Row],[Gols M]]&lt;&gt;"",IF(Tabela2[[#This Row],[Gols M]]-Tabela2[[#This Row],[Gols V]]&gt;=0,IF(Tabela2[[#This Row],[Gols M]]-Tabela2[[#This Row],[Gols V]]&gt;0,"V","E"),"D"),"")</f>
        <v>E</v>
      </c>
      <c r="K344" s="19" t="str">
        <f>IF(Tabela2[[#This Row],[Gols M]]&lt;&gt;"",IF(Tabela2[[#This Row],[Gols V]]-Tabela2[[#This Row],[Gols M]]&gt;=0,IF(Tabela2[[#This Row],[Gols V]]-Tabela2[[#This Row],[Gols M]]&gt;0,"V","E"),"D"),"")</f>
        <v>E</v>
      </c>
      <c r="L344" s="19">
        <f>IF(OR('Por time'!E$2=Tabela2[[#This Row],[Mandante]], 'Por time'!E$2=Tabela2[[#This Row],[Visitante]]),1,0)</f>
        <v>0</v>
      </c>
      <c r="M344" s="25">
        <f>Tabela2[[#This Row],[Marcar time]]+M343</f>
        <v>34</v>
      </c>
      <c r="N344" s="25">
        <f>IMABS(Tabela2[[#This Row],[Gols M]]-Tabela2[[#This Row],[Gols V]])</f>
        <v>0</v>
      </c>
      <c r="O344" s="25">
        <f>Tabela2[[#This Row],[Gols M]]+Tabela2[[#This Row],[Gols V]]</f>
        <v>2</v>
      </c>
    </row>
    <row r="345" spans="1:15" x14ac:dyDescent="0.25">
      <c r="A345" s="19">
        <v>35</v>
      </c>
      <c r="B345" s="47" t="s">
        <v>76</v>
      </c>
      <c r="C345" s="48">
        <v>1</v>
      </c>
      <c r="D345" s="48">
        <v>0</v>
      </c>
      <c r="E345" s="47" t="s">
        <v>82</v>
      </c>
      <c r="F345" s="49" t="s">
        <v>101</v>
      </c>
      <c r="G345" s="49">
        <v>42690</v>
      </c>
      <c r="H345" s="49" t="s">
        <v>100</v>
      </c>
      <c r="I345" s="50" t="s">
        <v>40</v>
      </c>
      <c r="J345" s="19" t="str">
        <f>IF(Tabela2[[#This Row],[Gols M]]&lt;&gt;"",IF(Tabela2[[#This Row],[Gols M]]-Tabela2[[#This Row],[Gols V]]&gt;=0,IF(Tabela2[[#This Row],[Gols M]]-Tabela2[[#This Row],[Gols V]]&gt;0,"V","E"),"D"),"")</f>
        <v>V</v>
      </c>
      <c r="K345" s="19" t="str">
        <f>IF(Tabela2[[#This Row],[Gols M]]&lt;&gt;"",IF(Tabela2[[#This Row],[Gols V]]-Tabela2[[#This Row],[Gols M]]&gt;=0,IF(Tabela2[[#This Row],[Gols V]]-Tabela2[[#This Row],[Gols M]]&gt;0,"V","E"),"D"),"")</f>
        <v>D</v>
      </c>
      <c r="L345" s="19">
        <f>IF(OR('Por time'!E$2=Tabela2[[#This Row],[Mandante]], 'Por time'!E$2=Tabela2[[#This Row],[Visitante]]),1,0)</f>
        <v>0</v>
      </c>
      <c r="M345" s="25">
        <f>Tabela2[[#This Row],[Marcar time]]+M344</f>
        <v>34</v>
      </c>
      <c r="N345" s="25">
        <f>IMABS(Tabela2[[#This Row],[Gols M]]-Tabela2[[#This Row],[Gols V]])</f>
        <v>1</v>
      </c>
      <c r="O345" s="25">
        <f>Tabela2[[#This Row],[Gols M]]+Tabela2[[#This Row],[Gols V]]</f>
        <v>1</v>
      </c>
    </row>
    <row r="346" spans="1:15" x14ac:dyDescent="0.25">
      <c r="A346" s="19">
        <v>35</v>
      </c>
      <c r="B346" s="47" t="s">
        <v>78</v>
      </c>
      <c r="C346" s="48">
        <v>1</v>
      </c>
      <c r="D346" s="48">
        <v>1</v>
      </c>
      <c r="E346" s="47" t="s">
        <v>77</v>
      </c>
      <c r="F346" s="49" t="s">
        <v>101</v>
      </c>
      <c r="G346" s="49">
        <v>42690</v>
      </c>
      <c r="H346" s="49" t="s">
        <v>104</v>
      </c>
      <c r="I346" s="50" t="s">
        <v>33</v>
      </c>
      <c r="J346" s="19" t="str">
        <f>IF(Tabela2[[#This Row],[Gols M]]&lt;&gt;"",IF(Tabela2[[#This Row],[Gols M]]-Tabela2[[#This Row],[Gols V]]&gt;=0,IF(Tabela2[[#This Row],[Gols M]]-Tabela2[[#This Row],[Gols V]]&gt;0,"V","E"),"D"),"")</f>
        <v>E</v>
      </c>
      <c r="K346" s="19" t="str">
        <f>IF(Tabela2[[#This Row],[Gols M]]&lt;&gt;"",IF(Tabela2[[#This Row],[Gols V]]-Tabela2[[#This Row],[Gols M]]&gt;=0,IF(Tabela2[[#This Row],[Gols V]]-Tabela2[[#This Row],[Gols M]]&gt;0,"V","E"),"D"),"")</f>
        <v>E</v>
      </c>
      <c r="L346" s="19">
        <f>IF(OR('Por time'!E$2=Tabela2[[#This Row],[Mandante]], 'Por time'!E$2=Tabela2[[#This Row],[Visitante]]),1,0)</f>
        <v>0</v>
      </c>
      <c r="M346" s="25">
        <f>Tabela2[[#This Row],[Marcar time]]+M345</f>
        <v>34</v>
      </c>
      <c r="N346" s="25">
        <f>IMABS(Tabela2[[#This Row],[Gols M]]-Tabela2[[#This Row],[Gols V]])</f>
        <v>0</v>
      </c>
      <c r="O346" s="25">
        <f>Tabela2[[#This Row],[Gols M]]+Tabela2[[#This Row],[Gols V]]</f>
        <v>2</v>
      </c>
    </row>
    <row r="347" spans="1:15" x14ac:dyDescent="0.25">
      <c r="A347" s="19">
        <v>35</v>
      </c>
      <c r="B347" s="47" t="s">
        <v>86</v>
      </c>
      <c r="C347" s="48">
        <v>1</v>
      </c>
      <c r="D347" s="48">
        <v>1</v>
      </c>
      <c r="E347" s="47" t="s">
        <v>83</v>
      </c>
      <c r="F347" s="49" t="s">
        <v>112</v>
      </c>
      <c r="G347" s="49">
        <v>42689</v>
      </c>
      <c r="H347" s="49" t="s">
        <v>117</v>
      </c>
      <c r="I347" s="50" t="s">
        <v>23</v>
      </c>
      <c r="J347" s="19" t="str">
        <f>IF(Tabela2[[#This Row],[Gols M]]&lt;&gt;"",IF(Tabela2[[#This Row],[Gols M]]-Tabela2[[#This Row],[Gols V]]&gt;=0,IF(Tabela2[[#This Row],[Gols M]]-Tabela2[[#This Row],[Gols V]]&gt;0,"V","E"),"D"),"")</f>
        <v>E</v>
      </c>
      <c r="K347" s="19" t="str">
        <f>IF(Tabela2[[#This Row],[Gols M]]&lt;&gt;"",IF(Tabela2[[#This Row],[Gols V]]-Tabela2[[#This Row],[Gols M]]&gt;=0,IF(Tabela2[[#This Row],[Gols V]]-Tabela2[[#This Row],[Gols M]]&gt;0,"V","E"),"D"),"")</f>
        <v>E</v>
      </c>
      <c r="L347" s="19">
        <f>IF(OR('Por time'!E$2=Tabela2[[#This Row],[Mandante]], 'Por time'!E$2=Tabela2[[#This Row],[Visitante]]),1,0)</f>
        <v>1</v>
      </c>
      <c r="M347" s="25">
        <f>Tabela2[[#This Row],[Marcar time]]+M346</f>
        <v>35</v>
      </c>
      <c r="N347" s="25">
        <f>IMABS(Tabela2[[#This Row],[Gols M]]-Tabela2[[#This Row],[Gols V]])</f>
        <v>0</v>
      </c>
      <c r="O347" s="25">
        <f>Tabela2[[#This Row],[Gols M]]+Tabela2[[#This Row],[Gols V]]</f>
        <v>2</v>
      </c>
    </row>
    <row r="348" spans="1:15" x14ac:dyDescent="0.25">
      <c r="A348" s="19">
        <v>35</v>
      </c>
      <c r="B348" s="47" t="s">
        <v>80</v>
      </c>
      <c r="C348" s="48">
        <v>1</v>
      </c>
      <c r="D348" s="48">
        <v>1</v>
      </c>
      <c r="E348" s="47" t="s">
        <v>88</v>
      </c>
      <c r="F348" s="49" t="s">
        <v>103</v>
      </c>
      <c r="G348" s="49">
        <v>42691</v>
      </c>
      <c r="H348" s="49" t="s">
        <v>100</v>
      </c>
      <c r="I348" s="50" t="s">
        <v>27</v>
      </c>
      <c r="J348" s="19" t="str">
        <f>IF(Tabela2[[#This Row],[Gols M]]&lt;&gt;"",IF(Tabela2[[#This Row],[Gols M]]-Tabela2[[#This Row],[Gols V]]&gt;=0,IF(Tabela2[[#This Row],[Gols M]]-Tabela2[[#This Row],[Gols V]]&gt;0,"V","E"),"D"),"")</f>
        <v>E</v>
      </c>
      <c r="K348" s="19" t="str">
        <f>IF(Tabela2[[#This Row],[Gols M]]&lt;&gt;"",IF(Tabela2[[#This Row],[Gols V]]-Tabela2[[#This Row],[Gols M]]&gt;=0,IF(Tabela2[[#This Row],[Gols V]]-Tabela2[[#This Row],[Gols M]]&gt;0,"V","E"),"D"),"")</f>
        <v>E</v>
      </c>
      <c r="L348" s="19">
        <f>IF(OR('Por time'!E$2=Tabela2[[#This Row],[Mandante]], 'Por time'!E$2=Tabela2[[#This Row],[Visitante]]),1,0)</f>
        <v>0</v>
      </c>
      <c r="M348" s="25">
        <f>Tabela2[[#This Row],[Marcar time]]+M347</f>
        <v>35</v>
      </c>
      <c r="N348" s="25">
        <f>IMABS(Tabela2[[#This Row],[Gols M]]-Tabela2[[#This Row],[Gols V]])</f>
        <v>0</v>
      </c>
      <c r="O348" s="25">
        <f>Tabela2[[#This Row],[Gols M]]+Tabela2[[#This Row],[Gols V]]</f>
        <v>2</v>
      </c>
    </row>
    <row r="349" spans="1:15" x14ac:dyDescent="0.25">
      <c r="A349" s="19">
        <v>35</v>
      </c>
      <c r="B349" s="47" t="s">
        <v>89</v>
      </c>
      <c r="C349" s="48">
        <v>3</v>
      </c>
      <c r="D349" s="48">
        <v>2</v>
      </c>
      <c r="E349" s="47" t="s">
        <v>91</v>
      </c>
      <c r="F349" s="49" t="s">
        <v>103</v>
      </c>
      <c r="G349" s="49">
        <v>42691</v>
      </c>
      <c r="H349" s="49" t="s">
        <v>102</v>
      </c>
      <c r="I349" s="50" t="s">
        <v>6</v>
      </c>
      <c r="J349" s="19" t="str">
        <f>IF(Tabela2[[#This Row],[Gols M]]&lt;&gt;"",IF(Tabela2[[#This Row],[Gols M]]-Tabela2[[#This Row],[Gols V]]&gt;=0,IF(Tabela2[[#This Row],[Gols M]]-Tabela2[[#This Row],[Gols V]]&gt;0,"V","E"),"D"),"")</f>
        <v>V</v>
      </c>
      <c r="K349" s="19" t="str">
        <f>IF(Tabela2[[#This Row],[Gols M]]&lt;&gt;"",IF(Tabela2[[#This Row],[Gols V]]-Tabela2[[#This Row],[Gols M]]&gt;=0,IF(Tabela2[[#This Row],[Gols V]]-Tabela2[[#This Row],[Gols M]]&gt;0,"V","E"),"D"),"")</f>
        <v>D</v>
      </c>
      <c r="L349" s="19">
        <f>IF(OR('Por time'!E$2=Tabela2[[#This Row],[Mandante]], 'Por time'!E$2=Tabela2[[#This Row],[Visitante]]),1,0)</f>
        <v>0</v>
      </c>
      <c r="M349" s="25">
        <f>Tabela2[[#This Row],[Marcar time]]+M348</f>
        <v>35</v>
      </c>
      <c r="N349" s="25">
        <f>IMABS(Tabela2[[#This Row],[Gols M]]-Tabela2[[#This Row],[Gols V]])</f>
        <v>1</v>
      </c>
      <c r="O349" s="25">
        <f>Tabela2[[#This Row],[Gols M]]+Tabela2[[#This Row],[Gols V]]</f>
        <v>5</v>
      </c>
    </row>
    <row r="350" spans="1:15" x14ac:dyDescent="0.25">
      <c r="A350" s="19">
        <v>35</v>
      </c>
      <c r="B350" s="47" t="s">
        <v>92</v>
      </c>
      <c r="C350" s="48">
        <v>1</v>
      </c>
      <c r="D350" s="48">
        <v>1</v>
      </c>
      <c r="E350" s="47" t="s">
        <v>87</v>
      </c>
      <c r="F350" s="49" t="s">
        <v>103</v>
      </c>
      <c r="G350" s="49">
        <v>42691</v>
      </c>
      <c r="H350" s="49" t="s">
        <v>102</v>
      </c>
      <c r="I350" s="50" t="s">
        <v>41</v>
      </c>
      <c r="J350" s="19" t="str">
        <f>IF(Tabela2[[#This Row],[Gols M]]&lt;&gt;"",IF(Tabela2[[#This Row],[Gols M]]-Tabela2[[#This Row],[Gols V]]&gt;=0,IF(Tabela2[[#This Row],[Gols M]]-Tabela2[[#This Row],[Gols V]]&gt;0,"V","E"),"D"),"")</f>
        <v>E</v>
      </c>
      <c r="K350" s="19" t="str">
        <f>IF(Tabela2[[#This Row],[Gols M]]&lt;&gt;"",IF(Tabela2[[#This Row],[Gols V]]-Tabela2[[#This Row],[Gols M]]&gt;=0,IF(Tabela2[[#This Row],[Gols V]]-Tabela2[[#This Row],[Gols M]]&gt;0,"V","E"),"D"),"")</f>
        <v>E</v>
      </c>
      <c r="L350" s="19">
        <f>IF(OR('Por time'!E$2=Tabela2[[#This Row],[Mandante]], 'Por time'!E$2=Tabela2[[#This Row],[Visitante]]),1,0)</f>
        <v>0</v>
      </c>
      <c r="M350" s="25">
        <f>Tabela2[[#This Row],[Marcar time]]+M349</f>
        <v>35</v>
      </c>
      <c r="N350" s="25">
        <f>IMABS(Tabela2[[#This Row],[Gols M]]-Tabela2[[#This Row],[Gols V]])</f>
        <v>0</v>
      </c>
      <c r="O350" s="25">
        <f>Tabela2[[#This Row],[Gols M]]+Tabela2[[#This Row],[Gols V]]</f>
        <v>2</v>
      </c>
    </row>
    <row r="351" spans="1:15" x14ac:dyDescent="0.25">
      <c r="A351" s="19">
        <v>35</v>
      </c>
      <c r="B351" s="47" t="s">
        <v>90</v>
      </c>
      <c r="C351" s="48">
        <v>0</v>
      </c>
      <c r="D351" s="48">
        <v>1</v>
      </c>
      <c r="E351" s="47" t="s">
        <v>85</v>
      </c>
      <c r="F351" s="49" t="s">
        <v>101</v>
      </c>
      <c r="G351" s="49">
        <v>42690</v>
      </c>
      <c r="H351" s="49" t="s">
        <v>104</v>
      </c>
      <c r="I351" s="50" t="s">
        <v>8</v>
      </c>
      <c r="J351" s="19" t="str">
        <f>IF(Tabela2[[#This Row],[Gols M]]&lt;&gt;"",IF(Tabela2[[#This Row],[Gols M]]-Tabela2[[#This Row],[Gols V]]&gt;=0,IF(Tabela2[[#This Row],[Gols M]]-Tabela2[[#This Row],[Gols V]]&gt;0,"V","E"),"D"),"")</f>
        <v>D</v>
      </c>
      <c r="K351" s="19" t="str">
        <f>IF(Tabela2[[#This Row],[Gols M]]&lt;&gt;"",IF(Tabela2[[#This Row],[Gols V]]-Tabela2[[#This Row],[Gols M]]&gt;=0,IF(Tabela2[[#This Row],[Gols V]]-Tabela2[[#This Row],[Gols M]]&gt;0,"V","E"),"D"),"")</f>
        <v>V</v>
      </c>
      <c r="L351" s="19">
        <f>IF(OR('Por time'!E$2=Tabela2[[#This Row],[Mandante]], 'Por time'!E$2=Tabela2[[#This Row],[Visitante]]),1,0)</f>
        <v>0</v>
      </c>
      <c r="M351" s="25">
        <f>Tabela2[[#This Row],[Marcar time]]+M350</f>
        <v>35</v>
      </c>
      <c r="N351" s="25">
        <f>IMABS(Tabela2[[#This Row],[Gols M]]-Tabela2[[#This Row],[Gols V]])</f>
        <v>1</v>
      </c>
      <c r="O351" s="25">
        <f>Tabela2[[#This Row],[Gols M]]+Tabela2[[#This Row],[Gols V]]</f>
        <v>1</v>
      </c>
    </row>
    <row r="352" spans="1:15" x14ac:dyDescent="0.25">
      <c r="A352" s="19">
        <v>36</v>
      </c>
      <c r="B352" s="47" t="s">
        <v>83</v>
      </c>
      <c r="C352" s="48">
        <v>2</v>
      </c>
      <c r="D352" s="48">
        <v>0</v>
      </c>
      <c r="E352" s="47" t="s">
        <v>90</v>
      </c>
      <c r="F352" s="49" t="s">
        <v>95</v>
      </c>
      <c r="G352" s="49">
        <v>42694</v>
      </c>
      <c r="H352" s="49" t="s">
        <v>117</v>
      </c>
      <c r="I352" s="50" t="s">
        <v>0</v>
      </c>
      <c r="J352" s="19" t="str">
        <f>IF(Tabela2[[#This Row],[Gols M]]&lt;&gt;"",IF(Tabela2[[#This Row],[Gols M]]-Tabela2[[#This Row],[Gols V]]&gt;=0,IF(Tabela2[[#This Row],[Gols M]]-Tabela2[[#This Row],[Gols V]]&gt;0,"V","E"),"D"),"")</f>
        <v>V</v>
      </c>
      <c r="K352" s="19" t="str">
        <f>IF(Tabela2[[#This Row],[Gols M]]&lt;&gt;"",IF(Tabela2[[#This Row],[Gols V]]-Tabela2[[#This Row],[Gols M]]&gt;=0,IF(Tabela2[[#This Row],[Gols V]]-Tabela2[[#This Row],[Gols M]]&gt;0,"V","E"),"D"),"")</f>
        <v>D</v>
      </c>
      <c r="L352" s="19">
        <f>IF(OR('Por time'!E$2=Tabela2[[#This Row],[Mandante]], 'Por time'!E$2=Tabela2[[#This Row],[Visitante]]),1,0)</f>
        <v>1</v>
      </c>
      <c r="M352" s="25">
        <f>Tabela2[[#This Row],[Marcar time]]+M351</f>
        <v>36</v>
      </c>
      <c r="N352" s="25">
        <f>IMABS(Tabela2[[#This Row],[Gols M]]-Tabela2[[#This Row],[Gols V]])</f>
        <v>2</v>
      </c>
      <c r="O352" s="25">
        <f>Tabela2[[#This Row],[Gols M]]+Tabela2[[#This Row],[Gols V]]</f>
        <v>2</v>
      </c>
    </row>
    <row r="353" spans="1:15" x14ac:dyDescent="0.25">
      <c r="A353" s="19">
        <v>36</v>
      </c>
      <c r="B353" s="47" t="s">
        <v>84</v>
      </c>
      <c r="C353" s="48">
        <v>2</v>
      </c>
      <c r="D353" s="48">
        <v>0</v>
      </c>
      <c r="E353" s="47" t="s">
        <v>92</v>
      </c>
      <c r="F353" s="49" t="s">
        <v>95</v>
      </c>
      <c r="G353" s="49">
        <v>42694</v>
      </c>
      <c r="H353" s="49" t="s">
        <v>102</v>
      </c>
      <c r="I353" s="50" t="s">
        <v>1</v>
      </c>
      <c r="J353" s="19" t="str">
        <f>IF(Tabela2[[#This Row],[Gols M]]&lt;&gt;"",IF(Tabela2[[#This Row],[Gols M]]-Tabela2[[#This Row],[Gols V]]&gt;=0,IF(Tabela2[[#This Row],[Gols M]]-Tabela2[[#This Row],[Gols V]]&gt;0,"V","E"),"D"),"")</f>
        <v>V</v>
      </c>
      <c r="K353" s="19" t="str">
        <f>IF(Tabela2[[#This Row],[Gols M]]&lt;&gt;"",IF(Tabela2[[#This Row],[Gols V]]-Tabela2[[#This Row],[Gols M]]&gt;=0,IF(Tabela2[[#This Row],[Gols V]]-Tabela2[[#This Row],[Gols M]]&gt;0,"V","E"),"D"),"")</f>
        <v>D</v>
      </c>
      <c r="L353" s="19">
        <f>IF(OR('Por time'!E$2=Tabela2[[#This Row],[Mandante]], 'Por time'!E$2=Tabela2[[#This Row],[Visitante]]),1,0)</f>
        <v>0</v>
      </c>
      <c r="M353" s="25">
        <f>Tabela2[[#This Row],[Marcar time]]+M352</f>
        <v>36</v>
      </c>
      <c r="N353" s="25">
        <f>IMABS(Tabela2[[#This Row],[Gols M]]-Tabela2[[#This Row],[Gols V]])</f>
        <v>2</v>
      </c>
      <c r="O353" s="25">
        <f>Tabela2[[#This Row],[Gols M]]+Tabela2[[#This Row],[Gols V]]</f>
        <v>2</v>
      </c>
    </row>
    <row r="354" spans="1:15" x14ac:dyDescent="0.25">
      <c r="A354" s="19">
        <v>36</v>
      </c>
      <c r="B354" s="47" t="s">
        <v>77</v>
      </c>
      <c r="C354" s="48">
        <v>1</v>
      </c>
      <c r="D354" s="48">
        <v>0</v>
      </c>
      <c r="E354" s="47" t="s">
        <v>80</v>
      </c>
      <c r="F354" s="49" t="s">
        <v>113</v>
      </c>
      <c r="G354" s="49">
        <v>42695</v>
      </c>
      <c r="H354" s="49" t="s">
        <v>107</v>
      </c>
      <c r="I354" s="50" t="s">
        <v>18</v>
      </c>
      <c r="J354" s="19" t="str">
        <f>IF(Tabela2[[#This Row],[Gols M]]&lt;&gt;"",IF(Tabela2[[#This Row],[Gols M]]-Tabela2[[#This Row],[Gols V]]&gt;=0,IF(Tabela2[[#This Row],[Gols M]]-Tabela2[[#This Row],[Gols V]]&gt;0,"V","E"),"D"),"")</f>
        <v>V</v>
      </c>
      <c r="K354" s="19" t="str">
        <f>IF(Tabela2[[#This Row],[Gols M]]&lt;&gt;"",IF(Tabela2[[#This Row],[Gols V]]-Tabela2[[#This Row],[Gols M]]&gt;=0,IF(Tabela2[[#This Row],[Gols V]]-Tabela2[[#This Row],[Gols M]]&gt;0,"V","E"),"D"),"")</f>
        <v>D</v>
      </c>
      <c r="L354" s="19">
        <f>IF(OR('Por time'!E$2=Tabela2[[#This Row],[Mandante]], 'Por time'!E$2=Tabela2[[#This Row],[Visitante]]),1,0)</f>
        <v>0</v>
      </c>
      <c r="M354" s="25">
        <f>Tabela2[[#This Row],[Marcar time]]+M353</f>
        <v>36</v>
      </c>
      <c r="N354" s="25">
        <f>IMABS(Tabela2[[#This Row],[Gols M]]-Tabela2[[#This Row],[Gols V]])</f>
        <v>1</v>
      </c>
      <c r="O354" s="25">
        <f>Tabela2[[#This Row],[Gols M]]+Tabela2[[#This Row],[Gols V]]</f>
        <v>1</v>
      </c>
    </row>
    <row r="355" spans="1:15" x14ac:dyDescent="0.25">
      <c r="A355" s="19">
        <v>36</v>
      </c>
      <c r="B355" s="47" t="s">
        <v>85</v>
      </c>
      <c r="C355" s="48">
        <v>2</v>
      </c>
      <c r="D355" s="48">
        <v>2</v>
      </c>
      <c r="E355" s="47" t="s">
        <v>89</v>
      </c>
      <c r="F355" s="49" t="s">
        <v>95</v>
      </c>
      <c r="G355" s="49">
        <v>42694</v>
      </c>
      <c r="H355" s="49" t="s">
        <v>117</v>
      </c>
      <c r="I355" s="50" t="s">
        <v>2</v>
      </c>
      <c r="J355" s="19" t="str">
        <f>IF(Tabela2[[#This Row],[Gols M]]&lt;&gt;"",IF(Tabela2[[#This Row],[Gols M]]-Tabela2[[#This Row],[Gols V]]&gt;=0,IF(Tabela2[[#This Row],[Gols M]]-Tabela2[[#This Row],[Gols V]]&gt;0,"V","E"),"D"),"")</f>
        <v>E</v>
      </c>
      <c r="K355" s="19" t="str">
        <f>IF(Tabela2[[#This Row],[Gols M]]&lt;&gt;"",IF(Tabela2[[#This Row],[Gols V]]-Tabela2[[#This Row],[Gols M]]&gt;=0,IF(Tabela2[[#This Row],[Gols V]]-Tabela2[[#This Row],[Gols M]]&gt;0,"V","E"),"D"),"")</f>
        <v>E</v>
      </c>
      <c r="L355" s="19">
        <f>IF(OR('Por time'!E$2=Tabela2[[#This Row],[Mandante]], 'Por time'!E$2=Tabela2[[#This Row],[Visitante]]),1,0)</f>
        <v>0</v>
      </c>
      <c r="M355" s="25">
        <f>Tabela2[[#This Row],[Marcar time]]+M354</f>
        <v>36</v>
      </c>
      <c r="N355" s="25">
        <f>IMABS(Tabela2[[#This Row],[Gols M]]-Tabela2[[#This Row],[Gols V]])</f>
        <v>0</v>
      </c>
      <c r="O355" s="25">
        <f>Tabela2[[#This Row],[Gols M]]+Tabela2[[#This Row],[Gols V]]</f>
        <v>4</v>
      </c>
    </row>
    <row r="356" spans="1:15" x14ac:dyDescent="0.25">
      <c r="A356" s="19">
        <v>36</v>
      </c>
      <c r="B356" s="47" t="s">
        <v>79</v>
      </c>
      <c r="C356" s="48">
        <v>2</v>
      </c>
      <c r="D356" s="48">
        <v>2</v>
      </c>
      <c r="E356" s="47" t="s">
        <v>76</v>
      </c>
      <c r="F356" s="49" t="s">
        <v>95</v>
      </c>
      <c r="G356" s="49">
        <v>42694</v>
      </c>
      <c r="H356" s="49" t="s">
        <v>102</v>
      </c>
      <c r="I356" s="50" t="s">
        <v>23</v>
      </c>
      <c r="J356" s="19" t="str">
        <f>IF(Tabela2[[#This Row],[Gols M]]&lt;&gt;"",IF(Tabela2[[#This Row],[Gols M]]-Tabela2[[#This Row],[Gols V]]&gt;=0,IF(Tabela2[[#This Row],[Gols M]]-Tabela2[[#This Row],[Gols V]]&gt;0,"V","E"),"D"),"")</f>
        <v>E</v>
      </c>
      <c r="K356" s="19" t="str">
        <f>IF(Tabela2[[#This Row],[Gols M]]&lt;&gt;"",IF(Tabela2[[#This Row],[Gols V]]-Tabela2[[#This Row],[Gols M]]&gt;=0,IF(Tabela2[[#This Row],[Gols V]]-Tabela2[[#This Row],[Gols M]]&gt;0,"V","E"),"D"),"")</f>
        <v>E</v>
      </c>
      <c r="L356" s="19">
        <f>IF(OR('Por time'!E$2=Tabela2[[#This Row],[Mandante]], 'Por time'!E$2=Tabela2[[#This Row],[Visitante]]),1,0)</f>
        <v>0</v>
      </c>
      <c r="M356" s="25">
        <f>Tabela2[[#This Row],[Marcar time]]+M355</f>
        <v>36</v>
      </c>
      <c r="N356" s="25">
        <f>IMABS(Tabela2[[#This Row],[Gols M]]-Tabela2[[#This Row],[Gols V]])</f>
        <v>0</v>
      </c>
      <c r="O356" s="25">
        <f>Tabela2[[#This Row],[Gols M]]+Tabela2[[#This Row],[Gols V]]</f>
        <v>4</v>
      </c>
    </row>
    <row r="357" spans="1:15" x14ac:dyDescent="0.25">
      <c r="A357" s="19">
        <v>36</v>
      </c>
      <c r="B357" s="47" t="s">
        <v>87</v>
      </c>
      <c r="C357" s="48">
        <v>3</v>
      </c>
      <c r="D357" s="48">
        <v>0</v>
      </c>
      <c r="E357" s="47" t="s">
        <v>73</v>
      </c>
      <c r="F357" s="49" t="s">
        <v>95</v>
      </c>
      <c r="G357" s="49">
        <v>42694</v>
      </c>
      <c r="H357" s="49" t="s">
        <v>117</v>
      </c>
      <c r="I357" s="50" t="s">
        <v>4</v>
      </c>
      <c r="J357" s="19" t="str">
        <f>IF(Tabela2[[#This Row],[Gols M]]&lt;&gt;"",IF(Tabela2[[#This Row],[Gols M]]-Tabela2[[#This Row],[Gols V]]&gt;=0,IF(Tabela2[[#This Row],[Gols M]]-Tabela2[[#This Row],[Gols V]]&gt;0,"V","E"),"D"),"")</f>
        <v>V</v>
      </c>
      <c r="K357" s="19" t="str">
        <f>IF(Tabela2[[#This Row],[Gols M]]&lt;&gt;"",IF(Tabela2[[#This Row],[Gols V]]-Tabela2[[#This Row],[Gols M]]&gt;=0,IF(Tabela2[[#This Row],[Gols V]]-Tabela2[[#This Row],[Gols M]]&gt;0,"V","E"),"D"),"")</f>
        <v>D</v>
      </c>
      <c r="L357" s="19">
        <f>IF(OR('Por time'!E$2=Tabela2[[#This Row],[Mandante]], 'Por time'!E$2=Tabela2[[#This Row],[Visitante]]),1,0)</f>
        <v>0</v>
      </c>
      <c r="M357" s="25">
        <f>Tabela2[[#This Row],[Marcar time]]+M356</f>
        <v>36</v>
      </c>
      <c r="N357" s="25">
        <f>IMABS(Tabela2[[#This Row],[Gols M]]-Tabela2[[#This Row],[Gols V]])</f>
        <v>3</v>
      </c>
      <c r="O357" s="25">
        <f>Tabela2[[#This Row],[Gols M]]+Tabela2[[#This Row],[Gols V]]</f>
        <v>3</v>
      </c>
    </row>
    <row r="358" spans="1:15" x14ac:dyDescent="0.25">
      <c r="A358" s="19">
        <v>36</v>
      </c>
      <c r="B358" s="47" t="s">
        <v>81</v>
      </c>
      <c r="C358" s="48">
        <v>1</v>
      </c>
      <c r="D358" s="48">
        <v>0</v>
      </c>
      <c r="E358" s="47" t="s">
        <v>74</v>
      </c>
      <c r="F358" s="49" t="s">
        <v>95</v>
      </c>
      <c r="G358" s="49">
        <v>42694</v>
      </c>
      <c r="H358" s="49" t="s">
        <v>117</v>
      </c>
      <c r="I358" s="50" t="s">
        <v>30</v>
      </c>
      <c r="J358" s="19" t="str">
        <f>IF(Tabela2[[#This Row],[Gols M]]&lt;&gt;"",IF(Tabela2[[#This Row],[Gols M]]-Tabela2[[#This Row],[Gols V]]&gt;=0,IF(Tabela2[[#This Row],[Gols M]]-Tabela2[[#This Row],[Gols V]]&gt;0,"V","E"),"D"),"")</f>
        <v>V</v>
      </c>
      <c r="K358" s="19" t="str">
        <f>IF(Tabela2[[#This Row],[Gols M]]&lt;&gt;"",IF(Tabela2[[#This Row],[Gols V]]-Tabela2[[#This Row],[Gols M]]&gt;=0,IF(Tabela2[[#This Row],[Gols V]]-Tabela2[[#This Row],[Gols M]]&gt;0,"V","E"),"D"),"")</f>
        <v>D</v>
      </c>
      <c r="L358" s="19">
        <f>IF(OR('Por time'!E$2=Tabela2[[#This Row],[Mandante]], 'Por time'!E$2=Tabela2[[#This Row],[Visitante]]),1,0)</f>
        <v>0</v>
      </c>
      <c r="M358" s="25">
        <f>Tabela2[[#This Row],[Marcar time]]+M357</f>
        <v>36</v>
      </c>
      <c r="N358" s="25">
        <f>IMABS(Tabela2[[#This Row],[Gols M]]-Tabela2[[#This Row],[Gols V]])</f>
        <v>1</v>
      </c>
      <c r="O358" s="25">
        <f>Tabela2[[#This Row],[Gols M]]+Tabela2[[#This Row],[Gols V]]</f>
        <v>1</v>
      </c>
    </row>
    <row r="359" spans="1:15" x14ac:dyDescent="0.25">
      <c r="A359" s="19">
        <v>36</v>
      </c>
      <c r="B359" s="47" t="s">
        <v>88</v>
      </c>
      <c r="C359" s="48">
        <v>1</v>
      </c>
      <c r="D359" s="48">
        <v>0</v>
      </c>
      <c r="E359" s="47" t="s">
        <v>86</v>
      </c>
      <c r="F359" s="49" t="s">
        <v>95</v>
      </c>
      <c r="G359" s="49">
        <v>42694</v>
      </c>
      <c r="H359" s="49" t="s">
        <v>117</v>
      </c>
      <c r="I359" s="50" t="s">
        <v>5</v>
      </c>
      <c r="J359" s="19" t="str">
        <f>IF(Tabela2[[#This Row],[Gols M]]&lt;&gt;"",IF(Tabela2[[#This Row],[Gols M]]-Tabela2[[#This Row],[Gols V]]&gt;=0,IF(Tabela2[[#This Row],[Gols M]]-Tabela2[[#This Row],[Gols V]]&gt;0,"V","E"),"D"),"")</f>
        <v>V</v>
      </c>
      <c r="K359" s="19" t="str">
        <f>IF(Tabela2[[#This Row],[Gols M]]&lt;&gt;"",IF(Tabela2[[#This Row],[Gols V]]-Tabela2[[#This Row],[Gols M]]&gt;=0,IF(Tabela2[[#This Row],[Gols V]]-Tabela2[[#This Row],[Gols M]]&gt;0,"V","E"),"D"),"")</f>
        <v>D</v>
      </c>
      <c r="L359" s="19">
        <f>IF(OR('Por time'!E$2=Tabela2[[#This Row],[Mandante]], 'Por time'!E$2=Tabela2[[#This Row],[Visitante]]),1,0)</f>
        <v>0</v>
      </c>
      <c r="M359" s="25">
        <f>Tabela2[[#This Row],[Marcar time]]+M358</f>
        <v>36</v>
      </c>
      <c r="N359" s="25">
        <f>IMABS(Tabela2[[#This Row],[Gols M]]-Tabela2[[#This Row],[Gols V]])</f>
        <v>1</v>
      </c>
      <c r="O359" s="25">
        <f>Tabela2[[#This Row],[Gols M]]+Tabela2[[#This Row],[Gols V]]</f>
        <v>1</v>
      </c>
    </row>
    <row r="360" spans="1:15" x14ac:dyDescent="0.25">
      <c r="A360" s="19">
        <v>36</v>
      </c>
      <c r="B360" s="47" t="s">
        <v>82</v>
      </c>
      <c r="C360" s="48">
        <v>3</v>
      </c>
      <c r="D360" s="48">
        <v>3</v>
      </c>
      <c r="E360" s="47" t="s">
        <v>75</v>
      </c>
      <c r="F360" s="49" t="s">
        <v>95</v>
      </c>
      <c r="G360" s="49">
        <v>42694</v>
      </c>
      <c r="H360" s="49" t="s">
        <v>102</v>
      </c>
      <c r="I360" s="50" t="s">
        <v>36</v>
      </c>
      <c r="J360" s="19" t="str">
        <f>IF(Tabela2[[#This Row],[Gols M]]&lt;&gt;"",IF(Tabela2[[#This Row],[Gols M]]-Tabela2[[#This Row],[Gols V]]&gt;=0,IF(Tabela2[[#This Row],[Gols M]]-Tabela2[[#This Row],[Gols V]]&gt;0,"V","E"),"D"),"")</f>
        <v>E</v>
      </c>
      <c r="K360" s="19" t="str">
        <f>IF(Tabela2[[#This Row],[Gols M]]&lt;&gt;"",IF(Tabela2[[#This Row],[Gols V]]-Tabela2[[#This Row],[Gols M]]&gt;=0,IF(Tabela2[[#This Row],[Gols V]]-Tabela2[[#This Row],[Gols M]]&gt;0,"V","E"),"D"),"")</f>
        <v>E</v>
      </c>
      <c r="L360" s="19">
        <f>IF(OR('Por time'!E$2=Tabela2[[#This Row],[Mandante]], 'Por time'!E$2=Tabela2[[#This Row],[Visitante]]),1,0)</f>
        <v>0</v>
      </c>
      <c r="M360" s="25">
        <f>Tabela2[[#This Row],[Marcar time]]+M359</f>
        <v>36</v>
      </c>
      <c r="N360" s="25">
        <f>IMABS(Tabela2[[#This Row],[Gols M]]-Tabela2[[#This Row],[Gols V]])</f>
        <v>0</v>
      </c>
      <c r="O360" s="25">
        <f>Tabela2[[#This Row],[Gols M]]+Tabela2[[#This Row],[Gols V]]</f>
        <v>6</v>
      </c>
    </row>
    <row r="361" spans="1:15" x14ac:dyDescent="0.25">
      <c r="A361" s="19">
        <v>36</v>
      </c>
      <c r="B361" s="47" t="s">
        <v>91</v>
      </c>
      <c r="C361" s="48">
        <v>4</v>
      </c>
      <c r="D361" s="48">
        <v>0</v>
      </c>
      <c r="E361" s="47" t="s">
        <v>78</v>
      </c>
      <c r="F361" s="49" t="s">
        <v>95</v>
      </c>
      <c r="G361" s="49">
        <v>42694</v>
      </c>
      <c r="H361" s="49" t="s">
        <v>117</v>
      </c>
      <c r="I361" s="50" t="s">
        <v>9</v>
      </c>
      <c r="J361" s="19" t="str">
        <f>IF(Tabela2[[#This Row],[Gols M]]&lt;&gt;"",IF(Tabela2[[#This Row],[Gols M]]-Tabela2[[#This Row],[Gols V]]&gt;=0,IF(Tabela2[[#This Row],[Gols M]]-Tabela2[[#This Row],[Gols V]]&gt;0,"V","E"),"D"),"")</f>
        <v>V</v>
      </c>
      <c r="K361" s="19" t="str">
        <f>IF(Tabela2[[#This Row],[Gols M]]&lt;&gt;"",IF(Tabela2[[#This Row],[Gols V]]-Tabela2[[#This Row],[Gols M]]&gt;=0,IF(Tabela2[[#This Row],[Gols V]]-Tabela2[[#This Row],[Gols M]]&gt;0,"V","E"),"D"),"")</f>
        <v>D</v>
      </c>
      <c r="L361" s="19">
        <f>IF(OR('Por time'!E$2=Tabela2[[#This Row],[Mandante]], 'Por time'!E$2=Tabela2[[#This Row],[Visitante]]),1,0)</f>
        <v>0</v>
      </c>
      <c r="M361" s="25">
        <f>Tabela2[[#This Row],[Marcar time]]+M360</f>
        <v>36</v>
      </c>
      <c r="N361" s="25">
        <f>IMABS(Tabela2[[#This Row],[Gols M]]-Tabela2[[#This Row],[Gols V]])</f>
        <v>4</v>
      </c>
      <c r="O361" s="25">
        <f>Tabela2[[#This Row],[Gols M]]+Tabela2[[#This Row],[Gols V]]</f>
        <v>4</v>
      </c>
    </row>
    <row r="362" spans="1:15" x14ac:dyDescent="0.25">
      <c r="A362" s="19">
        <v>37</v>
      </c>
      <c r="B362" s="47" t="s">
        <v>73</v>
      </c>
      <c r="C362" s="48">
        <v>2</v>
      </c>
      <c r="D362" s="48">
        <v>2</v>
      </c>
      <c r="E362" s="47" t="s">
        <v>90</v>
      </c>
      <c r="F362" s="49" t="s">
        <v>98</v>
      </c>
      <c r="G362" s="49">
        <v>42700</v>
      </c>
      <c r="H362" s="49" t="s">
        <v>107</v>
      </c>
      <c r="I362" s="50" t="s">
        <v>11</v>
      </c>
      <c r="J362" s="19" t="str">
        <f>IF(Tabela2[[#This Row],[Gols M]]&lt;&gt;"",IF(Tabela2[[#This Row],[Gols M]]-Tabela2[[#This Row],[Gols V]]&gt;=0,IF(Tabela2[[#This Row],[Gols M]]-Tabela2[[#This Row],[Gols V]]&gt;0,"V","E"),"D"),"")</f>
        <v>E</v>
      </c>
      <c r="K362" s="19" t="str">
        <f>IF(Tabela2[[#This Row],[Gols M]]&lt;&gt;"",IF(Tabela2[[#This Row],[Gols V]]-Tabela2[[#This Row],[Gols M]]&gt;=0,IF(Tabela2[[#This Row],[Gols V]]-Tabela2[[#This Row],[Gols M]]&gt;0,"V","E"),"D"),"")</f>
        <v>E</v>
      </c>
      <c r="L362" s="19">
        <f>IF(OR('Por time'!E$2=Tabela2[[#This Row],[Mandante]], 'Por time'!E$2=Tabela2[[#This Row],[Visitante]]),1,0)</f>
        <v>0</v>
      </c>
      <c r="M362" s="25">
        <f>Tabela2[[#This Row],[Marcar time]]+M361</f>
        <v>36</v>
      </c>
      <c r="N362" s="25">
        <f>IMABS(Tabela2[[#This Row],[Gols M]]-Tabela2[[#This Row],[Gols V]])</f>
        <v>0</v>
      </c>
      <c r="O362" s="25">
        <f>Tabela2[[#This Row],[Gols M]]+Tabela2[[#This Row],[Gols V]]</f>
        <v>4</v>
      </c>
    </row>
    <row r="363" spans="1:15" x14ac:dyDescent="0.25">
      <c r="A363" s="19">
        <v>37</v>
      </c>
      <c r="B363" s="47" t="s">
        <v>74</v>
      </c>
      <c r="C363" s="48">
        <v>1</v>
      </c>
      <c r="D363" s="48">
        <v>1</v>
      </c>
      <c r="E363" s="47" t="s">
        <v>88</v>
      </c>
      <c r="F363" s="49" t="s">
        <v>98</v>
      </c>
      <c r="G363" s="49">
        <v>42700</v>
      </c>
      <c r="H363" s="49" t="s">
        <v>107</v>
      </c>
      <c r="I363" s="50" t="s">
        <v>14</v>
      </c>
      <c r="J363" s="19" t="str">
        <f>IF(Tabela2[[#This Row],[Gols M]]&lt;&gt;"",IF(Tabela2[[#This Row],[Gols M]]-Tabela2[[#This Row],[Gols V]]&gt;=0,IF(Tabela2[[#This Row],[Gols M]]-Tabela2[[#This Row],[Gols V]]&gt;0,"V","E"),"D"),"")</f>
        <v>E</v>
      </c>
      <c r="K363" s="19" t="str">
        <f>IF(Tabela2[[#This Row],[Gols M]]&lt;&gt;"",IF(Tabela2[[#This Row],[Gols V]]-Tabela2[[#This Row],[Gols M]]&gt;=0,IF(Tabela2[[#This Row],[Gols V]]-Tabela2[[#This Row],[Gols M]]&gt;0,"V","E"),"D"),"")</f>
        <v>E</v>
      </c>
      <c r="L363" s="19">
        <f>IF(OR('Por time'!E$2=Tabela2[[#This Row],[Mandante]], 'Por time'!E$2=Tabela2[[#This Row],[Visitante]]),1,0)</f>
        <v>0</v>
      </c>
      <c r="M363" s="25">
        <f>Tabela2[[#This Row],[Marcar time]]+M362</f>
        <v>36</v>
      </c>
      <c r="N363" s="25">
        <f>IMABS(Tabela2[[#This Row],[Gols M]]-Tabela2[[#This Row],[Gols V]])</f>
        <v>0</v>
      </c>
      <c r="O363" s="25">
        <f>Tabela2[[#This Row],[Gols M]]+Tabela2[[#This Row],[Gols V]]</f>
        <v>2</v>
      </c>
    </row>
    <row r="364" spans="1:15" x14ac:dyDescent="0.25">
      <c r="A364" s="19">
        <v>37</v>
      </c>
      <c r="B364" s="47" t="s">
        <v>75</v>
      </c>
      <c r="C364" s="48">
        <v>1</v>
      </c>
      <c r="D364" s="48">
        <v>2</v>
      </c>
      <c r="E364" s="47" t="s">
        <v>92</v>
      </c>
      <c r="F364" s="49" t="s">
        <v>95</v>
      </c>
      <c r="G364" s="49">
        <v>42701</v>
      </c>
      <c r="H364" s="49" t="s">
        <v>117</v>
      </c>
      <c r="I364" s="50" t="s">
        <v>11</v>
      </c>
      <c r="J364" s="19" t="str">
        <f>IF(Tabela2[[#This Row],[Gols M]]&lt;&gt;"",IF(Tabela2[[#This Row],[Gols M]]-Tabela2[[#This Row],[Gols V]]&gt;=0,IF(Tabela2[[#This Row],[Gols M]]-Tabela2[[#This Row],[Gols V]]&gt;0,"V","E"),"D"),"")</f>
        <v>D</v>
      </c>
      <c r="K364" s="19" t="str">
        <f>IF(Tabela2[[#This Row],[Gols M]]&lt;&gt;"",IF(Tabela2[[#This Row],[Gols V]]-Tabela2[[#This Row],[Gols M]]&gt;=0,IF(Tabela2[[#This Row],[Gols V]]-Tabela2[[#This Row],[Gols M]]&gt;0,"V","E"),"D"),"")</f>
        <v>V</v>
      </c>
      <c r="L364" s="19">
        <f>IF(OR('Por time'!E$2=Tabela2[[#This Row],[Mandante]], 'Por time'!E$2=Tabela2[[#This Row],[Visitante]]),1,0)</f>
        <v>0</v>
      </c>
      <c r="M364" s="25">
        <f>Tabela2[[#This Row],[Marcar time]]+M363</f>
        <v>36</v>
      </c>
      <c r="N364" s="25">
        <f>IMABS(Tabela2[[#This Row],[Gols M]]-Tabela2[[#This Row],[Gols V]])</f>
        <v>1</v>
      </c>
      <c r="O364" s="25">
        <f>Tabela2[[#This Row],[Gols M]]+Tabela2[[#This Row],[Gols V]]</f>
        <v>3</v>
      </c>
    </row>
    <row r="365" spans="1:15" x14ac:dyDescent="0.25">
      <c r="A365" s="19">
        <v>37</v>
      </c>
      <c r="B365" s="47" t="s">
        <v>76</v>
      </c>
      <c r="C365" s="48">
        <v>0</v>
      </c>
      <c r="D365" s="48">
        <v>1</v>
      </c>
      <c r="E365" s="47" t="s">
        <v>91</v>
      </c>
      <c r="F365" s="49" t="s">
        <v>113</v>
      </c>
      <c r="G365" s="49">
        <v>42702</v>
      </c>
      <c r="H365" s="49" t="s">
        <v>107</v>
      </c>
      <c r="I365" s="50" t="s">
        <v>40</v>
      </c>
      <c r="J365" s="19" t="str">
        <f>IF(Tabela2[[#This Row],[Gols M]]&lt;&gt;"",IF(Tabela2[[#This Row],[Gols M]]-Tabela2[[#This Row],[Gols V]]&gt;=0,IF(Tabela2[[#This Row],[Gols M]]-Tabela2[[#This Row],[Gols V]]&gt;0,"V","E"),"D"),"")</f>
        <v>D</v>
      </c>
      <c r="K365" s="19" t="str">
        <f>IF(Tabela2[[#This Row],[Gols M]]&lt;&gt;"",IF(Tabela2[[#This Row],[Gols V]]-Tabela2[[#This Row],[Gols M]]&gt;=0,IF(Tabela2[[#This Row],[Gols V]]-Tabela2[[#This Row],[Gols M]]&gt;0,"V","E"),"D"),"")</f>
        <v>V</v>
      </c>
      <c r="L365" s="19">
        <f>IF(OR('Por time'!E$2=Tabela2[[#This Row],[Mandante]], 'Por time'!E$2=Tabela2[[#This Row],[Visitante]]),1,0)</f>
        <v>0</v>
      </c>
      <c r="M365" s="25">
        <f>Tabela2[[#This Row],[Marcar time]]+M364</f>
        <v>36</v>
      </c>
      <c r="N365" s="25">
        <f>IMABS(Tabela2[[#This Row],[Gols M]]-Tabela2[[#This Row],[Gols V]])</f>
        <v>1</v>
      </c>
      <c r="O365" s="25">
        <f>Tabela2[[#This Row],[Gols M]]+Tabela2[[#This Row],[Gols V]]</f>
        <v>1</v>
      </c>
    </row>
    <row r="366" spans="1:15" x14ac:dyDescent="0.25">
      <c r="A366" s="19">
        <v>37</v>
      </c>
      <c r="B366" s="47" t="s">
        <v>77</v>
      </c>
      <c r="C366" s="48">
        <v>0</v>
      </c>
      <c r="D366" s="48">
        <v>0</v>
      </c>
      <c r="E366" s="47" t="s">
        <v>83</v>
      </c>
      <c r="F366" s="49" t="s">
        <v>98</v>
      </c>
      <c r="G366" s="49">
        <v>42700</v>
      </c>
      <c r="H366" s="49" t="s">
        <v>100</v>
      </c>
      <c r="I366" s="50" t="s">
        <v>18</v>
      </c>
      <c r="J366" s="19" t="str">
        <f>IF(Tabela2[[#This Row],[Gols M]]&lt;&gt;"",IF(Tabela2[[#This Row],[Gols M]]-Tabela2[[#This Row],[Gols V]]&gt;=0,IF(Tabela2[[#This Row],[Gols M]]-Tabela2[[#This Row],[Gols V]]&gt;0,"V","E"),"D"),"")</f>
        <v>E</v>
      </c>
      <c r="K366" s="19" t="str">
        <f>IF(Tabela2[[#This Row],[Gols M]]&lt;&gt;"",IF(Tabela2[[#This Row],[Gols V]]-Tabela2[[#This Row],[Gols M]]&gt;=0,IF(Tabela2[[#This Row],[Gols V]]-Tabela2[[#This Row],[Gols M]]&gt;0,"V","E"),"D"),"")</f>
        <v>E</v>
      </c>
      <c r="L366" s="19">
        <f>IF(OR('Por time'!E$2=Tabela2[[#This Row],[Mandante]], 'Por time'!E$2=Tabela2[[#This Row],[Visitante]]),1,0)</f>
        <v>1</v>
      </c>
      <c r="M366" s="25">
        <f>Tabela2[[#This Row],[Marcar time]]+M365</f>
        <v>37</v>
      </c>
      <c r="N366" s="25">
        <f>IMABS(Tabela2[[#This Row],[Gols M]]-Tabela2[[#This Row],[Gols V]])</f>
        <v>0</v>
      </c>
      <c r="O366" s="25">
        <f>Tabela2[[#This Row],[Gols M]]+Tabela2[[#This Row],[Gols V]]</f>
        <v>0</v>
      </c>
    </row>
    <row r="367" spans="1:15" x14ac:dyDescent="0.25">
      <c r="A367" s="19">
        <v>37</v>
      </c>
      <c r="B367" s="47" t="s">
        <v>78</v>
      </c>
      <c r="C367" s="48">
        <v>1</v>
      </c>
      <c r="D367" s="48">
        <v>0</v>
      </c>
      <c r="E367" s="47" t="s">
        <v>86</v>
      </c>
      <c r="F367" s="49" t="s">
        <v>95</v>
      </c>
      <c r="G367" s="49">
        <v>42701</v>
      </c>
      <c r="H367" s="49" t="s">
        <v>102</v>
      </c>
      <c r="I367" s="50" t="s">
        <v>33</v>
      </c>
      <c r="J367" s="19" t="str">
        <f>IF(Tabela2[[#This Row],[Gols M]]&lt;&gt;"",IF(Tabela2[[#This Row],[Gols M]]-Tabela2[[#This Row],[Gols V]]&gt;=0,IF(Tabela2[[#This Row],[Gols M]]-Tabela2[[#This Row],[Gols V]]&gt;0,"V","E"),"D"),"")</f>
        <v>V</v>
      </c>
      <c r="K367" s="19" t="str">
        <f>IF(Tabela2[[#This Row],[Gols M]]&lt;&gt;"",IF(Tabela2[[#This Row],[Gols V]]-Tabela2[[#This Row],[Gols M]]&gt;=0,IF(Tabela2[[#This Row],[Gols V]]-Tabela2[[#This Row],[Gols M]]&gt;0,"V","E"),"D"),"")</f>
        <v>D</v>
      </c>
      <c r="L367" s="19">
        <f>IF(OR('Por time'!E$2=Tabela2[[#This Row],[Mandante]], 'Por time'!E$2=Tabela2[[#This Row],[Visitante]]),1,0)</f>
        <v>0</v>
      </c>
      <c r="M367" s="25">
        <f>Tabela2[[#This Row],[Marcar time]]+M366</f>
        <v>37</v>
      </c>
      <c r="N367" s="25">
        <f>IMABS(Tabela2[[#This Row],[Gols M]]-Tabela2[[#This Row],[Gols V]])</f>
        <v>1</v>
      </c>
      <c r="O367" s="25">
        <f>Tabela2[[#This Row],[Gols M]]+Tabela2[[#This Row],[Gols V]]</f>
        <v>1</v>
      </c>
    </row>
    <row r="368" spans="1:15" x14ac:dyDescent="0.25">
      <c r="A368" s="19">
        <v>37</v>
      </c>
      <c r="B368" s="47" t="s">
        <v>79</v>
      </c>
      <c r="C368" s="48">
        <v>2</v>
      </c>
      <c r="D368" s="48">
        <v>0</v>
      </c>
      <c r="E368" s="47" t="s">
        <v>89</v>
      </c>
      <c r="F368" s="49" t="s">
        <v>95</v>
      </c>
      <c r="G368" s="49">
        <v>42701</v>
      </c>
      <c r="H368" s="49" t="s">
        <v>117</v>
      </c>
      <c r="I368" s="50" t="s">
        <v>23</v>
      </c>
      <c r="J368" s="19" t="str">
        <f>IF(Tabela2[[#This Row],[Gols M]]&lt;&gt;"",IF(Tabela2[[#This Row],[Gols M]]-Tabela2[[#This Row],[Gols V]]&gt;=0,IF(Tabela2[[#This Row],[Gols M]]-Tabela2[[#This Row],[Gols V]]&gt;0,"V","E"),"D"),"")</f>
        <v>V</v>
      </c>
      <c r="K368" s="19" t="str">
        <f>IF(Tabela2[[#This Row],[Gols M]]&lt;&gt;"",IF(Tabela2[[#This Row],[Gols V]]-Tabela2[[#This Row],[Gols M]]&gt;=0,IF(Tabela2[[#This Row],[Gols V]]-Tabela2[[#This Row],[Gols M]]&gt;0,"V","E"),"D"),"")</f>
        <v>D</v>
      </c>
      <c r="L368" s="19">
        <f>IF(OR('Por time'!E$2=Tabela2[[#This Row],[Mandante]], 'Por time'!E$2=Tabela2[[#This Row],[Visitante]]),1,0)</f>
        <v>0</v>
      </c>
      <c r="M368" s="25">
        <f>Tabela2[[#This Row],[Marcar time]]+M367</f>
        <v>37</v>
      </c>
      <c r="N368" s="25">
        <f>IMABS(Tabela2[[#This Row],[Gols M]]-Tabela2[[#This Row],[Gols V]])</f>
        <v>2</v>
      </c>
      <c r="O368" s="25">
        <f>Tabela2[[#This Row],[Gols M]]+Tabela2[[#This Row],[Gols V]]</f>
        <v>2</v>
      </c>
    </row>
    <row r="369" spans="1:15" x14ac:dyDescent="0.25">
      <c r="A369" s="19">
        <v>37</v>
      </c>
      <c r="B369" s="47" t="s">
        <v>80</v>
      </c>
      <c r="C369" s="48">
        <v>1</v>
      </c>
      <c r="D369" s="48">
        <v>0</v>
      </c>
      <c r="E369" s="47" t="s">
        <v>85</v>
      </c>
      <c r="F369" s="49" t="s">
        <v>95</v>
      </c>
      <c r="G369" s="49">
        <v>42701</v>
      </c>
      <c r="H369" s="49" t="s">
        <v>117</v>
      </c>
      <c r="I369" s="50" t="s">
        <v>27</v>
      </c>
      <c r="J369" s="19" t="str">
        <f>IF(Tabela2[[#This Row],[Gols M]]&lt;&gt;"",IF(Tabela2[[#This Row],[Gols M]]-Tabela2[[#This Row],[Gols V]]&gt;=0,IF(Tabela2[[#This Row],[Gols M]]-Tabela2[[#This Row],[Gols V]]&gt;0,"V","E"),"D"),"")</f>
        <v>V</v>
      </c>
      <c r="K369" s="19" t="str">
        <f>IF(Tabela2[[#This Row],[Gols M]]&lt;&gt;"",IF(Tabela2[[#This Row],[Gols V]]-Tabela2[[#This Row],[Gols M]]&gt;=0,IF(Tabela2[[#This Row],[Gols V]]-Tabela2[[#This Row],[Gols M]]&gt;0,"V","E"),"D"),"")</f>
        <v>D</v>
      </c>
      <c r="L369" s="19">
        <f>IF(OR('Por time'!E$2=Tabela2[[#This Row],[Mandante]], 'Por time'!E$2=Tabela2[[#This Row],[Visitante]]),1,0)</f>
        <v>0</v>
      </c>
      <c r="M369" s="25">
        <f>Tabela2[[#This Row],[Marcar time]]+M368</f>
        <v>37</v>
      </c>
      <c r="N369" s="25">
        <f>IMABS(Tabela2[[#This Row],[Gols M]]-Tabela2[[#This Row],[Gols V]])</f>
        <v>1</v>
      </c>
      <c r="O369" s="25">
        <f>Tabela2[[#This Row],[Gols M]]+Tabela2[[#This Row],[Gols V]]</f>
        <v>1</v>
      </c>
    </row>
    <row r="370" spans="1:15" x14ac:dyDescent="0.25">
      <c r="A370" s="19">
        <v>37</v>
      </c>
      <c r="B370" s="47" t="s">
        <v>81</v>
      </c>
      <c r="C370" s="48">
        <v>1</v>
      </c>
      <c r="D370" s="48">
        <v>0</v>
      </c>
      <c r="E370" s="47" t="s">
        <v>84</v>
      </c>
      <c r="F370" s="49" t="s">
        <v>95</v>
      </c>
      <c r="G370" s="49">
        <v>42701</v>
      </c>
      <c r="H370" s="49" t="s">
        <v>117</v>
      </c>
      <c r="I370" s="50" t="s">
        <v>30</v>
      </c>
      <c r="J370" s="19" t="str">
        <f>IF(Tabela2[[#This Row],[Gols M]]&lt;&gt;"",IF(Tabela2[[#This Row],[Gols M]]-Tabela2[[#This Row],[Gols V]]&gt;=0,IF(Tabela2[[#This Row],[Gols M]]-Tabela2[[#This Row],[Gols V]]&gt;0,"V","E"),"D"),"")</f>
        <v>V</v>
      </c>
      <c r="K370" s="19" t="str">
        <f>IF(Tabela2[[#This Row],[Gols M]]&lt;&gt;"",IF(Tabela2[[#This Row],[Gols V]]-Tabela2[[#This Row],[Gols M]]&gt;=0,IF(Tabela2[[#This Row],[Gols V]]-Tabela2[[#This Row],[Gols M]]&gt;0,"V","E"),"D"),"")</f>
        <v>D</v>
      </c>
      <c r="L370" s="19">
        <f>IF(OR('Por time'!E$2=Tabela2[[#This Row],[Mandante]], 'Por time'!E$2=Tabela2[[#This Row],[Visitante]]),1,0)</f>
        <v>0</v>
      </c>
      <c r="M370" s="25">
        <f>Tabela2[[#This Row],[Marcar time]]+M369</f>
        <v>37</v>
      </c>
      <c r="N370" s="25">
        <f>IMABS(Tabela2[[#This Row],[Gols M]]-Tabela2[[#This Row],[Gols V]])</f>
        <v>1</v>
      </c>
      <c r="O370" s="25">
        <f>Tabela2[[#This Row],[Gols M]]+Tabela2[[#This Row],[Gols V]]</f>
        <v>1</v>
      </c>
    </row>
    <row r="371" spans="1:15" x14ac:dyDescent="0.25">
      <c r="A371" s="19">
        <v>37</v>
      </c>
      <c r="B371" s="47" t="s">
        <v>82</v>
      </c>
      <c r="C371" s="48">
        <v>5</v>
      </c>
      <c r="D371" s="48">
        <v>1</v>
      </c>
      <c r="E371" s="47" t="s">
        <v>87</v>
      </c>
      <c r="F371" s="49" t="s">
        <v>95</v>
      </c>
      <c r="G371" s="49">
        <v>42701</v>
      </c>
      <c r="H371" s="49" t="s">
        <v>102</v>
      </c>
      <c r="I371" s="50" t="s">
        <v>36</v>
      </c>
      <c r="J371" s="19" t="str">
        <f>IF(Tabela2[[#This Row],[Gols M]]&lt;&gt;"",IF(Tabela2[[#This Row],[Gols M]]-Tabela2[[#This Row],[Gols V]]&gt;=0,IF(Tabela2[[#This Row],[Gols M]]-Tabela2[[#This Row],[Gols V]]&gt;0,"V","E"),"D"),"")</f>
        <v>V</v>
      </c>
      <c r="K371" s="19" t="str">
        <f>IF(Tabela2[[#This Row],[Gols M]]&lt;&gt;"",IF(Tabela2[[#This Row],[Gols V]]-Tabela2[[#This Row],[Gols M]]&gt;=0,IF(Tabela2[[#This Row],[Gols V]]-Tabela2[[#This Row],[Gols M]]&gt;0,"V","E"),"D"),"")</f>
        <v>D</v>
      </c>
      <c r="L371" s="19">
        <f>IF(OR('Por time'!E$2=Tabela2[[#This Row],[Mandante]], 'Por time'!E$2=Tabela2[[#This Row],[Visitante]]),1,0)</f>
        <v>0</v>
      </c>
      <c r="M371" s="25">
        <f>Tabela2[[#This Row],[Marcar time]]+M370</f>
        <v>37</v>
      </c>
      <c r="N371" s="25">
        <f>IMABS(Tabela2[[#This Row],[Gols M]]-Tabela2[[#This Row],[Gols V]])</f>
        <v>4</v>
      </c>
      <c r="O371" s="25">
        <f>Tabela2[[#This Row],[Gols M]]+Tabela2[[#This Row],[Gols V]]</f>
        <v>6</v>
      </c>
    </row>
    <row r="372" spans="1:15" x14ac:dyDescent="0.25">
      <c r="A372" s="19">
        <v>38</v>
      </c>
      <c r="B372" s="47" t="s">
        <v>83</v>
      </c>
      <c r="C372" s="48">
        <v>0</v>
      </c>
      <c r="D372" s="48">
        <v>0</v>
      </c>
      <c r="E372" s="47" t="s">
        <v>79</v>
      </c>
      <c r="F372" s="49" t="s">
        <v>95</v>
      </c>
      <c r="G372" s="49">
        <v>42715</v>
      </c>
      <c r="H372" s="49" t="s">
        <v>117</v>
      </c>
      <c r="I372" s="50" t="s">
        <v>0</v>
      </c>
      <c r="J372" s="19" t="str">
        <f>IF(Tabela2[[#This Row],[Gols M]]&lt;&gt;"",IF(Tabela2[[#This Row],[Gols M]]-Tabela2[[#This Row],[Gols V]]&gt;=0,IF(Tabela2[[#This Row],[Gols M]]-Tabela2[[#This Row],[Gols V]]&gt;0,"V","E"),"D"),"")</f>
        <v>E</v>
      </c>
      <c r="K372" s="19" t="str">
        <f>IF(Tabela2[[#This Row],[Gols M]]&lt;&gt;"",IF(Tabela2[[#This Row],[Gols V]]-Tabela2[[#This Row],[Gols M]]&gt;=0,IF(Tabela2[[#This Row],[Gols V]]-Tabela2[[#This Row],[Gols M]]&gt;0,"V","E"),"D"),"")</f>
        <v>E</v>
      </c>
      <c r="L372" s="19">
        <f>IF(OR('Por time'!E$2=Tabela2[[#This Row],[Mandante]], 'Por time'!E$2=Tabela2[[#This Row],[Visitante]]),1,0)</f>
        <v>1</v>
      </c>
      <c r="M372" s="25">
        <f>Tabela2[[#This Row],[Marcar time]]+M371</f>
        <v>38</v>
      </c>
      <c r="N372" s="25">
        <f>IMABS(Tabela2[[#This Row],[Gols M]]-Tabela2[[#This Row],[Gols V]])</f>
        <v>0</v>
      </c>
      <c r="O372" s="25">
        <f>Tabela2[[#This Row],[Gols M]]+Tabela2[[#This Row],[Gols V]]</f>
        <v>0</v>
      </c>
    </row>
    <row r="373" spans="1:15" x14ac:dyDescent="0.25">
      <c r="A373" s="19">
        <v>38</v>
      </c>
      <c r="B373" s="47" t="s">
        <v>84</v>
      </c>
      <c r="C373" s="48"/>
      <c r="D373" s="48"/>
      <c r="E373" s="47" t="s">
        <v>75</v>
      </c>
      <c r="F373" s="49" t="s">
        <v>95</v>
      </c>
      <c r="G373" s="49">
        <v>42715</v>
      </c>
      <c r="H373" s="49" t="s">
        <v>117</v>
      </c>
      <c r="I373" s="50" t="s">
        <v>1</v>
      </c>
      <c r="J373" s="19" t="str">
        <f>IF(Tabela2[[#This Row],[Gols M]]&lt;&gt;"",IF(Tabela2[[#This Row],[Gols M]]-Tabela2[[#This Row],[Gols V]]&gt;=0,IF(Tabela2[[#This Row],[Gols M]]-Tabela2[[#This Row],[Gols V]]&gt;0,"V","E"),"D"),"")</f>
        <v/>
      </c>
      <c r="K373" s="19" t="str">
        <f>IF(Tabela2[[#This Row],[Gols M]]&lt;&gt;"",IF(Tabela2[[#This Row],[Gols V]]-Tabela2[[#This Row],[Gols M]]&gt;=0,IF(Tabela2[[#This Row],[Gols V]]-Tabela2[[#This Row],[Gols M]]&gt;0,"V","E"),"D"),"")</f>
        <v/>
      </c>
      <c r="L373" s="19">
        <f>IF(OR('Por time'!E$2=Tabela2[[#This Row],[Mandante]], 'Por time'!E$2=Tabela2[[#This Row],[Visitante]]),1,0)</f>
        <v>0</v>
      </c>
      <c r="M373" s="25">
        <f>Tabela2[[#This Row],[Marcar time]]+M372</f>
        <v>38</v>
      </c>
      <c r="N373" s="25">
        <f>IMABS(Tabela2[[#This Row],[Gols M]]-Tabela2[[#This Row],[Gols V]])</f>
        <v>0</v>
      </c>
      <c r="O373" s="25">
        <f>Tabela2[[#This Row],[Gols M]]+Tabela2[[#This Row],[Gols V]]</f>
        <v>0</v>
      </c>
    </row>
    <row r="374" spans="1:15" x14ac:dyDescent="0.25">
      <c r="A374" s="19">
        <v>38</v>
      </c>
      <c r="B374" s="47" t="s">
        <v>85</v>
      </c>
      <c r="C374" s="48">
        <v>3</v>
      </c>
      <c r="D374" s="48">
        <v>2</v>
      </c>
      <c r="E374" s="47" t="s">
        <v>77</v>
      </c>
      <c r="F374" s="49" t="s">
        <v>95</v>
      </c>
      <c r="G374" s="49">
        <v>42715</v>
      </c>
      <c r="H374" s="49" t="s">
        <v>117</v>
      </c>
      <c r="I374" s="50" t="s">
        <v>2</v>
      </c>
      <c r="J374" s="19" t="str">
        <f>IF(Tabela2[[#This Row],[Gols M]]&lt;&gt;"",IF(Tabela2[[#This Row],[Gols M]]-Tabela2[[#This Row],[Gols V]]&gt;=0,IF(Tabela2[[#This Row],[Gols M]]-Tabela2[[#This Row],[Gols V]]&gt;0,"V","E"),"D"),"")</f>
        <v>V</v>
      </c>
      <c r="K374" s="19" t="str">
        <f>IF(Tabela2[[#This Row],[Gols M]]&lt;&gt;"",IF(Tabela2[[#This Row],[Gols V]]-Tabela2[[#This Row],[Gols M]]&gt;=0,IF(Tabela2[[#This Row],[Gols V]]-Tabela2[[#This Row],[Gols M]]&gt;0,"V","E"),"D"),"")</f>
        <v>D</v>
      </c>
      <c r="L374" s="19">
        <f>IF(OR('Por time'!E$2=Tabela2[[#This Row],[Mandante]], 'Por time'!E$2=Tabela2[[#This Row],[Visitante]]),1,0)</f>
        <v>0</v>
      </c>
      <c r="M374" s="25">
        <f>Tabela2[[#This Row],[Marcar time]]+M373</f>
        <v>38</v>
      </c>
      <c r="N374" s="25">
        <f>IMABS(Tabela2[[#This Row],[Gols M]]-Tabela2[[#This Row],[Gols V]])</f>
        <v>1</v>
      </c>
      <c r="O374" s="25">
        <f>Tabela2[[#This Row],[Gols M]]+Tabela2[[#This Row],[Gols V]]</f>
        <v>5</v>
      </c>
    </row>
    <row r="375" spans="1:15" x14ac:dyDescent="0.25">
      <c r="A375" s="19">
        <v>38</v>
      </c>
      <c r="B375" s="47" t="s">
        <v>86</v>
      </c>
      <c r="C375" s="48">
        <v>1</v>
      </c>
      <c r="D375" s="48">
        <v>1</v>
      </c>
      <c r="E375" s="47" t="s">
        <v>80</v>
      </c>
      <c r="F375" s="49" t="s">
        <v>95</v>
      </c>
      <c r="G375" s="49">
        <v>42715</v>
      </c>
      <c r="H375" s="49" t="s">
        <v>117</v>
      </c>
      <c r="I375" s="50" t="s">
        <v>3</v>
      </c>
      <c r="J375" s="19" t="str">
        <f>IF(Tabela2[[#This Row],[Gols M]]&lt;&gt;"",IF(Tabela2[[#This Row],[Gols M]]-Tabela2[[#This Row],[Gols V]]&gt;=0,IF(Tabela2[[#This Row],[Gols M]]-Tabela2[[#This Row],[Gols V]]&gt;0,"V","E"),"D"),"")</f>
        <v>E</v>
      </c>
      <c r="K375" s="19" t="str">
        <f>IF(Tabela2[[#This Row],[Gols M]]&lt;&gt;"",IF(Tabela2[[#This Row],[Gols V]]-Tabela2[[#This Row],[Gols M]]&gt;=0,IF(Tabela2[[#This Row],[Gols V]]-Tabela2[[#This Row],[Gols M]]&gt;0,"V","E"),"D"),"")</f>
        <v>E</v>
      </c>
      <c r="L375" s="19">
        <f>IF(OR('Por time'!E$2=Tabela2[[#This Row],[Mandante]], 'Por time'!E$2=Tabela2[[#This Row],[Visitante]]),1,0)</f>
        <v>0</v>
      </c>
      <c r="M375" s="25">
        <f>Tabela2[[#This Row],[Marcar time]]+M374</f>
        <v>38</v>
      </c>
      <c r="N375" s="25">
        <f>IMABS(Tabela2[[#This Row],[Gols M]]-Tabela2[[#This Row],[Gols V]])</f>
        <v>0</v>
      </c>
      <c r="O375" s="25">
        <f>Tabela2[[#This Row],[Gols M]]+Tabela2[[#This Row],[Gols V]]</f>
        <v>2</v>
      </c>
    </row>
    <row r="376" spans="1:15" x14ac:dyDescent="0.25">
      <c r="A376" s="19">
        <v>38</v>
      </c>
      <c r="B376" s="47" t="s">
        <v>87</v>
      </c>
      <c r="C376" s="48">
        <v>0</v>
      </c>
      <c r="D376" s="48">
        <v>1</v>
      </c>
      <c r="E376" s="47" t="s">
        <v>74</v>
      </c>
      <c r="F376" s="49" t="s">
        <v>95</v>
      </c>
      <c r="G376" s="49">
        <v>42715</v>
      </c>
      <c r="H376" s="49" t="s">
        <v>117</v>
      </c>
      <c r="I376" s="50" t="s">
        <v>4</v>
      </c>
      <c r="J376" s="19" t="str">
        <f>IF(Tabela2[[#This Row],[Gols M]]&lt;&gt;"",IF(Tabela2[[#This Row],[Gols M]]-Tabela2[[#This Row],[Gols V]]&gt;=0,IF(Tabela2[[#This Row],[Gols M]]-Tabela2[[#This Row],[Gols V]]&gt;0,"V","E"),"D"),"")</f>
        <v>D</v>
      </c>
      <c r="K376" s="19" t="str">
        <f>IF(Tabela2[[#This Row],[Gols M]]&lt;&gt;"",IF(Tabela2[[#This Row],[Gols V]]-Tabela2[[#This Row],[Gols M]]&gt;=0,IF(Tabela2[[#This Row],[Gols V]]-Tabela2[[#This Row],[Gols M]]&gt;0,"V","E"),"D"),"")</f>
        <v>V</v>
      </c>
      <c r="L376" s="19">
        <f>IF(OR('Por time'!E$2=Tabela2[[#This Row],[Mandante]], 'Por time'!E$2=Tabela2[[#This Row],[Visitante]]),1,0)</f>
        <v>0</v>
      </c>
      <c r="M376" s="25">
        <f>Tabela2[[#This Row],[Marcar time]]+M375</f>
        <v>38</v>
      </c>
      <c r="N376" s="25">
        <f>IMABS(Tabela2[[#This Row],[Gols M]]-Tabela2[[#This Row],[Gols V]])</f>
        <v>1</v>
      </c>
      <c r="O376" s="25">
        <f>Tabela2[[#This Row],[Gols M]]+Tabela2[[#This Row],[Gols V]]</f>
        <v>1</v>
      </c>
    </row>
    <row r="377" spans="1:15" x14ac:dyDescent="0.25">
      <c r="A377" s="19">
        <v>38</v>
      </c>
      <c r="B377" s="47" t="s">
        <v>88</v>
      </c>
      <c r="C377" s="48">
        <v>2</v>
      </c>
      <c r="D377" s="48">
        <v>0</v>
      </c>
      <c r="E377" s="47" t="s">
        <v>76</v>
      </c>
      <c r="F377" s="49" t="s">
        <v>95</v>
      </c>
      <c r="G377" s="49">
        <v>42715</v>
      </c>
      <c r="H377" s="49" t="s">
        <v>117</v>
      </c>
      <c r="I377" s="50" t="s">
        <v>5</v>
      </c>
      <c r="J377" s="19" t="str">
        <f>IF(Tabela2[[#This Row],[Gols M]]&lt;&gt;"",IF(Tabela2[[#This Row],[Gols M]]-Tabela2[[#This Row],[Gols V]]&gt;=0,IF(Tabela2[[#This Row],[Gols M]]-Tabela2[[#This Row],[Gols V]]&gt;0,"V","E"),"D"),"")</f>
        <v>V</v>
      </c>
      <c r="K377" s="19" t="str">
        <f>IF(Tabela2[[#This Row],[Gols M]]&lt;&gt;"",IF(Tabela2[[#This Row],[Gols V]]-Tabela2[[#This Row],[Gols M]]&gt;=0,IF(Tabela2[[#This Row],[Gols V]]-Tabela2[[#This Row],[Gols M]]&gt;0,"V","E"),"D"),"")</f>
        <v>D</v>
      </c>
      <c r="L377" s="19">
        <f>IF(OR('Por time'!E$2=Tabela2[[#This Row],[Mandante]], 'Por time'!E$2=Tabela2[[#This Row],[Visitante]]),1,0)</f>
        <v>0</v>
      </c>
      <c r="M377" s="25">
        <f>Tabela2[[#This Row],[Marcar time]]+M376</f>
        <v>38</v>
      </c>
      <c r="N377" s="25">
        <f>IMABS(Tabela2[[#This Row],[Gols M]]-Tabela2[[#This Row],[Gols V]])</f>
        <v>2</v>
      </c>
      <c r="O377" s="25">
        <f>Tabela2[[#This Row],[Gols M]]+Tabela2[[#This Row],[Gols V]]</f>
        <v>2</v>
      </c>
    </row>
    <row r="378" spans="1:15" x14ac:dyDescent="0.25">
      <c r="A378" s="19">
        <v>38</v>
      </c>
      <c r="B378" s="47" t="s">
        <v>89</v>
      </c>
      <c r="C378" s="48">
        <v>1</v>
      </c>
      <c r="D378" s="48">
        <v>0</v>
      </c>
      <c r="E378" s="47" t="s">
        <v>73</v>
      </c>
      <c r="F378" s="49" t="s">
        <v>95</v>
      </c>
      <c r="G378" s="49">
        <v>42715</v>
      </c>
      <c r="H378" s="49" t="s">
        <v>117</v>
      </c>
      <c r="I378" s="50" t="s">
        <v>6</v>
      </c>
      <c r="J378" s="19" t="str">
        <f>IF(Tabela2[[#This Row],[Gols M]]&lt;&gt;"",IF(Tabela2[[#This Row],[Gols M]]-Tabela2[[#This Row],[Gols V]]&gt;=0,IF(Tabela2[[#This Row],[Gols M]]-Tabela2[[#This Row],[Gols V]]&gt;0,"V","E"),"D"),"")</f>
        <v>V</v>
      </c>
      <c r="K378" s="19" t="str">
        <f>IF(Tabela2[[#This Row],[Gols M]]&lt;&gt;"",IF(Tabela2[[#This Row],[Gols V]]-Tabela2[[#This Row],[Gols M]]&gt;=0,IF(Tabela2[[#This Row],[Gols V]]-Tabela2[[#This Row],[Gols M]]&gt;0,"V","E"),"D"),"")</f>
        <v>D</v>
      </c>
      <c r="L378" s="19">
        <f>IF(OR('Por time'!E$2=Tabela2[[#This Row],[Mandante]], 'Por time'!E$2=Tabela2[[#This Row],[Visitante]]),1,0)</f>
        <v>0</v>
      </c>
      <c r="M378" s="25">
        <f>Tabela2[[#This Row],[Marcar time]]+M377</f>
        <v>38</v>
      </c>
      <c r="N378" s="25">
        <f>IMABS(Tabela2[[#This Row],[Gols M]]-Tabela2[[#This Row],[Gols V]])</f>
        <v>1</v>
      </c>
      <c r="O378" s="25">
        <f>Tabela2[[#This Row],[Gols M]]+Tabela2[[#This Row],[Gols V]]</f>
        <v>1</v>
      </c>
    </row>
    <row r="379" spans="1:15" x14ac:dyDescent="0.25">
      <c r="A379" s="19">
        <v>38</v>
      </c>
      <c r="B379" s="47" t="s">
        <v>92</v>
      </c>
      <c r="C379" s="48">
        <v>5</v>
      </c>
      <c r="D379" s="48">
        <v>0</v>
      </c>
      <c r="E379" s="47" t="s">
        <v>82</v>
      </c>
      <c r="F379" s="49" t="s">
        <v>95</v>
      </c>
      <c r="G379" s="49">
        <v>42715</v>
      </c>
      <c r="H379" s="49" t="s">
        <v>117</v>
      </c>
      <c r="I379" s="50" t="s">
        <v>7</v>
      </c>
      <c r="J379" s="19" t="str">
        <f>IF(Tabela2[[#This Row],[Gols M]]&lt;&gt;"",IF(Tabela2[[#This Row],[Gols M]]-Tabela2[[#This Row],[Gols V]]&gt;=0,IF(Tabela2[[#This Row],[Gols M]]-Tabela2[[#This Row],[Gols V]]&gt;0,"V","E"),"D"),"")</f>
        <v>V</v>
      </c>
      <c r="K379" s="19" t="str">
        <f>IF(Tabela2[[#This Row],[Gols M]]&lt;&gt;"",IF(Tabela2[[#This Row],[Gols V]]-Tabela2[[#This Row],[Gols M]]&gt;=0,IF(Tabela2[[#This Row],[Gols V]]-Tabela2[[#This Row],[Gols M]]&gt;0,"V","E"),"D"),"")</f>
        <v>D</v>
      </c>
      <c r="L379" s="19">
        <f>IF(OR('Por time'!E$2=Tabela2[[#This Row],[Mandante]], 'Por time'!E$2=Tabela2[[#This Row],[Visitante]]),1,0)</f>
        <v>0</v>
      </c>
      <c r="M379" s="25">
        <f>Tabela2[[#This Row],[Marcar time]]+M378</f>
        <v>38</v>
      </c>
      <c r="N379" s="25">
        <f>IMABS(Tabela2[[#This Row],[Gols M]]-Tabela2[[#This Row],[Gols V]])</f>
        <v>5</v>
      </c>
      <c r="O379" s="25">
        <f>Tabela2[[#This Row],[Gols M]]+Tabela2[[#This Row],[Gols V]]</f>
        <v>5</v>
      </c>
    </row>
    <row r="380" spans="1:15" x14ac:dyDescent="0.25">
      <c r="A380" s="19">
        <v>38</v>
      </c>
      <c r="B380" s="47" t="s">
        <v>90</v>
      </c>
      <c r="C380" s="48">
        <v>2</v>
      </c>
      <c r="D380" s="48">
        <v>0</v>
      </c>
      <c r="E380" s="47" t="s">
        <v>78</v>
      </c>
      <c r="F380" s="49" t="s">
        <v>95</v>
      </c>
      <c r="G380" s="49">
        <v>42715</v>
      </c>
      <c r="H380" s="49" t="s">
        <v>117</v>
      </c>
      <c r="I380" s="50" t="s">
        <v>8</v>
      </c>
      <c r="J380" s="19" t="str">
        <f>IF(Tabela2[[#This Row],[Gols M]]&lt;&gt;"",IF(Tabela2[[#This Row],[Gols M]]-Tabela2[[#This Row],[Gols V]]&gt;=0,IF(Tabela2[[#This Row],[Gols M]]-Tabela2[[#This Row],[Gols V]]&gt;0,"V","E"),"D"),"")</f>
        <v>V</v>
      </c>
      <c r="K380" s="19" t="str">
        <f>IF(Tabela2[[#This Row],[Gols M]]&lt;&gt;"",IF(Tabela2[[#This Row],[Gols V]]-Tabela2[[#This Row],[Gols M]]&gt;=0,IF(Tabela2[[#This Row],[Gols V]]-Tabela2[[#This Row],[Gols M]]&gt;0,"V","E"),"D"),"")</f>
        <v>D</v>
      </c>
      <c r="L380" s="19">
        <f>IF(OR('Por time'!E$2=Tabela2[[#This Row],[Mandante]], 'Por time'!E$2=Tabela2[[#This Row],[Visitante]]),1,0)</f>
        <v>0</v>
      </c>
      <c r="M380" s="25">
        <f>Tabela2[[#This Row],[Marcar time]]+M379</f>
        <v>38</v>
      </c>
      <c r="N380" s="25">
        <f>IMABS(Tabela2[[#This Row],[Gols M]]-Tabela2[[#This Row],[Gols V]])</f>
        <v>2</v>
      </c>
      <c r="O380" s="25">
        <f>Tabela2[[#This Row],[Gols M]]+Tabela2[[#This Row],[Gols V]]</f>
        <v>2</v>
      </c>
    </row>
    <row r="381" spans="1:15" x14ac:dyDescent="0.25">
      <c r="A381" s="19">
        <v>38</v>
      </c>
      <c r="B381" s="47" t="s">
        <v>91</v>
      </c>
      <c r="C381" s="48">
        <v>1</v>
      </c>
      <c r="D381" s="48">
        <v>2</v>
      </c>
      <c r="E381" s="47" t="s">
        <v>81</v>
      </c>
      <c r="F381" s="49" t="s">
        <v>95</v>
      </c>
      <c r="G381" s="49">
        <v>42715</v>
      </c>
      <c r="H381" s="49" t="s">
        <v>117</v>
      </c>
      <c r="I381" s="50" t="s">
        <v>9</v>
      </c>
      <c r="J381" s="19" t="str">
        <f>IF(Tabela2[[#This Row],[Gols M]]&lt;&gt;"",IF(Tabela2[[#This Row],[Gols M]]-Tabela2[[#This Row],[Gols V]]&gt;=0,IF(Tabela2[[#This Row],[Gols M]]-Tabela2[[#This Row],[Gols V]]&gt;0,"V","E"),"D"),"")</f>
        <v>D</v>
      </c>
      <c r="K381" s="19" t="str">
        <f>IF(Tabela2[[#This Row],[Gols M]]&lt;&gt;"",IF(Tabela2[[#This Row],[Gols V]]-Tabela2[[#This Row],[Gols M]]&gt;=0,IF(Tabela2[[#This Row],[Gols V]]-Tabela2[[#This Row],[Gols M]]&gt;0,"V","E"),"D"),"")</f>
        <v>V</v>
      </c>
      <c r="L381" s="19">
        <f>IF(OR('Por time'!E$2=Tabela2[[#This Row],[Mandante]], 'Por time'!E$2=Tabela2[[#This Row],[Visitante]]),1,0)</f>
        <v>0</v>
      </c>
      <c r="M381" s="25">
        <f>Tabela2[[#This Row],[Marcar time]]+M380</f>
        <v>38</v>
      </c>
      <c r="N381" s="25">
        <f>IMABS(Tabela2[[#This Row],[Gols M]]-Tabela2[[#This Row],[Gols V]])</f>
        <v>1</v>
      </c>
      <c r="O381" s="25">
        <f>Tabela2[[#This Row],[Gols M]]+Tabela2[[#This Row],[Gols V]]</f>
        <v>3</v>
      </c>
    </row>
    <row r="382" spans="1:15" x14ac:dyDescent="0.25">
      <c r="F382" s="46"/>
      <c r="G382" s="46"/>
      <c r="H382" s="46"/>
      <c r="J382" s="25"/>
      <c r="K382" s="25"/>
      <c r="L382" s="25"/>
      <c r="M382" s="25"/>
      <c r="N382" s="25">
        <f>SUBTOTAL(104,Tabela2[SG partida])</f>
        <v>5</v>
      </c>
      <c r="O382" s="25">
        <f>SUBTOTAL(104,Tabela2[Gols partida])</f>
        <v>8</v>
      </c>
    </row>
  </sheetData>
  <sheetProtection algorithmName="SHA-512" hashValue="ooszrjRzPix/5Qb3HyAT5YJ9zqmYaQYnARLOTaN7b/yZVRR3jj3iORRukkJeAbYwAo9Psxn2mTH2DSrBA7RvvA==" saltValue="0YNG6XHfiymiHfqWpcDn7w==" spinCount="100000" sheet="1" objects="1" scenarios="1"/>
  <sortState ref="A2:J381">
    <sortCondition ref="A2:A381"/>
    <sortCondition ref="B2:B381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M3:M381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zoomScaleNormal="100" workbookViewId="0">
      <selection activeCell="G4" sqref="G4"/>
    </sheetView>
  </sheetViews>
  <sheetFormatPr defaultRowHeight="15" x14ac:dyDescent="0.25"/>
  <cols>
    <col min="1" max="1" width="25.28515625" style="3" bestFit="1" customWidth="1"/>
    <col min="2" max="2" width="9.140625" style="3"/>
    <col min="3" max="5" width="9.140625" style="3" customWidth="1"/>
    <col min="6" max="6" width="20.85546875" style="3" customWidth="1"/>
    <col min="7" max="7" width="20.5703125" style="3" customWidth="1"/>
    <col min="8" max="8" width="4.7109375" style="3" customWidth="1"/>
    <col min="9" max="13" width="9.140625" style="3"/>
    <col min="14" max="14" width="11.42578125" style="19" customWidth="1"/>
    <col min="15" max="15" width="9.140625" style="3"/>
    <col min="16" max="16" width="20.5703125" style="3" bestFit="1" customWidth="1"/>
    <col min="17" max="16384" width="9.140625" style="3"/>
  </cols>
  <sheetData>
    <row r="1" spans="1:16" x14ac:dyDescent="0.25">
      <c r="A1" s="51" t="s">
        <v>215</v>
      </c>
      <c r="C1" s="51" t="s">
        <v>213</v>
      </c>
      <c r="D1" s="51"/>
      <c r="E1" s="51"/>
      <c r="F1" s="51"/>
      <c r="G1" s="51"/>
      <c r="H1" s="52"/>
      <c r="I1" s="51" t="s">
        <v>214</v>
      </c>
      <c r="J1" s="51"/>
      <c r="K1" s="51"/>
      <c r="L1" s="51"/>
      <c r="M1" s="51"/>
      <c r="N1" s="53"/>
      <c r="O1" s="51"/>
      <c r="P1" s="51"/>
    </row>
    <row r="2" spans="1:16" x14ac:dyDescent="0.25">
      <c r="A2" s="50" t="s">
        <v>233</v>
      </c>
      <c r="C2" s="3" t="str">
        <f>$A2</f>
        <v>AMG </v>
      </c>
      <c r="D2" s="3" t="str">
        <f>$A4</f>
        <v>2 - 2</v>
      </c>
      <c r="E2" s="3" t="str">
        <f>$A6</f>
        <v> SPT</v>
      </c>
      <c r="F2" s="3" t="str">
        <f>$A7</f>
        <v>SÁB 26/11/2016 20:00</v>
      </c>
      <c r="G2" s="3" t="str">
        <f>$A8</f>
        <v>INDEPENDÊNCIA</v>
      </c>
      <c r="I2" s="19" t="str">
        <f>LEFT(C2,3)</f>
        <v>AMG</v>
      </c>
      <c r="J2" s="19">
        <f>VALUE(LEFT(D2,1))</f>
        <v>2</v>
      </c>
      <c r="K2" s="19">
        <f>VALUE(RIGHT(D2,1))</f>
        <v>2</v>
      </c>
      <c r="L2" s="19" t="str">
        <f>RIGHT(E2,3)</f>
        <v>SPT</v>
      </c>
      <c r="M2" s="19" t="str">
        <f>LEFT(F2,3)</f>
        <v>SÁB</v>
      </c>
      <c r="N2" s="46">
        <f>DATEVALUE(MID(F2,5,10))</f>
        <v>42700</v>
      </c>
      <c r="O2" s="19" t="str">
        <f>RIGHT(F2,5)</f>
        <v>20:00</v>
      </c>
      <c r="P2" s="3" t="str">
        <f>G2</f>
        <v>INDEPENDÊNCIA</v>
      </c>
    </row>
    <row r="3" spans="1:16" x14ac:dyDescent="0.25">
      <c r="A3" s="50"/>
      <c r="C3" s="3" t="str">
        <f>$A9</f>
        <v>BOT </v>
      </c>
      <c r="D3" s="3" t="str">
        <f>$A11</f>
        <v>1 - 1</v>
      </c>
      <c r="E3" s="3" t="str">
        <f>$A13</f>
        <v> PON</v>
      </c>
      <c r="F3" s="3" t="str">
        <f>$A14</f>
        <v>SÁB 26/11/2016 20:00</v>
      </c>
      <c r="G3" s="3" t="str">
        <f>$A15</f>
        <v>ARENA BOTAFOGO</v>
      </c>
      <c r="I3" s="19" t="str">
        <f t="shared" ref="I3:I11" si="0">LEFT(C3,3)</f>
        <v>BOT</v>
      </c>
      <c r="J3" s="19">
        <f t="shared" ref="J3:J11" si="1">VALUE(LEFT(D3,1))</f>
        <v>1</v>
      </c>
      <c r="K3" s="19">
        <f t="shared" ref="K3:K11" si="2">VALUE(RIGHT(D3,1))</f>
        <v>1</v>
      </c>
      <c r="L3" s="19" t="str">
        <f t="shared" ref="L3:L11" si="3">RIGHT(E3,3)</f>
        <v>PON</v>
      </c>
      <c r="M3" s="19" t="str">
        <f t="shared" ref="M3:M11" si="4">LEFT(F3,3)</f>
        <v>SÁB</v>
      </c>
      <c r="N3" s="46">
        <f t="shared" ref="N3:N11" si="5">DATEVALUE(MID(F3,5,10))</f>
        <v>42700</v>
      </c>
      <c r="O3" s="19" t="str">
        <f t="shared" ref="O3:O11" si="6">RIGHT(F3,5)</f>
        <v>20:00</v>
      </c>
      <c r="P3" s="3" t="str">
        <f t="shared" ref="P3:P11" si="7">G3</f>
        <v>ARENA BOTAFOGO</v>
      </c>
    </row>
    <row r="4" spans="1:16" x14ac:dyDescent="0.25">
      <c r="A4" s="50" t="s">
        <v>218</v>
      </c>
      <c r="C4" s="3" t="str">
        <f>$A16</f>
        <v>COR </v>
      </c>
      <c r="D4" s="3" t="str">
        <f>$A18</f>
        <v>0 - 0</v>
      </c>
      <c r="E4" s="3" t="str">
        <f>$A20</f>
        <v> CAP</v>
      </c>
      <c r="F4" s="3" t="str">
        <f>$A21</f>
        <v>SÁB 26/11/2016 21:00</v>
      </c>
      <c r="G4" s="3" t="str">
        <f>$A22</f>
        <v>ARENA CORINTHIANS</v>
      </c>
      <c r="I4" s="19" t="str">
        <f t="shared" si="0"/>
        <v>COR</v>
      </c>
      <c r="J4" s="19">
        <f t="shared" si="1"/>
        <v>0</v>
      </c>
      <c r="K4" s="19">
        <f t="shared" si="2"/>
        <v>0</v>
      </c>
      <c r="L4" s="19" t="str">
        <f t="shared" si="3"/>
        <v>CAP</v>
      </c>
      <c r="M4" s="19" t="str">
        <f t="shared" si="4"/>
        <v>SÁB</v>
      </c>
      <c r="N4" s="46">
        <f t="shared" si="5"/>
        <v>42700</v>
      </c>
      <c r="O4" s="19" t="str">
        <f t="shared" si="6"/>
        <v>21:00</v>
      </c>
      <c r="P4" s="3" t="str">
        <f t="shared" si="7"/>
        <v>ARENA CORINTHIANS</v>
      </c>
    </row>
    <row r="5" spans="1:16" x14ac:dyDescent="0.25">
      <c r="A5" s="50"/>
      <c r="C5" s="3" t="str">
        <f>$A23</f>
        <v>CAM </v>
      </c>
      <c r="D5" s="3" t="str">
        <f>$A25</f>
        <v>1 - 2</v>
      </c>
      <c r="E5" s="3" t="str">
        <f>$A27</f>
        <v> SAO</v>
      </c>
      <c r="F5" s="3" t="str">
        <f>$A28</f>
        <v>DOM 27/11/2016 17:00</v>
      </c>
      <c r="G5" s="3" t="str">
        <f>$A29</f>
        <v>INDEPENDÊNCIA</v>
      </c>
      <c r="I5" s="19" t="str">
        <f t="shared" si="0"/>
        <v>CAM</v>
      </c>
      <c r="J5" s="19">
        <f t="shared" si="1"/>
        <v>1</v>
      </c>
      <c r="K5" s="19">
        <f t="shared" si="2"/>
        <v>2</v>
      </c>
      <c r="L5" s="19" t="str">
        <f t="shared" si="3"/>
        <v>SAO</v>
      </c>
      <c r="M5" s="19" t="str">
        <f t="shared" si="4"/>
        <v>DOM</v>
      </c>
      <c r="N5" s="46">
        <f t="shared" si="5"/>
        <v>42701</v>
      </c>
      <c r="O5" s="19" t="str">
        <f t="shared" si="6"/>
        <v>17:00</v>
      </c>
      <c r="P5" s="3" t="str">
        <f t="shared" si="7"/>
        <v>INDEPENDÊNCIA</v>
      </c>
    </row>
    <row r="6" spans="1:16" x14ac:dyDescent="0.25">
      <c r="A6" s="50" t="s">
        <v>10</v>
      </c>
      <c r="C6" s="3" t="str">
        <f>$A30</f>
        <v>FLA </v>
      </c>
      <c r="D6" s="3" t="str">
        <f>$A32</f>
        <v>2 - 0</v>
      </c>
      <c r="E6" s="3" t="str">
        <f>$A34</f>
        <v> SAN</v>
      </c>
      <c r="F6" s="3" t="str">
        <f>$A35</f>
        <v>DOM 27/11/2016 17:00</v>
      </c>
      <c r="G6" s="3" t="str">
        <f>$A36</f>
        <v>MARACANÃ</v>
      </c>
      <c r="I6" s="19" t="str">
        <f t="shared" si="0"/>
        <v>FLA</v>
      </c>
      <c r="J6" s="19">
        <f t="shared" si="1"/>
        <v>2</v>
      </c>
      <c r="K6" s="19">
        <f t="shared" si="2"/>
        <v>0</v>
      </c>
      <c r="L6" s="19" t="str">
        <f t="shared" si="3"/>
        <v>SAN</v>
      </c>
      <c r="M6" s="19" t="str">
        <f t="shared" si="4"/>
        <v>DOM</v>
      </c>
      <c r="N6" s="46">
        <f t="shared" si="5"/>
        <v>42701</v>
      </c>
      <c r="O6" s="19" t="str">
        <f t="shared" si="6"/>
        <v>17:00</v>
      </c>
      <c r="P6" s="3" t="str">
        <f t="shared" si="7"/>
        <v>MARACANÃ</v>
      </c>
    </row>
    <row r="7" spans="1:16" x14ac:dyDescent="0.25">
      <c r="A7" s="50" t="s">
        <v>219</v>
      </c>
      <c r="C7" s="3" t="str">
        <f>$A37</f>
        <v>INT </v>
      </c>
      <c r="D7" s="3" t="str">
        <f>$A39</f>
        <v>1 - 0</v>
      </c>
      <c r="E7" s="3" t="str">
        <f>$A41</f>
        <v> CRU</v>
      </c>
      <c r="F7" s="3" t="str">
        <f>$A42</f>
        <v>DOM 27/11/2016 17:00</v>
      </c>
      <c r="G7" s="3" t="str">
        <f>$A43</f>
        <v>BEIRA RIO</v>
      </c>
      <c r="I7" s="19" t="str">
        <f t="shared" si="0"/>
        <v>INT</v>
      </c>
      <c r="J7" s="19">
        <f t="shared" si="1"/>
        <v>1</v>
      </c>
      <c r="K7" s="19">
        <f t="shared" si="2"/>
        <v>0</v>
      </c>
      <c r="L7" s="19" t="str">
        <f t="shared" si="3"/>
        <v>CRU</v>
      </c>
      <c r="M7" s="19" t="str">
        <f t="shared" si="4"/>
        <v>DOM</v>
      </c>
      <c r="N7" s="46">
        <f t="shared" si="5"/>
        <v>42701</v>
      </c>
      <c r="O7" s="19" t="str">
        <f t="shared" si="6"/>
        <v>17:00</v>
      </c>
      <c r="P7" s="3" t="str">
        <f t="shared" si="7"/>
        <v>BEIRA RIO</v>
      </c>
    </row>
    <row r="8" spans="1:16" x14ac:dyDescent="0.25">
      <c r="A8" s="50" t="s">
        <v>11</v>
      </c>
      <c r="C8" s="3" t="str">
        <f>$A44</f>
        <v>PAL </v>
      </c>
      <c r="D8" s="3" t="str">
        <f>$A46</f>
        <v>1 - 0</v>
      </c>
      <c r="E8" s="3" t="str">
        <f>$A48</f>
        <v> CHA</v>
      </c>
      <c r="F8" s="3" t="str">
        <f>$A49</f>
        <v>DOM 27/11/2016 17:00</v>
      </c>
      <c r="G8" s="3" t="str">
        <f>$A50</f>
        <v>ALLIANZ PARQUE</v>
      </c>
      <c r="I8" s="19" t="str">
        <f t="shared" si="0"/>
        <v>PAL</v>
      </c>
      <c r="J8" s="19">
        <f t="shared" si="1"/>
        <v>1</v>
      </c>
      <c r="K8" s="19">
        <f t="shared" si="2"/>
        <v>0</v>
      </c>
      <c r="L8" s="19" t="str">
        <f t="shared" si="3"/>
        <v>CHA</v>
      </c>
      <c r="M8" s="19" t="str">
        <f t="shared" si="4"/>
        <v>DOM</v>
      </c>
      <c r="N8" s="46">
        <f t="shared" si="5"/>
        <v>42701</v>
      </c>
      <c r="O8" s="19" t="str">
        <f t="shared" si="6"/>
        <v>17:00</v>
      </c>
      <c r="P8" s="3" t="str">
        <f t="shared" si="7"/>
        <v>ALLIANZ PARQUE</v>
      </c>
    </row>
    <row r="9" spans="1:16" x14ac:dyDescent="0.25">
      <c r="A9" s="50" t="s">
        <v>12</v>
      </c>
      <c r="C9" s="3" t="str">
        <f>$A51</f>
        <v>FIG </v>
      </c>
      <c r="D9" s="3" t="str">
        <f>$A53</f>
        <v>1 - 0</v>
      </c>
      <c r="E9" s="3" t="str">
        <f>$A55</f>
        <v> FLU</v>
      </c>
      <c r="F9" s="3" t="str">
        <f>$A56</f>
        <v>DOM 27/11/2016 19:30</v>
      </c>
      <c r="G9" s="3" t="str">
        <f>$A57</f>
        <v>ORLANDO SCARPELLI</v>
      </c>
      <c r="I9" s="19" t="str">
        <f t="shared" si="0"/>
        <v>FIG</v>
      </c>
      <c r="J9" s="19">
        <f t="shared" si="1"/>
        <v>1</v>
      </c>
      <c r="K9" s="19">
        <f t="shared" si="2"/>
        <v>0</v>
      </c>
      <c r="L9" s="19" t="str">
        <f t="shared" si="3"/>
        <v>FLU</v>
      </c>
      <c r="M9" s="19" t="str">
        <f t="shared" si="4"/>
        <v>DOM</v>
      </c>
      <c r="N9" s="46">
        <f t="shared" si="5"/>
        <v>42701</v>
      </c>
      <c r="O9" s="19" t="str">
        <f t="shared" si="6"/>
        <v>19:30</v>
      </c>
      <c r="P9" s="3" t="str">
        <f t="shared" si="7"/>
        <v>ORLANDO SCARPELLI</v>
      </c>
    </row>
    <row r="10" spans="1:16" x14ac:dyDescent="0.25">
      <c r="A10" s="50"/>
      <c r="C10" s="3" t="str">
        <f>$A58</f>
        <v>STC </v>
      </c>
      <c r="D10" s="3" t="str">
        <f>$A60</f>
        <v>5 - 1</v>
      </c>
      <c r="E10" s="3" t="str">
        <f>$A62</f>
        <v> GRE</v>
      </c>
      <c r="F10" s="3" t="str">
        <f>$A63</f>
        <v>DOM 27/11/2016 19:30</v>
      </c>
      <c r="G10" s="3" t="str">
        <f>$A64</f>
        <v>ARRUDA</v>
      </c>
      <c r="I10" s="19" t="str">
        <f t="shared" si="0"/>
        <v>STC</v>
      </c>
      <c r="J10" s="19">
        <f t="shared" si="1"/>
        <v>5</v>
      </c>
      <c r="K10" s="19">
        <f t="shared" si="2"/>
        <v>1</v>
      </c>
      <c r="L10" s="19" t="str">
        <f t="shared" si="3"/>
        <v>GRE</v>
      </c>
      <c r="M10" s="19" t="str">
        <f t="shared" si="4"/>
        <v>DOM</v>
      </c>
      <c r="N10" s="46">
        <f t="shared" si="5"/>
        <v>42701</v>
      </c>
      <c r="O10" s="19" t="str">
        <f t="shared" si="6"/>
        <v>19:30</v>
      </c>
      <c r="P10" s="3" t="str">
        <f t="shared" si="7"/>
        <v>ARRUDA</v>
      </c>
    </row>
    <row r="11" spans="1:16" x14ac:dyDescent="0.25">
      <c r="A11" s="50" t="s">
        <v>220</v>
      </c>
      <c r="C11" s="3" t="str">
        <f>$A65</f>
        <v>CFC </v>
      </c>
      <c r="D11" s="3" t="str">
        <f>$A67</f>
        <v>0 - 1</v>
      </c>
      <c r="E11" s="3" t="str">
        <f>$A69</f>
        <v> VIT</v>
      </c>
      <c r="F11" s="3" t="str">
        <f>$A70</f>
        <v>SEG 28/11/2016 20:00</v>
      </c>
      <c r="G11" s="3" t="str">
        <f>$A71</f>
        <v>COUTO PEREIRA</v>
      </c>
      <c r="I11" s="19" t="str">
        <f t="shared" si="0"/>
        <v>CFC</v>
      </c>
      <c r="J11" s="19">
        <f t="shared" si="1"/>
        <v>0</v>
      </c>
      <c r="K11" s="19">
        <f t="shared" si="2"/>
        <v>1</v>
      </c>
      <c r="L11" s="19" t="str">
        <f t="shared" si="3"/>
        <v>VIT</v>
      </c>
      <c r="M11" s="19" t="str">
        <f t="shared" si="4"/>
        <v>SEG</v>
      </c>
      <c r="N11" s="46">
        <f t="shared" si="5"/>
        <v>42702</v>
      </c>
      <c r="O11" s="19" t="str">
        <f t="shared" si="6"/>
        <v>20:00</v>
      </c>
      <c r="P11" s="3" t="str">
        <f t="shared" si="7"/>
        <v>COUTO PEREIRA</v>
      </c>
    </row>
    <row r="12" spans="1:16" x14ac:dyDescent="0.25">
      <c r="A12" s="50"/>
    </row>
    <row r="13" spans="1:16" x14ac:dyDescent="0.25">
      <c r="A13" s="50" t="s">
        <v>13</v>
      </c>
      <c r="J13" s="3" t="s">
        <v>231</v>
      </c>
    </row>
    <row r="14" spans="1:16" x14ac:dyDescent="0.25">
      <c r="A14" s="50" t="s">
        <v>219</v>
      </c>
    </row>
    <row r="15" spans="1:16" x14ac:dyDescent="0.25">
      <c r="A15" s="50" t="s">
        <v>14</v>
      </c>
    </row>
    <row r="16" spans="1:16" x14ac:dyDescent="0.25">
      <c r="A16" s="50" t="s">
        <v>15</v>
      </c>
    </row>
    <row r="17" spans="1:1" x14ac:dyDescent="0.25">
      <c r="A17" s="50"/>
    </row>
    <row r="18" spans="1:1" x14ac:dyDescent="0.25">
      <c r="A18" s="50" t="s">
        <v>16</v>
      </c>
    </row>
    <row r="19" spans="1:1" x14ac:dyDescent="0.25">
      <c r="A19" s="50"/>
    </row>
    <row r="20" spans="1:1" x14ac:dyDescent="0.25">
      <c r="A20" s="50" t="s">
        <v>17</v>
      </c>
    </row>
    <row r="21" spans="1:1" x14ac:dyDescent="0.25">
      <c r="A21" s="50" t="s">
        <v>221</v>
      </c>
    </row>
    <row r="22" spans="1:1" x14ac:dyDescent="0.25">
      <c r="A22" s="50" t="s">
        <v>18</v>
      </c>
    </row>
    <row r="23" spans="1:1" x14ac:dyDescent="0.25">
      <c r="A23" s="50" t="s">
        <v>19</v>
      </c>
    </row>
    <row r="24" spans="1:1" x14ac:dyDescent="0.25">
      <c r="A24" s="50"/>
    </row>
    <row r="25" spans="1:1" x14ac:dyDescent="0.25">
      <c r="A25" s="50" t="s">
        <v>222</v>
      </c>
    </row>
    <row r="26" spans="1:1" x14ac:dyDescent="0.25">
      <c r="A26" s="50"/>
    </row>
    <row r="27" spans="1:1" x14ac:dyDescent="0.25">
      <c r="A27" s="50" t="s">
        <v>20</v>
      </c>
    </row>
    <row r="28" spans="1:1" x14ac:dyDescent="0.25">
      <c r="A28" s="50" t="s">
        <v>223</v>
      </c>
    </row>
    <row r="29" spans="1:1" x14ac:dyDescent="0.25">
      <c r="A29" s="50" t="s">
        <v>11</v>
      </c>
    </row>
    <row r="30" spans="1:1" x14ac:dyDescent="0.25">
      <c r="A30" s="50" t="s">
        <v>21</v>
      </c>
    </row>
    <row r="31" spans="1:1" x14ac:dyDescent="0.25">
      <c r="A31" s="50"/>
    </row>
    <row r="32" spans="1:1" x14ac:dyDescent="0.25">
      <c r="A32" s="50" t="s">
        <v>224</v>
      </c>
    </row>
    <row r="33" spans="1:1" x14ac:dyDescent="0.25">
      <c r="A33" s="50"/>
    </row>
    <row r="34" spans="1:1" x14ac:dyDescent="0.25">
      <c r="A34" s="50" t="s">
        <v>22</v>
      </c>
    </row>
    <row r="35" spans="1:1" x14ac:dyDescent="0.25">
      <c r="A35" s="50" t="s">
        <v>223</v>
      </c>
    </row>
    <row r="36" spans="1:1" x14ac:dyDescent="0.25">
      <c r="A36" s="50" t="s">
        <v>23</v>
      </c>
    </row>
    <row r="37" spans="1:1" x14ac:dyDescent="0.25">
      <c r="A37" s="50" t="s">
        <v>24</v>
      </c>
    </row>
    <row r="38" spans="1:1" x14ac:dyDescent="0.25">
      <c r="A38" s="50"/>
    </row>
    <row r="39" spans="1:1" x14ac:dyDescent="0.25">
      <c r="A39" s="50" t="s">
        <v>25</v>
      </c>
    </row>
    <row r="40" spans="1:1" x14ac:dyDescent="0.25">
      <c r="A40" s="50"/>
    </row>
    <row r="41" spans="1:1" x14ac:dyDescent="0.25">
      <c r="A41" s="50" t="s">
        <v>26</v>
      </c>
    </row>
    <row r="42" spans="1:1" x14ac:dyDescent="0.25">
      <c r="A42" s="50" t="s">
        <v>223</v>
      </c>
    </row>
    <row r="43" spans="1:1" x14ac:dyDescent="0.25">
      <c r="A43" s="50" t="s">
        <v>27</v>
      </c>
    </row>
    <row r="44" spans="1:1" x14ac:dyDescent="0.25">
      <c r="A44" s="50" t="s">
        <v>28</v>
      </c>
    </row>
    <row r="45" spans="1:1" x14ac:dyDescent="0.25">
      <c r="A45" s="50"/>
    </row>
    <row r="46" spans="1:1" x14ac:dyDescent="0.25">
      <c r="A46" s="50" t="s">
        <v>25</v>
      </c>
    </row>
    <row r="47" spans="1:1" x14ac:dyDescent="0.25">
      <c r="A47" s="50"/>
    </row>
    <row r="48" spans="1:1" x14ac:dyDescent="0.25">
      <c r="A48" s="50" t="s">
        <v>29</v>
      </c>
    </row>
    <row r="49" spans="1:1" x14ac:dyDescent="0.25">
      <c r="A49" s="50" t="s">
        <v>223</v>
      </c>
    </row>
    <row r="50" spans="1:1" x14ac:dyDescent="0.25">
      <c r="A50" s="50" t="s">
        <v>30</v>
      </c>
    </row>
    <row r="51" spans="1:1" x14ac:dyDescent="0.25">
      <c r="A51" s="50" t="s">
        <v>31</v>
      </c>
    </row>
    <row r="52" spans="1:1" x14ac:dyDescent="0.25">
      <c r="A52" s="50"/>
    </row>
    <row r="53" spans="1:1" x14ac:dyDescent="0.25">
      <c r="A53" s="50" t="s">
        <v>25</v>
      </c>
    </row>
    <row r="54" spans="1:1" x14ac:dyDescent="0.25">
      <c r="A54" s="50"/>
    </row>
    <row r="55" spans="1:1" x14ac:dyDescent="0.25">
      <c r="A55" s="50" t="s">
        <v>32</v>
      </c>
    </row>
    <row r="56" spans="1:1" x14ac:dyDescent="0.25">
      <c r="A56" s="50" t="s">
        <v>225</v>
      </c>
    </row>
    <row r="57" spans="1:1" x14ac:dyDescent="0.25">
      <c r="A57" s="50" t="s">
        <v>33</v>
      </c>
    </row>
    <row r="58" spans="1:1" x14ac:dyDescent="0.25">
      <c r="A58" s="50" t="s">
        <v>34</v>
      </c>
    </row>
    <row r="59" spans="1:1" x14ac:dyDescent="0.25">
      <c r="A59" s="50"/>
    </row>
    <row r="60" spans="1:1" x14ac:dyDescent="0.25">
      <c r="A60" s="50" t="s">
        <v>226</v>
      </c>
    </row>
    <row r="61" spans="1:1" x14ac:dyDescent="0.25">
      <c r="A61" s="50"/>
    </row>
    <row r="62" spans="1:1" x14ac:dyDescent="0.25">
      <c r="A62" s="50" t="s">
        <v>35</v>
      </c>
    </row>
    <row r="63" spans="1:1" x14ac:dyDescent="0.25">
      <c r="A63" s="50" t="s">
        <v>225</v>
      </c>
    </row>
    <row r="64" spans="1:1" x14ac:dyDescent="0.25">
      <c r="A64" s="50" t="s">
        <v>36</v>
      </c>
    </row>
    <row r="65" spans="1:3" x14ac:dyDescent="0.25">
      <c r="A65" s="50" t="s">
        <v>37</v>
      </c>
    </row>
    <row r="66" spans="1:3" x14ac:dyDescent="0.25">
      <c r="A66" s="50"/>
    </row>
    <row r="67" spans="1:3" x14ac:dyDescent="0.25">
      <c r="A67" s="50" t="s">
        <v>38</v>
      </c>
    </row>
    <row r="68" spans="1:3" x14ac:dyDescent="0.25">
      <c r="A68" s="50"/>
    </row>
    <row r="69" spans="1:3" x14ac:dyDescent="0.25">
      <c r="A69" s="50" t="s">
        <v>39</v>
      </c>
    </row>
    <row r="70" spans="1:3" x14ac:dyDescent="0.25">
      <c r="A70" s="50" t="s">
        <v>227</v>
      </c>
    </row>
    <row r="71" spans="1:3" x14ac:dyDescent="0.25">
      <c r="A71" s="50" t="s">
        <v>40</v>
      </c>
    </row>
    <row r="72" spans="1:3" x14ac:dyDescent="0.25">
      <c r="A72" s="50"/>
    </row>
    <row r="74" spans="1:3" x14ac:dyDescent="0.25">
      <c r="A74" s="51" t="s">
        <v>216</v>
      </c>
      <c r="B74" s="51"/>
      <c r="C74" s="51"/>
    </row>
    <row r="75" spans="1:3" x14ac:dyDescent="0.25">
      <c r="A75" s="51" t="s">
        <v>217</v>
      </c>
      <c r="B75" s="51"/>
      <c r="C75" s="51"/>
    </row>
    <row r="77" spans="1:3" x14ac:dyDescent="0.25">
      <c r="A77" s="12" t="s">
        <v>228</v>
      </c>
    </row>
    <row r="79" spans="1:3" ht="34.5" customHeight="1" x14ac:dyDescent="0.25"/>
    <row r="82" spans="1:1" x14ac:dyDescent="0.25">
      <c r="A82" s="58" t="s">
        <v>234</v>
      </c>
    </row>
  </sheetData>
  <sheetProtection algorithmName="SHA-512" hashValue="Z/n3K5kEGOotovOGCNp6U5FCexYF8py6Ss6mJd8L5hLjhMaNgeAkZKRQ+lCL6w41dLUgNqyXiiupPpmbLUGvBA==" saltValue="Ci4BCbtzAFuPbN0PRNZqJQ==" spinCount="100000" sheet="1" objects="1" scenarios="1"/>
  <hyperlinks>
    <hyperlink ref="A77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G C H S c K 1 x D O o A A A A + A A A A B I A H A B D b 2 5 m a W c v U G F j a 2 F n Z S 5 4 b W w g o h g A K K A U A A A A A A A A A A A A A A A A A A A A A A A A A A A A h Y / R C o I w G I V f R X b v p r O i 5 H d C 3 S Z E Q X Q 7 5 t K R T n G z + W 5 d 9 E i 9 Q k J Z 3 X V 5 D t + B 7 z x u d 0 i H u v K u s j O q 0 Q k K c Y A 8 q U W T K 1 0 k q L d n f 4 l S B j s u L r y Q 3 g h r E w 9 G J a i 0 t o 0 J c c 5 h F + G m K w g N g p C c s u 1 B l L L m v t L G c i 0 k + q z y / y v E 4 P i S Y R R H K z y b 0 w U O a Q R k q i F T + o v Q 0 R g H Q H 5 K 2 P S V 7 T v J W u u v 9 0 C m C O T 9 g j 0 B U E s D B B Q A A g A I A F h g h 0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Y I d J K I p H u A 4 A A A A R A A A A E w A c A E Z v c m 1 1 b G F z L 1 N l Y 3 R p b 2 4 x L m 0 g o h g A K K A U A A A A A A A A A A A A A A A A A A A A A A A A A A A A K 0 5 N L s n M z 1 M I h t C G 1 g B Q S w E C L Q A U A A I A C A B Y Y I d J w r X E M 6 g A A A D 4 A A A A E g A A A A A A A A A A A A A A A A A A A A A A Q 2 9 u Z m l n L 1 B h Y 2 t h Z 2 U u e G 1 s U E s B A i 0 A F A A C A A g A W G C H S Q / K 6 a u k A A A A 6 Q A A A B M A A A A A A A A A A A A A A A A A 9 A A A A F t D b 2 5 0 Z W 5 0 X 1 R 5 c G V z X S 5 4 b W x Q S w E C L Q A U A A I A C A B Y Y I d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d K E L a e 7 E a z A j p k r 7 7 q t Q A A A A A C A A A A A A A Q Z g A A A A E A A C A A A A C N Z n + / 1 f + b W t c G U h M Q G e s n x 3 Y A b 0 v K 6 H t K H d d H q X t I y w A A A A A O g A A A A A I A A C A A A A C t H + N O x h 4 g 6 7 q c p x 3 N L 9 E j P E f 0 n T f 0 Q C t w t N w 7 o K F h 1 1 A A A A A 6 b T 8 L e j A + 8 E l q k w a d L / x t 9 p P p f V e T 9 F i E a l c p + V 5 1 M t K v G t 4 J b 3 C 5 x L 7 L E E S g 1 Z P w l f L 9 C 2 l q + t R q S v I k u D F z H 4 g a + X m 0 o l h Y N R B O + 1 + D 7 k A A A A B q r x u f 1 x 2 i Z d u a t x 3 l X q 9 / w + f 5 i J u i Z 7 T S A D l M n i B 5 B G T 3 9 i G c O 0 9 F Y H M 1 b m b U 9 n M G D X L Y e 1 4 s r R o o s y 5 W x h B R < / D a t a M a s h u p > 
</file>

<file path=customXml/itemProps1.xml><?xml version="1.0" encoding="utf-8"?>
<ds:datastoreItem xmlns:ds="http://schemas.openxmlformats.org/officeDocument/2006/customXml" ds:itemID="{301B0CE9-E81A-43FE-B7A3-D4F3D2729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Classificação</vt:lpstr>
      <vt:lpstr>Por time</vt:lpstr>
      <vt:lpstr>Geral</vt:lpstr>
      <vt:lpstr>Dados</vt:lpstr>
      <vt:lpstr>Jogos</vt:lpstr>
      <vt:lpstr>Importação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Radames</cp:lastModifiedBy>
  <dcterms:created xsi:type="dcterms:W3CDTF">2016-12-04T18:56:01Z</dcterms:created>
  <dcterms:modified xsi:type="dcterms:W3CDTF">2016-12-11T22:09:03Z</dcterms:modified>
</cp:coreProperties>
</file>