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3"/>
  <workbookPr filterPrivacy="1"/>
  <xr:revisionPtr revIDLastSave="0" documentId="13_ncr:1_{2A91A1EE-7BA2-4BE8-B758-AB05F47A4576}" xr6:coauthVersionLast="36" xr6:coauthVersionMax="36" xr10:uidLastSave="{00000000-0000-0000-0000-000000000000}"/>
  <bookViews>
    <workbookView xWindow="948" yWindow="0" windowWidth="16416" windowHeight="6852" xr2:uid="{00000000-000D-0000-FFFF-FFFF00000000}"/>
  </bookViews>
  <sheets>
    <sheet name="RQ1_reason" sheetId="4" r:id="rId1"/>
  </sheets>
  <calcPr calcId="191029"/>
</workbook>
</file>

<file path=xl/calcChain.xml><?xml version="1.0" encoding="utf-8"?>
<calcChain xmlns="http://schemas.openxmlformats.org/spreadsheetml/2006/main">
  <c r="Q59" i="4" l="1"/>
  <c r="V59" i="4" s="1"/>
  <c r="P59" i="4"/>
  <c r="U59" i="4" s="1"/>
  <c r="O59" i="4"/>
  <c r="T59" i="4" s="1"/>
  <c r="N59" i="4"/>
  <c r="S59" i="4" s="1"/>
  <c r="M59" i="4"/>
  <c r="R59" i="4" s="1"/>
  <c r="L59" i="4"/>
  <c r="K59" i="4"/>
  <c r="J59" i="4"/>
  <c r="I59" i="4"/>
  <c r="H59" i="4"/>
  <c r="G59" i="4"/>
  <c r="F59" i="4"/>
  <c r="E59" i="4"/>
  <c r="D59" i="4"/>
  <c r="C59" i="4"/>
  <c r="L58" i="4"/>
  <c r="K58" i="4"/>
  <c r="J58" i="4"/>
  <c r="I58" i="4"/>
  <c r="H58" i="4"/>
  <c r="L57" i="4"/>
  <c r="K57" i="4"/>
  <c r="J57" i="4"/>
  <c r="I57" i="4"/>
  <c r="H57" i="4"/>
  <c r="L56" i="4"/>
  <c r="K56" i="4"/>
  <c r="J56" i="4"/>
  <c r="I56" i="4"/>
  <c r="H56" i="4"/>
  <c r="L55" i="4"/>
  <c r="K55" i="4"/>
  <c r="J55" i="4"/>
  <c r="I55" i="4"/>
  <c r="H55" i="4"/>
  <c r="L54" i="4"/>
  <c r="K54" i="4"/>
  <c r="J54" i="4"/>
  <c r="I54" i="4"/>
  <c r="H54" i="4"/>
  <c r="L53" i="4"/>
  <c r="K53" i="4"/>
  <c r="J53" i="4"/>
  <c r="I53" i="4"/>
  <c r="H53" i="4"/>
  <c r="L52" i="4"/>
  <c r="K52" i="4"/>
  <c r="J52" i="4"/>
  <c r="I52" i="4"/>
  <c r="G52" i="4"/>
  <c r="F52" i="4"/>
  <c r="E52" i="4"/>
  <c r="D52" i="4"/>
  <c r="C52" i="4"/>
  <c r="L51" i="4"/>
  <c r="K51" i="4"/>
  <c r="J51" i="4"/>
  <c r="I51" i="4"/>
  <c r="H51" i="4"/>
  <c r="L50" i="4"/>
  <c r="K50" i="4"/>
  <c r="J50" i="4"/>
  <c r="I50" i="4"/>
  <c r="H50" i="4"/>
  <c r="Q49" i="4"/>
  <c r="V49" i="4" s="1"/>
  <c r="P49" i="4"/>
  <c r="U49" i="4" s="1"/>
  <c r="O49" i="4"/>
  <c r="T49" i="4" s="1"/>
  <c r="N49" i="4"/>
  <c r="S49" i="4" s="1"/>
  <c r="M49" i="4"/>
  <c r="R49" i="4" s="1"/>
  <c r="L49" i="4"/>
  <c r="K49" i="4"/>
  <c r="J49" i="4"/>
  <c r="I49" i="4"/>
  <c r="H49" i="4"/>
  <c r="G49" i="4"/>
  <c r="F49" i="4"/>
  <c r="E49" i="4"/>
  <c r="D49" i="4"/>
  <c r="C49" i="4"/>
  <c r="L48" i="4"/>
  <c r="K48" i="4"/>
  <c r="J48" i="4"/>
  <c r="I48" i="4"/>
  <c r="H48" i="4"/>
  <c r="L47" i="4"/>
  <c r="K47" i="4"/>
  <c r="J47" i="4"/>
  <c r="I47" i="4"/>
  <c r="H47" i="4"/>
  <c r="L46" i="4"/>
  <c r="K46" i="4"/>
  <c r="J46" i="4"/>
  <c r="I46" i="4"/>
  <c r="H46" i="4"/>
  <c r="L45" i="4"/>
  <c r="K45" i="4"/>
  <c r="J45" i="4"/>
  <c r="I45" i="4"/>
  <c r="H45" i="4"/>
  <c r="V44" i="4"/>
  <c r="U44" i="4"/>
  <c r="T44" i="4"/>
  <c r="S44" i="4"/>
  <c r="R44" i="4"/>
  <c r="L44" i="4"/>
  <c r="K44" i="4"/>
  <c r="J44" i="4"/>
  <c r="I44" i="4"/>
  <c r="H44" i="4"/>
  <c r="G44" i="4"/>
  <c r="F44" i="4"/>
  <c r="E44" i="4"/>
  <c r="D44" i="4"/>
  <c r="C44" i="4"/>
  <c r="U43" i="4"/>
  <c r="T43" i="4"/>
  <c r="Q43" i="4"/>
  <c r="V43" i="4" s="1"/>
  <c r="P43" i="4"/>
  <c r="O43" i="4"/>
  <c r="N43" i="4"/>
  <c r="S43" i="4" s="1"/>
  <c r="M43" i="4"/>
  <c r="R43" i="4" s="1"/>
  <c r="L43" i="4"/>
  <c r="K43" i="4"/>
  <c r="J43" i="4"/>
  <c r="I43" i="4"/>
  <c r="H43" i="4"/>
  <c r="L42" i="4"/>
  <c r="K42" i="4"/>
  <c r="J42" i="4"/>
  <c r="I42" i="4"/>
  <c r="H42" i="4"/>
  <c r="L41" i="4"/>
  <c r="K41" i="4"/>
  <c r="J41" i="4"/>
  <c r="I41" i="4"/>
  <c r="H41" i="4"/>
  <c r="L40" i="4"/>
  <c r="K40" i="4"/>
  <c r="J40" i="4"/>
  <c r="I40" i="4"/>
  <c r="H40" i="4"/>
  <c r="L39" i="4"/>
  <c r="K39" i="4"/>
  <c r="J39" i="4"/>
  <c r="I39" i="4"/>
  <c r="H39" i="4"/>
  <c r="V38" i="4"/>
  <c r="Q38" i="4"/>
  <c r="P38" i="4"/>
  <c r="U38" i="4" s="1"/>
  <c r="O38" i="4"/>
  <c r="T38" i="4" s="1"/>
  <c r="N38" i="4"/>
  <c r="S38" i="4" s="1"/>
  <c r="M38" i="4"/>
  <c r="R38" i="4" s="1"/>
  <c r="L38" i="4"/>
  <c r="K38" i="4"/>
  <c r="J38" i="4"/>
  <c r="I38" i="4"/>
  <c r="H38" i="4"/>
  <c r="G38" i="4"/>
  <c r="F38" i="4"/>
  <c r="E38" i="4"/>
  <c r="D38" i="4"/>
  <c r="C38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S34" i="4"/>
  <c r="Q34" i="4"/>
  <c r="V34" i="4" s="1"/>
  <c r="P34" i="4"/>
  <c r="U34" i="4" s="1"/>
  <c r="O34" i="4"/>
  <c r="T34" i="4" s="1"/>
  <c r="N34" i="4"/>
  <c r="M34" i="4"/>
  <c r="R34" i="4" s="1"/>
  <c r="L34" i="4"/>
  <c r="K34" i="4"/>
  <c r="J34" i="4"/>
  <c r="I34" i="4"/>
  <c r="H34" i="4"/>
  <c r="L33" i="4"/>
  <c r="K33" i="4"/>
  <c r="J33" i="4"/>
  <c r="I33" i="4"/>
  <c r="H33" i="4"/>
  <c r="L32" i="4"/>
  <c r="K32" i="4"/>
  <c r="J32" i="4"/>
  <c r="I32" i="4"/>
  <c r="H32" i="4"/>
  <c r="L31" i="4"/>
  <c r="K31" i="4"/>
  <c r="J31" i="4"/>
  <c r="I31" i="4"/>
  <c r="H31" i="4"/>
  <c r="U30" i="4"/>
  <c r="Q30" i="4"/>
  <c r="V30" i="4" s="1"/>
  <c r="P30" i="4"/>
  <c r="O30" i="4"/>
  <c r="T30" i="4" s="1"/>
  <c r="N30" i="4"/>
  <c r="S30" i="4" s="1"/>
  <c r="M30" i="4"/>
  <c r="R30" i="4" s="1"/>
  <c r="L30" i="4"/>
  <c r="K30" i="4"/>
  <c r="J30" i="4"/>
  <c r="I30" i="4"/>
  <c r="H30" i="4"/>
  <c r="L29" i="4"/>
  <c r="K29" i="4"/>
  <c r="J29" i="4"/>
  <c r="I29" i="4"/>
  <c r="H29" i="4"/>
  <c r="L28" i="4"/>
  <c r="K28" i="4"/>
  <c r="J28" i="4"/>
  <c r="I28" i="4"/>
  <c r="H28" i="4"/>
  <c r="L27" i="4"/>
  <c r="G27" i="4"/>
  <c r="F27" i="4"/>
  <c r="E27" i="4"/>
  <c r="D27" i="4"/>
  <c r="C27" i="4"/>
  <c r="T26" i="4"/>
  <c r="Q26" i="4"/>
  <c r="V26" i="4" s="1"/>
  <c r="P26" i="4"/>
  <c r="U26" i="4" s="1"/>
  <c r="O26" i="4"/>
  <c r="N26" i="4"/>
  <c r="S26" i="4" s="1"/>
  <c r="M26" i="4"/>
  <c r="R26" i="4" s="1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R21" i="4"/>
  <c r="Q21" i="4"/>
  <c r="V21" i="4" s="1"/>
  <c r="P21" i="4"/>
  <c r="U21" i="4" s="1"/>
  <c r="O21" i="4"/>
  <c r="T21" i="4" s="1"/>
  <c r="N21" i="4"/>
  <c r="S21" i="4" s="1"/>
  <c r="M21" i="4"/>
  <c r="L21" i="4"/>
  <c r="K21" i="4"/>
  <c r="J21" i="4"/>
  <c r="I21" i="4"/>
  <c r="G21" i="4"/>
  <c r="F21" i="4"/>
  <c r="E21" i="4"/>
  <c r="D21" i="4"/>
  <c r="C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V16" i="4"/>
  <c r="U16" i="4"/>
  <c r="T16" i="4"/>
  <c r="S16" i="4"/>
  <c r="R16" i="4"/>
  <c r="L16" i="4"/>
  <c r="G16" i="4"/>
  <c r="F16" i="4"/>
  <c r="E16" i="4"/>
  <c r="D16" i="4"/>
  <c r="C16" i="4"/>
  <c r="L15" i="4"/>
  <c r="K15" i="4"/>
  <c r="J15" i="4"/>
  <c r="I15" i="4"/>
  <c r="H15" i="4"/>
  <c r="L14" i="4"/>
  <c r="K14" i="4"/>
  <c r="J14" i="4"/>
  <c r="I14" i="4"/>
  <c r="H14" i="4"/>
  <c r="L13" i="4"/>
  <c r="K13" i="4"/>
  <c r="J13" i="4"/>
  <c r="I13" i="4"/>
  <c r="H13" i="4"/>
  <c r="F13" i="4"/>
  <c r="E13" i="4"/>
  <c r="D13" i="4"/>
  <c r="C13" i="4"/>
  <c r="K12" i="4"/>
  <c r="J12" i="4"/>
  <c r="I12" i="4"/>
  <c r="H12" i="4"/>
  <c r="G12" i="4"/>
  <c r="L12" i="4" s="1"/>
  <c r="L11" i="4"/>
  <c r="K11" i="4"/>
  <c r="J11" i="4"/>
  <c r="I11" i="4"/>
  <c r="H11" i="4"/>
  <c r="L10" i="4"/>
  <c r="K10" i="4"/>
  <c r="J10" i="4"/>
  <c r="I10" i="4"/>
  <c r="H10" i="4"/>
  <c r="L9" i="4"/>
  <c r="K9" i="4"/>
  <c r="J9" i="4"/>
  <c r="I9" i="4"/>
  <c r="H9" i="4"/>
  <c r="L8" i="4"/>
  <c r="K8" i="4"/>
  <c r="J8" i="4"/>
  <c r="I8" i="4"/>
  <c r="H8" i="4"/>
  <c r="L7" i="4"/>
  <c r="K7" i="4"/>
  <c r="J7" i="4"/>
  <c r="I7" i="4"/>
  <c r="H7" i="4"/>
  <c r="G7" i="4"/>
  <c r="F7" i="4"/>
  <c r="E7" i="4"/>
  <c r="D7" i="4"/>
  <c r="C7" i="4"/>
  <c r="L6" i="4"/>
  <c r="K6" i="4"/>
  <c r="J6" i="4"/>
  <c r="I6" i="4"/>
  <c r="H6" i="4"/>
  <c r="L5" i="4"/>
  <c r="K5" i="4"/>
  <c r="J5" i="4"/>
  <c r="I5" i="4"/>
  <c r="H5" i="4"/>
  <c r="L4" i="4"/>
  <c r="K4" i="4"/>
  <c r="J4" i="4"/>
  <c r="I4" i="4"/>
  <c r="H4" i="4"/>
  <c r="L3" i="4"/>
  <c r="K3" i="4"/>
  <c r="J3" i="4"/>
  <c r="I3" i="4"/>
  <c r="H3" i="4"/>
  <c r="Q2" i="4"/>
  <c r="V2" i="4" s="1"/>
  <c r="P2" i="4"/>
  <c r="U2" i="4" s="1"/>
  <c r="O2" i="4"/>
  <c r="T2" i="4" s="1"/>
  <c r="N2" i="4"/>
  <c r="S2" i="4" s="1"/>
  <c r="M2" i="4"/>
  <c r="R2" i="4" s="1"/>
  <c r="L2" i="4"/>
  <c r="K2" i="4"/>
  <c r="J2" i="4"/>
  <c r="I2" i="4"/>
  <c r="H2" i="4"/>
  <c r="G13" i="4" l="1"/>
</calcChain>
</file>

<file path=xl/sharedStrings.xml><?xml version="1.0" encoding="utf-8"?>
<sst xmlns="http://schemas.openxmlformats.org/spreadsheetml/2006/main" count="185" uniqueCount="78">
  <si>
    <t>0</t>
  </si>
  <si>
    <t>OOTs</t>
  </si>
  <si>
    <t>OOT</t>
  </si>
  <si>
    <t>OOM</t>
  </si>
  <si>
    <t>Encountered an unknown bytecode</t>
  </si>
  <si>
    <t>tools</t>
  </si>
  <si>
    <t>Conkas -678</t>
  </si>
  <si>
    <t>eThor -5678</t>
  </si>
  <si>
    <t>Oyente-5678</t>
  </si>
  <si>
    <t>HoneyBadger -5678</t>
  </si>
  <si>
    <t>Osiris -5678</t>
  </si>
  <si>
    <t>RA -45678</t>
  </si>
  <si>
    <t>Securify -678</t>
  </si>
  <si>
    <t>Securify2-SC -4678</t>
  </si>
  <si>
    <t>SCA-SC -678</t>
  </si>
  <si>
    <t>teEther -678</t>
  </si>
  <si>
    <t>Table</t>
  </si>
  <si>
    <t>(pip package : solidity_parser) AttributeError: 'NoneType' object has no attribute 'getText'.</t>
  </si>
  <si>
    <t>Parser (solidity\_parser and antlr4)</t>
  </si>
  <si>
    <t>(pip package : solcx) solcx.exceptions.SolcError: An error occurred during execution.</t>
  </si>
  <si>
    <t>Compilation (solcx)</t>
  </si>
  <si>
    <t>(pip package : antlr4) ANTLR runtime and generated code versions disagree: 4.9.2!=4.7.2.</t>
  </si>
  <si>
    <t>(pip package : solidity/source_map) ValueError: too many values to unpack (expected 4).</t>
  </si>
  <si>
    <t>Location (solidity/source\_map)</t>
  </si>
  <si>
    <t>(Rattle intermediate representation) PHI instruction need arguments but 0 was given.</t>
  </si>
  <si>
    <t>Tool-specific infrequent bugs</t>
  </si>
  <si>
    <t>Out of time</t>
  </si>
  <si>
    <t>Out of memory</t>
  </si>
  <si>
    <t>(opcode) UnsupportedOperationException: DELEGATECALL.</t>
  </si>
  <si>
    <t>Unsupported DELEGATECALL</t>
  </si>
  <si>
    <t>(bytecode) Encountered an unknown bytecode.</t>
  </si>
  <si>
    <t>(special) unknown.</t>
  </si>
  <si>
    <t>(version) Solidity compilation failed (unsupported version).</t>
  </si>
  <si>
    <t>Unsupported version</t>
  </si>
  <si>
    <t>(version) Solidity compilation failed (unsupported version)</t>
  </si>
  <si>
    <t>(opcode) IndexError (POP)</t>
  </si>
  <si>
    <t>(special) DOCKER_SEGV</t>
  </si>
  <si>
    <t>(AST) KeyError (SourceMap.ast_helper).</t>
  </si>
  <si>
    <t>Location</t>
  </si>
  <si>
    <t>(opcode) IndexError (POP).</t>
  </si>
  <si>
    <t>POP implementation</t>
  </si>
  <si>
    <t>(opcode) RuntimeError (unknown name(SHR) or instr_name(INVALID)).</t>
  </si>
  <si>
    <t>Unknown SHR and INVALID</t>
  </si>
  <si>
    <t>(special) NameError (name 'callstack' is not defined).</t>
  </si>
  <si>
    <t>(special) FileNotFoundError</t>
  </si>
  <si>
    <t>(non-hexadecimal character) EVMbytecodeError: Implementation or design error. A non-hexadecimal character is given. Or, the given EVM byte code may be incorrect.</t>
  </si>
  <si>
    <t>(mnemonic_to_func) KeyError:  'CODEDATACOPY.</t>
  </si>
  <si>
    <t>Unknown CODEDATACOPY</t>
  </si>
  <si>
    <t>(mnemonic_to_func) KeyError: 'STATICCALL.</t>
  </si>
  <si>
    <t>Unknown STATICCALL</t>
  </si>
  <si>
    <t>(mstore) DevelopmentErorr: Implementation or design error. Does not support memory operations indexed by symbol variables.</t>
  </si>
  <si>
    <t>(op_calldataload) DevelopmentErorr: Implementation or design error.</t>
  </si>
  <si>
    <t>(op_sha3) UnboundLocalError: local variable 'data' referenced before assignment.</t>
  </si>
  <si>
    <t>(op_signextend) TypeError: isinstance() arg 2 must be a type or tuple of types.</t>
  </si>
  <si>
    <t>Opcode implementation</t>
  </si>
  <si>
    <t>(Z3)ASSERTION VIOLATION</t>
  </si>
  <si>
    <t>(special) killed</t>
  </si>
  <si>
    <t>(Decompilation failed.) java.lang.ArrayIndexOutOfBoundsException.</t>
  </si>
  <si>
    <t>(dataflow analysis) java.io.IOException.</t>
  </si>
  <si>
    <t>Dataflow analysis</t>
  </si>
  <si>
    <t>(Decompilation failed.) java.lang.NullPointerException.</t>
  </si>
  <si>
    <t>(Decompilation failed.) java.util.EmptyStackException.</t>
  </si>
  <si>
    <t>Decompilation</t>
  </si>
  <si>
    <t>(AST) securify.grammar.GrammarError: Symbol 'FunctionCallOptions' not found in grammar.</t>
  </si>
  <si>
    <t>Abstract Syntax Tree grammar</t>
  </si>
  <si>
    <t>(CFG) securify.solidity.utils.CfgCompilationError: Unresolvable symbol type.</t>
  </si>
  <si>
    <t>Control Flow Graph compilation</t>
  </si>
  <si>
    <t>(source code) IndexError: list index out of range.</t>
  </si>
  <si>
    <t>(special) ValueError: invalid literal for int() with base 10: 'UNK'.</t>
  </si>
  <si>
    <t>(AST) scala.MatchError: class kr.ac.kaist.saf.nodes.ast.Payable</t>
  </si>
  <si>
    <t>Abstract Syntax Tree match</t>
  </si>
  <si>
    <t>(source code parser) opensquare expected.</t>
  </si>
  <si>
    <t>Source code parser</t>
  </si>
  <si>
    <t>(special) OverflowError: cannot fit 'int' into an index-sized integer.</t>
  </si>
  <si>
    <t>(special) MemoryError: json.dump(p.to_json(), f).</t>
  </si>
  <si>
    <t>(Z3) z3.z3types.Z3Exception: b'invalid extract application'.</t>
  </si>
  <si>
    <t>(non-hexadecimal number) ValueError: non-hexadecimal number found in fromhex() arg at position 8144.</t>
  </si>
  <si>
    <t>causes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</si>
</sst>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"/>
    <numFmt numFmtId="181" formatCode="0_);[Red]\(0\)"/>
  </numFmts>
  <fonts count="8" x14ac:knownFonts="1">
    <font>
      <sz val="11"/>
      <color theme="1"/>
      <name val="宋体"/>
      <family val="2"/>
      <scheme val="minor"/>
    </font>
    <font>
      <sz val="12"/>
      <name val="等线"/>
      <family val="2"/>
    </font>
    <font>
      <sz val="12"/>
      <color rgb="FF262626"/>
      <name val="等线"/>
      <family val="2"/>
    </font>
    <font>
      <b/>
      <sz val="12"/>
      <name val="等线"/>
      <family val="2"/>
    </font>
    <font>
      <sz val="12"/>
      <color rgb="FFF5222D"/>
      <name val="等线"/>
      <family val="2"/>
    </font>
    <font>
      <b/>
      <sz val="12"/>
      <color rgb="FFF5222D"/>
      <name val="等线"/>
      <family val="2"/>
    </font>
    <font>
      <sz val="12"/>
      <color rgb="FFDF2A3F"/>
      <name val="等线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176" fontId="1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9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horizontal="left" vertical="center"/>
    </xf>
    <xf numFmtId="176" fontId="6" fillId="2" borderId="1" xfId="0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81" fontId="3" fillId="2" borderId="1" xfId="0" applyNumberFormat="1" applyFont="1" applyFill="1" applyBorder="1" applyAlignment="1">
      <alignment horizontal="center" vertical="center"/>
    </xf>
    <xf numFmtId="181" fontId="1" fillId="2" borderId="1" xfId="0" applyNumberFormat="1" applyFont="1" applyFill="1" applyBorder="1" applyAlignment="1">
      <alignment horizontal="left" vertical="center"/>
    </xf>
    <xf numFmtId="181" fontId="1" fillId="2" borderId="1" xfId="0" applyNumberFormat="1" applyFont="1" applyFill="1" applyBorder="1" applyAlignment="1">
      <alignment horizontal="right" vertical="center"/>
    </xf>
    <xf numFmtId="181" fontId="4" fillId="2" borderId="1" xfId="0" applyNumberFormat="1" applyFont="1" applyFill="1" applyBorder="1" applyAlignment="1">
      <alignment horizontal="right" vertical="center"/>
    </xf>
    <xf numFmtId="181" fontId="5" fillId="2" borderId="1" xfId="0" applyNumberFormat="1" applyFont="1" applyFill="1" applyBorder="1" applyAlignment="1">
      <alignment horizontal="right" vertical="center"/>
    </xf>
    <xf numFmtId="18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16"/>
  <sheetViews>
    <sheetView tabSelected="1" workbookViewId="0">
      <selection activeCell="E6" sqref="E6"/>
    </sheetView>
  </sheetViews>
  <sheetFormatPr defaultRowHeight="14.4" x14ac:dyDescent="0.25"/>
  <cols>
    <col min="1" max="1" width="32.5546875" customWidth="1"/>
    <col min="2" max="2" width="57.109375" customWidth="1"/>
    <col min="3" max="7" width="5.6640625" style="16" customWidth="1"/>
    <col min="8" max="12" width="7" customWidth="1"/>
    <col min="13" max="22" width="5.44140625" customWidth="1"/>
    <col min="23" max="23" width="44.5546875" customWidth="1"/>
    <col min="24" max="26" width="20" customWidth="1"/>
  </cols>
  <sheetData>
    <row r="1" spans="1:26" ht="14.4" customHeight="1" x14ac:dyDescent="0.25">
      <c r="A1" s="3" t="s">
        <v>5</v>
      </c>
      <c r="B1" s="3" t="s">
        <v>77</v>
      </c>
      <c r="C1" s="11">
        <v>4</v>
      </c>
      <c r="D1" s="11">
        <v>5</v>
      </c>
      <c r="E1" s="11">
        <v>6</v>
      </c>
      <c r="F1" s="11">
        <v>7</v>
      </c>
      <c r="G1" s="11">
        <v>8</v>
      </c>
      <c r="H1" s="3">
        <v>371</v>
      </c>
      <c r="I1" s="3">
        <v>355</v>
      </c>
      <c r="J1" s="3">
        <v>375</v>
      </c>
      <c r="K1" s="3">
        <v>361</v>
      </c>
      <c r="L1" s="3">
        <v>381</v>
      </c>
      <c r="M1" s="3"/>
      <c r="N1" s="3"/>
      <c r="O1" s="3"/>
      <c r="P1" s="3"/>
      <c r="Q1" s="3"/>
      <c r="R1" s="3"/>
      <c r="S1" s="3"/>
      <c r="T1" s="3"/>
      <c r="U1" s="3"/>
      <c r="V1" s="3"/>
      <c r="W1" s="3" t="s">
        <v>16</v>
      </c>
      <c r="X1" s="3"/>
      <c r="Y1" s="3"/>
      <c r="Z1" s="3"/>
    </row>
    <row r="2" spans="1:26" ht="14.4" customHeight="1" x14ac:dyDescent="0.25">
      <c r="A2" s="10" t="s">
        <v>6</v>
      </c>
      <c r="B2" s="4" t="s">
        <v>17</v>
      </c>
      <c r="C2" s="12" t="s">
        <v>0</v>
      </c>
      <c r="D2" s="13">
        <v>4</v>
      </c>
      <c r="E2" s="13">
        <v>319</v>
      </c>
      <c r="F2" s="13">
        <v>269</v>
      </c>
      <c r="G2" s="13">
        <v>363</v>
      </c>
      <c r="H2" s="5">
        <f>C2/H1</f>
        <v>0</v>
      </c>
      <c r="I2" s="5">
        <f>D2/I1</f>
        <v>1.1267605633802818E-2</v>
      </c>
      <c r="J2" s="5">
        <f>E2/J1</f>
        <v>0.85066666666666668</v>
      </c>
      <c r="K2" s="5">
        <f>F2/K1</f>
        <v>0.74515235457063711</v>
      </c>
      <c r="L2" s="5">
        <f>G2/L1</f>
        <v>0.952755905511811</v>
      </c>
      <c r="M2" s="1">
        <f>C2+C4</f>
        <v>0</v>
      </c>
      <c r="N2" s="1">
        <f>D2+D4</f>
        <v>4</v>
      </c>
      <c r="O2" s="1">
        <f>E2+E4</f>
        <v>322</v>
      </c>
      <c r="P2" s="1">
        <f>F2+F4</f>
        <v>273</v>
      </c>
      <c r="Q2" s="1">
        <f>G2+G4</f>
        <v>364</v>
      </c>
      <c r="R2" s="5">
        <f>M2/H1</f>
        <v>0</v>
      </c>
      <c r="S2" s="5">
        <f>N2/I1</f>
        <v>1.1267605633802818E-2</v>
      </c>
      <c r="T2" s="5">
        <f>O2/J1</f>
        <v>0.85866666666666669</v>
      </c>
      <c r="U2" s="5">
        <f>P2/K1</f>
        <v>0.75623268698060941</v>
      </c>
      <c r="V2" s="5">
        <f>Q2/L1</f>
        <v>0.95538057742782156</v>
      </c>
      <c r="W2" s="1" t="s">
        <v>18</v>
      </c>
    </row>
    <row r="3" spans="1:26" ht="14.4" customHeight="1" x14ac:dyDescent="0.25">
      <c r="A3" s="10"/>
      <c r="B3" s="4" t="s">
        <v>19</v>
      </c>
      <c r="C3" s="13">
        <v>7</v>
      </c>
      <c r="D3" s="13">
        <v>62</v>
      </c>
      <c r="E3" s="13">
        <v>13</v>
      </c>
      <c r="F3" s="13">
        <v>21</v>
      </c>
      <c r="G3" s="13">
        <v>16</v>
      </c>
      <c r="H3" s="5">
        <f>C3/H1</f>
        <v>1.8867924528301886E-2</v>
      </c>
      <c r="I3" s="5">
        <f>D3/I1</f>
        <v>0.17464788732394365</v>
      </c>
      <c r="J3" s="5">
        <f>E3/J1</f>
        <v>3.4666666666666665E-2</v>
      </c>
      <c r="K3" s="5">
        <f>F3/K1</f>
        <v>5.817174515235457E-2</v>
      </c>
      <c r="L3" s="5">
        <f>G3/L1</f>
        <v>4.1994750656167978E-2</v>
      </c>
      <c r="W3" s="1" t="s">
        <v>20</v>
      </c>
    </row>
    <row r="4" spans="1:26" ht="14.4" customHeight="1" x14ac:dyDescent="0.25">
      <c r="A4" s="10"/>
      <c r="B4" s="4" t="s">
        <v>21</v>
      </c>
      <c r="C4" s="12" t="s">
        <v>0</v>
      </c>
      <c r="D4" s="12" t="s">
        <v>0</v>
      </c>
      <c r="E4" s="13">
        <v>3</v>
      </c>
      <c r="F4" s="13">
        <v>4</v>
      </c>
      <c r="G4" s="13">
        <v>1</v>
      </c>
      <c r="H4" s="5">
        <f>C4/H1</f>
        <v>0</v>
      </c>
      <c r="I4" s="5">
        <f>D4/I1</f>
        <v>0</v>
      </c>
      <c r="J4" s="5">
        <f>E4/J1</f>
        <v>8.0000000000000002E-3</v>
      </c>
      <c r="K4" s="5">
        <f>F4/K1</f>
        <v>1.1080332409972299E-2</v>
      </c>
      <c r="L4" s="5">
        <f>G4/L1</f>
        <v>2.6246719160104987E-3</v>
      </c>
      <c r="R4" s="5"/>
      <c r="S4" s="5"/>
      <c r="T4" s="5"/>
      <c r="U4" s="5"/>
      <c r="V4" s="5"/>
      <c r="W4" s="1"/>
    </row>
    <row r="5" spans="1:26" ht="14.4" customHeight="1" x14ac:dyDescent="0.25">
      <c r="A5" s="10"/>
      <c r="B5" s="4" t="s">
        <v>22</v>
      </c>
      <c r="C5" s="12" t="s">
        <v>0</v>
      </c>
      <c r="D5" s="12" t="s">
        <v>0</v>
      </c>
      <c r="E5" s="13">
        <v>40</v>
      </c>
      <c r="F5" s="13">
        <v>67</v>
      </c>
      <c r="G5" s="12" t="s">
        <v>0</v>
      </c>
      <c r="H5" s="5">
        <f>C5/H1</f>
        <v>0</v>
      </c>
      <c r="I5" s="5">
        <f>D5/I1</f>
        <v>0</v>
      </c>
      <c r="J5" s="5">
        <f>E5/J1</f>
        <v>0.10666666666666667</v>
      </c>
      <c r="K5" s="5">
        <f>F5/K1</f>
        <v>0.18559556786703602</v>
      </c>
      <c r="L5" s="5">
        <f>G5/L1</f>
        <v>0</v>
      </c>
      <c r="W5" s="1" t="s">
        <v>23</v>
      </c>
    </row>
    <row r="6" spans="1:26" ht="14.4" customHeight="1" x14ac:dyDescent="0.25">
      <c r="A6" s="10"/>
      <c r="B6" s="6" t="s">
        <v>24</v>
      </c>
      <c r="C6" s="13">
        <v>35</v>
      </c>
      <c r="D6" s="13">
        <v>22</v>
      </c>
      <c r="E6" s="12" t="s">
        <v>0</v>
      </c>
      <c r="F6" s="12" t="s">
        <v>0</v>
      </c>
      <c r="G6" s="12" t="s">
        <v>0</v>
      </c>
      <c r="H6" s="5">
        <f>C6/H1</f>
        <v>9.4339622641509441E-2</v>
      </c>
      <c r="I6" s="5">
        <f>D6/I1</f>
        <v>6.1971830985915494E-2</v>
      </c>
      <c r="J6" s="5">
        <f>E6/J1</f>
        <v>0</v>
      </c>
      <c r="K6" s="5">
        <f>F6/K1</f>
        <v>0</v>
      </c>
      <c r="L6" s="5">
        <f>G6/L1</f>
        <v>0</v>
      </c>
      <c r="W6" s="1" t="s">
        <v>25</v>
      </c>
    </row>
    <row r="7" spans="1:26" ht="14.4" customHeight="1" x14ac:dyDescent="0.25">
      <c r="A7" s="1"/>
      <c r="B7" s="1"/>
      <c r="C7" s="14">
        <f>SUM(C2:C6)</f>
        <v>42</v>
      </c>
      <c r="D7" s="14">
        <f>SUM(D2:D6)</f>
        <v>88</v>
      </c>
      <c r="E7" s="14">
        <f>SUM(E2:E6)</f>
        <v>375</v>
      </c>
      <c r="F7" s="14">
        <f>SUM(F2:F6)</f>
        <v>361</v>
      </c>
      <c r="G7" s="14">
        <f>SUM(G2:G6)</f>
        <v>380</v>
      </c>
      <c r="H7" s="1">
        <f>371-329</f>
        <v>42</v>
      </c>
      <c r="I7" s="1">
        <f>355-267</f>
        <v>88</v>
      </c>
      <c r="J7" s="1">
        <f>375</f>
        <v>375</v>
      </c>
      <c r="K7" s="1">
        <f>361</f>
        <v>361</v>
      </c>
      <c r="L7" s="1">
        <f>381</f>
        <v>381</v>
      </c>
    </row>
    <row r="8" spans="1:26" ht="14.4" customHeight="1" x14ac:dyDescent="0.25">
      <c r="A8" s="10" t="s">
        <v>7</v>
      </c>
      <c r="B8" s="4" t="s">
        <v>1</v>
      </c>
      <c r="C8" s="13">
        <v>60</v>
      </c>
      <c r="D8" s="13">
        <v>1</v>
      </c>
      <c r="E8" s="13">
        <v>4</v>
      </c>
      <c r="F8" s="13">
        <v>2</v>
      </c>
      <c r="G8" s="12" t="s">
        <v>0</v>
      </c>
      <c r="H8" s="5">
        <f>C8/H1</f>
        <v>0.16172506738544473</v>
      </c>
      <c r="I8" s="5">
        <f>D8/I1</f>
        <v>2.8169014084507044E-3</v>
      </c>
      <c r="J8" s="5">
        <f>E8/J1</f>
        <v>1.0666666666666666E-2</v>
      </c>
      <c r="K8" s="5">
        <f>F8/K1</f>
        <v>5.5401662049861496E-3</v>
      </c>
      <c r="L8" s="5">
        <f>G8/L1</f>
        <v>0</v>
      </c>
      <c r="W8" s="1" t="s">
        <v>26</v>
      </c>
    </row>
    <row r="9" spans="1:26" ht="14.4" customHeight="1" x14ac:dyDescent="0.25">
      <c r="A9" s="10"/>
      <c r="B9" s="4" t="s">
        <v>3</v>
      </c>
      <c r="C9" s="13">
        <v>45</v>
      </c>
      <c r="D9" s="13">
        <v>2</v>
      </c>
      <c r="E9" s="13">
        <v>2</v>
      </c>
      <c r="F9" s="12" t="s">
        <v>0</v>
      </c>
      <c r="G9" s="12" t="s">
        <v>0</v>
      </c>
      <c r="H9" s="5">
        <f>C9/H1</f>
        <v>0.12129380053908356</v>
      </c>
      <c r="I9" s="5">
        <f>D9/I1</f>
        <v>5.6338028169014088E-3</v>
      </c>
      <c r="J9" s="5">
        <f>E9/J1</f>
        <v>5.3333333333333332E-3</v>
      </c>
      <c r="K9" s="5">
        <f>F9/K1</f>
        <v>0</v>
      </c>
      <c r="L9" s="5">
        <f>G9/L1</f>
        <v>0</v>
      </c>
      <c r="W9" s="1" t="s">
        <v>27</v>
      </c>
    </row>
    <row r="10" spans="1:26" ht="14.4" customHeight="1" x14ac:dyDescent="0.25">
      <c r="A10" s="10"/>
      <c r="B10" s="4" t="s">
        <v>28</v>
      </c>
      <c r="C10" s="13">
        <v>2</v>
      </c>
      <c r="D10" s="13">
        <v>64</v>
      </c>
      <c r="E10" s="13">
        <v>5</v>
      </c>
      <c r="F10" s="13">
        <v>19</v>
      </c>
      <c r="G10" s="13">
        <v>142</v>
      </c>
      <c r="H10" s="5">
        <f>C10/H1</f>
        <v>5.3908355795148251E-3</v>
      </c>
      <c r="I10" s="5">
        <f>D10/I1</f>
        <v>0.18028169014084508</v>
      </c>
      <c r="J10" s="5">
        <f>E10/J1</f>
        <v>1.3333333333333334E-2</v>
      </c>
      <c r="K10" s="5">
        <f>F10/K1</f>
        <v>5.2631578947368418E-2</v>
      </c>
      <c r="L10" s="5">
        <f>G10/L1</f>
        <v>0.37270341207349084</v>
      </c>
      <c r="W10" s="1" t="s">
        <v>29</v>
      </c>
    </row>
    <row r="11" spans="1:26" ht="14.4" customHeight="1" x14ac:dyDescent="0.25">
      <c r="A11" s="10"/>
      <c r="B11" s="4" t="s">
        <v>30</v>
      </c>
      <c r="C11" s="13">
        <v>5</v>
      </c>
      <c r="D11" s="13">
        <v>273</v>
      </c>
      <c r="E11" s="13">
        <v>355</v>
      </c>
      <c r="F11" s="13">
        <v>324</v>
      </c>
      <c r="G11" s="13">
        <v>214</v>
      </c>
      <c r="H11" s="5">
        <f>C11/H1</f>
        <v>1.3477088948787063E-2</v>
      </c>
      <c r="I11" s="5">
        <f>D11/I1</f>
        <v>0.76901408450704223</v>
      </c>
      <c r="J11" s="5">
        <f>E11/J1</f>
        <v>0.94666666666666666</v>
      </c>
      <c r="K11" s="5">
        <f>F11/K1</f>
        <v>0.89750692520775621</v>
      </c>
      <c r="L11" s="5">
        <f>G11/L1</f>
        <v>0.56167979002624668</v>
      </c>
      <c r="W11" s="1" t="s">
        <v>4</v>
      </c>
    </row>
    <row r="12" spans="1:26" ht="14.4" customHeight="1" x14ac:dyDescent="0.25">
      <c r="A12" s="10"/>
      <c r="B12" s="1" t="s">
        <v>31</v>
      </c>
      <c r="C12" s="13">
        <v>2</v>
      </c>
      <c r="D12" s="13">
        <v>3</v>
      </c>
      <c r="E12" s="13">
        <v>8</v>
      </c>
      <c r="F12" s="13">
        <v>16</v>
      </c>
      <c r="G12" s="13">
        <f>20+5</f>
        <v>25</v>
      </c>
      <c r="H12" s="5">
        <f>C12/H1</f>
        <v>5.3908355795148251E-3</v>
      </c>
      <c r="I12" s="5">
        <f>D12/I1</f>
        <v>8.4507042253521118E-3</v>
      </c>
      <c r="J12" s="5">
        <f>E12/J1</f>
        <v>2.1333333333333333E-2</v>
      </c>
      <c r="K12" s="5">
        <f>F12/K1</f>
        <v>4.4321329639889197E-2</v>
      </c>
      <c r="L12" s="5">
        <f>G12/L1</f>
        <v>6.5616797900262466E-2</v>
      </c>
      <c r="W12" s="1" t="s">
        <v>25</v>
      </c>
    </row>
    <row r="13" spans="1:26" ht="14.4" customHeight="1" x14ac:dyDescent="0.25">
      <c r="A13" s="1"/>
      <c r="B13" s="1"/>
      <c r="C13" s="14">
        <f>SUM(C8:C12)</f>
        <v>114</v>
      </c>
      <c r="D13" s="14">
        <f>SUM(D8:D12)</f>
        <v>343</v>
      </c>
      <c r="E13" s="14">
        <f>SUM(E8:E12)</f>
        <v>374</v>
      </c>
      <c r="F13" s="14">
        <f>SUM(F8:F12)</f>
        <v>361</v>
      </c>
      <c r="G13" s="15">
        <f>SUM(G8:G12)</f>
        <v>381</v>
      </c>
      <c r="H13" s="1">
        <f>371-257</f>
        <v>114</v>
      </c>
      <c r="I13" s="1">
        <f>355-12</f>
        <v>343</v>
      </c>
      <c r="J13" s="1">
        <f>375-1</f>
        <v>374</v>
      </c>
      <c r="K13" s="1">
        <f>361</f>
        <v>361</v>
      </c>
      <c r="L13" s="1">
        <f>381</f>
        <v>381</v>
      </c>
    </row>
    <row r="14" spans="1:26" ht="14.4" customHeight="1" x14ac:dyDescent="0.25">
      <c r="A14" s="10" t="s">
        <v>9</v>
      </c>
      <c r="B14" s="4" t="s">
        <v>32</v>
      </c>
      <c r="C14" s="12" t="s">
        <v>0</v>
      </c>
      <c r="D14" s="12">
        <v>354</v>
      </c>
      <c r="E14" s="12">
        <v>375</v>
      </c>
      <c r="F14" s="12">
        <v>339</v>
      </c>
      <c r="G14" s="12">
        <v>381</v>
      </c>
      <c r="H14" s="5">
        <f>C14/H1</f>
        <v>0</v>
      </c>
      <c r="I14" s="5">
        <f>D14/I1</f>
        <v>0.9971830985915493</v>
      </c>
      <c r="J14" s="5">
        <f>E14/J1</f>
        <v>1</v>
      </c>
      <c r="K14" s="5">
        <f>F14/K1</f>
        <v>0.93905817174515238</v>
      </c>
      <c r="L14" s="5">
        <f>G14/L1</f>
        <v>1</v>
      </c>
      <c r="W14" s="1" t="s">
        <v>33</v>
      </c>
    </row>
    <row r="15" spans="1:26" ht="14.4" customHeight="1" x14ac:dyDescent="0.25">
      <c r="A15" s="10"/>
      <c r="B15" s="6" t="s">
        <v>2</v>
      </c>
      <c r="C15" s="12">
        <v>18</v>
      </c>
      <c r="D15" s="12" t="s">
        <v>0</v>
      </c>
      <c r="E15" s="12" t="s">
        <v>0</v>
      </c>
      <c r="F15" s="12" t="s">
        <v>0</v>
      </c>
      <c r="G15" s="12" t="s">
        <v>0</v>
      </c>
      <c r="H15" s="5">
        <f>C15/H1</f>
        <v>4.8517520215633422E-2</v>
      </c>
      <c r="I15" s="5">
        <f>D15/I1</f>
        <v>0</v>
      </c>
      <c r="J15" s="5">
        <f>E15/J1</f>
        <v>0</v>
      </c>
      <c r="K15" s="5">
        <f>F15/K1</f>
        <v>0</v>
      </c>
      <c r="L15" s="5">
        <f>G15/L1</f>
        <v>0</v>
      </c>
      <c r="W15" s="1" t="s">
        <v>26</v>
      </c>
    </row>
    <row r="16" spans="1:26" ht="14.4" customHeight="1" x14ac:dyDescent="0.25">
      <c r="A16" s="1"/>
      <c r="B16" s="1"/>
      <c r="C16" s="14">
        <f>SUM(C14:C15)</f>
        <v>18</v>
      </c>
      <c r="D16" s="14">
        <f>SUM(D14:D15)</f>
        <v>354</v>
      </c>
      <c r="E16" s="14">
        <f>SUM(E14:E15)</f>
        <v>375</v>
      </c>
      <c r="F16" s="14">
        <f>SUM(F14:F15)</f>
        <v>339</v>
      </c>
      <c r="G16" s="14">
        <f>SUM(G14:G15)</f>
        <v>381</v>
      </c>
      <c r="H16" s="1">
        <v>18</v>
      </c>
      <c r="I16" s="1">
        <v>355</v>
      </c>
      <c r="J16" s="1">
        <v>375</v>
      </c>
      <c r="K16" s="1">
        <v>361</v>
      </c>
      <c r="L16" s="1">
        <f>381</f>
        <v>381</v>
      </c>
      <c r="M16" s="1" t="s">
        <v>0</v>
      </c>
      <c r="N16" s="1">
        <v>1</v>
      </c>
      <c r="O16" s="1" t="s">
        <v>0</v>
      </c>
      <c r="P16" s="1">
        <v>22</v>
      </c>
      <c r="Q16" s="1" t="s">
        <v>0</v>
      </c>
      <c r="R16" s="5">
        <f>M16/H1</f>
        <v>0</v>
      </c>
      <c r="S16" s="5">
        <f>N16/I1</f>
        <v>2.8169014084507044E-3</v>
      </c>
      <c r="T16" s="5">
        <f>O16/J1</f>
        <v>0</v>
      </c>
      <c r="U16" s="5">
        <f>P16/K1</f>
        <v>6.0941828254847646E-2</v>
      </c>
      <c r="V16" s="5">
        <f>Q16/L1</f>
        <v>0</v>
      </c>
      <c r="W16" s="1" t="s">
        <v>25</v>
      </c>
    </row>
    <row r="17" spans="1:23" ht="14.4" customHeight="1" x14ac:dyDescent="0.25">
      <c r="A17" s="10" t="s">
        <v>10</v>
      </c>
      <c r="B17" s="4" t="s">
        <v>34</v>
      </c>
      <c r="C17" s="12" t="s">
        <v>0</v>
      </c>
      <c r="D17" s="12">
        <v>340</v>
      </c>
      <c r="E17" s="12">
        <v>365</v>
      </c>
      <c r="F17" s="12">
        <v>360</v>
      </c>
      <c r="G17" s="12">
        <v>381</v>
      </c>
      <c r="H17" s="5">
        <f>C17/H1</f>
        <v>0</v>
      </c>
      <c r="I17" s="5">
        <f>D17/I1</f>
        <v>0.95774647887323938</v>
      </c>
      <c r="J17" s="5">
        <f>E17/J1</f>
        <v>0.97333333333333338</v>
      </c>
      <c r="K17" s="5">
        <f>F17/K1</f>
        <v>0.99722991689750695</v>
      </c>
      <c r="L17" s="5">
        <f>G17/L1</f>
        <v>1</v>
      </c>
      <c r="W17" s="1" t="s">
        <v>33</v>
      </c>
    </row>
    <row r="18" spans="1:23" ht="14.4" customHeight="1" x14ac:dyDescent="0.25">
      <c r="A18" s="10"/>
      <c r="B18" s="1" t="s">
        <v>35</v>
      </c>
      <c r="C18" s="12">
        <v>1</v>
      </c>
      <c r="D18" s="12" t="s">
        <v>0</v>
      </c>
      <c r="E18" s="12" t="s">
        <v>0</v>
      </c>
      <c r="F18" s="12" t="s">
        <v>0</v>
      </c>
      <c r="G18" s="12" t="s">
        <v>0</v>
      </c>
      <c r="H18" s="5">
        <f>C18/H1</f>
        <v>2.6954177897574125E-3</v>
      </c>
      <c r="I18" s="5">
        <f>D18/I1</f>
        <v>0</v>
      </c>
      <c r="J18" s="5">
        <f>E18/J1</f>
        <v>0</v>
      </c>
      <c r="K18" s="5">
        <f>F18/K1</f>
        <v>0</v>
      </c>
      <c r="L18" s="5">
        <f>G18/L1</f>
        <v>0</v>
      </c>
    </row>
    <row r="19" spans="1:23" ht="14.4" customHeight="1" x14ac:dyDescent="0.25">
      <c r="A19" s="10"/>
      <c r="B19" s="1" t="s">
        <v>36</v>
      </c>
      <c r="C19" s="12">
        <v>2</v>
      </c>
      <c r="D19" s="12" t="s">
        <v>0</v>
      </c>
      <c r="E19" s="12" t="s">
        <v>0</v>
      </c>
      <c r="F19" s="12" t="s">
        <v>0</v>
      </c>
      <c r="G19" s="12" t="s">
        <v>0</v>
      </c>
      <c r="H19" s="5">
        <f>C19/H1</f>
        <v>5.3908355795148251E-3</v>
      </c>
      <c r="I19" s="5">
        <f>D19/I1</f>
        <v>0</v>
      </c>
      <c r="J19" s="5">
        <f>E19/J1</f>
        <v>0</v>
      </c>
      <c r="K19" s="5">
        <f>F19/K1</f>
        <v>0</v>
      </c>
      <c r="L19" s="5">
        <f>G19/L1</f>
        <v>0</v>
      </c>
    </row>
    <row r="20" spans="1:23" ht="14.4" customHeight="1" x14ac:dyDescent="0.25">
      <c r="A20" s="10"/>
      <c r="B20" s="4" t="s">
        <v>2</v>
      </c>
      <c r="C20" s="12">
        <v>36</v>
      </c>
      <c r="D20" s="12" t="s">
        <v>0</v>
      </c>
      <c r="E20" s="12" t="s">
        <v>0</v>
      </c>
      <c r="F20" s="12" t="s">
        <v>0</v>
      </c>
      <c r="G20" s="12" t="s">
        <v>0</v>
      </c>
      <c r="H20" s="5">
        <f>C20/H1</f>
        <v>9.7035040431266845E-2</v>
      </c>
      <c r="I20" s="5">
        <f>D20/I1</f>
        <v>0</v>
      </c>
      <c r="J20" s="5">
        <f>E20/J1</f>
        <v>0</v>
      </c>
      <c r="K20" s="5">
        <f>F20/K1</f>
        <v>0</v>
      </c>
      <c r="L20" s="5">
        <f>G20/L1</f>
        <v>0</v>
      </c>
      <c r="W20" s="1" t="s">
        <v>26</v>
      </c>
    </row>
    <row r="21" spans="1:23" ht="14.4" customHeight="1" x14ac:dyDescent="0.25">
      <c r="A21" s="1"/>
      <c r="B21" s="2"/>
      <c r="C21" s="14">
        <f>SUM(C17:C20)</f>
        <v>39</v>
      </c>
      <c r="D21" s="14">
        <f>SUM(D17:D20)</f>
        <v>340</v>
      </c>
      <c r="E21" s="14">
        <f>SUM(E17:E20)</f>
        <v>365</v>
      </c>
      <c r="F21" s="14">
        <f>SUM(F17:F20)</f>
        <v>360</v>
      </c>
      <c r="G21" s="14">
        <f>SUM(G17:G20)</f>
        <v>381</v>
      </c>
      <c r="H21" s="1">
        <v>40</v>
      </c>
      <c r="I21" s="1">
        <f>355</f>
        <v>355</v>
      </c>
      <c r="J21" s="1">
        <f>375</f>
        <v>375</v>
      </c>
      <c r="K21" s="1">
        <f>361</f>
        <v>361</v>
      </c>
      <c r="L21" s="1">
        <f>381</f>
        <v>381</v>
      </c>
      <c r="M21" s="1">
        <f>C18+C19+1</f>
        <v>4</v>
      </c>
      <c r="N21" s="1">
        <f>D18+D19+15</f>
        <v>15</v>
      </c>
      <c r="O21" s="1">
        <f>E18+E19+10</f>
        <v>10</v>
      </c>
      <c r="P21" s="1">
        <f>F18+F19+1</f>
        <v>1</v>
      </c>
      <c r="Q21" s="1">
        <f>G18+G19</f>
        <v>0</v>
      </c>
      <c r="R21" s="5">
        <f>M21/H1</f>
        <v>1.078167115902965E-2</v>
      </c>
      <c r="S21" s="5">
        <f>N21/I1</f>
        <v>4.2253521126760563E-2</v>
      </c>
      <c r="T21" s="5">
        <f>O21/J1</f>
        <v>2.6666666666666668E-2</v>
      </c>
      <c r="U21" s="5">
        <f>P21/K1</f>
        <v>2.7700831024930748E-3</v>
      </c>
      <c r="V21" s="5">
        <f>Q21/L1</f>
        <v>0</v>
      </c>
      <c r="W21" s="1" t="s">
        <v>25</v>
      </c>
    </row>
    <row r="22" spans="1:23" ht="14.4" customHeight="1" x14ac:dyDescent="0.25">
      <c r="A22" s="10" t="s">
        <v>8</v>
      </c>
      <c r="B22" s="4" t="s">
        <v>37</v>
      </c>
      <c r="C22" s="12" t="s">
        <v>0</v>
      </c>
      <c r="D22" s="12" t="s">
        <v>0</v>
      </c>
      <c r="E22" s="12" t="s">
        <v>0</v>
      </c>
      <c r="F22" s="12" t="s">
        <v>0</v>
      </c>
      <c r="G22" s="12">
        <v>377</v>
      </c>
      <c r="H22" s="5">
        <f>C22/H1</f>
        <v>0</v>
      </c>
      <c r="I22" s="5">
        <f>D22/I1</f>
        <v>0</v>
      </c>
      <c r="J22" s="5">
        <f>E22/J1</f>
        <v>0</v>
      </c>
      <c r="K22" s="5">
        <f>F22/K1</f>
        <v>0</v>
      </c>
      <c r="L22" s="5">
        <f>G22/L1</f>
        <v>0.98950131233595795</v>
      </c>
      <c r="W22" s="1" t="s">
        <v>38</v>
      </c>
    </row>
    <row r="23" spans="1:23" ht="14.4" customHeight="1" x14ac:dyDescent="0.25">
      <c r="A23" s="10"/>
      <c r="B23" s="4" t="s">
        <v>39</v>
      </c>
      <c r="C23" s="12">
        <v>1</v>
      </c>
      <c r="D23" s="12">
        <v>87</v>
      </c>
      <c r="E23" s="12">
        <v>161</v>
      </c>
      <c r="F23" s="12">
        <v>143</v>
      </c>
      <c r="G23" s="12" t="s">
        <v>0</v>
      </c>
      <c r="H23" s="5">
        <f>C23/H1</f>
        <v>2.6954177897574125E-3</v>
      </c>
      <c r="I23" s="5">
        <f>D23/I1</f>
        <v>0.24507042253521127</v>
      </c>
      <c r="J23" s="5">
        <f>E23/J1</f>
        <v>0.42933333333333334</v>
      </c>
      <c r="K23" s="5">
        <f>F23/K1</f>
        <v>0.39612188365650969</v>
      </c>
      <c r="L23" s="5">
        <f>G23/L1</f>
        <v>0</v>
      </c>
      <c r="W23" s="1" t="s">
        <v>40</v>
      </c>
    </row>
    <row r="24" spans="1:23" ht="14.4" customHeight="1" x14ac:dyDescent="0.25">
      <c r="A24" s="10"/>
      <c r="B24" s="4" t="s">
        <v>41</v>
      </c>
      <c r="C24" s="12" t="s">
        <v>0</v>
      </c>
      <c r="D24" s="12">
        <v>264</v>
      </c>
      <c r="E24" s="12">
        <v>211</v>
      </c>
      <c r="F24" s="12">
        <v>216</v>
      </c>
      <c r="G24" s="12" t="s">
        <v>0</v>
      </c>
      <c r="H24" s="5">
        <f>C24/H1</f>
        <v>0</v>
      </c>
      <c r="I24" s="5">
        <f>D24/I1</f>
        <v>0.74366197183098592</v>
      </c>
      <c r="J24" s="5">
        <f>E24/J1</f>
        <v>0.56266666666666665</v>
      </c>
      <c r="K24" s="5">
        <f>F24/K1</f>
        <v>0.5983379501385041</v>
      </c>
      <c r="L24" s="5">
        <f>G24/L1</f>
        <v>0</v>
      </c>
      <c r="W24" s="1" t="s">
        <v>42</v>
      </c>
    </row>
    <row r="25" spans="1:23" ht="14.4" customHeight="1" x14ac:dyDescent="0.25">
      <c r="A25" s="10"/>
      <c r="B25" s="1" t="s">
        <v>43</v>
      </c>
      <c r="C25" s="12">
        <v>2</v>
      </c>
      <c r="D25" s="12">
        <v>1</v>
      </c>
      <c r="E25" s="12" t="s">
        <v>0</v>
      </c>
      <c r="F25" s="12">
        <v>1</v>
      </c>
      <c r="G25" s="12" t="s">
        <v>0</v>
      </c>
      <c r="H25" s="5">
        <f>C25/H1</f>
        <v>5.3908355795148251E-3</v>
      </c>
      <c r="I25" s="5">
        <f>D25/I1</f>
        <v>2.8169014084507044E-3</v>
      </c>
      <c r="J25" s="5">
        <f>E25/J1</f>
        <v>0</v>
      </c>
      <c r="K25" s="5">
        <f>F25/K1</f>
        <v>2.7700831024930748E-3</v>
      </c>
      <c r="L25" s="5">
        <f>G25/L1</f>
        <v>0</v>
      </c>
    </row>
    <row r="26" spans="1:23" ht="14.4" customHeight="1" x14ac:dyDescent="0.25">
      <c r="A26" s="10"/>
      <c r="B26" s="1" t="s">
        <v>44</v>
      </c>
      <c r="C26" s="12">
        <v>1</v>
      </c>
      <c r="D26" s="12" t="s">
        <v>0</v>
      </c>
      <c r="E26" s="12" t="s">
        <v>0</v>
      </c>
      <c r="F26" s="12" t="s">
        <v>0</v>
      </c>
      <c r="G26" s="12" t="s">
        <v>0</v>
      </c>
      <c r="H26" s="5">
        <f>C26/H1</f>
        <v>2.6954177897574125E-3</v>
      </c>
      <c r="I26" s="5">
        <f>D26/I1</f>
        <v>0</v>
      </c>
      <c r="J26" s="5">
        <f>E26/J1</f>
        <v>0</v>
      </c>
      <c r="K26" s="5">
        <f>F26/K1</f>
        <v>0</v>
      </c>
      <c r="L26" s="5">
        <f>G26/L1</f>
        <v>0</v>
      </c>
      <c r="M26" s="1">
        <f>C26+C25+3</f>
        <v>6</v>
      </c>
      <c r="N26" s="1">
        <f>D26+D25+3</f>
        <v>4</v>
      </c>
      <c r="O26" s="1">
        <f>E26+E25+3</f>
        <v>3</v>
      </c>
      <c r="P26" s="1">
        <f>F26+F25+1</f>
        <v>2</v>
      </c>
      <c r="Q26" s="1">
        <f>G26+G25+4</f>
        <v>4</v>
      </c>
      <c r="R26" s="5">
        <f>M26/H1</f>
        <v>1.6172506738544475E-2</v>
      </c>
      <c r="S26" s="5">
        <f>N26/I1</f>
        <v>1.1267605633802818E-2</v>
      </c>
      <c r="T26" s="5">
        <f>O26/J1</f>
        <v>8.0000000000000002E-3</v>
      </c>
      <c r="U26" s="5">
        <f>P26/K1</f>
        <v>5.5401662049861496E-3</v>
      </c>
      <c r="V26" s="5">
        <f>Q26/L1</f>
        <v>1.0498687664041995E-2</v>
      </c>
      <c r="W26" s="1" t="s">
        <v>25</v>
      </c>
    </row>
    <row r="27" spans="1:23" ht="14.4" customHeight="1" x14ac:dyDescent="0.25">
      <c r="A27" s="1"/>
      <c r="B27" s="1"/>
      <c r="C27" s="15">
        <f>SUM(C22:C26)</f>
        <v>4</v>
      </c>
      <c r="D27" s="15">
        <f>SUM(D22:D26)</f>
        <v>352</v>
      </c>
      <c r="E27" s="15">
        <f>SUM(E22:E26)</f>
        <v>372</v>
      </c>
      <c r="F27" s="15">
        <f>SUM(F22:F26)</f>
        <v>360</v>
      </c>
      <c r="G27" s="15">
        <f>SUM(G22:G26)</f>
        <v>377</v>
      </c>
      <c r="H27" s="1">
        <v>7</v>
      </c>
      <c r="I27" s="1">
        <v>355</v>
      </c>
      <c r="J27" s="1">
        <v>375</v>
      </c>
      <c r="K27" s="1">
        <v>361</v>
      </c>
      <c r="L27" s="1">
        <f>381</f>
        <v>381</v>
      </c>
    </row>
    <row r="28" spans="1:23" ht="14.4" customHeight="1" x14ac:dyDescent="0.25">
      <c r="A28" s="10" t="s">
        <v>11</v>
      </c>
      <c r="B28" s="2" t="s">
        <v>45</v>
      </c>
      <c r="C28" s="13">
        <v>2</v>
      </c>
      <c r="D28" s="13">
        <v>3</v>
      </c>
      <c r="E28" s="13">
        <v>4</v>
      </c>
      <c r="F28" s="13">
        <v>7</v>
      </c>
      <c r="G28" s="12" t="s">
        <v>0</v>
      </c>
      <c r="H28" s="5">
        <f>C28/H1</f>
        <v>5.3908355795148251E-3</v>
      </c>
      <c r="I28" s="5">
        <f>D28/I1</f>
        <v>8.4507042253521118E-3</v>
      </c>
      <c r="J28" s="5">
        <f>E28/J1</f>
        <v>1.0666666666666666E-2</v>
      </c>
      <c r="K28" s="5">
        <f>F28/K1</f>
        <v>1.9390581717451522E-2</v>
      </c>
      <c r="L28" s="5">
        <f>G28/L1</f>
        <v>0</v>
      </c>
    </row>
    <row r="29" spans="1:23" ht="14.4" customHeight="1" x14ac:dyDescent="0.25">
      <c r="A29" s="10"/>
      <c r="B29" s="7" t="s">
        <v>46</v>
      </c>
      <c r="C29" s="13">
        <v>7</v>
      </c>
      <c r="D29" s="13">
        <v>5</v>
      </c>
      <c r="E29" s="13">
        <v>11</v>
      </c>
      <c r="F29" s="13">
        <v>20</v>
      </c>
      <c r="G29" s="13">
        <v>147</v>
      </c>
      <c r="H29" s="5">
        <f>C29/H1</f>
        <v>1.8867924528301886E-2</v>
      </c>
      <c r="I29" s="5">
        <f>D29/I1</f>
        <v>1.4084507042253521E-2</v>
      </c>
      <c r="J29" s="5">
        <f>E29/J1</f>
        <v>2.9333333333333333E-2</v>
      </c>
      <c r="K29" s="5">
        <f>F29/K1</f>
        <v>5.5401662049861494E-2</v>
      </c>
      <c r="L29" s="5">
        <f>G29/L1</f>
        <v>0.38582677165354329</v>
      </c>
      <c r="W29" s="1" t="s">
        <v>47</v>
      </c>
    </row>
    <row r="30" spans="1:23" ht="14.4" customHeight="1" x14ac:dyDescent="0.25">
      <c r="A30" s="10"/>
      <c r="B30" s="7" t="s">
        <v>48</v>
      </c>
      <c r="C30" s="12" t="s">
        <v>0</v>
      </c>
      <c r="D30" s="13">
        <v>27</v>
      </c>
      <c r="E30" s="13">
        <v>57</v>
      </c>
      <c r="F30" s="13">
        <v>60</v>
      </c>
      <c r="G30" s="13">
        <v>5</v>
      </c>
      <c r="H30" s="5">
        <f>C30/H1</f>
        <v>0</v>
      </c>
      <c r="I30" s="5">
        <f>D30/I1</f>
        <v>7.605633802816901E-2</v>
      </c>
      <c r="J30" s="5">
        <f>E30/J1</f>
        <v>0.152</v>
      </c>
      <c r="K30" s="5">
        <f>F30/K1</f>
        <v>0.16620498614958448</v>
      </c>
      <c r="L30" s="5">
        <f>G30/L1</f>
        <v>1.3123359580052493E-2</v>
      </c>
      <c r="M30" s="1">
        <f>C30+C29</f>
        <v>7</v>
      </c>
      <c r="N30" s="1">
        <f>D30+D29</f>
        <v>32</v>
      </c>
      <c r="O30" s="1">
        <f>E30+E29</f>
        <v>68</v>
      </c>
      <c r="P30" s="1">
        <f>F30+F29</f>
        <v>80</v>
      </c>
      <c r="Q30" s="1">
        <f>G30+G29</f>
        <v>152</v>
      </c>
      <c r="R30" s="5">
        <f>M30/H1</f>
        <v>1.8867924528301886E-2</v>
      </c>
      <c r="S30" s="5">
        <f>N30/I1</f>
        <v>9.014084507042254E-2</v>
      </c>
      <c r="T30" s="5">
        <f>O30/J1</f>
        <v>0.18133333333333335</v>
      </c>
      <c r="U30" s="5">
        <f>P30/K1</f>
        <v>0.22160664819944598</v>
      </c>
      <c r="V30" s="5">
        <f>Q30/L1</f>
        <v>0.39895013123359579</v>
      </c>
      <c r="W30" s="1" t="s">
        <v>49</v>
      </c>
    </row>
    <row r="31" spans="1:23" ht="14.4" customHeight="1" x14ac:dyDescent="0.25">
      <c r="A31" s="10"/>
      <c r="B31" s="8" t="s">
        <v>50</v>
      </c>
      <c r="C31" s="13">
        <v>5</v>
      </c>
      <c r="D31" s="13">
        <v>2</v>
      </c>
      <c r="E31" s="13">
        <v>1</v>
      </c>
      <c r="F31" s="13">
        <v>11</v>
      </c>
      <c r="G31" s="13">
        <v>3</v>
      </c>
      <c r="H31" s="5">
        <f>C31/H1</f>
        <v>1.3477088948787063E-2</v>
      </c>
      <c r="I31" s="5">
        <f>D31/I1</f>
        <v>5.6338028169014088E-3</v>
      </c>
      <c r="J31" s="5">
        <f>E31/J1</f>
        <v>2.6666666666666666E-3</v>
      </c>
      <c r="K31" s="5">
        <f>F31/K1</f>
        <v>3.0470914127423823E-2</v>
      </c>
      <c r="L31" s="5">
        <f>G31/L1</f>
        <v>7.874015748031496E-3</v>
      </c>
    </row>
    <row r="32" spans="1:23" ht="14.4" customHeight="1" x14ac:dyDescent="0.25">
      <c r="A32" s="10"/>
      <c r="B32" s="8" t="s">
        <v>51</v>
      </c>
      <c r="C32" s="13">
        <v>59</v>
      </c>
      <c r="D32" s="13">
        <v>123</v>
      </c>
      <c r="E32" s="13">
        <v>63</v>
      </c>
      <c r="F32" s="13">
        <v>67</v>
      </c>
      <c r="G32" s="13">
        <v>28</v>
      </c>
      <c r="H32" s="5">
        <f>C32/H1</f>
        <v>0.15902964959568733</v>
      </c>
      <c r="I32" s="5">
        <f>D32/I1</f>
        <v>0.3464788732394366</v>
      </c>
      <c r="J32" s="5">
        <f>E32/J1</f>
        <v>0.16800000000000001</v>
      </c>
      <c r="K32" s="5">
        <f>F32/K1</f>
        <v>0.18559556786703602</v>
      </c>
      <c r="L32" s="5">
        <f>G32/L1</f>
        <v>7.3490813648293962E-2</v>
      </c>
    </row>
    <row r="33" spans="1:23" ht="14.4" customHeight="1" x14ac:dyDescent="0.25">
      <c r="A33" s="10"/>
      <c r="B33" s="8" t="s">
        <v>52</v>
      </c>
      <c r="C33" s="12" t="s">
        <v>0</v>
      </c>
      <c r="D33" s="12" t="s">
        <v>0</v>
      </c>
      <c r="E33" s="12">
        <v>1</v>
      </c>
      <c r="F33" s="13">
        <v>1</v>
      </c>
      <c r="G33" s="12" t="s">
        <v>0</v>
      </c>
      <c r="H33" s="5">
        <f>C33/H1</f>
        <v>0</v>
      </c>
      <c r="I33" s="5">
        <f>D33/I1</f>
        <v>0</v>
      </c>
      <c r="J33" s="5">
        <f>E33/J1</f>
        <v>2.6666666666666666E-3</v>
      </c>
      <c r="K33" s="5">
        <f>F33/K1</f>
        <v>2.7700831024930748E-3</v>
      </c>
      <c r="L33" s="5">
        <f>G33/L1</f>
        <v>0</v>
      </c>
    </row>
    <row r="34" spans="1:23" ht="14.4" customHeight="1" x14ac:dyDescent="0.25">
      <c r="A34" s="10"/>
      <c r="B34" s="8" t="s">
        <v>53</v>
      </c>
      <c r="C34" s="12" t="s">
        <v>0</v>
      </c>
      <c r="D34" s="12" t="s">
        <v>0</v>
      </c>
      <c r="E34" s="13">
        <v>2</v>
      </c>
      <c r="F34" s="13">
        <v>8</v>
      </c>
      <c r="G34" s="12" t="s">
        <v>0</v>
      </c>
      <c r="H34" s="5">
        <f>C34/H1</f>
        <v>0</v>
      </c>
      <c r="I34" s="5">
        <f>D34/I1</f>
        <v>0</v>
      </c>
      <c r="J34" s="5">
        <f>E34/J1</f>
        <v>5.3333333333333332E-3</v>
      </c>
      <c r="K34" s="5">
        <f>F34/K1</f>
        <v>2.2160664819944598E-2</v>
      </c>
      <c r="L34" s="5">
        <f>G34/L1</f>
        <v>0</v>
      </c>
      <c r="M34" s="1">
        <f>C34+C33+C32+C31</f>
        <v>64</v>
      </c>
      <c r="N34" s="1">
        <f>D34+D33+D32+D31</f>
        <v>125</v>
      </c>
      <c r="O34" s="1">
        <f>E34+E33+E32+E31</f>
        <v>67</v>
      </c>
      <c r="P34" s="1">
        <f>F34+F33+F32+F31</f>
        <v>87</v>
      </c>
      <c r="Q34" s="1">
        <f>G34+G33+G32+G31</f>
        <v>31</v>
      </c>
      <c r="R34" s="5">
        <f>M34/H1</f>
        <v>0.1725067385444744</v>
      </c>
      <c r="S34" s="5">
        <f>N34/I1</f>
        <v>0.352112676056338</v>
      </c>
      <c r="T34" s="5">
        <f>O34/J1</f>
        <v>0.17866666666666667</v>
      </c>
      <c r="U34" s="5">
        <f>P34/K1</f>
        <v>0.24099722991689751</v>
      </c>
      <c r="V34" s="5">
        <f>Q34/L1</f>
        <v>8.1364829396325458E-2</v>
      </c>
      <c r="W34" s="1" t="s">
        <v>54</v>
      </c>
    </row>
    <row r="35" spans="1:23" ht="14.4" customHeight="1" x14ac:dyDescent="0.25">
      <c r="A35" s="10"/>
      <c r="B35" s="6" t="s">
        <v>55</v>
      </c>
      <c r="C35" s="13">
        <v>8</v>
      </c>
      <c r="D35" s="13">
        <v>5</v>
      </c>
      <c r="E35" s="13">
        <v>31</v>
      </c>
      <c r="F35" s="13">
        <v>11</v>
      </c>
      <c r="G35" s="13">
        <v>2</v>
      </c>
      <c r="H35" s="5">
        <f>C35/H1</f>
        <v>2.15633423180593E-2</v>
      </c>
      <c r="I35" s="5">
        <f>D35/I1</f>
        <v>1.4084507042253521E-2</v>
      </c>
      <c r="J35" s="5">
        <f>E35/J1</f>
        <v>8.2666666666666666E-2</v>
      </c>
      <c r="K35" s="5">
        <f>F35/K1</f>
        <v>3.0470914127423823E-2</v>
      </c>
      <c r="L35" s="5">
        <f>G35/L1</f>
        <v>5.2493438320209973E-3</v>
      </c>
    </row>
    <row r="36" spans="1:23" ht="14.4" customHeight="1" x14ac:dyDescent="0.25">
      <c r="A36" s="10"/>
      <c r="B36" s="1" t="s">
        <v>56</v>
      </c>
      <c r="C36" s="13">
        <v>1</v>
      </c>
      <c r="D36" s="13">
        <v>0</v>
      </c>
      <c r="E36" s="13">
        <v>0</v>
      </c>
      <c r="F36" s="13">
        <v>0</v>
      </c>
      <c r="G36" s="13">
        <v>0</v>
      </c>
      <c r="H36" s="5">
        <f>C36/H1</f>
        <v>2.6954177897574125E-3</v>
      </c>
      <c r="I36" s="5">
        <f>D36/I1</f>
        <v>0</v>
      </c>
      <c r="J36" s="5">
        <f>E36/J1</f>
        <v>0</v>
      </c>
      <c r="K36" s="5">
        <f>F36/K1</f>
        <v>0</v>
      </c>
      <c r="L36" s="5">
        <f>G36/L1</f>
        <v>0</v>
      </c>
      <c r="R36" s="5"/>
      <c r="S36" s="5"/>
      <c r="T36" s="5"/>
      <c r="U36" s="5"/>
      <c r="V36" s="5"/>
    </row>
    <row r="37" spans="1:23" ht="14.4" customHeight="1" x14ac:dyDescent="0.25">
      <c r="A37" s="10"/>
      <c r="B37" s="4" t="s">
        <v>2</v>
      </c>
      <c r="C37" s="13">
        <v>107</v>
      </c>
      <c r="D37" s="13">
        <v>15</v>
      </c>
      <c r="E37" s="13">
        <v>20</v>
      </c>
      <c r="F37" s="13">
        <v>19</v>
      </c>
      <c r="G37" s="13">
        <v>20</v>
      </c>
      <c r="H37" s="5">
        <f>C37/H1</f>
        <v>0.2884097035040431</v>
      </c>
      <c r="I37" s="5">
        <f>D37/I1</f>
        <v>4.2253521126760563E-2</v>
      </c>
      <c r="J37" s="5">
        <f>E37/J1</f>
        <v>5.3333333333333337E-2</v>
      </c>
      <c r="K37" s="5">
        <f>F37/K1</f>
        <v>5.2631578947368418E-2</v>
      </c>
      <c r="L37" s="5">
        <f>G37/L1</f>
        <v>5.2493438320209973E-2</v>
      </c>
      <c r="W37" s="1" t="s">
        <v>26</v>
      </c>
    </row>
    <row r="38" spans="1:23" ht="14.4" customHeight="1" x14ac:dyDescent="0.25">
      <c r="A38" s="1"/>
      <c r="B38" s="1"/>
      <c r="C38" s="14">
        <f>SUM(C28:C37)</f>
        <v>189</v>
      </c>
      <c r="D38" s="14">
        <f>SUM(D28:D37)</f>
        <v>180</v>
      </c>
      <c r="E38" s="14">
        <f>SUM(E28:E37)</f>
        <v>190</v>
      </c>
      <c r="F38" s="14">
        <f>SUM(F28:F37)</f>
        <v>204</v>
      </c>
      <c r="G38" s="14">
        <f>SUM(G28:G37)</f>
        <v>205</v>
      </c>
      <c r="H38" s="1">
        <f>371-181</f>
        <v>190</v>
      </c>
      <c r="I38" s="1">
        <f>355-175</f>
        <v>180</v>
      </c>
      <c r="J38" s="1">
        <f>375-185</f>
        <v>190</v>
      </c>
      <c r="K38" s="1">
        <f>361-157</f>
        <v>204</v>
      </c>
      <c r="L38" s="1">
        <f>381-176</f>
        <v>205</v>
      </c>
      <c r="M38" s="1">
        <f>C36+C35+C28+1</f>
        <v>12</v>
      </c>
      <c r="N38" s="1">
        <f>D36+D35+D28</f>
        <v>8</v>
      </c>
      <c r="O38" s="1">
        <f>E36+E35+E28</f>
        <v>35</v>
      </c>
      <c r="P38" s="1">
        <f>F36+F35+F28</f>
        <v>18</v>
      </c>
      <c r="Q38" s="1">
        <f>G36+G35+G28</f>
        <v>2</v>
      </c>
      <c r="R38" s="5">
        <f>M38/H1</f>
        <v>3.2345013477088951E-2</v>
      </c>
      <c r="S38" s="5">
        <f>N38/I1</f>
        <v>2.2535211267605635E-2</v>
      </c>
      <c r="T38" s="5">
        <f>O38/J1</f>
        <v>9.3333333333333338E-2</v>
      </c>
      <c r="U38" s="5">
        <f>P38/K1</f>
        <v>4.9861495844875349E-2</v>
      </c>
      <c r="V38" s="5">
        <f>Q38/L1</f>
        <v>5.2493438320209973E-3</v>
      </c>
      <c r="W38" s="1" t="s">
        <v>25</v>
      </c>
    </row>
    <row r="39" spans="1:23" ht="14.4" customHeight="1" x14ac:dyDescent="0.25">
      <c r="A39" s="10" t="s">
        <v>12</v>
      </c>
      <c r="B39" s="4" t="s">
        <v>2</v>
      </c>
      <c r="C39" s="13">
        <v>1</v>
      </c>
      <c r="D39" s="13">
        <v>18</v>
      </c>
      <c r="E39" s="13">
        <v>9</v>
      </c>
      <c r="F39" s="13">
        <v>25</v>
      </c>
      <c r="G39" s="13">
        <v>6</v>
      </c>
      <c r="H39" s="5">
        <f>C39/H1</f>
        <v>2.6954177897574125E-3</v>
      </c>
      <c r="I39" s="5">
        <f>D39/I1</f>
        <v>5.0704225352112678E-2</v>
      </c>
      <c r="J39" s="5">
        <f>E39/J1</f>
        <v>2.4E-2</v>
      </c>
      <c r="K39" s="5">
        <f>F39/K1</f>
        <v>6.9252077562326875E-2</v>
      </c>
      <c r="L39" s="5">
        <f>G39/L1</f>
        <v>1.5748031496062992E-2</v>
      </c>
      <c r="W39" s="1" t="s">
        <v>26</v>
      </c>
    </row>
    <row r="40" spans="1:23" ht="14.4" customHeight="1" x14ac:dyDescent="0.25">
      <c r="A40" s="10"/>
      <c r="B40" s="4" t="s">
        <v>57</v>
      </c>
      <c r="C40" s="12" t="s">
        <v>0</v>
      </c>
      <c r="D40" s="13">
        <v>2</v>
      </c>
      <c r="E40" s="13">
        <v>11</v>
      </c>
      <c r="F40" s="13">
        <v>13</v>
      </c>
      <c r="G40" s="13">
        <v>120</v>
      </c>
      <c r="H40" s="5">
        <f>C40/H1</f>
        <v>0</v>
      </c>
      <c r="I40" s="5">
        <f>D40/I1</f>
        <v>5.6338028169014088E-3</v>
      </c>
      <c r="J40" s="5">
        <f>E40/J1</f>
        <v>2.9333333333333333E-2</v>
      </c>
      <c r="K40" s="5">
        <f>F40/K1</f>
        <v>3.6011080332409975E-2</v>
      </c>
      <c r="L40" s="5">
        <f>G40/L1</f>
        <v>0.31496062992125984</v>
      </c>
    </row>
    <row r="41" spans="1:23" ht="14.4" customHeight="1" x14ac:dyDescent="0.25">
      <c r="A41" s="10"/>
      <c r="B41" s="4" t="s">
        <v>58</v>
      </c>
      <c r="C41" s="13">
        <v>23</v>
      </c>
      <c r="D41" s="13">
        <v>48</v>
      </c>
      <c r="E41" s="13">
        <v>181</v>
      </c>
      <c r="F41" s="13">
        <v>181</v>
      </c>
      <c r="G41" s="13">
        <v>105</v>
      </c>
      <c r="H41" s="5">
        <f>C41/H1</f>
        <v>6.1994609164420483E-2</v>
      </c>
      <c r="I41" s="5">
        <f>D41/I1</f>
        <v>0.13521126760563379</v>
      </c>
      <c r="J41" s="5">
        <f>E41/J1</f>
        <v>0.48266666666666669</v>
      </c>
      <c r="K41" s="5">
        <f>F41/K1</f>
        <v>0.50138504155124652</v>
      </c>
      <c r="L41" s="5">
        <f>G41/L1</f>
        <v>0.27559055118110237</v>
      </c>
      <c r="W41" s="1" t="s">
        <v>59</v>
      </c>
    </row>
    <row r="42" spans="1:23" ht="14.4" customHeight="1" x14ac:dyDescent="0.25">
      <c r="A42" s="10"/>
      <c r="B42" s="4" t="s">
        <v>60</v>
      </c>
      <c r="C42" s="12" t="s">
        <v>0</v>
      </c>
      <c r="D42" s="12" t="s">
        <v>0</v>
      </c>
      <c r="E42" s="13">
        <v>1</v>
      </c>
      <c r="F42" s="12" t="s">
        <v>0</v>
      </c>
      <c r="G42" s="12" t="s">
        <v>0</v>
      </c>
      <c r="H42" s="5">
        <f>C42/H1</f>
        <v>0</v>
      </c>
      <c r="I42" s="5">
        <f>D42/I1</f>
        <v>0</v>
      </c>
      <c r="J42" s="5">
        <f>E42/J1</f>
        <v>2.6666666666666666E-3</v>
      </c>
      <c r="K42" s="5">
        <f>F42/K1</f>
        <v>0</v>
      </c>
      <c r="L42" s="5">
        <f>G42/L1</f>
        <v>0</v>
      </c>
    </row>
    <row r="43" spans="1:23" ht="14.4" customHeight="1" x14ac:dyDescent="0.25">
      <c r="A43" s="10"/>
      <c r="B43" s="4" t="s">
        <v>61</v>
      </c>
      <c r="C43" s="13">
        <v>6</v>
      </c>
      <c r="D43" s="12" t="s">
        <v>0</v>
      </c>
      <c r="E43" s="12" t="s">
        <v>0</v>
      </c>
      <c r="F43" s="12" t="s">
        <v>0</v>
      </c>
      <c r="G43" s="12" t="s">
        <v>0</v>
      </c>
      <c r="H43" s="5">
        <f>C43/H1</f>
        <v>1.6172506738544475E-2</v>
      </c>
      <c r="I43" s="5">
        <f>D43/I1</f>
        <v>0</v>
      </c>
      <c r="J43" s="5">
        <f>E43/J1</f>
        <v>0</v>
      </c>
      <c r="K43" s="5">
        <f>F43/K1</f>
        <v>0</v>
      </c>
      <c r="L43" s="5">
        <f>G43/L1</f>
        <v>0</v>
      </c>
      <c r="M43" s="1">
        <f>C43+C42+C40</f>
        <v>6</v>
      </c>
      <c r="N43" s="1">
        <f>D43+D42+D40</f>
        <v>2</v>
      </c>
      <c r="O43" s="1">
        <f>E43+E42+E40</f>
        <v>12</v>
      </c>
      <c r="P43" s="1">
        <f>F43+F42+F40</f>
        <v>13</v>
      </c>
      <c r="Q43" s="1">
        <f>G43+G42+G40</f>
        <v>120</v>
      </c>
      <c r="R43" s="5">
        <f>M43/H1</f>
        <v>1.6172506738544475E-2</v>
      </c>
      <c r="S43" s="5">
        <f>N43/I1</f>
        <v>5.6338028169014088E-3</v>
      </c>
      <c r="T43" s="5">
        <f>O43/J1</f>
        <v>3.2000000000000001E-2</v>
      </c>
      <c r="U43" s="5">
        <f>P43/K1</f>
        <v>3.6011080332409975E-2</v>
      </c>
      <c r="V43" s="5">
        <f>Q43/L1</f>
        <v>0.31496062992125984</v>
      </c>
      <c r="W43" s="1" t="s">
        <v>62</v>
      </c>
    </row>
    <row r="44" spans="1:23" ht="14.4" customHeight="1" x14ac:dyDescent="0.25">
      <c r="A44" s="1"/>
      <c r="B44" s="1"/>
      <c r="C44" s="14">
        <f>SUM(C39:C43)</f>
        <v>30</v>
      </c>
      <c r="D44" s="14">
        <f>SUM(D39:D43)</f>
        <v>68</v>
      </c>
      <c r="E44" s="14">
        <f>SUM(E39:E43)</f>
        <v>202</v>
      </c>
      <c r="F44" s="14">
        <f>SUM(F39:F43)</f>
        <v>219</v>
      </c>
      <c r="G44" s="14">
        <f>SUM(G39:G43)</f>
        <v>231</v>
      </c>
      <c r="H44" s="1">
        <f>371-341</f>
        <v>30</v>
      </c>
      <c r="I44" s="1">
        <f>355-287</f>
        <v>68</v>
      </c>
      <c r="J44" s="1">
        <f>375-173</f>
        <v>202</v>
      </c>
      <c r="K44" s="1">
        <f>361-141</f>
        <v>220</v>
      </c>
      <c r="L44" s="1">
        <f>381-150</f>
        <v>231</v>
      </c>
      <c r="M44" s="1" t="s">
        <v>0</v>
      </c>
      <c r="N44" s="1" t="s">
        <v>0</v>
      </c>
      <c r="O44" s="1" t="s">
        <v>0</v>
      </c>
      <c r="P44" s="1">
        <v>1</v>
      </c>
      <c r="Q44" s="1" t="s">
        <v>0</v>
      </c>
      <c r="R44" s="5">
        <f>M44/H1</f>
        <v>0</v>
      </c>
      <c r="S44" s="5">
        <f>N44/I1</f>
        <v>0</v>
      </c>
      <c r="T44" s="5">
        <f>O44/J1</f>
        <v>0</v>
      </c>
      <c r="U44" s="5">
        <f>P44/K1</f>
        <v>2.7700831024930748E-3</v>
      </c>
      <c r="V44" s="5">
        <f>Q44/L1</f>
        <v>0</v>
      </c>
      <c r="W44" s="1" t="s">
        <v>25</v>
      </c>
    </row>
    <row r="45" spans="1:23" ht="14.4" customHeight="1" x14ac:dyDescent="0.25">
      <c r="A45" s="10" t="s">
        <v>13</v>
      </c>
      <c r="B45" s="4" t="s">
        <v>63</v>
      </c>
      <c r="C45" s="13">
        <v>349</v>
      </c>
      <c r="D45" s="13">
        <v>48</v>
      </c>
      <c r="E45" s="13">
        <v>326</v>
      </c>
      <c r="F45" s="13">
        <v>361</v>
      </c>
      <c r="G45" s="13">
        <v>375</v>
      </c>
      <c r="H45" s="5">
        <f>C45/H1</f>
        <v>0.94070080862533689</v>
      </c>
      <c r="I45" s="5">
        <f>D45/I1</f>
        <v>0.13521126760563379</v>
      </c>
      <c r="J45" s="5">
        <f>E45/J1</f>
        <v>0.86933333333333329</v>
      </c>
      <c r="K45" s="5">
        <f>F45/K1</f>
        <v>1</v>
      </c>
      <c r="L45" s="5">
        <f>G45/L1</f>
        <v>0.98425196850393704</v>
      </c>
      <c r="W45" s="1" t="s">
        <v>64</v>
      </c>
    </row>
    <row r="46" spans="1:23" ht="14.4" customHeight="1" x14ac:dyDescent="0.25">
      <c r="A46" s="10"/>
      <c r="B46" s="6" t="s">
        <v>65</v>
      </c>
      <c r="C46" s="13">
        <v>22</v>
      </c>
      <c r="D46" s="12" t="s">
        <v>0</v>
      </c>
      <c r="E46" s="13">
        <v>6</v>
      </c>
      <c r="F46" s="12" t="s">
        <v>0</v>
      </c>
      <c r="G46" s="12" t="s">
        <v>0</v>
      </c>
      <c r="H46" s="5">
        <f>C46/H1</f>
        <v>5.9299191374663072E-2</v>
      </c>
      <c r="I46" s="5">
        <f>D46/I1</f>
        <v>0</v>
      </c>
      <c r="J46" s="5">
        <f>E46/J1</f>
        <v>1.6E-2</v>
      </c>
      <c r="K46" s="5">
        <f>F46/K1</f>
        <v>0</v>
      </c>
      <c r="L46" s="5">
        <f>G46/L1</f>
        <v>0</v>
      </c>
      <c r="W46" s="1" t="s">
        <v>66</v>
      </c>
    </row>
    <row r="47" spans="1:23" ht="14.4" customHeight="1" x14ac:dyDescent="0.25">
      <c r="A47" s="10"/>
      <c r="B47" s="6" t="s">
        <v>67</v>
      </c>
      <c r="C47" s="12" t="s">
        <v>0</v>
      </c>
      <c r="D47" s="13">
        <v>16</v>
      </c>
      <c r="E47" s="13">
        <v>3</v>
      </c>
      <c r="F47" s="12" t="s">
        <v>0</v>
      </c>
      <c r="G47" s="12" t="s">
        <v>0</v>
      </c>
      <c r="H47" s="5">
        <f>C47/H1</f>
        <v>0</v>
      </c>
      <c r="I47" s="5">
        <f>D47/I1</f>
        <v>4.507042253521127E-2</v>
      </c>
      <c r="J47" s="5">
        <f>E47/J1</f>
        <v>8.0000000000000002E-3</v>
      </c>
      <c r="K47" s="5">
        <f>F47/K1</f>
        <v>0</v>
      </c>
      <c r="L47" s="5">
        <f>G47/L1</f>
        <v>0</v>
      </c>
    </row>
    <row r="48" spans="1:23" ht="14.4" customHeight="1" x14ac:dyDescent="0.25">
      <c r="A48" s="10"/>
      <c r="B48" s="1" t="s">
        <v>68</v>
      </c>
      <c r="C48" s="12" t="s">
        <v>0</v>
      </c>
      <c r="D48" s="13">
        <v>23</v>
      </c>
      <c r="E48" s="13">
        <v>1</v>
      </c>
      <c r="F48" s="12" t="s">
        <v>0</v>
      </c>
      <c r="G48" s="12" t="s">
        <v>0</v>
      </c>
      <c r="H48" s="5">
        <f>C48/H1</f>
        <v>0</v>
      </c>
      <c r="I48" s="5">
        <f>D48/I1</f>
        <v>6.4788732394366194E-2</v>
      </c>
      <c r="J48" s="5">
        <f>E48/J1</f>
        <v>2.6666666666666666E-3</v>
      </c>
      <c r="K48" s="5">
        <f>F48/K1</f>
        <v>0</v>
      </c>
      <c r="L48" s="5">
        <f>G48/L1</f>
        <v>0</v>
      </c>
    </row>
    <row r="49" spans="1:23" ht="14.4" customHeight="1" x14ac:dyDescent="0.25">
      <c r="A49" s="1"/>
      <c r="B49" s="1"/>
      <c r="C49" s="14">
        <f>SUM(C45:C48)</f>
        <v>371</v>
      </c>
      <c r="D49" s="14">
        <f>SUM(D45:D48)</f>
        <v>87</v>
      </c>
      <c r="E49" s="14">
        <f>SUM(E45:E48)</f>
        <v>336</v>
      </c>
      <c r="F49" s="14">
        <f>SUM(F45:F48)</f>
        <v>361</v>
      </c>
      <c r="G49" s="14">
        <f>SUM(G45:G48)</f>
        <v>375</v>
      </c>
      <c r="H49" s="1">
        <f>371</f>
        <v>371</v>
      </c>
      <c r="I49" s="1">
        <f>355-265</f>
        <v>90</v>
      </c>
      <c r="J49" s="1">
        <f>375-39</f>
        <v>336</v>
      </c>
      <c r="K49" s="1">
        <f>361</f>
        <v>361</v>
      </c>
      <c r="L49" s="1">
        <f>381-6</f>
        <v>375</v>
      </c>
      <c r="M49" s="1">
        <f>C48+C47</f>
        <v>0</v>
      </c>
      <c r="N49" s="1">
        <f>D48+D47+3</f>
        <v>42</v>
      </c>
      <c r="O49" s="1">
        <f>E48+E47</f>
        <v>4</v>
      </c>
      <c r="P49" s="1">
        <f>F48+F47</f>
        <v>0</v>
      </c>
      <c r="Q49" s="1">
        <f>G48+G47</f>
        <v>0</v>
      </c>
      <c r="R49" s="5">
        <f>M49/H1</f>
        <v>0</v>
      </c>
      <c r="S49" s="5">
        <f>N49/I1</f>
        <v>0.11830985915492957</v>
      </c>
      <c r="T49" s="5">
        <f>O49/J1</f>
        <v>1.0666666666666666E-2</v>
      </c>
      <c r="U49" s="5">
        <f>P49/K1</f>
        <v>0</v>
      </c>
      <c r="V49" s="5">
        <f>Q49/L1</f>
        <v>0</v>
      </c>
      <c r="W49" s="1" t="s">
        <v>25</v>
      </c>
    </row>
    <row r="50" spans="1:23" ht="14.4" customHeight="1" x14ac:dyDescent="0.25">
      <c r="A50" s="10" t="s">
        <v>14</v>
      </c>
      <c r="B50" s="9" t="s">
        <v>69</v>
      </c>
      <c r="C50" s="12" t="s">
        <v>0</v>
      </c>
      <c r="D50" s="13">
        <v>62</v>
      </c>
      <c r="E50" s="13">
        <v>1</v>
      </c>
      <c r="F50" s="12" t="s">
        <v>0</v>
      </c>
      <c r="G50" s="12" t="s">
        <v>0</v>
      </c>
      <c r="H50" s="5">
        <f>C50/H1</f>
        <v>0</v>
      </c>
      <c r="I50" s="5">
        <f>D50/I1</f>
        <v>0.17464788732394365</v>
      </c>
      <c r="J50" s="5">
        <f>E50/J1</f>
        <v>2.6666666666666666E-3</v>
      </c>
      <c r="K50" s="5">
        <f>F50/K1</f>
        <v>0</v>
      </c>
      <c r="L50" s="5">
        <f>G50/L1</f>
        <v>0</v>
      </c>
      <c r="W50" s="1" t="s">
        <v>70</v>
      </c>
    </row>
    <row r="51" spans="1:23" ht="14.4" customHeight="1" x14ac:dyDescent="0.25">
      <c r="A51" s="10"/>
      <c r="B51" s="9" t="s">
        <v>71</v>
      </c>
      <c r="C51" s="12" t="s">
        <v>0</v>
      </c>
      <c r="D51" s="13">
        <v>8</v>
      </c>
      <c r="E51" s="13">
        <v>344</v>
      </c>
      <c r="F51" s="13">
        <v>319</v>
      </c>
      <c r="G51" s="13">
        <v>372</v>
      </c>
      <c r="H51" s="5">
        <f>C51/H1</f>
        <v>0</v>
      </c>
      <c r="I51" s="5">
        <f>D51/I1</f>
        <v>2.2535211267605635E-2</v>
      </c>
      <c r="J51" s="5">
        <f>E51/J1</f>
        <v>0.91733333333333333</v>
      </c>
      <c r="K51" s="5">
        <f>F51/K1</f>
        <v>0.88365650969529086</v>
      </c>
      <c r="L51" s="5">
        <f>G51/L1</f>
        <v>0.97637795275590555</v>
      </c>
      <c r="W51" s="1" t="s">
        <v>72</v>
      </c>
    </row>
    <row r="52" spans="1:23" ht="14.4" customHeight="1" x14ac:dyDescent="0.25">
      <c r="A52" s="1"/>
      <c r="B52" s="1"/>
      <c r="C52" s="14">
        <f>SUM(C50:C51)</f>
        <v>0</v>
      </c>
      <c r="D52" s="14">
        <f>SUM(D50:D51)</f>
        <v>70</v>
      </c>
      <c r="E52" s="14">
        <f>SUM(E50:E51)</f>
        <v>345</v>
      </c>
      <c r="F52" s="14">
        <f>SUM(F50:F51)</f>
        <v>319</v>
      </c>
      <c r="G52" s="14">
        <f>SUM(G50:G51)</f>
        <v>372</v>
      </c>
      <c r="H52" s="1">
        <v>0</v>
      </c>
      <c r="I52" s="1">
        <f>355-285</f>
        <v>70</v>
      </c>
      <c r="J52" s="1">
        <f>375-30</f>
        <v>345</v>
      </c>
      <c r="K52" s="1">
        <f>361-42</f>
        <v>319</v>
      </c>
      <c r="L52" s="1">
        <f>381-9</f>
        <v>372</v>
      </c>
    </row>
    <row r="53" spans="1:23" ht="14.4" customHeight="1" x14ac:dyDescent="0.25">
      <c r="A53" s="10" t="s">
        <v>15</v>
      </c>
      <c r="B53" s="4" t="s">
        <v>2</v>
      </c>
      <c r="C53" s="13">
        <v>21</v>
      </c>
      <c r="D53" s="13">
        <v>8</v>
      </c>
      <c r="E53" s="13">
        <v>6</v>
      </c>
      <c r="F53" s="13">
        <v>12</v>
      </c>
      <c r="G53" s="13">
        <v>25</v>
      </c>
      <c r="H53" s="5">
        <f>C53/H1</f>
        <v>5.6603773584905662E-2</v>
      </c>
      <c r="I53" s="5">
        <f>D53/I1</f>
        <v>2.2535211267605635E-2</v>
      </c>
      <c r="J53" s="5">
        <f>E53/J1</f>
        <v>1.6E-2</v>
      </c>
      <c r="K53" s="5">
        <f>F53/K1</f>
        <v>3.3240997229916899E-2</v>
      </c>
      <c r="L53" s="5">
        <f>G53/L1</f>
        <v>6.5616797900262466E-2</v>
      </c>
    </row>
    <row r="54" spans="1:23" ht="14.4" customHeight="1" x14ac:dyDescent="0.25">
      <c r="A54" s="10"/>
      <c r="B54" s="9" t="s">
        <v>3</v>
      </c>
      <c r="C54" s="13">
        <v>27</v>
      </c>
      <c r="D54" s="13">
        <v>71</v>
      </c>
      <c r="E54" s="13">
        <v>227</v>
      </c>
      <c r="F54" s="13">
        <v>184</v>
      </c>
      <c r="G54" s="13">
        <v>158</v>
      </c>
      <c r="H54" s="5">
        <f>C54/H1</f>
        <v>7.277628032345014E-2</v>
      </c>
      <c r="I54" s="5">
        <f>D54/I1</f>
        <v>0.2</v>
      </c>
      <c r="J54" s="5">
        <f>E54/J1</f>
        <v>0.60533333333333328</v>
      </c>
      <c r="K54" s="5">
        <f>F54/K1</f>
        <v>0.50969529085872578</v>
      </c>
      <c r="L54" s="5">
        <f>G54/L1</f>
        <v>0.41469816272965881</v>
      </c>
      <c r="W54" s="1" t="s">
        <v>26</v>
      </c>
    </row>
    <row r="55" spans="1:23" ht="14.4" customHeight="1" x14ac:dyDescent="0.25">
      <c r="A55" s="10"/>
      <c r="B55" s="1" t="s">
        <v>73</v>
      </c>
      <c r="C55" s="12" t="s">
        <v>0</v>
      </c>
      <c r="D55" s="12" t="s">
        <v>0</v>
      </c>
      <c r="E55" s="13">
        <v>5</v>
      </c>
      <c r="F55" s="13">
        <v>11</v>
      </c>
      <c r="G55" s="13">
        <v>23</v>
      </c>
      <c r="H55" s="5">
        <f>C55/H1</f>
        <v>0</v>
      </c>
      <c r="I55" s="5">
        <f>D55/I1</f>
        <v>0</v>
      </c>
      <c r="J55" s="5">
        <f>E55/J1</f>
        <v>1.3333333333333334E-2</v>
      </c>
      <c r="K55" s="5">
        <f>F55/K1</f>
        <v>3.0470914127423823E-2</v>
      </c>
      <c r="L55" s="5">
        <f>G55/L1</f>
        <v>6.0367454068241469E-2</v>
      </c>
      <c r="W55" s="1" t="s">
        <v>27</v>
      </c>
    </row>
    <row r="56" spans="1:23" ht="14.4" customHeight="1" x14ac:dyDescent="0.25">
      <c r="A56" s="10"/>
      <c r="B56" s="1" t="s">
        <v>74</v>
      </c>
      <c r="C56" s="13">
        <v>1</v>
      </c>
      <c r="D56" s="12" t="s">
        <v>0</v>
      </c>
      <c r="E56" s="13">
        <v>2</v>
      </c>
      <c r="F56" s="13">
        <v>3</v>
      </c>
      <c r="G56" s="13">
        <v>23</v>
      </c>
      <c r="H56" s="5">
        <f>C56/H1</f>
        <v>2.6954177897574125E-3</v>
      </c>
      <c r="I56" s="5">
        <f>D56/I1</f>
        <v>0</v>
      </c>
      <c r="J56" s="5">
        <f>E56/J1</f>
        <v>5.3333333333333332E-3</v>
      </c>
      <c r="K56" s="5">
        <f>F56/K1</f>
        <v>8.3102493074792248E-3</v>
      </c>
      <c r="L56" s="5">
        <f>G56/L1</f>
        <v>6.0367454068241469E-2</v>
      </c>
    </row>
    <row r="57" spans="1:23" ht="14.4" customHeight="1" x14ac:dyDescent="0.25">
      <c r="A57" s="10"/>
      <c r="B57" s="1" t="s">
        <v>75</v>
      </c>
      <c r="C57" s="12" t="s">
        <v>0</v>
      </c>
      <c r="D57" s="13">
        <v>1</v>
      </c>
      <c r="E57" s="12" t="s">
        <v>0</v>
      </c>
      <c r="F57" s="12" t="s">
        <v>0</v>
      </c>
      <c r="G57" s="12" t="s">
        <v>0</v>
      </c>
      <c r="H57" s="5">
        <f>C57/H1</f>
        <v>0</v>
      </c>
      <c r="I57" s="5">
        <f>D57/I1</f>
        <v>2.8169014084507044E-3</v>
      </c>
      <c r="J57" s="5">
        <f>E57/J1</f>
        <v>0</v>
      </c>
      <c r="K57" s="5">
        <f>F57/K1</f>
        <v>0</v>
      </c>
      <c r="L57" s="5">
        <f>G57/L1</f>
        <v>0</v>
      </c>
    </row>
    <row r="58" spans="1:23" ht="14.4" customHeight="1" x14ac:dyDescent="0.25">
      <c r="A58" s="10"/>
      <c r="B58" s="1" t="s">
        <v>76</v>
      </c>
      <c r="C58" s="13">
        <v>2</v>
      </c>
      <c r="D58" s="13">
        <v>3</v>
      </c>
      <c r="E58" s="13">
        <v>4</v>
      </c>
      <c r="F58" s="13">
        <v>7</v>
      </c>
      <c r="G58" s="12" t="s">
        <v>0</v>
      </c>
      <c r="H58" s="5">
        <f>C58/H1</f>
        <v>5.3908355795148251E-3</v>
      </c>
      <c r="I58" s="5">
        <f>D58/I1</f>
        <v>8.4507042253521118E-3</v>
      </c>
      <c r="J58" s="5">
        <f>E58/J1</f>
        <v>1.0666666666666666E-2</v>
      </c>
      <c r="K58" s="5">
        <f>F58/K1</f>
        <v>1.9390581717451522E-2</v>
      </c>
      <c r="L58" s="5">
        <f>G58/L1</f>
        <v>0</v>
      </c>
    </row>
    <row r="59" spans="1:23" ht="14.4" customHeight="1" x14ac:dyDescent="0.25">
      <c r="C59" s="14">
        <f>SUM(C53:C58)</f>
        <v>51</v>
      </c>
      <c r="D59" s="14">
        <f>SUM(D53:D58)</f>
        <v>83</v>
      </c>
      <c r="E59" s="14">
        <f>SUM(E53:E58)</f>
        <v>244</v>
      </c>
      <c r="F59" s="14">
        <f>SUM(F53:F58)</f>
        <v>217</v>
      </c>
      <c r="G59" s="14">
        <f>SUM(G53:G58)</f>
        <v>229</v>
      </c>
      <c r="H59" s="1">
        <f>371-296</f>
        <v>75</v>
      </c>
      <c r="I59" s="1">
        <f>355-270</f>
        <v>85</v>
      </c>
      <c r="J59" s="1">
        <f>375-120</f>
        <v>255</v>
      </c>
      <c r="K59" s="1">
        <f>361-137</f>
        <v>224</v>
      </c>
      <c r="L59" s="1">
        <f>381-151</f>
        <v>230</v>
      </c>
      <c r="M59" s="1">
        <f>C56+C57+C58+C55+24</f>
        <v>27</v>
      </c>
      <c r="N59" s="1">
        <f>D56+D57+D58+D55+2</f>
        <v>6</v>
      </c>
      <c r="O59" s="1">
        <f>E56+E57+E58+E55+11</f>
        <v>22</v>
      </c>
      <c r="P59" s="1">
        <f>F56+F57+F58+F55+7</f>
        <v>28</v>
      </c>
      <c r="Q59" s="1">
        <f>G56+G57+G58+G55+1</f>
        <v>47</v>
      </c>
      <c r="R59" s="5">
        <f>M59/H1</f>
        <v>7.277628032345014E-2</v>
      </c>
      <c r="S59" s="5">
        <f>N59/I1</f>
        <v>1.6901408450704224E-2</v>
      </c>
      <c r="T59" s="5">
        <f>O59/J1</f>
        <v>5.8666666666666666E-2</v>
      </c>
      <c r="U59" s="5">
        <f>P59/K1</f>
        <v>7.7562326869806089E-2</v>
      </c>
      <c r="V59" s="5">
        <f>Q59/L1</f>
        <v>0.12335958005249344</v>
      </c>
      <c r="W59" s="1" t="s">
        <v>25</v>
      </c>
    </row>
    <row r="60" spans="1:23" ht="14.4" customHeight="1" x14ac:dyDescent="0.25">
      <c r="H60" s="1"/>
      <c r="I60" s="1"/>
      <c r="J60" s="1"/>
      <c r="K60" s="1"/>
      <c r="L60" s="1"/>
    </row>
    <row r="61" spans="1:23" ht="14.4" customHeight="1" x14ac:dyDescent="0.25">
      <c r="H61" s="1"/>
      <c r="I61" s="1"/>
      <c r="J61" s="1"/>
      <c r="K61" s="1"/>
      <c r="L61" s="1"/>
    </row>
    <row r="62" spans="1:23" ht="14.4" customHeight="1" x14ac:dyDescent="0.25">
      <c r="H62" s="1"/>
      <c r="I62" s="1"/>
      <c r="J62" s="1"/>
      <c r="K62" s="1"/>
      <c r="L62" s="1"/>
    </row>
    <row r="63" spans="1:23" ht="14.4" customHeight="1" x14ac:dyDescent="0.25">
      <c r="H63" s="1"/>
      <c r="I63" s="1"/>
      <c r="J63" s="1"/>
      <c r="K63" s="1"/>
      <c r="L63" s="1"/>
    </row>
    <row r="64" spans="1:23" ht="14.4" customHeight="1" x14ac:dyDescent="0.25"/>
    <row r="65" ht="14.4" customHeight="1" x14ac:dyDescent="0.25"/>
    <row r="66" ht="14.4" customHeight="1" x14ac:dyDescent="0.25"/>
    <row r="67" ht="14.4" customHeight="1" x14ac:dyDescent="0.25"/>
    <row r="68" ht="14.4" customHeight="1" x14ac:dyDescent="0.25"/>
    <row r="69" ht="14.4" customHeight="1" x14ac:dyDescent="0.25"/>
    <row r="70" ht="14.4" customHeight="1" x14ac:dyDescent="0.25"/>
    <row r="71" ht="14.4" customHeight="1" x14ac:dyDescent="0.25"/>
    <row r="72" ht="14.4" customHeight="1" x14ac:dyDescent="0.25"/>
    <row r="73" ht="14.4" customHeight="1" x14ac:dyDescent="0.25"/>
    <row r="74" ht="14.4" customHeight="1" x14ac:dyDescent="0.25"/>
    <row r="75" ht="14.4" customHeight="1" x14ac:dyDescent="0.25"/>
    <row r="76" ht="14.4" customHeight="1" x14ac:dyDescent="0.25"/>
    <row r="77" ht="14.4" customHeight="1" x14ac:dyDescent="0.25"/>
    <row r="78" ht="14.4" customHeight="1" x14ac:dyDescent="0.25"/>
    <row r="79" ht="14.4" customHeight="1" x14ac:dyDescent="0.25"/>
    <row r="80" ht="14.4" customHeight="1" x14ac:dyDescent="0.25"/>
    <row r="81" ht="14.4" customHeight="1" x14ac:dyDescent="0.25"/>
    <row r="82" ht="14.4" customHeight="1" x14ac:dyDescent="0.25"/>
    <row r="83" ht="14.4" customHeight="1" x14ac:dyDescent="0.25"/>
    <row r="84" ht="14.4" customHeight="1" x14ac:dyDescent="0.25"/>
    <row r="85" ht="14.4" customHeight="1" x14ac:dyDescent="0.25"/>
    <row r="86" ht="14.4" customHeight="1" x14ac:dyDescent="0.25"/>
    <row r="87" ht="14.4" customHeight="1" x14ac:dyDescent="0.25"/>
    <row r="88" ht="14.4" customHeight="1" x14ac:dyDescent="0.25"/>
    <row r="89" ht="14.4" customHeight="1" x14ac:dyDescent="0.25"/>
    <row r="90" ht="14.4" customHeight="1" x14ac:dyDescent="0.25"/>
    <row r="91" ht="14.4" customHeight="1" x14ac:dyDescent="0.25"/>
    <row r="92" ht="14.4" customHeight="1" x14ac:dyDescent="0.25"/>
    <row r="93" ht="14.4" customHeight="1" x14ac:dyDescent="0.25"/>
    <row r="94" ht="14.4" customHeight="1" x14ac:dyDescent="0.25"/>
    <row r="95" ht="14.4" customHeight="1" x14ac:dyDescent="0.25"/>
    <row r="96" ht="14.4" customHeight="1" x14ac:dyDescent="0.25"/>
    <row r="97" ht="14.4" customHeight="1" x14ac:dyDescent="0.25"/>
    <row r="98" ht="14.4" customHeight="1" x14ac:dyDescent="0.25"/>
    <row r="99" ht="14.4" customHeight="1" x14ac:dyDescent="0.25"/>
    <row r="100" ht="14.4" customHeight="1" x14ac:dyDescent="0.25"/>
    <row r="101" ht="14.4" customHeight="1" x14ac:dyDescent="0.25"/>
    <row r="102" ht="14.4" customHeight="1" x14ac:dyDescent="0.25"/>
    <row r="103" ht="14.4" customHeight="1" x14ac:dyDescent="0.25"/>
    <row r="104" ht="14.4" customHeight="1" x14ac:dyDescent="0.25"/>
    <row r="105" ht="14.4" customHeight="1" x14ac:dyDescent="0.25"/>
    <row r="106" ht="14.4" customHeight="1" x14ac:dyDescent="0.25"/>
    <row r="107" ht="14.4" customHeight="1" x14ac:dyDescent="0.25"/>
    <row r="108" ht="14.4" customHeight="1" x14ac:dyDescent="0.25"/>
    <row r="109" ht="14.4" customHeight="1" x14ac:dyDescent="0.25"/>
    <row r="110" ht="14.4" customHeight="1" x14ac:dyDescent="0.25"/>
    <row r="111" ht="14.4" customHeight="1" x14ac:dyDescent="0.25"/>
    <row r="112" ht="14.4" customHeight="1" x14ac:dyDescent="0.25"/>
    <row r="113" ht="14.4" customHeight="1" x14ac:dyDescent="0.25"/>
    <row r="114" ht="14.4" customHeight="1" x14ac:dyDescent="0.25"/>
    <row r="115" ht="14.4" customHeight="1" x14ac:dyDescent="0.25"/>
    <row r="116" ht="14.4" customHeight="1" x14ac:dyDescent="0.25"/>
    <row r="117" ht="14.4" customHeight="1" x14ac:dyDescent="0.25"/>
    <row r="118" ht="14.4" customHeight="1" x14ac:dyDescent="0.25"/>
    <row r="119" ht="14.4" customHeight="1" x14ac:dyDescent="0.25"/>
    <row r="120" ht="14.4" customHeight="1" x14ac:dyDescent="0.25"/>
    <row r="121" ht="14.4" customHeight="1" x14ac:dyDescent="0.25"/>
    <row r="122" ht="14.4" customHeight="1" x14ac:dyDescent="0.25"/>
    <row r="123" ht="14.4" customHeight="1" x14ac:dyDescent="0.25"/>
    <row r="124" ht="14.4" customHeight="1" x14ac:dyDescent="0.25"/>
    <row r="125" ht="14.4" customHeight="1" x14ac:dyDescent="0.25"/>
    <row r="126" ht="14.4" customHeight="1" x14ac:dyDescent="0.25"/>
    <row r="127" ht="14.4" customHeight="1" x14ac:dyDescent="0.25"/>
    <row r="128" ht="14.4" customHeight="1" x14ac:dyDescent="0.25"/>
    <row r="129" ht="14.4" customHeight="1" x14ac:dyDescent="0.25"/>
    <row r="130" ht="14.4" customHeight="1" x14ac:dyDescent="0.25"/>
    <row r="131" ht="14.4" customHeight="1" x14ac:dyDescent="0.25"/>
    <row r="132" ht="14.4" customHeight="1" x14ac:dyDescent="0.25"/>
    <row r="133" ht="14.4" customHeight="1" x14ac:dyDescent="0.25"/>
    <row r="134" ht="14.4" customHeight="1" x14ac:dyDescent="0.25"/>
    <row r="135" ht="14.4" customHeight="1" x14ac:dyDescent="0.25"/>
    <row r="136" ht="14.4" customHeight="1" x14ac:dyDescent="0.25"/>
    <row r="137" ht="14.4" customHeight="1" x14ac:dyDescent="0.25"/>
    <row r="138" ht="14.4" customHeight="1" x14ac:dyDescent="0.25"/>
    <row r="139" ht="14.4" customHeight="1" x14ac:dyDescent="0.25"/>
    <row r="140" ht="14.4" customHeight="1" x14ac:dyDescent="0.25"/>
    <row r="141" ht="14.4" customHeight="1" x14ac:dyDescent="0.25"/>
    <row r="142" ht="14.4" customHeight="1" x14ac:dyDescent="0.25"/>
    <row r="143" ht="14.4" customHeight="1" x14ac:dyDescent="0.25"/>
    <row r="144" ht="14.4" customHeight="1" x14ac:dyDescent="0.25"/>
    <row r="145" ht="14.4" customHeight="1" x14ac:dyDescent="0.25"/>
    <row r="146" ht="14.4" customHeight="1" x14ac:dyDescent="0.25"/>
    <row r="147" ht="14.4" customHeight="1" x14ac:dyDescent="0.25"/>
    <row r="148" ht="14.4" customHeight="1" x14ac:dyDescent="0.25"/>
    <row r="149" ht="14.4" customHeight="1" x14ac:dyDescent="0.25"/>
    <row r="150" ht="14.4" customHeight="1" x14ac:dyDescent="0.25"/>
    <row r="151" ht="14.4" customHeight="1" x14ac:dyDescent="0.25"/>
    <row r="152" ht="14.4" customHeight="1" x14ac:dyDescent="0.25"/>
    <row r="153" ht="14.4" customHeight="1" x14ac:dyDescent="0.25"/>
    <row r="154" ht="14.4" customHeight="1" x14ac:dyDescent="0.25"/>
    <row r="155" ht="14.4" customHeight="1" x14ac:dyDescent="0.25"/>
    <row r="156" ht="14.4" customHeight="1" x14ac:dyDescent="0.25"/>
    <row r="157" ht="14.4" customHeight="1" x14ac:dyDescent="0.25"/>
    <row r="158" ht="14.4" customHeight="1" x14ac:dyDescent="0.25"/>
    <row r="159" ht="14.4" customHeight="1" x14ac:dyDescent="0.25"/>
    <row r="160" ht="14.4" customHeight="1" x14ac:dyDescent="0.25"/>
    <row r="161" ht="14.4" customHeight="1" x14ac:dyDescent="0.25"/>
    <row r="162" ht="14.4" customHeight="1" x14ac:dyDescent="0.25"/>
    <row r="163" ht="14.4" customHeight="1" x14ac:dyDescent="0.25"/>
    <row r="164" ht="14.4" customHeight="1" x14ac:dyDescent="0.25"/>
    <row r="165" ht="14.4" customHeight="1" x14ac:dyDescent="0.25"/>
    <row r="166" ht="14.4" customHeight="1" x14ac:dyDescent="0.25"/>
    <row r="167" ht="14.4" customHeight="1" x14ac:dyDescent="0.25"/>
    <row r="168" ht="14.4" customHeight="1" x14ac:dyDescent="0.25"/>
    <row r="169" ht="14.4" customHeight="1" x14ac:dyDescent="0.25"/>
    <row r="170" ht="14.4" customHeight="1" x14ac:dyDescent="0.25"/>
    <row r="171" ht="14.4" customHeight="1" x14ac:dyDescent="0.25"/>
    <row r="172" ht="14.4" customHeight="1" x14ac:dyDescent="0.25"/>
    <row r="173" ht="14.4" customHeight="1" x14ac:dyDescent="0.25"/>
    <row r="174" ht="14.4" customHeight="1" x14ac:dyDescent="0.25"/>
    <row r="175" ht="14.4" customHeight="1" x14ac:dyDescent="0.25"/>
    <row r="176" ht="14.4" customHeight="1" x14ac:dyDescent="0.25"/>
    <row r="177" ht="14.4" customHeight="1" x14ac:dyDescent="0.25"/>
    <row r="178" ht="14.4" customHeight="1" x14ac:dyDescent="0.25"/>
    <row r="179" ht="14.4" customHeight="1" x14ac:dyDescent="0.25"/>
    <row r="180" ht="14.4" customHeight="1" x14ac:dyDescent="0.25"/>
    <row r="181" ht="14.4" customHeight="1" x14ac:dyDescent="0.25"/>
    <row r="182" ht="14.4" customHeight="1" x14ac:dyDescent="0.25"/>
    <row r="183" ht="14.4" customHeight="1" x14ac:dyDescent="0.25"/>
    <row r="184" ht="14.4" customHeight="1" x14ac:dyDescent="0.25"/>
    <row r="185" ht="14.4" customHeight="1" x14ac:dyDescent="0.25"/>
    <row r="186" ht="14.4" customHeight="1" x14ac:dyDescent="0.25"/>
    <row r="187" ht="14.4" customHeight="1" x14ac:dyDescent="0.25"/>
    <row r="188" ht="14.4" customHeight="1" x14ac:dyDescent="0.25"/>
    <row r="189" ht="14.4" customHeight="1" x14ac:dyDescent="0.25"/>
    <row r="190" ht="14.4" customHeight="1" x14ac:dyDescent="0.25"/>
    <row r="191" ht="14.4" customHeight="1" x14ac:dyDescent="0.25"/>
    <row r="192" ht="14.4" customHeight="1" x14ac:dyDescent="0.25"/>
    <row r="193" ht="14.4" customHeight="1" x14ac:dyDescent="0.25"/>
    <row r="194" ht="14.4" customHeight="1" x14ac:dyDescent="0.25"/>
    <row r="195" ht="14.4" customHeight="1" x14ac:dyDescent="0.25"/>
    <row r="196" ht="14.4" customHeight="1" x14ac:dyDescent="0.25"/>
    <row r="197" ht="14.4" customHeight="1" x14ac:dyDescent="0.25"/>
    <row r="198" ht="14.4" customHeight="1" x14ac:dyDescent="0.25"/>
    <row r="199" ht="14.4" customHeight="1" x14ac:dyDescent="0.25"/>
    <row r="200" ht="14.4" customHeight="1" x14ac:dyDescent="0.25"/>
    <row r="201" ht="14.4" customHeight="1" x14ac:dyDescent="0.25"/>
    <row r="202" ht="14.4" customHeight="1" x14ac:dyDescent="0.25"/>
    <row r="203" ht="14.4" customHeight="1" x14ac:dyDescent="0.25"/>
    <row r="204" ht="14.4" customHeight="1" x14ac:dyDescent="0.25"/>
    <row r="205" ht="14.4" customHeight="1" x14ac:dyDescent="0.25"/>
    <row r="206" ht="14.4" customHeight="1" x14ac:dyDescent="0.25"/>
    <row r="207" ht="14.4" customHeight="1" x14ac:dyDescent="0.25"/>
    <row r="208" ht="14.4" customHeight="1" x14ac:dyDescent="0.25"/>
    <row r="209" ht="14.4" customHeight="1" x14ac:dyDescent="0.25"/>
    <row r="210" ht="14.4" customHeight="1" x14ac:dyDescent="0.25"/>
    <row r="211" ht="14.4" customHeight="1" x14ac:dyDescent="0.25"/>
    <row r="212" ht="14.4" customHeight="1" x14ac:dyDescent="0.25"/>
    <row r="213" ht="14.4" customHeight="1" x14ac:dyDescent="0.25"/>
    <row r="214" ht="14.4" customHeight="1" x14ac:dyDescent="0.25"/>
    <row r="215" ht="14.4" customHeight="1" x14ac:dyDescent="0.25"/>
    <row r="216" ht="14.4" customHeight="1" x14ac:dyDescent="0.25"/>
  </sheetData>
  <mergeCells count="10">
    <mergeCell ref="A28:A37"/>
    <mergeCell ref="A39:A43"/>
    <mergeCell ref="A45:A48"/>
    <mergeCell ref="A50:A51"/>
    <mergeCell ref="A53:A58"/>
    <mergeCell ref="A2:A6"/>
    <mergeCell ref="A8:A12"/>
    <mergeCell ref="A14:A15"/>
    <mergeCell ref="A17:A20"/>
    <mergeCell ref="A22:A26"/>
  </mergeCells>
  <phoneticPr fontId="7" type="noConversion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RQ1_reason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2024-09-14T09:23:08Z</dcterms:created>
  <dcterms:modified xsi:type="dcterms:W3CDTF">2024-09-15T07:04:09Z</dcterms:modified>
  <cp:category/>
</cp:coreProperties>
</file>