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520" windowWidth="21840" windowHeight="12680"/>
  </bookViews>
  <sheets>
    <sheet name="февраль 2019" sheetId="88" r:id="rId1"/>
    <sheet name="январь 2019" sheetId="87" r:id="rId2"/>
    <sheet name="декабрь 2018г." sheetId="86" r:id="rId3"/>
    <sheet name="ноябрь 2018" sheetId="85" r:id="rId4"/>
    <sheet name="октябрь 2018" sheetId="84" r:id="rId5"/>
    <sheet name="сентябрь 2018" sheetId="83" r:id="rId6"/>
    <sheet name="август 2018" sheetId="82" r:id="rId7"/>
    <sheet name="июль 2018" sheetId="81" r:id="rId8"/>
    <sheet name="июнь 2018" sheetId="80" r:id="rId9"/>
    <sheet name="май 2018" sheetId="79" r:id="rId10"/>
    <sheet name="апрель 2018" sheetId="78" r:id="rId11"/>
    <sheet name="март 2018" sheetId="77" r:id="rId12"/>
    <sheet name="февраль 2018" sheetId="76" r:id="rId13"/>
    <sheet name="январь 2018" sheetId="75" r:id="rId14"/>
    <sheet name="декабрь 2017" sheetId="74" r:id="rId15"/>
    <sheet name="ноябрь 2017" sheetId="73" r:id="rId16"/>
    <sheet name="окт.2017" sheetId="72" r:id="rId17"/>
    <sheet name="сент. 2017" sheetId="71" r:id="rId18"/>
    <sheet name="август 2017" sheetId="70" r:id="rId19"/>
    <sheet name="июль 2017" sheetId="69" r:id="rId20"/>
    <sheet name="июнь 2017" sheetId="68" r:id="rId21"/>
    <sheet name="май 2017 " sheetId="67" r:id="rId22"/>
    <sheet name="апрель 2017" sheetId="66" r:id="rId23"/>
    <sheet name="март 2017" sheetId="65" r:id="rId24"/>
    <sheet name="февраль 2017" sheetId="64" r:id="rId25"/>
    <sheet name="январь 2017" sheetId="63" r:id="rId26"/>
    <sheet name="декабрь 2016" sheetId="62" r:id="rId27"/>
  </sheets>
  <externalReferences>
    <externalReference r:id="rId2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88" l="1"/>
  <c r="F20" i="88"/>
  <c r="F17" i="88"/>
  <c r="F16" i="88"/>
  <c r="F14" i="88"/>
  <c r="F13" i="88"/>
  <c r="F12" i="88"/>
  <c r="F11" i="88"/>
  <c r="F10" i="88"/>
  <c r="F9" i="88"/>
  <c r="H26" i="88"/>
  <c r="H26" i="87"/>
  <c r="H4" i="88"/>
  <c r="H8" i="88"/>
  <c r="F22" i="87"/>
  <c r="F19" i="87"/>
  <c r="F17" i="87"/>
  <c r="F16" i="87"/>
  <c r="F15" i="87"/>
  <c r="F14" i="87"/>
  <c r="F13" i="87"/>
  <c r="F12" i="87"/>
  <c r="F9" i="87"/>
  <c r="H26" i="86"/>
  <c r="H4" i="87"/>
  <c r="H8" i="87"/>
  <c r="F22" i="86"/>
  <c r="F19" i="86"/>
  <c r="F17" i="86"/>
  <c r="F9" i="86"/>
  <c r="F13" i="86"/>
  <c r="F12" i="86"/>
  <c r="F11" i="86"/>
  <c r="F10" i="86"/>
  <c r="H8" i="86"/>
  <c r="H26" i="85"/>
  <c r="H4" i="86"/>
  <c r="F9" i="85"/>
  <c r="F22" i="85"/>
  <c r="F20" i="85"/>
  <c r="F19" i="85"/>
  <c r="F17" i="85"/>
  <c r="F15" i="85"/>
  <c r="F14" i="85"/>
  <c r="F12" i="85"/>
  <c r="F11" i="85"/>
  <c r="F10" i="85"/>
  <c r="H26" i="84"/>
  <c r="H4" i="85"/>
  <c r="H8" i="85"/>
  <c r="F22" i="84"/>
  <c r="F20" i="84"/>
  <c r="F19" i="84"/>
  <c r="F17" i="84"/>
  <c r="F16" i="84"/>
  <c r="F13" i="84"/>
  <c r="F11" i="84"/>
  <c r="F9" i="84"/>
  <c r="F10" i="84"/>
  <c r="H23" i="83"/>
  <c r="H4" i="84"/>
  <c r="H8" i="84"/>
  <c r="F17" i="83"/>
  <c r="F19" i="83"/>
  <c r="F16" i="83"/>
  <c r="F14" i="83"/>
  <c r="F13" i="83"/>
  <c r="F12" i="83"/>
  <c r="F11" i="83"/>
  <c r="F10" i="83"/>
  <c r="F9" i="83"/>
  <c r="H23" i="82"/>
  <c r="H4" i="83"/>
  <c r="H8" i="83"/>
  <c r="F9" i="82"/>
  <c r="F19" i="82"/>
  <c r="F17" i="82"/>
  <c r="F16" i="82"/>
  <c r="F14" i="82"/>
  <c r="F13" i="82"/>
  <c r="F12" i="82"/>
  <c r="F11" i="82"/>
  <c r="F10" i="82"/>
  <c r="H23" i="81"/>
  <c r="H4" i="82"/>
  <c r="H8" i="82"/>
  <c r="F9" i="81"/>
  <c r="F11" i="81"/>
  <c r="F19" i="81"/>
  <c r="F17" i="81"/>
  <c r="F14" i="81"/>
  <c r="F10" i="81"/>
  <c r="F12" i="81"/>
  <c r="F16" i="81"/>
  <c r="H23" i="80"/>
  <c r="H4" i="81"/>
  <c r="H8" i="81"/>
  <c r="F19" i="80"/>
  <c r="F18" i="80"/>
  <c r="F17" i="80"/>
  <c r="F16" i="80"/>
  <c r="F14" i="80"/>
  <c r="F13" i="80"/>
  <c r="F12" i="80"/>
  <c r="F11" i="80"/>
  <c r="F10" i="80"/>
  <c r="F9" i="80"/>
  <c r="H23" i="79"/>
  <c r="H4" i="80"/>
  <c r="H8" i="80"/>
  <c r="F16" i="79"/>
  <c r="F9" i="79"/>
  <c r="F10" i="79"/>
  <c r="F11" i="79"/>
  <c r="F12" i="79"/>
  <c r="F13" i="79"/>
  <c r="F14" i="79"/>
  <c r="F17" i="79"/>
  <c r="F19" i="79"/>
  <c r="H8" i="79"/>
  <c r="H23" i="78"/>
  <c r="H4" i="79"/>
  <c r="F9" i="78"/>
  <c r="F19" i="78"/>
  <c r="F17" i="78"/>
  <c r="F16" i="78"/>
  <c r="F14" i="78"/>
  <c r="F13" i="78"/>
  <c r="F12" i="78"/>
  <c r="F11" i="78"/>
  <c r="F10" i="78"/>
  <c r="H23" i="77"/>
  <c r="H4" i="78"/>
  <c r="H8" i="78"/>
  <c r="F15" i="77"/>
  <c r="F19" i="77"/>
  <c r="F17" i="77"/>
  <c r="F16" i="77"/>
  <c r="F14" i="77"/>
  <c r="F13" i="77"/>
  <c r="F12" i="77"/>
  <c r="F11" i="77"/>
  <c r="F10" i="77"/>
  <c r="F9" i="77"/>
  <c r="H23" i="76"/>
  <c r="H4" i="77"/>
  <c r="H8" i="77"/>
  <c r="F13" i="76"/>
  <c r="F19" i="76"/>
  <c r="F9" i="76"/>
  <c r="F10" i="76"/>
  <c r="F11" i="76"/>
  <c r="F14" i="76"/>
  <c r="F17" i="76"/>
  <c r="H8" i="76"/>
  <c r="H23" i="75"/>
  <c r="H4" i="76"/>
  <c r="F11" i="75"/>
  <c r="F19" i="75"/>
  <c r="F12" i="75"/>
  <c r="F10" i="75"/>
  <c r="F9" i="75"/>
  <c r="H23" i="74"/>
  <c r="H4" i="75"/>
  <c r="H8" i="75"/>
  <c r="F19" i="74"/>
  <c r="F11" i="74"/>
  <c r="F9" i="74"/>
  <c r="F12" i="74"/>
  <c r="F10" i="74"/>
  <c r="H8" i="74"/>
  <c r="H23" i="73"/>
  <c r="H4" i="74"/>
  <c r="F19" i="73"/>
  <c r="F9" i="73"/>
  <c r="F10" i="73"/>
  <c r="F11" i="73"/>
  <c r="F12" i="73"/>
  <c r="F13" i="73"/>
  <c r="F14" i="73"/>
  <c r="F16" i="73"/>
  <c r="H8" i="73"/>
  <c r="H23" i="72"/>
  <c r="H4" i="73"/>
  <c r="H23" i="71"/>
  <c r="H4" i="72"/>
  <c r="F19" i="72"/>
  <c r="F16" i="72"/>
  <c r="F14" i="72"/>
  <c r="F12" i="72"/>
  <c r="F11" i="72"/>
  <c r="F10" i="72"/>
  <c r="F9" i="72"/>
  <c r="H8" i="72"/>
  <c r="F19" i="71"/>
  <c r="F14" i="71"/>
  <c r="F13" i="71"/>
  <c r="F12" i="71"/>
  <c r="F11" i="71"/>
  <c r="F10" i="71"/>
  <c r="F9" i="71"/>
  <c r="H8" i="71"/>
  <c r="H4" i="71"/>
  <c r="H23" i="70"/>
  <c r="F9" i="70"/>
  <c r="F11" i="70"/>
  <c r="F12" i="70"/>
  <c r="F13" i="70"/>
  <c r="F19" i="70"/>
  <c r="H8" i="70"/>
  <c r="H23" i="69"/>
  <c r="H4" i="70"/>
  <c r="F11" i="69"/>
  <c r="F13" i="69"/>
  <c r="F9" i="69"/>
  <c r="F19" i="69"/>
  <c r="F17" i="69"/>
  <c r="F14" i="69"/>
  <c r="F10" i="69"/>
  <c r="F12" i="69"/>
  <c r="H23" i="68"/>
  <c r="H4" i="69"/>
  <c r="H8" i="69"/>
  <c r="F13" i="68"/>
  <c r="F11" i="68"/>
  <c r="F10" i="68"/>
  <c r="F19" i="68"/>
  <c r="F17" i="68"/>
  <c r="F16" i="68"/>
  <c r="F12" i="68"/>
  <c r="F9" i="68"/>
  <c r="H8" i="68"/>
  <c r="F13" i="67"/>
  <c r="F11" i="67"/>
  <c r="F9" i="67"/>
  <c r="F10" i="67"/>
  <c r="H23" i="67"/>
  <c r="H4" i="68"/>
  <c r="H23" i="66"/>
  <c r="H4" i="67"/>
  <c r="H8" i="67"/>
  <c r="H23" i="65"/>
  <c r="H4" i="66"/>
  <c r="F11" i="66"/>
  <c r="F9" i="66"/>
  <c r="H8" i="66"/>
  <c r="F9" i="65"/>
  <c r="F11" i="65"/>
  <c r="F19" i="65"/>
  <c r="H8" i="65"/>
  <c r="H23" i="64"/>
  <c r="H4" i="65"/>
  <c r="F11" i="64"/>
  <c r="F19" i="64"/>
  <c r="F9" i="64"/>
  <c r="F11" i="62"/>
  <c r="F19" i="62"/>
  <c r="H23" i="62"/>
  <c r="H4" i="63"/>
  <c r="H23" i="63"/>
  <c r="F11" i="63"/>
  <c r="F19" i="63"/>
  <c r="H8" i="63"/>
  <c r="H4" i="64"/>
  <c r="H8" i="64"/>
  <c r="H8" i="62"/>
</calcChain>
</file>

<file path=xl/sharedStrings.xml><?xml version="1.0" encoding="utf-8"?>
<sst xmlns="http://schemas.openxmlformats.org/spreadsheetml/2006/main" count="501" uniqueCount="132">
  <si>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</si>
  <si>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</si>
  <si>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</si>
  <si>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</si>
  <si>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</si>
  <si>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</si>
  <si>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</si>
  <si>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</si>
  <si>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</si>
  <si>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</si>
  <si>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</si>
  <si>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</si>
  <si>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</si>
  <si>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"Хабаровская 27 А"  по ул. Хабаровская, 27 А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</si>
  <si>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</si>
  <si>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</si>
  <si>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</si>
  <si>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 xml:space="preserve">Выполненные работы: 1. Проведены работы по утеплению входных дверей в подъезды. 2. Изготовлена и установлена контейнерная площадка за домом. </t>
  </si>
  <si>
    <t>Отчет ТСЖ "Хабаровская 27 А"  по ул. Хабаровская, 27 А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</si>
  <si>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</si>
  <si>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</si>
  <si>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</si>
  <si>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 xml:space="preserve">Выполненные работы: </t>
  </si>
  <si>
    <t>Отчет ТСЖ "Хабаровская 27 А"  по ул. Хабаровская, 27 А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</si>
  <si>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</si>
  <si>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</si>
  <si>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</si>
  <si>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работа по утеплению подъездных дверей.</t>
  </si>
  <si>
    <t>Отчет ТСЖ "Хабаровская 27 А"  по ул. Хабаровская, 27 А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</si>
  <si>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</si>
  <si>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</si>
  <si>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</si>
  <si>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Отчет ТСЖ "Хабаровская 27 А"  по ул. Хабаровская, 27 А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</si>
  <si>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</si>
  <si>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</si>
  <si>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</si>
  <si>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Выполненные работы: 1. Бруслит Сервис вернул неиспользованные денежные средства в размере 1176000 рублей. Часть этих средств перечислены на специальный счет капитального ремонта, а часть будут использованы на нужды текущего ремонта (ремонт подъездов). В ближайшее время будет организовано и проведено общее собрание для принятия соответствующего решения.</t>
  </si>
  <si>
    <t>Отчет ТСЖ "Хабаровская 27 А"  по ул. Хабаровская, 27 А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</si>
  <si>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</si>
  <si>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</si>
  <si>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</si>
  <si>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 xml:space="preserve">Выполненные работы: 1. </t>
  </si>
  <si>
    <t>Отчет ТСЖ "Хабаровская 27 А"  по ул. Хабаровская, 27 А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</si>
  <si>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</si>
  <si>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</si>
  <si>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</si>
  <si>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>Выполненные работы: 1. Завершены работы по ремонту двух подъездов.</t>
  </si>
  <si>
    <t>Отчет ТСЖ "Хабаровская 27 А"  по ул. Хабаровская, 27 А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</si>
  <si>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</si>
  <si>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</si>
  <si>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</si>
  <si>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"Хабаровская 27 А"  по ул. Хабаровская, 27 А                                                             за период 01.08.2017-31.08.2017гг.</t>
  </si>
  <si>
    <t>Задолженность собственников на 01.08.2017</t>
  </si>
  <si>
    <t>Просроченная задолженность на 31.08.2017</t>
  </si>
  <si>
    <t>Начислено за август  2017г</t>
  </si>
  <si>
    <t>Отчет ТСЖ "Хабаровская 27 А"  по ул. Хабаровская, 27 А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</si>
  <si>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</si>
  <si>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</si>
  <si>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</si>
  <si>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"Хабаровская 27 А"  по ул. Хабаровская, 27 А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</si>
  <si>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</si>
  <si>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</si>
  <si>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</si>
  <si>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"Хабаровская 27 А"  по ул. Хабаровская, 27 А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</si>
  <si>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</si>
  <si>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</si>
  <si>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</si>
  <si>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</si>
  <si>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</si>
  <si>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</si>
  <si>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"Хабаровская 27 А"  по ул. Хабаровская, 27 А                                                             за период 01.12.2017-31.12.2017гг.</t>
  </si>
  <si>
    <t>Отчет ТСЖ "Хабаровская 27 А"  по ул. Хабаровская, 27 А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</si>
  <si>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</si>
  <si>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</si>
  <si>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</si>
  <si>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ТСЖ "Хабаровская 27 А"  по ул. Хабаровская, 27 А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</si>
  <si>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</si>
  <si>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</si>
  <si>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</si>
  <si>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ТСЖ "Хабаровская 27 А"  по ул. Хабаровская, 27 А                                                             за период 01.03.2018-31.03.2018гг.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</si>
  <si>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</si>
  <si>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</si>
  <si>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</si>
  <si>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ТСЖ "Хабаровская 27 А"  по ул. Хабаровская, 27 А                                                             за период 01.04.2018-30.04.2018гг.</t>
  </si>
  <si>
    <t>Задолженность собственников на 01.04.2018</t>
  </si>
  <si>
    <t>Начислено за апрель 2018г</t>
  </si>
  <si>
    <t>Просроченная задолженность на 30.04.2018</t>
  </si>
  <si>
    <t>Отчет ТСЖ "Хабаровская 27 А"  по ул. Хабаровская, 27 А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</si>
  <si>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</si>
  <si>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</si>
  <si>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</si>
  <si>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Отчет ТСЖ "Хабаровская 27 А"  по ул. Хабаровская, 27 А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</si>
  <si>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</si>
  <si>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</si>
  <si>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</si>
  <si>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Отчет ТСЖ "Хабаровская 27 А"  по ул. Хабаровская, 27 А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</si>
  <si>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</si>
  <si>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</si>
  <si>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</si>
  <si>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</si>
  <si>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 xml:space="preserve">Выполненные работы: 1. Проведены работы по энергосбережению (демонтированы радиаторы отопления на 11 этаже, частично отключены радиаторы в подъездах, произведена реконструкция системы теплоснабжения на проблемных участках) </t>
  </si>
  <si>
    <t>Отчет ТСЖ "Хабаровская 27 А"  по ул. Хабаровская, 27 А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</si>
  <si>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</si>
  <si>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</si>
  <si>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</si>
  <si>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"Хабаровская 27 А"  по ул. Хабаровская, 27 А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</si>
  <si>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</si>
  <si>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</si>
  <si>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</si>
  <si>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ТСЖ "Хабаровская 27 А"  по ул. Хабаровская, 27 А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</si>
  <si>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</si>
  <si>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</si>
  <si>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</si>
  <si>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Компонент на тепловую энергию</t>
  </si>
  <si>
    <t>Компонент на теплоноситель</t>
  </si>
  <si>
    <t>Просроченная задолженность на 31.10.2018</t>
  </si>
  <si>
    <t>Отчет ТСЖ "Хабаровская 27 А"  по ул. Хабаровская, 27 А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</si>
  <si>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</si>
  <si>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</si>
  <si>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Отчет ТСЖ "Хабаровская 27 А"  по ул. Хабаровская, 27 А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</si>
  <si>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</si>
  <si>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</si>
  <si>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</si>
  <si>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>Просроченная задолженность на 31.11.2018</t>
  </si>
  <si>
    <t>Отчет ТСЖ "Хабаровская 27 А"  по ул. Хабаровская, 27 А                                                             за период 01.01.2019-31.01.2019гг.</t>
  </si>
  <si>
    <t>Задолженность собственников на 01.01.2019</t>
  </si>
  <si>
    <t>Начислено за январь 2019г</t>
  </si>
  <si>
    <t>Просроченная задолженность на 31.01.2019</t>
  </si>
  <si>
    <t>Отчет ТСЖ "Хабаровская 27 А"  по ул. Хабаровская, 27 А                                                             за период 01.02.2019-28.02.2019гг.</t>
  </si>
  <si>
    <t>Задолженность собственников на 01.02.2019</t>
  </si>
  <si>
    <t>Начислено за февраль 2019г</t>
  </si>
  <si>
    <t>Просроченная задолженность на 28.02.2019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</si>
</sst>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Khab27A2016%25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128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129</v>
      </c>
      <c r="B4" s="94"/>
      <c r="C4" s="94"/>
      <c r="D4" s="94"/>
      <c r="E4" s="94"/>
      <c r="F4" s="94"/>
      <c r="G4" s="94"/>
      <c r="H4" s="8">
        <f>'январь 2019'!H26</f>
        <v>460672.82999999996</v>
      </c>
    </row>
    <row r="5" spans="1:9" ht="18" x14ac:dyDescent="0.2">
      <c r="A5" s="61"/>
      <c r="B5" s="62"/>
      <c r="C5" s="62"/>
      <c r="D5" s="62"/>
      <c r="E5" s="62"/>
      <c r="F5" s="62"/>
      <c r="G5" s="62"/>
      <c r="H5" s="6"/>
    </row>
    <row r="6" spans="1:9" ht="26.25" customHeight="1" x14ac:dyDescent="0.2">
      <c r="A6" s="61"/>
      <c r="B6" s="62"/>
      <c r="C6" s="62"/>
      <c r="D6" s="62"/>
      <c r="E6" s="62"/>
      <c r="F6" s="62"/>
      <c r="G6" s="62"/>
      <c r="H6" s="6"/>
    </row>
    <row r="7" spans="1:9" ht="15" customHeight="1" x14ac:dyDescent="0.2">
      <c r="A7" s="72" t="s">
        <v>130</v>
      </c>
      <c r="B7" s="73"/>
      <c r="C7" s="73"/>
      <c r="D7" s="73"/>
      <c r="E7" s="73"/>
      <c r="F7" s="73"/>
      <c r="G7" s="73"/>
      <c r="H7" s="2">
        <v>520964.92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SUM(F9:H22)</f>
        <v>505288.06999999995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0.28+1232.49+782.95+10457.03+158124.98</f>
        <v>170597.73</v>
      </c>
      <c r="G9" s="68"/>
      <c r="H9" s="69"/>
      <c r="I9" s="7"/>
    </row>
    <row r="10" spans="1:9" ht="15" customHeight="1" x14ac:dyDescent="0.2">
      <c r="A10" s="85" t="s">
        <v>112</v>
      </c>
      <c r="B10" s="86"/>
      <c r="C10" s="86"/>
      <c r="D10" s="86"/>
      <c r="E10" s="87"/>
      <c r="F10" s="82">
        <f>950</f>
        <v>950</v>
      </c>
      <c r="G10" s="83"/>
      <c r="H10" s="84"/>
      <c r="I10" s="7"/>
    </row>
    <row r="11" spans="1:9" ht="15" customHeight="1" x14ac:dyDescent="0.2">
      <c r="A11" s="88" t="s">
        <v>2</v>
      </c>
      <c r="B11" s="89"/>
      <c r="C11" s="89"/>
      <c r="D11" s="89"/>
      <c r="E11" s="90"/>
      <c r="F11" s="67">
        <f>4.89</f>
        <v>4.8899999999999997</v>
      </c>
      <c r="G11" s="68"/>
      <c r="H11" s="69"/>
    </row>
    <row r="12" spans="1:9" ht="15" customHeight="1" x14ac:dyDescent="0.2">
      <c r="A12" s="80" t="s">
        <v>113</v>
      </c>
      <c r="B12" s="80"/>
      <c r="C12" s="80"/>
      <c r="D12" s="80"/>
      <c r="E12" s="81"/>
      <c r="F12" s="82">
        <f>34886.64</f>
        <v>34886.639999999999</v>
      </c>
      <c r="G12" s="83"/>
      <c r="H12" s="84"/>
    </row>
    <row r="13" spans="1:9" ht="15" customHeight="1" x14ac:dyDescent="0.2">
      <c r="A13" s="65" t="s">
        <v>3</v>
      </c>
      <c r="B13" s="66"/>
      <c r="C13" s="66"/>
      <c r="D13" s="66"/>
      <c r="E13" s="66"/>
      <c r="F13" s="67">
        <f>21355.77</f>
        <v>21355.77</v>
      </c>
      <c r="G13" s="68"/>
      <c r="H13" s="69"/>
    </row>
    <row r="14" spans="1:9" ht="15" customHeight="1" x14ac:dyDescent="0.2">
      <c r="A14" s="79" t="s">
        <v>114</v>
      </c>
      <c r="B14" s="80"/>
      <c r="C14" s="80"/>
      <c r="D14" s="80"/>
      <c r="E14" s="81"/>
      <c r="F14" s="82">
        <f>14810.27</f>
        <v>14810.27</v>
      </c>
      <c r="G14" s="83"/>
      <c r="H14" s="84"/>
    </row>
    <row r="15" spans="1:9" ht="15" customHeight="1" x14ac:dyDescent="0.2">
      <c r="A15" s="65" t="s">
        <v>4</v>
      </c>
      <c r="B15" s="66"/>
      <c r="C15" s="66"/>
      <c r="D15" s="66"/>
      <c r="E15" s="66"/>
      <c r="F15" s="67">
        <v>25416.25</v>
      </c>
      <c r="G15" s="68"/>
      <c r="H15" s="69"/>
    </row>
    <row r="16" spans="1:9" ht="15" customHeight="1" x14ac:dyDescent="0.2">
      <c r="A16" s="65" t="s">
        <v>5</v>
      </c>
      <c r="B16" s="66"/>
      <c r="C16" s="66"/>
      <c r="D16" s="66"/>
      <c r="E16" s="66"/>
      <c r="F16" s="67">
        <f>58145.24</f>
        <v>58145.24</v>
      </c>
      <c r="G16" s="68"/>
      <c r="H16" s="69"/>
    </row>
    <row r="17" spans="1:9" ht="15" customHeight="1" x14ac:dyDescent="0.2">
      <c r="A17" s="65" t="s">
        <v>6</v>
      </c>
      <c r="B17" s="66"/>
      <c r="C17" s="66"/>
      <c r="D17" s="66"/>
      <c r="E17" s="66"/>
      <c r="F17" s="67">
        <f>3432.37</f>
        <v>3432.37</v>
      </c>
      <c r="G17" s="68"/>
      <c r="H17" s="69"/>
    </row>
    <row r="18" spans="1:9" ht="15" customHeight="1" x14ac:dyDescent="0.2">
      <c r="A18" s="65" t="s">
        <v>7</v>
      </c>
      <c r="B18" s="66"/>
      <c r="C18" s="66"/>
      <c r="D18" s="66"/>
      <c r="E18" s="66"/>
      <c r="F18" s="67"/>
      <c r="G18" s="68"/>
      <c r="H18" s="69"/>
    </row>
    <row r="19" spans="1:9" ht="15" customHeight="1" x14ac:dyDescent="0.2">
      <c r="A19" s="65" t="s">
        <v>9</v>
      </c>
      <c r="B19" s="66"/>
      <c r="C19" s="66"/>
      <c r="D19" s="66"/>
      <c r="E19" s="66"/>
      <c r="F19" s="67">
        <v>4709.0200000000004</v>
      </c>
      <c r="G19" s="68"/>
      <c r="H19" s="69"/>
    </row>
    <row r="20" spans="1:9" ht="15" customHeight="1" x14ac:dyDescent="0.2">
      <c r="A20" s="65" t="s">
        <v>10</v>
      </c>
      <c r="B20" s="77"/>
      <c r="C20" s="77"/>
      <c r="D20" s="77"/>
      <c r="E20" s="78"/>
      <c r="F20" s="67">
        <f>26878.43</f>
        <v>26878.43</v>
      </c>
      <c r="G20" s="68"/>
      <c r="H20" s="69"/>
    </row>
    <row r="21" spans="1:9" ht="15" customHeight="1" x14ac:dyDescent="0.2">
      <c r="A21" s="65" t="s">
        <v>11</v>
      </c>
      <c r="B21" s="77"/>
      <c r="C21" s="77"/>
      <c r="D21" s="77"/>
      <c r="E21" s="78"/>
      <c r="F21" s="67"/>
      <c r="G21" s="68"/>
      <c r="H21" s="69"/>
    </row>
    <row r="22" spans="1:9" ht="15" customHeight="1" x14ac:dyDescent="0.2">
      <c r="A22" s="65" t="s">
        <v>8</v>
      </c>
      <c r="B22" s="66"/>
      <c r="C22" s="66"/>
      <c r="D22" s="66"/>
      <c r="E22" s="66"/>
      <c r="F22" s="67">
        <f>144101.46</f>
        <v>144101.46</v>
      </c>
      <c r="G22" s="68"/>
      <c r="H22" s="69"/>
      <c r="I22" s="7"/>
    </row>
    <row r="23" spans="1:9" ht="15" customHeight="1" x14ac:dyDescent="0.2">
      <c r="A23" s="70"/>
      <c r="B23" s="71"/>
      <c r="C23" s="71"/>
      <c r="D23" s="71"/>
      <c r="E23" s="71"/>
      <c r="F23" s="71"/>
      <c r="G23" s="71"/>
      <c r="H23" s="2"/>
      <c r="I23" s="7"/>
    </row>
    <row r="24" spans="1:9" ht="15" customHeight="1" x14ac:dyDescent="0.25">
      <c r="A24" s="61"/>
      <c r="B24" s="62"/>
      <c r="C24" s="62"/>
      <c r="D24" s="62"/>
      <c r="E24" s="62"/>
      <c r="F24" s="3"/>
      <c r="G24" s="3"/>
      <c r="H24" s="2"/>
    </row>
    <row r="25" spans="1:9" ht="15" customHeight="1" x14ac:dyDescent="0.2">
      <c r="A25" s="72"/>
      <c r="B25" s="73"/>
      <c r="C25" s="73"/>
      <c r="D25" s="73"/>
      <c r="E25" s="73"/>
      <c r="F25" s="73"/>
      <c r="G25" s="73"/>
      <c r="H25" s="2"/>
    </row>
    <row r="26" spans="1:9" ht="15" customHeight="1" x14ac:dyDescent="0.2">
      <c r="A26" s="74" t="s">
        <v>131</v>
      </c>
      <c r="B26" s="75"/>
      <c r="C26" s="75"/>
      <c r="D26" s="75"/>
      <c r="E26" s="75"/>
      <c r="F26" s="75"/>
      <c r="G26" s="75"/>
      <c r="H26" s="4">
        <f>1016470.94-H7</f>
        <v>495506.01999999996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6" t="s">
        <v>22</v>
      </c>
      <c r="B28" s="76"/>
      <c r="C28" s="76"/>
      <c r="D28" s="76"/>
      <c r="E28" s="76"/>
      <c r="F28" s="76"/>
      <c r="G28" s="76"/>
      <c r="H28" s="76"/>
    </row>
    <row r="29" spans="1:9" ht="45.75" customHeight="1" x14ac:dyDescent="0.2">
      <c r="A29" s="76"/>
      <c r="B29" s="76"/>
      <c r="C29" s="76"/>
      <c r="D29" s="76"/>
      <c r="E29" s="76"/>
      <c r="F29" s="76"/>
      <c r="G29" s="76"/>
      <c r="H29" s="76"/>
    </row>
    <row r="30" spans="1:9" ht="21" customHeight="1" x14ac:dyDescent="0.2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">
      <c r="A31" s="64" t="s">
        <v>99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7" sqref="K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87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88</v>
      </c>
      <c r="B4" s="94"/>
      <c r="C4" s="94"/>
      <c r="D4" s="94"/>
      <c r="E4" s="94"/>
      <c r="F4" s="94"/>
      <c r="G4" s="94"/>
      <c r="H4" s="8">
        <f>'апрель 2018'!H23</f>
        <v>634552.43000000005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2">
      <c r="A7" s="72" t="s">
        <v>89</v>
      </c>
      <c r="B7" s="73"/>
      <c r="C7" s="73"/>
      <c r="D7" s="73"/>
      <c r="E7" s="73"/>
      <c r="F7" s="73"/>
      <c r="G7" s="73"/>
      <c r="H7" s="2">
        <v>372159.47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555532.55000000005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183945.77+233.08+1222.69+903.24+11235.6+0.44</f>
        <v>197540.81999999998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3327.89</f>
        <v>3327.89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23691+13158.24</f>
        <v>36849.24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26744.42</f>
        <v>26744.42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70066.18</f>
        <v>70066.179999999993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3743.33</f>
        <v>3743.33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5295.27</f>
        <v>5295.27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37772.93</f>
        <v>37772.93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146966.54+27225.93</f>
        <v>174192.47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90</v>
      </c>
      <c r="B23" s="75"/>
      <c r="C23" s="75"/>
      <c r="D23" s="75"/>
      <c r="E23" s="75"/>
      <c r="F23" s="75"/>
      <c r="G23" s="75"/>
      <c r="H23" s="4">
        <f>935009.15-H7</f>
        <v>562849.68000000005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83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84</v>
      </c>
      <c r="B4" s="94"/>
      <c r="C4" s="94"/>
      <c r="D4" s="94"/>
      <c r="E4" s="94"/>
      <c r="F4" s="94"/>
      <c r="G4" s="94"/>
      <c r="H4" s="8">
        <f>'март 2018'!H23</f>
        <v>676198.86999999988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2">
      <c r="A7" s="72" t="s">
        <v>85</v>
      </c>
      <c r="B7" s="73"/>
      <c r="C7" s="73"/>
      <c r="D7" s="73"/>
      <c r="E7" s="73"/>
      <c r="F7" s="73"/>
      <c r="G7" s="73"/>
      <c r="H7" s="2">
        <v>534635.6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609190.96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181387.13+4999.56+166.95+1336.65+839.36+11704.8</f>
        <v>200434.44999999998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4845</f>
        <v>4845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22408.36+12077.59</f>
        <v>34485.949999999997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25962.52</f>
        <v>25962.52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64982.58</f>
        <v>64982.58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3696.57</f>
        <v>3696.57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5216.19</f>
        <v>5216.1899999999996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31493.37</f>
        <v>31493.37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25249.79+212824.54</f>
        <v>238074.33000000002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86</v>
      </c>
      <c r="B23" s="75"/>
      <c r="C23" s="75"/>
      <c r="D23" s="75"/>
      <c r="E23" s="75"/>
      <c r="F23" s="75"/>
      <c r="G23" s="75"/>
      <c r="H23" s="4">
        <f>1169188.03-H7</f>
        <v>634552.43000000005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79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80</v>
      </c>
      <c r="B4" s="94"/>
      <c r="C4" s="94"/>
      <c r="D4" s="94"/>
      <c r="E4" s="94"/>
      <c r="F4" s="94"/>
      <c r="G4" s="94"/>
      <c r="H4" s="8">
        <f>'февраль 2018'!H23</f>
        <v>671186.25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2">
      <c r="A7" s="72" t="s">
        <v>81</v>
      </c>
      <c r="B7" s="73"/>
      <c r="C7" s="73"/>
      <c r="D7" s="73"/>
      <c r="E7" s="73"/>
      <c r="F7" s="73"/>
      <c r="G7" s="73"/>
      <c r="H7" s="2">
        <v>567544.52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568717.87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160621.47+53.06+1185.62+790.69+10333.79</f>
        <v>172984.63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1202.55</f>
        <v>1202.55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22456.66+13509.28</f>
        <v>35965.94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26708.24</f>
        <v>26708.240000000002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58424.43</f>
        <v>58424.43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3361.08</f>
        <v>3361.08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>
        <f>56.84</f>
        <v>56.84</v>
      </c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4692.75</f>
        <v>4692.75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36751.45</f>
        <v>36751.449999999997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29974.74+198595.22</f>
        <v>228569.96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82</v>
      </c>
      <c r="B23" s="75"/>
      <c r="C23" s="75"/>
      <c r="D23" s="75"/>
      <c r="E23" s="75"/>
      <c r="F23" s="75"/>
      <c r="G23" s="75"/>
      <c r="H23" s="4">
        <f>1243743.39-H7</f>
        <v>676198.86999999988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6" sqref="L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75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76</v>
      </c>
      <c r="B4" s="94"/>
      <c r="C4" s="94"/>
      <c r="D4" s="94"/>
      <c r="E4" s="94"/>
      <c r="F4" s="94"/>
      <c r="G4" s="94"/>
      <c r="H4" s="8">
        <f>'январь 2018'!H23</f>
        <v>611254.18000000005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2">
      <c r="A7" s="72" t="s">
        <v>77</v>
      </c>
      <c r="B7" s="73"/>
      <c r="C7" s="73"/>
      <c r="D7" s="73"/>
      <c r="E7" s="73"/>
      <c r="F7" s="73"/>
      <c r="G7" s="73"/>
      <c r="H7" s="2">
        <v>573730.49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534282.77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150253.44+158.07+1097.51+702.07+9909.62</f>
        <v>162120.71000000002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2111.4</f>
        <v>2111.4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20484.35+12619.83</f>
        <v>33104.18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24986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61703.85</f>
        <v>61703.85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3144.24</f>
        <v>3144.24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4507.8500000000004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26524</f>
        <v>26524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27944.77+188135.77</f>
        <v>216080.53999999998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78</v>
      </c>
      <c r="B23" s="75"/>
      <c r="C23" s="75"/>
      <c r="D23" s="75"/>
      <c r="E23" s="75"/>
      <c r="F23" s="75"/>
      <c r="G23" s="75"/>
      <c r="H23" s="4">
        <f>1244916.74-H7</f>
        <v>671186.25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2" sqref="F12:H1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71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72</v>
      </c>
      <c r="B4" s="94"/>
      <c r="C4" s="94"/>
      <c r="D4" s="94"/>
      <c r="E4" s="94"/>
      <c r="F4" s="94"/>
      <c r="G4" s="94"/>
      <c r="H4" s="8">
        <f>'декабрь 2017'!H23</f>
        <v>512604.25000000012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2">
      <c r="A7" s="72" t="s">
        <v>73</v>
      </c>
      <c r="B7" s="73"/>
      <c r="C7" s="73"/>
      <c r="D7" s="73"/>
      <c r="E7" s="73"/>
      <c r="F7" s="73"/>
      <c r="G7" s="73"/>
      <c r="H7" s="2">
        <v>595546.57999999996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494961.68000000005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146690.38+181.57+1103.92+692.45+9751.89</f>
        <v>158420.21000000002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2536.73</f>
        <v>2536.73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9945.84+17197.58</f>
        <v>27143.420000000002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20554.89</f>
        <v>20554.89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51004.53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3186.14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4533.76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26235.01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22023.86+179323.13</f>
        <v>201346.99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74</v>
      </c>
      <c r="B23" s="75"/>
      <c r="C23" s="75"/>
      <c r="D23" s="75"/>
      <c r="E23" s="75"/>
      <c r="F23" s="75"/>
      <c r="G23" s="75"/>
      <c r="H23" s="4">
        <f>1206800.76-H7</f>
        <v>611254.18000000005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70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67</v>
      </c>
      <c r="B4" s="94"/>
      <c r="C4" s="94"/>
      <c r="D4" s="94"/>
      <c r="E4" s="94"/>
      <c r="F4" s="94"/>
      <c r="G4" s="94"/>
      <c r="H4" s="8">
        <f>'ноябрь 2017'!H23</f>
        <v>565057.74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2">
      <c r="A7" s="72" t="s">
        <v>68</v>
      </c>
      <c r="B7" s="73"/>
      <c r="C7" s="73"/>
      <c r="D7" s="73"/>
      <c r="E7" s="73"/>
      <c r="F7" s="73"/>
      <c r="G7" s="73"/>
      <c r="H7" s="2">
        <v>593611.61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583662.55000000005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198061.26+759.28+1206.99+1006.83+12946.45</f>
        <v>213980.81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9353.61</f>
        <v>9353.61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10154.26+24952.28</f>
        <v>35106.54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27733.89</f>
        <v>27733.89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68022.13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4418.59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6389.63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37997.93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23598.62+157060.8</f>
        <v>180659.41999999998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69</v>
      </c>
      <c r="B23" s="75"/>
      <c r="C23" s="75"/>
      <c r="D23" s="75"/>
      <c r="E23" s="75"/>
      <c r="F23" s="75"/>
      <c r="G23" s="75"/>
      <c r="H23" s="4">
        <f>1106215.86-H7</f>
        <v>512604.25000000012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63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64</v>
      </c>
      <c r="B4" s="94"/>
      <c r="C4" s="94"/>
      <c r="D4" s="94"/>
      <c r="E4" s="94"/>
      <c r="F4" s="94"/>
      <c r="G4" s="94"/>
      <c r="H4" s="8">
        <f>окт.2017!H23</f>
        <v>555404.11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2">
      <c r="A7" s="72" t="s">
        <v>65</v>
      </c>
      <c r="B7" s="73"/>
      <c r="C7" s="73"/>
      <c r="D7" s="73"/>
      <c r="E7" s="73"/>
      <c r="F7" s="73"/>
      <c r="G7" s="73"/>
      <c r="H7" s="2">
        <v>531959.06000000006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457760.51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157232.42+660.6+1021.52+4600+9799.57+760.19</f>
        <v>174074.30000000002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9547.12</f>
        <v>9547.1200000000008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19196.06+8423.39</f>
        <v>27619.45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22101.37</f>
        <v>22101.37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63687.21</f>
        <v>63687.21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3479.75</f>
        <v>3479.75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5046.62</f>
        <v>5046.62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42221.87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18365.93+91616.89</f>
        <v>109982.82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66</v>
      </c>
      <c r="B23" s="75"/>
      <c r="C23" s="75"/>
      <c r="D23" s="75"/>
      <c r="E23" s="75"/>
      <c r="F23" s="75"/>
      <c r="G23" s="75"/>
      <c r="H23" s="4">
        <f>1097016.8-H7</f>
        <v>565057.74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59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60</v>
      </c>
      <c r="B4" s="94"/>
      <c r="C4" s="94"/>
      <c r="D4" s="94"/>
      <c r="E4" s="94"/>
      <c r="F4" s="94"/>
      <c r="G4" s="94"/>
      <c r="H4" s="8">
        <f>'сент. 2017'!H23</f>
        <v>560343.66999999993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2">
      <c r="A7" s="72" t="s">
        <v>61</v>
      </c>
      <c r="B7" s="73"/>
      <c r="C7" s="73"/>
      <c r="D7" s="73"/>
      <c r="E7" s="73"/>
      <c r="F7" s="73"/>
      <c r="G7" s="73"/>
      <c r="H7" s="2">
        <v>467414.14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353146.19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162421.19+2351.16+820.42+836.5+10512.93</f>
        <v>176942.2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29102.32</f>
        <v>29102.32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22825.89+877.29</f>
        <v>23703.18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22684.52</f>
        <v>22684.52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61243.67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3307.63</f>
        <v>3307.63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4792.62</f>
        <v>4792.62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22262.07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7114.91+1993.07</f>
        <v>9107.98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62</v>
      </c>
      <c r="B23" s="75"/>
      <c r="C23" s="75"/>
      <c r="D23" s="75"/>
      <c r="E23" s="75"/>
      <c r="F23" s="75"/>
      <c r="G23" s="75"/>
      <c r="H23" s="4">
        <f>1022818.25-H7</f>
        <v>555404.11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55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56</v>
      </c>
      <c r="B4" s="94"/>
      <c r="C4" s="94"/>
      <c r="D4" s="94"/>
      <c r="E4" s="94"/>
      <c r="F4" s="94"/>
      <c r="G4" s="94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2">
      <c r="A7" s="72" t="s">
        <v>57</v>
      </c>
      <c r="B7" s="73"/>
      <c r="C7" s="73"/>
      <c r="D7" s="73"/>
      <c r="E7" s="73"/>
      <c r="F7" s="73"/>
      <c r="G7" s="73"/>
      <c r="H7" s="2">
        <v>319416.03000000003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276217.5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1930.62+657.87+8481.56+129255.99</f>
        <v>140326.04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26795.03</f>
        <v>26795.03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16060.96+161.25</f>
        <v>16222.21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17751.95</f>
        <v>17751.95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43337.49</f>
        <v>43337.49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2780.28</f>
        <v>2780.28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3885.41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23246.98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1505.75+366.36</f>
        <v>1872.1100000000001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58</v>
      </c>
      <c r="B23" s="75"/>
      <c r="C23" s="75"/>
      <c r="D23" s="75"/>
      <c r="E23" s="75"/>
      <c r="F23" s="75"/>
      <c r="G23" s="75"/>
      <c r="H23" s="4">
        <f>879759.7-H7</f>
        <v>560343.66999999993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4"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51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52</v>
      </c>
      <c r="B4" s="94"/>
      <c r="C4" s="94"/>
      <c r="D4" s="94"/>
      <c r="E4" s="94"/>
      <c r="F4" s="94"/>
      <c r="G4" s="94"/>
      <c r="H4" s="8">
        <f>'июль 2017'!H23</f>
        <v>414454.41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2">
      <c r="A7" s="72" t="s">
        <v>54</v>
      </c>
      <c r="B7" s="73"/>
      <c r="C7" s="73"/>
      <c r="D7" s="73"/>
      <c r="E7" s="73"/>
      <c r="F7" s="73"/>
      <c r="G7" s="73"/>
      <c r="H7" s="2">
        <v>358826.78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296865.94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133227.33+1871.92+715+8313.41</f>
        <v>144127.66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27820.1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478.11+14947.83</f>
        <v>15425.94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17808.23</f>
        <v>17808.23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48599.9</f>
        <v>48599.9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2828.82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4098.21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27226.23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7844.67+1086.18</f>
        <v>8930.85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53</v>
      </c>
      <c r="B23" s="75"/>
      <c r="C23" s="75"/>
      <c r="D23" s="75"/>
      <c r="E23" s="75"/>
      <c r="F23" s="75"/>
      <c r="G23" s="75"/>
      <c r="H23" s="4">
        <f>836561.17-H7</f>
        <v>477734.39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41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>
      <selection activeCell="H4" sqref="H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124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125</v>
      </c>
      <c r="B4" s="94"/>
      <c r="C4" s="94"/>
      <c r="D4" s="94"/>
      <c r="E4" s="94"/>
      <c r="F4" s="94"/>
      <c r="G4" s="94"/>
      <c r="H4" s="8">
        <f>'декабрь 2018г.'!H26</f>
        <v>439030.30000000005</v>
      </c>
    </row>
    <row r="5" spans="1:9" ht="18" x14ac:dyDescent="0.2">
      <c r="A5" s="59"/>
      <c r="B5" s="60"/>
      <c r="C5" s="60"/>
      <c r="D5" s="60"/>
      <c r="E5" s="60"/>
      <c r="F5" s="60"/>
      <c r="G5" s="60"/>
      <c r="H5" s="6"/>
    </row>
    <row r="6" spans="1:9" ht="26.25" customHeight="1" x14ac:dyDescent="0.2">
      <c r="A6" s="59"/>
      <c r="B6" s="60"/>
      <c r="C6" s="60"/>
      <c r="D6" s="60"/>
      <c r="E6" s="60"/>
      <c r="F6" s="60"/>
      <c r="G6" s="60"/>
      <c r="H6" s="6"/>
    </row>
    <row r="7" spans="1:9" ht="15" customHeight="1" x14ac:dyDescent="0.2">
      <c r="A7" s="72" t="s">
        <v>126</v>
      </c>
      <c r="B7" s="73"/>
      <c r="C7" s="73"/>
      <c r="D7" s="73"/>
      <c r="E7" s="73"/>
      <c r="F7" s="73"/>
      <c r="G7" s="73"/>
      <c r="H7" s="2">
        <v>540475.74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SUM(F9:H22)</f>
        <v>512381.33000000007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164929.62+31+1261.82+784.29+10834.58</f>
        <v>177841.31</v>
      </c>
      <c r="G9" s="68"/>
      <c r="H9" s="69"/>
      <c r="I9" s="7"/>
    </row>
    <row r="10" spans="1:9" ht="15" customHeight="1" x14ac:dyDescent="0.2">
      <c r="A10" s="85" t="s">
        <v>112</v>
      </c>
      <c r="B10" s="86"/>
      <c r="C10" s="86"/>
      <c r="D10" s="86"/>
      <c r="E10" s="87"/>
      <c r="F10" s="82">
        <v>200</v>
      </c>
      <c r="G10" s="83"/>
      <c r="H10" s="84"/>
      <c r="I10" s="7"/>
    </row>
    <row r="11" spans="1:9" ht="15" customHeight="1" x14ac:dyDescent="0.2">
      <c r="A11" s="88" t="s">
        <v>2</v>
      </c>
      <c r="B11" s="89"/>
      <c r="C11" s="89"/>
      <c r="D11" s="89"/>
      <c r="E11" s="90"/>
      <c r="F11" s="67">
        <v>187.89</v>
      </c>
      <c r="G11" s="68"/>
      <c r="H11" s="69"/>
    </row>
    <row r="12" spans="1:9" ht="15" customHeight="1" x14ac:dyDescent="0.2">
      <c r="A12" s="80" t="s">
        <v>113</v>
      </c>
      <c r="B12" s="80"/>
      <c r="C12" s="80"/>
      <c r="D12" s="80"/>
      <c r="E12" s="81"/>
      <c r="F12" s="82">
        <f>31274.92</f>
        <v>31274.92</v>
      </c>
      <c r="G12" s="83"/>
      <c r="H12" s="84"/>
    </row>
    <row r="13" spans="1:9" ht="15" customHeight="1" x14ac:dyDescent="0.2">
      <c r="A13" s="65" t="s">
        <v>3</v>
      </c>
      <c r="B13" s="66"/>
      <c r="C13" s="66"/>
      <c r="D13" s="66"/>
      <c r="E13" s="66"/>
      <c r="F13" s="67">
        <f>19361.57</f>
        <v>19361.57</v>
      </c>
      <c r="G13" s="68"/>
      <c r="H13" s="69"/>
    </row>
    <row r="14" spans="1:9" ht="15" customHeight="1" x14ac:dyDescent="0.2">
      <c r="A14" s="79" t="s">
        <v>114</v>
      </c>
      <c r="B14" s="80"/>
      <c r="C14" s="80"/>
      <c r="D14" s="80"/>
      <c r="E14" s="81"/>
      <c r="F14" s="82">
        <f>13933.32</f>
        <v>13933.32</v>
      </c>
      <c r="G14" s="83"/>
      <c r="H14" s="84"/>
    </row>
    <row r="15" spans="1:9" ht="15" customHeight="1" x14ac:dyDescent="0.2">
      <c r="A15" s="65" t="s">
        <v>4</v>
      </c>
      <c r="B15" s="66"/>
      <c r="C15" s="66"/>
      <c r="D15" s="66"/>
      <c r="E15" s="66"/>
      <c r="F15" s="67">
        <f>24655.39</f>
        <v>24655.39</v>
      </c>
      <c r="G15" s="68"/>
      <c r="H15" s="69"/>
    </row>
    <row r="16" spans="1:9" ht="15" customHeight="1" x14ac:dyDescent="0.2">
      <c r="A16" s="65" t="s">
        <v>5</v>
      </c>
      <c r="B16" s="66"/>
      <c r="C16" s="66"/>
      <c r="D16" s="66"/>
      <c r="E16" s="66"/>
      <c r="F16" s="67">
        <f>67741.27</f>
        <v>67741.27</v>
      </c>
      <c r="G16" s="68"/>
      <c r="H16" s="69"/>
    </row>
    <row r="17" spans="1:9" ht="15" customHeight="1" x14ac:dyDescent="0.2">
      <c r="A17" s="65" t="s">
        <v>6</v>
      </c>
      <c r="B17" s="66"/>
      <c r="C17" s="66"/>
      <c r="D17" s="66"/>
      <c r="E17" s="66"/>
      <c r="F17" s="67">
        <f>3254.7</f>
        <v>3254.7</v>
      </c>
      <c r="G17" s="68"/>
      <c r="H17" s="69"/>
    </row>
    <row r="18" spans="1:9" ht="15" customHeight="1" x14ac:dyDescent="0.2">
      <c r="A18" s="65" t="s">
        <v>7</v>
      </c>
      <c r="B18" s="66"/>
      <c r="C18" s="66"/>
      <c r="D18" s="66"/>
      <c r="E18" s="66"/>
      <c r="F18" s="67">
        <v>46.59</v>
      </c>
      <c r="G18" s="68"/>
      <c r="H18" s="69"/>
    </row>
    <row r="19" spans="1:9" ht="15" customHeight="1" x14ac:dyDescent="0.2">
      <c r="A19" s="65" t="s">
        <v>9</v>
      </c>
      <c r="B19" s="66"/>
      <c r="C19" s="66"/>
      <c r="D19" s="66"/>
      <c r="E19" s="66"/>
      <c r="F19" s="67">
        <f>4516.56</f>
        <v>4516.5600000000004</v>
      </c>
      <c r="G19" s="68"/>
      <c r="H19" s="69"/>
    </row>
    <row r="20" spans="1:9" ht="15" customHeight="1" x14ac:dyDescent="0.2">
      <c r="A20" s="65" t="s">
        <v>10</v>
      </c>
      <c r="B20" s="77"/>
      <c r="C20" s="77"/>
      <c r="D20" s="77"/>
      <c r="E20" s="78"/>
      <c r="F20" s="67">
        <v>28422.36</v>
      </c>
      <c r="G20" s="68"/>
      <c r="H20" s="69"/>
    </row>
    <row r="21" spans="1:9" ht="15" customHeight="1" x14ac:dyDescent="0.2">
      <c r="A21" s="65" t="s">
        <v>11</v>
      </c>
      <c r="B21" s="77"/>
      <c r="C21" s="77"/>
      <c r="D21" s="77"/>
      <c r="E21" s="78"/>
      <c r="F21" s="67"/>
      <c r="G21" s="68"/>
      <c r="H21" s="69"/>
    </row>
    <row r="22" spans="1:9" ht="15" customHeight="1" x14ac:dyDescent="0.2">
      <c r="A22" s="65" t="s">
        <v>8</v>
      </c>
      <c r="B22" s="66"/>
      <c r="C22" s="66"/>
      <c r="D22" s="66"/>
      <c r="E22" s="66"/>
      <c r="F22" s="67">
        <f>140945.45</f>
        <v>140945.45000000001</v>
      </c>
      <c r="G22" s="68"/>
      <c r="H22" s="69"/>
      <c r="I22" s="7"/>
    </row>
    <row r="23" spans="1:9" ht="15" customHeight="1" x14ac:dyDescent="0.2">
      <c r="A23" s="70"/>
      <c r="B23" s="71"/>
      <c r="C23" s="71"/>
      <c r="D23" s="71"/>
      <c r="E23" s="71"/>
      <c r="F23" s="71"/>
      <c r="G23" s="71"/>
      <c r="H23" s="2"/>
      <c r="I23" s="7"/>
    </row>
    <row r="24" spans="1:9" ht="15" customHeight="1" x14ac:dyDescent="0.25">
      <c r="A24" s="59"/>
      <c r="B24" s="60"/>
      <c r="C24" s="60"/>
      <c r="D24" s="60"/>
      <c r="E24" s="60"/>
      <c r="F24" s="3"/>
      <c r="G24" s="3"/>
      <c r="H24" s="2"/>
    </row>
    <row r="25" spans="1:9" ht="15" customHeight="1" x14ac:dyDescent="0.2">
      <c r="A25" s="72"/>
      <c r="B25" s="73"/>
      <c r="C25" s="73"/>
      <c r="D25" s="73"/>
      <c r="E25" s="73"/>
      <c r="F25" s="73"/>
      <c r="G25" s="73"/>
      <c r="H25" s="2"/>
    </row>
    <row r="26" spans="1:9" ht="15" customHeight="1" x14ac:dyDescent="0.2">
      <c r="A26" s="74" t="s">
        <v>127</v>
      </c>
      <c r="B26" s="75"/>
      <c r="C26" s="75"/>
      <c r="D26" s="75"/>
      <c r="E26" s="75"/>
      <c r="F26" s="75"/>
      <c r="G26" s="75"/>
      <c r="H26" s="4">
        <f>1001148.57-H7</f>
        <v>460672.82999999996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6" t="s">
        <v>22</v>
      </c>
      <c r="B28" s="76"/>
      <c r="C28" s="76"/>
      <c r="D28" s="76"/>
      <c r="E28" s="76"/>
      <c r="F28" s="76"/>
      <c r="G28" s="76"/>
      <c r="H28" s="76"/>
    </row>
    <row r="29" spans="1:9" ht="45.75" customHeight="1" x14ac:dyDescent="0.2">
      <c r="A29" s="76"/>
      <c r="B29" s="76"/>
      <c r="C29" s="76"/>
      <c r="D29" s="76"/>
      <c r="E29" s="76"/>
      <c r="F29" s="76"/>
      <c r="G29" s="76"/>
      <c r="H29" s="76"/>
    </row>
    <row r="30" spans="1:9" ht="21" customHeight="1" x14ac:dyDescent="0.2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">
      <c r="A31" s="64" t="s">
        <v>99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47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48</v>
      </c>
      <c r="B4" s="94"/>
      <c r="C4" s="94"/>
      <c r="D4" s="94"/>
      <c r="E4" s="94"/>
      <c r="F4" s="94"/>
      <c r="G4" s="94"/>
      <c r="H4" s="8">
        <f>'июнь 2017'!H23</f>
        <v>506706.05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2">
      <c r="A7" s="72" t="s">
        <v>49</v>
      </c>
      <c r="B7" s="73"/>
      <c r="C7" s="73"/>
      <c r="D7" s="73"/>
      <c r="E7" s="73"/>
      <c r="F7" s="73"/>
      <c r="G7" s="73"/>
      <c r="H7" s="2">
        <v>360145.91999999998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427929.85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167096.32</f>
        <v>167096.32000000001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1896.59+30759.21</f>
        <v>32655.8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2478.76+18801.52+1075.74</f>
        <v>22356.02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23864.96</f>
        <v>23864.959999999999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51088.97+9183.89</f>
        <v>60272.86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3381.61</f>
        <v>3381.61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4874.07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80338.47</f>
        <v>80338.47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5628.76+27460.98</f>
        <v>33089.74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50</v>
      </c>
      <c r="B23" s="75"/>
      <c r="C23" s="75"/>
      <c r="D23" s="75"/>
      <c r="E23" s="75"/>
      <c r="F23" s="75"/>
      <c r="G23" s="75"/>
      <c r="H23" s="4">
        <f>774600.33-H7</f>
        <v>414454.41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46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30" sqref="L3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42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43</v>
      </c>
      <c r="B4" s="94"/>
      <c r="C4" s="94"/>
      <c r="D4" s="94"/>
      <c r="E4" s="94"/>
      <c r="F4" s="94"/>
      <c r="G4" s="94"/>
      <c r="H4" s="8">
        <f>'май 2017 '!H23</f>
        <v>538567.81000000006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2">
      <c r="A7" s="72" t="s">
        <v>44</v>
      </c>
      <c r="B7" s="73"/>
      <c r="C7" s="73"/>
      <c r="D7" s="73"/>
      <c r="E7" s="73"/>
      <c r="F7" s="73"/>
      <c r="G7" s="73"/>
      <c r="H7" s="2">
        <v>336365.06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380580.7699999999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145758</f>
        <v>145758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1581.73+7733.99+19152.3</f>
        <v>28468.019999999997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17254.44+3423.59+1469.81</f>
        <v>22147.84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20648.28</f>
        <v>20648.28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54178.56+7979.09</f>
        <v>62157.649999999994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3002.91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4337.24</f>
        <v>4337.24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61563.61</f>
        <v>61563.61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32497.22</f>
        <v>32497.22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45</v>
      </c>
      <c r="B23" s="75"/>
      <c r="C23" s="75"/>
      <c r="D23" s="75"/>
      <c r="E23" s="75"/>
      <c r="F23" s="75"/>
      <c r="G23" s="75"/>
      <c r="H23" s="4">
        <f>843071.11-H7</f>
        <v>506706.05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46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37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38</v>
      </c>
      <c r="B4" s="94"/>
      <c r="C4" s="94"/>
      <c r="D4" s="94"/>
      <c r="E4" s="94"/>
      <c r="F4" s="94"/>
      <c r="G4" s="94"/>
      <c r="H4" s="8">
        <f>'апрель 2017'!H23</f>
        <v>604314.98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2">
      <c r="A7" s="72" t="s">
        <v>39</v>
      </c>
      <c r="B7" s="73"/>
      <c r="C7" s="73"/>
      <c r="D7" s="73"/>
      <c r="E7" s="73"/>
      <c r="F7" s="73"/>
      <c r="G7" s="73"/>
      <c r="H7" s="2">
        <v>349767.41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498841.73999999993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157408.78</f>
        <v>157408.78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28555.76+144.78</f>
        <v>28700.539999999997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12683.75+17601.9+1606.9</f>
        <v>31892.550000000003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22247.26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5357.14+54600.65</f>
        <v>59957.79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3172.69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4538.54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75255.98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v>115667.61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40</v>
      </c>
      <c r="B23" s="75"/>
      <c r="C23" s="75"/>
      <c r="D23" s="75"/>
      <c r="E23" s="75"/>
      <c r="F23" s="75"/>
      <c r="G23" s="75"/>
      <c r="H23" s="4">
        <f>888335.22-H7</f>
        <v>538567.81000000006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41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0"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32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33</v>
      </c>
      <c r="B4" s="94"/>
      <c r="C4" s="94"/>
      <c r="D4" s="94"/>
      <c r="E4" s="94"/>
      <c r="F4" s="94"/>
      <c r="G4" s="94"/>
      <c r="H4" s="8">
        <f>'март 2017'!H23</f>
        <v>330681.88999999996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2">
      <c r="A7" s="72" t="s">
        <v>34</v>
      </c>
      <c r="B7" s="73"/>
      <c r="C7" s="73"/>
      <c r="D7" s="73"/>
      <c r="E7" s="73"/>
      <c r="F7" s="73"/>
      <c r="G7" s="73"/>
      <c r="H7" s="2">
        <v>436497.19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381137.5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127454.2+1251.47+4266.22</f>
        <v>132971.88999999998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19528.53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8595.99+12557.12</f>
        <v>21153.11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16858.57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46857.01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2770.05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4021.61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20316.52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v>116660.21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35</v>
      </c>
      <c r="B23" s="75"/>
      <c r="C23" s="75"/>
      <c r="D23" s="75"/>
      <c r="E23" s="75"/>
      <c r="F23" s="75"/>
      <c r="G23" s="75"/>
      <c r="H23" s="4">
        <f>1040812.17-H7</f>
        <v>604314.98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36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5" sqref="J2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28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29</v>
      </c>
      <c r="B4" s="94"/>
      <c r="C4" s="94"/>
      <c r="D4" s="94"/>
      <c r="E4" s="94"/>
      <c r="F4" s="94"/>
      <c r="G4" s="94"/>
      <c r="H4" s="8">
        <f>'февраль 2017'!H23</f>
        <v>466533.69299999997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72" t="s">
        <v>30</v>
      </c>
      <c r="B7" s="73"/>
      <c r="C7" s="73"/>
      <c r="D7" s="73"/>
      <c r="E7" s="73"/>
      <c r="F7" s="73"/>
      <c r="G7" s="73"/>
      <c r="H7" s="2">
        <v>482780.84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609965.09999999986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200081.62+5167.01+1515.68</f>
        <v>206764.31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7239.58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25160.61+12896.26</f>
        <v>38056.870000000003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29855.759999999998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75964.42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4175.95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>
        <v>86.3</v>
      </c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5978.79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v>20269.259999999998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192473.05+29100.81</f>
        <v>221573.86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31</v>
      </c>
      <c r="B23" s="75"/>
      <c r="C23" s="75"/>
      <c r="D23" s="75"/>
      <c r="E23" s="75"/>
      <c r="F23" s="75"/>
      <c r="G23" s="75"/>
      <c r="H23" s="4">
        <f>813462.73-H7</f>
        <v>330681.88999999996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4" sqref="J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23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24</v>
      </c>
      <c r="B4" s="94"/>
      <c r="C4" s="94"/>
      <c r="D4" s="94"/>
      <c r="E4" s="94"/>
      <c r="F4" s="94"/>
      <c r="G4" s="94"/>
      <c r="H4" s="8">
        <f>'январь 2017'!H23</f>
        <v>327889.52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72" t="s">
        <v>25</v>
      </c>
      <c r="B7" s="73"/>
      <c r="C7" s="73"/>
      <c r="D7" s="73"/>
      <c r="E7" s="73"/>
      <c r="F7" s="73"/>
      <c r="G7" s="73"/>
      <c r="H7" s="2">
        <v>497158.63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418122.80000000005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129345.36+1084.29+3696.38</f>
        <v>134126.03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1079.54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13351.42+8469.23</f>
        <v>21820.65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17426.169999999998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57271.12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2802.17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>
        <v>148.71</v>
      </c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3993.42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/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160220.32+19234.67</f>
        <v>179454.99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26</v>
      </c>
      <c r="B23" s="75"/>
      <c r="C23" s="75"/>
      <c r="D23" s="75"/>
      <c r="E23" s="75"/>
      <c r="F23" s="75"/>
      <c r="G23" s="75"/>
      <c r="H23" s="4">
        <f>963692.323-H7</f>
        <v>466533.69299999997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27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0" sqref="K2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18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19</v>
      </c>
      <c r="B4" s="94"/>
      <c r="C4" s="94"/>
      <c r="D4" s="94"/>
      <c r="E4" s="94"/>
      <c r="F4" s="94"/>
      <c r="G4" s="94"/>
      <c r="H4" s="8">
        <f>'декабрь 2016'!H23</f>
        <v>259420.51999999996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72" t="s">
        <v>20</v>
      </c>
      <c r="B7" s="73"/>
      <c r="C7" s="73"/>
      <c r="D7" s="73"/>
      <c r="E7" s="73"/>
      <c r="F7" s="73"/>
      <c r="G7" s="73"/>
      <c r="H7" s="2">
        <v>556766.97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448453.18999999994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v>150675.56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1899.22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16873.19+9654.61</f>
        <v>26527.8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20542.509999999998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55078.15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2930.01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>
        <v>452.46</v>
      </c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4184.82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/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164626.75+21535.91</f>
        <v>186162.66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21</v>
      </c>
      <c r="B23" s="75"/>
      <c r="C23" s="75"/>
      <c r="D23" s="75"/>
      <c r="E23" s="75"/>
      <c r="F23" s="75"/>
      <c r="G23" s="75"/>
      <c r="H23" s="4">
        <f>884656.49-H7</f>
        <v>327889.52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17" sqref="L1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13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14</v>
      </c>
      <c r="B4" s="94"/>
      <c r="C4" s="94"/>
      <c r="D4" s="94"/>
      <c r="E4" s="94"/>
      <c r="F4" s="94"/>
      <c r="G4" s="94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72" t="s">
        <v>15</v>
      </c>
      <c r="B7" s="73"/>
      <c r="C7" s="73"/>
      <c r="D7" s="73"/>
      <c r="E7" s="73"/>
      <c r="F7" s="73"/>
      <c r="G7" s="73"/>
      <c r="H7" s="2">
        <v>516922.19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440936.98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v>157178.5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v>5013.46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9114.25+18642.75</f>
        <v>27757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v>22039.53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65649.05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v>3728.33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>
        <v>301.29000000000002</v>
      </c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v>5256.99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/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19870.21+134142.62</f>
        <v>154012.82999999999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16</v>
      </c>
      <c r="B23" s="75"/>
      <c r="C23" s="75"/>
      <c r="D23" s="75"/>
      <c r="E23" s="75"/>
      <c r="F23" s="75"/>
      <c r="G23" s="75"/>
      <c r="H23" s="4">
        <f>776342.71-H7</f>
        <v>259420.51999999996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17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0" workbookViewId="0">
      <selection activeCell="L4" sqref="L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119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120</v>
      </c>
      <c r="B4" s="94"/>
      <c r="C4" s="94"/>
      <c r="D4" s="94"/>
      <c r="E4" s="94"/>
      <c r="F4" s="94"/>
      <c r="G4" s="94"/>
      <c r="H4" s="8">
        <f>'ноябрь 2018'!H26</f>
        <v>444410.71</v>
      </c>
    </row>
    <row r="5" spans="1:9" ht="18" x14ac:dyDescent="0.2">
      <c r="A5" s="57"/>
      <c r="B5" s="58"/>
      <c r="C5" s="58"/>
      <c r="D5" s="58"/>
      <c r="E5" s="58"/>
      <c r="F5" s="58"/>
      <c r="G5" s="58"/>
      <c r="H5" s="6"/>
    </row>
    <row r="6" spans="1:9" ht="26.25" customHeight="1" x14ac:dyDescent="0.2">
      <c r="A6" s="57"/>
      <c r="B6" s="58"/>
      <c r="C6" s="58"/>
      <c r="D6" s="58"/>
      <c r="E6" s="58"/>
      <c r="F6" s="58"/>
      <c r="G6" s="58"/>
      <c r="H6" s="6"/>
    </row>
    <row r="7" spans="1:9" ht="15" customHeight="1" x14ac:dyDescent="0.2">
      <c r="A7" s="72" t="s">
        <v>121</v>
      </c>
      <c r="B7" s="73"/>
      <c r="C7" s="73"/>
      <c r="D7" s="73"/>
      <c r="E7" s="73"/>
      <c r="F7" s="73"/>
      <c r="G7" s="73"/>
      <c r="H7" s="2">
        <v>531675.13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SUM(F9:H22)</f>
        <v>472322.21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164369.25+10.84+52.59+1301.82+805.89+11079.62</f>
        <v>177620.01</v>
      </c>
      <c r="G9" s="68"/>
      <c r="H9" s="69"/>
      <c r="I9" s="7"/>
    </row>
    <row r="10" spans="1:9" ht="15" customHeight="1" x14ac:dyDescent="0.2">
      <c r="A10" s="85" t="s">
        <v>112</v>
      </c>
      <c r="B10" s="86"/>
      <c r="C10" s="86"/>
      <c r="D10" s="86"/>
      <c r="E10" s="87"/>
      <c r="F10" s="82">
        <f>1117.76</f>
        <v>1117.76</v>
      </c>
      <c r="G10" s="83"/>
      <c r="H10" s="84"/>
      <c r="I10" s="7"/>
    </row>
    <row r="11" spans="1:9" ht="15" customHeight="1" x14ac:dyDescent="0.2">
      <c r="A11" s="88" t="s">
        <v>2</v>
      </c>
      <c r="B11" s="89"/>
      <c r="C11" s="89"/>
      <c r="D11" s="89"/>
      <c r="E11" s="90"/>
      <c r="F11" s="67">
        <f>1027.91</f>
        <v>1027.9100000000001</v>
      </c>
      <c r="G11" s="68"/>
      <c r="H11" s="69"/>
    </row>
    <row r="12" spans="1:9" ht="15" customHeight="1" x14ac:dyDescent="0.2">
      <c r="A12" s="80" t="s">
        <v>113</v>
      </c>
      <c r="B12" s="80"/>
      <c r="C12" s="80"/>
      <c r="D12" s="80"/>
      <c r="E12" s="81"/>
      <c r="F12" s="82">
        <f>33338.74</f>
        <v>33338.74</v>
      </c>
      <c r="G12" s="83"/>
      <c r="H12" s="84"/>
    </row>
    <row r="13" spans="1:9" ht="15" customHeight="1" x14ac:dyDescent="0.2">
      <c r="A13" s="65" t="s">
        <v>3</v>
      </c>
      <c r="B13" s="66"/>
      <c r="C13" s="66"/>
      <c r="D13" s="66"/>
      <c r="E13" s="66"/>
      <c r="F13" s="67">
        <f>28125.35</f>
        <v>28125.35</v>
      </c>
      <c r="G13" s="68"/>
      <c r="H13" s="69"/>
    </row>
    <row r="14" spans="1:9" ht="15" customHeight="1" x14ac:dyDescent="0.2">
      <c r="A14" s="79" t="s">
        <v>114</v>
      </c>
      <c r="B14" s="80"/>
      <c r="C14" s="80"/>
      <c r="D14" s="80"/>
      <c r="E14" s="81"/>
      <c r="F14" s="82">
        <v>15045.23</v>
      </c>
      <c r="G14" s="83"/>
      <c r="H14" s="84"/>
    </row>
    <row r="15" spans="1:9" ht="15" customHeight="1" x14ac:dyDescent="0.2">
      <c r="A15" s="65" t="s">
        <v>4</v>
      </c>
      <c r="B15" s="66"/>
      <c r="C15" s="66"/>
      <c r="D15" s="66"/>
      <c r="E15" s="66"/>
      <c r="F15" s="67">
        <v>31807.16</v>
      </c>
      <c r="G15" s="68"/>
      <c r="H15" s="69"/>
    </row>
    <row r="16" spans="1:9" ht="15" customHeight="1" x14ac:dyDescent="0.2">
      <c r="A16" s="65" t="s">
        <v>5</v>
      </c>
      <c r="B16" s="66"/>
      <c r="C16" s="66"/>
      <c r="D16" s="66"/>
      <c r="E16" s="66"/>
      <c r="F16" s="67">
        <v>61571.65</v>
      </c>
      <c r="G16" s="68"/>
      <c r="H16" s="69"/>
    </row>
    <row r="17" spans="1:9" ht="15" customHeight="1" x14ac:dyDescent="0.2">
      <c r="A17" s="65" t="s">
        <v>6</v>
      </c>
      <c r="B17" s="66"/>
      <c r="C17" s="66"/>
      <c r="D17" s="66"/>
      <c r="E17" s="66"/>
      <c r="F17" s="67">
        <f>3396.86</f>
        <v>3396.86</v>
      </c>
      <c r="G17" s="68"/>
      <c r="H17" s="69"/>
    </row>
    <row r="18" spans="1:9" ht="15" customHeight="1" x14ac:dyDescent="0.2">
      <c r="A18" s="65" t="s">
        <v>7</v>
      </c>
      <c r="B18" s="66"/>
      <c r="C18" s="66"/>
      <c r="D18" s="66"/>
      <c r="E18" s="66"/>
      <c r="F18" s="67"/>
      <c r="G18" s="68"/>
      <c r="H18" s="69"/>
    </row>
    <row r="19" spans="1:9" ht="15" customHeight="1" x14ac:dyDescent="0.2">
      <c r="A19" s="65" t="s">
        <v>9</v>
      </c>
      <c r="B19" s="66"/>
      <c r="C19" s="66"/>
      <c r="D19" s="66"/>
      <c r="E19" s="66"/>
      <c r="F19" s="67">
        <f>4735.55</f>
        <v>4735.55</v>
      </c>
      <c r="G19" s="68"/>
      <c r="H19" s="69"/>
    </row>
    <row r="20" spans="1:9" ht="15" customHeight="1" x14ac:dyDescent="0.2">
      <c r="A20" s="65" t="s">
        <v>10</v>
      </c>
      <c r="B20" s="77"/>
      <c r="C20" s="77"/>
      <c r="D20" s="77"/>
      <c r="E20" s="78"/>
      <c r="F20" s="67">
        <v>29549.279999999999</v>
      </c>
      <c r="G20" s="68"/>
      <c r="H20" s="69"/>
    </row>
    <row r="21" spans="1:9" ht="15" customHeight="1" x14ac:dyDescent="0.2">
      <c r="A21" s="65" t="s">
        <v>11</v>
      </c>
      <c r="B21" s="77"/>
      <c r="C21" s="77"/>
      <c r="D21" s="77"/>
      <c r="E21" s="78"/>
      <c r="F21" s="67"/>
      <c r="G21" s="68"/>
      <c r="H21" s="69"/>
    </row>
    <row r="22" spans="1:9" ht="15" customHeight="1" x14ac:dyDescent="0.2">
      <c r="A22" s="65" t="s">
        <v>8</v>
      </c>
      <c r="B22" s="66"/>
      <c r="C22" s="66"/>
      <c r="D22" s="66"/>
      <c r="E22" s="66"/>
      <c r="F22" s="67">
        <f>84986.71</f>
        <v>84986.71</v>
      </c>
      <c r="G22" s="68"/>
      <c r="H22" s="69"/>
      <c r="I22" s="7"/>
    </row>
    <row r="23" spans="1:9" ht="15" customHeight="1" x14ac:dyDescent="0.2">
      <c r="A23" s="70"/>
      <c r="B23" s="71"/>
      <c r="C23" s="71"/>
      <c r="D23" s="71"/>
      <c r="E23" s="71"/>
      <c r="F23" s="71"/>
      <c r="G23" s="71"/>
      <c r="H23" s="2"/>
      <c r="I23" s="7"/>
    </row>
    <row r="24" spans="1:9" ht="15" customHeight="1" x14ac:dyDescent="0.25">
      <c r="A24" s="57"/>
      <c r="B24" s="58"/>
      <c r="C24" s="58"/>
      <c r="D24" s="58"/>
      <c r="E24" s="58"/>
      <c r="F24" s="3"/>
      <c r="G24" s="3"/>
      <c r="H24" s="2"/>
    </row>
    <row r="25" spans="1:9" ht="15" customHeight="1" x14ac:dyDescent="0.2">
      <c r="A25" s="72"/>
      <c r="B25" s="73"/>
      <c r="C25" s="73"/>
      <c r="D25" s="73"/>
      <c r="E25" s="73"/>
      <c r="F25" s="73"/>
      <c r="G25" s="73"/>
      <c r="H25" s="2"/>
    </row>
    <row r="26" spans="1:9" ht="15" customHeight="1" x14ac:dyDescent="0.2">
      <c r="A26" s="74" t="s">
        <v>122</v>
      </c>
      <c r="B26" s="75"/>
      <c r="C26" s="75"/>
      <c r="D26" s="75"/>
      <c r="E26" s="75"/>
      <c r="F26" s="75"/>
      <c r="G26" s="75"/>
      <c r="H26" s="4">
        <f>970705.43-H7</f>
        <v>439030.30000000005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6" t="s">
        <v>22</v>
      </c>
      <c r="B28" s="76"/>
      <c r="C28" s="76"/>
      <c r="D28" s="76"/>
      <c r="E28" s="76"/>
      <c r="F28" s="76"/>
      <c r="G28" s="76"/>
      <c r="H28" s="76"/>
    </row>
    <row r="29" spans="1:9" ht="45.75" customHeight="1" x14ac:dyDescent="0.2">
      <c r="A29" s="76"/>
      <c r="B29" s="76"/>
      <c r="C29" s="76"/>
      <c r="D29" s="76"/>
      <c r="E29" s="76"/>
      <c r="F29" s="76"/>
      <c r="G29" s="76"/>
      <c r="H29" s="76"/>
    </row>
    <row r="30" spans="1:9" ht="21" customHeight="1" x14ac:dyDescent="0.2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">
      <c r="A31" s="64" t="s">
        <v>99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7" workbookViewId="0">
      <selection activeCell="A27" sqref="A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116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117</v>
      </c>
      <c r="B4" s="94"/>
      <c r="C4" s="94"/>
      <c r="D4" s="94"/>
      <c r="E4" s="94"/>
      <c r="F4" s="94"/>
      <c r="G4" s="94"/>
      <c r="H4" s="8">
        <f>'октябрь 2018'!H26</f>
        <v>398892.60000000003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2">
      <c r="A7" s="72" t="s">
        <v>118</v>
      </c>
      <c r="B7" s="73"/>
      <c r="C7" s="73"/>
      <c r="D7" s="73"/>
      <c r="E7" s="73"/>
      <c r="F7" s="73"/>
      <c r="G7" s="73"/>
      <c r="H7" s="2">
        <v>466941.8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SUM(F9:H22)</f>
        <v>349310.06999999995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143368.75+0.27+68.35+661.12+9589.48+1094.26</f>
        <v>154782.23000000001</v>
      </c>
      <c r="G9" s="68"/>
      <c r="H9" s="69"/>
      <c r="I9" s="7"/>
    </row>
    <row r="10" spans="1:9" ht="15" customHeight="1" x14ac:dyDescent="0.2">
      <c r="A10" s="85" t="s">
        <v>112</v>
      </c>
      <c r="B10" s="86"/>
      <c r="C10" s="86"/>
      <c r="D10" s="86"/>
      <c r="E10" s="87"/>
      <c r="F10" s="82">
        <f>132.24</f>
        <v>132.24</v>
      </c>
      <c r="G10" s="83"/>
      <c r="H10" s="84"/>
      <c r="I10" s="7"/>
    </row>
    <row r="11" spans="1:9" ht="15" customHeight="1" x14ac:dyDescent="0.2">
      <c r="A11" s="88" t="s">
        <v>2</v>
      </c>
      <c r="B11" s="89"/>
      <c r="C11" s="89"/>
      <c r="D11" s="89"/>
      <c r="E11" s="90"/>
      <c r="F11" s="67">
        <f>602.51</f>
        <v>602.51</v>
      </c>
      <c r="G11" s="68"/>
      <c r="H11" s="69"/>
    </row>
    <row r="12" spans="1:9" ht="15" customHeight="1" x14ac:dyDescent="0.2">
      <c r="A12" s="80" t="s">
        <v>113</v>
      </c>
      <c r="B12" s="80"/>
      <c r="C12" s="80"/>
      <c r="D12" s="80"/>
      <c r="E12" s="81"/>
      <c r="F12" s="82">
        <f>26235.94</f>
        <v>26235.94</v>
      </c>
      <c r="G12" s="83"/>
      <c r="H12" s="84"/>
    </row>
    <row r="13" spans="1:9" ht="15" customHeight="1" x14ac:dyDescent="0.2">
      <c r="A13" s="65" t="s">
        <v>3</v>
      </c>
      <c r="B13" s="66"/>
      <c r="C13" s="66"/>
      <c r="D13" s="66"/>
      <c r="E13" s="66"/>
      <c r="F13" s="67">
        <v>17555.62</v>
      </c>
      <c r="G13" s="68"/>
      <c r="H13" s="69"/>
    </row>
    <row r="14" spans="1:9" ht="15" customHeight="1" x14ac:dyDescent="0.2">
      <c r="A14" s="79" t="s">
        <v>114</v>
      </c>
      <c r="B14" s="80"/>
      <c r="C14" s="80"/>
      <c r="D14" s="80"/>
      <c r="E14" s="81"/>
      <c r="F14" s="82">
        <f>11070.48</f>
        <v>11070.48</v>
      </c>
      <c r="G14" s="83"/>
      <c r="H14" s="84"/>
    </row>
    <row r="15" spans="1:9" ht="15" customHeight="1" x14ac:dyDescent="0.2">
      <c r="A15" s="65" t="s">
        <v>4</v>
      </c>
      <c r="B15" s="66"/>
      <c r="C15" s="66"/>
      <c r="D15" s="66"/>
      <c r="E15" s="66"/>
      <c r="F15" s="67">
        <f>23177.67</f>
        <v>23177.67</v>
      </c>
      <c r="G15" s="68"/>
      <c r="H15" s="69"/>
    </row>
    <row r="16" spans="1:9" ht="15" customHeight="1" x14ac:dyDescent="0.2">
      <c r="A16" s="65" t="s">
        <v>5</v>
      </c>
      <c r="B16" s="66"/>
      <c r="C16" s="66"/>
      <c r="D16" s="66"/>
      <c r="E16" s="66"/>
      <c r="F16" s="67">
        <v>57269.68</v>
      </c>
      <c r="G16" s="68"/>
      <c r="H16" s="69"/>
    </row>
    <row r="17" spans="1:9" ht="15" customHeight="1" x14ac:dyDescent="0.2">
      <c r="A17" s="65" t="s">
        <v>6</v>
      </c>
      <c r="B17" s="66"/>
      <c r="C17" s="66"/>
      <c r="D17" s="66"/>
      <c r="E17" s="66"/>
      <c r="F17" s="67">
        <f>2895.49</f>
        <v>2895.49</v>
      </c>
      <c r="G17" s="68"/>
      <c r="H17" s="69"/>
    </row>
    <row r="18" spans="1:9" ht="15" customHeight="1" x14ac:dyDescent="0.2">
      <c r="A18" s="65" t="s">
        <v>7</v>
      </c>
      <c r="B18" s="66"/>
      <c r="C18" s="66"/>
      <c r="D18" s="66"/>
      <c r="E18" s="66"/>
      <c r="F18" s="67"/>
      <c r="G18" s="68"/>
      <c r="H18" s="69"/>
    </row>
    <row r="19" spans="1:9" ht="15" customHeight="1" x14ac:dyDescent="0.2">
      <c r="A19" s="65" t="s">
        <v>9</v>
      </c>
      <c r="B19" s="66"/>
      <c r="C19" s="66"/>
      <c r="D19" s="66"/>
      <c r="E19" s="66"/>
      <c r="F19" s="67">
        <f>4199.25</f>
        <v>4199.25</v>
      </c>
      <c r="G19" s="68"/>
      <c r="H19" s="69"/>
    </row>
    <row r="20" spans="1:9" ht="15" customHeight="1" x14ac:dyDescent="0.2">
      <c r="A20" s="65" t="s">
        <v>10</v>
      </c>
      <c r="B20" s="77"/>
      <c r="C20" s="77"/>
      <c r="D20" s="77"/>
      <c r="E20" s="78"/>
      <c r="F20" s="67">
        <f>24969.17</f>
        <v>24969.17</v>
      </c>
      <c r="G20" s="68"/>
      <c r="H20" s="69"/>
    </row>
    <row r="21" spans="1:9" ht="15" customHeight="1" x14ac:dyDescent="0.2">
      <c r="A21" s="65" t="s">
        <v>11</v>
      </c>
      <c r="B21" s="77"/>
      <c r="C21" s="77"/>
      <c r="D21" s="77"/>
      <c r="E21" s="78"/>
      <c r="F21" s="67"/>
      <c r="G21" s="68"/>
      <c r="H21" s="69"/>
    </row>
    <row r="22" spans="1:9" ht="15" customHeight="1" x14ac:dyDescent="0.2">
      <c r="A22" s="65" t="s">
        <v>8</v>
      </c>
      <c r="B22" s="66"/>
      <c r="C22" s="66"/>
      <c r="D22" s="66"/>
      <c r="E22" s="66"/>
      <c r="F22" s="67">
        <f>26419.79</f>
        <v>26419.79</v>
      </c>
      <c r="G22" s="68"/>
      <c r="H22" s="69"/>
      <c r="I22" s="7"/>
    </row>
    <row r="23" spans="1:9" ht="15" customHeight="1" x14ac:dyDescent="0.2">
      <c r="A23" s="70"/>
      <c r="B23" s="71"/>
      <c r="C23" s="71"/>
      <c r="D23" s="71"/>
      <c r="E23" s="71"/>
      <c r="F23" s="71"/>
      <c r="G23" s="71"/>
      <c r="H23" s="2"/>
      <c r="I23" s="7"/>
    </row>
    <row r="24" spans="1:9" ht="15" customHeight="1" x14ac:dyDescent="0.25">
      <c r="A24" s="55"/>
      <c r="B24" s="56"/>
      <c r="C24" s="56"/>
      <c r="D24" s="56"/>
      <c r="E24" s="56"/>
      <c r="F24" s="3"/>
      <c r="G24" s="3"/>
      <c r="H24" s="2"/>
    </row>
    <row r="25" spans="1:9" ht="15" customHeight="1" x14ac:dyDescent="0.2">
      <c r="A25" s="72"/>
      <c r="B25" s="73"/>
      <c r="C25" s="73"/>
      <c r="D25" s="73"/>
      <c r="E25" s="73"/>
      <c r="F25" s="73"/>
      <c r="G25" s="73"/>
      <c r="H25" s="2"/>
    </row>
    <row r="26" spans="1:9" ht="15" customHeight="1" x14ac:dyDescent="0.2">
      <c r="A26" s="74" t="s">
        <v>123</v>
      </c>
      <c r="B26" s="75"/>
      <c r="C26" s="75"/>
      <c r="D26" s="75"/>
      <c r="E26" s="75"/>
      <c r="F26" s="75"/>
      <c r="G26" s="75"/>
      <c r="H26" s="4">
        <f>911352.51-H7</f>
        <v>444410.71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6" t="s">
        <v>22</v>
      </c>
      <c r="B28" s="76"/>
      <c r="C28" s="76"/>
      <c r="D28" s="76"/>
      <c r="E28" s="76"/>
      <c r="F28" s="76"/>
      <c r="G28" s="76"/>
      <c r="H28" s="76"/>
    </row>
    <row r="29" spans="1:9" ht="45.75" customHeight="1" x14ac:dyDescent="0.2">
      <c r="A29" s="76"/>
      <c r="B29" s="76"/>
      <c r="C29" s="76"/>
      <c r="D29" s="76"/>
      <c r="E29" s="76"/>
      <c r="F29" s="76"/>
      <c r="G29" s="76"/>
      <c r="H29" s="76"/>
    </row>
    <row r="30" spans="1:9" ht="21" customHeight="1" x14ac:dyDescent="0.2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">
      <c r="A31" s="64" t="s">
        <v>99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3" workbookViewId="0">
      <selection activeCell="H27" sqref="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109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110</v>
      </c>
      <c r="B4" s="94"/>
      <c r="C4" s="94"/>
      <c r="D4" s="94"/>
      <c r="E4" s="94"/>
      <c r="F4" s="94"/>
      <c r="G4" s="94"/>
      <c r="H4" s="8">
        <f>'сентябрь 2018'!H23</f>
        <v>428462.54000000004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2">
      <c r="A7" s="72" t="s">
        <v>111</v>
      </c>
      <c r="B7" s="73"/>
      <c r="C7" s="73"/>
      <c r="D7" s="73"/>
      <c r="E7" s="73"/>
      <c r="F7" s="73"/>
      <c r="G7" s="73"/>
      <c r="H7" s="2">
        <v>394816.82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SUM(F9:H22)</f>
        <v>408063.05000000005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180027.52+6.91+440.95+1383.9+861.69+11835.28</f>
        <v>194556.25</v>
      </c>
      <c r="G9" s="68"/>
      <c r="H9" s="69"/>
      <c r="I9" s="7"/>
    </row>
    <row r="10" spans="1:9" ht="15" customHeight="1" x14ac:dyDescent="0.2">
      <c r="A10" s="85" t="s">
        <v>112</v>
      </c>
      <c r="B10" s="86"/>
      <c r="C10" s="86"/>
      <c r="D10" s="86"/>
      <c r="E10" s="87"/>
      <c r="F10" s="82">
        <f>6500</f>
        <v>6500</v>
      </c>
      <c r="G10" s="83"/>
      <c r="H10" s="84"/>
      <c r="I10" s="7"/>
    </row>
    <row r="11" spans="1:9" ht="15" customHeight="1" x14ac:dyDescent="0.2">
      <c r="A11" s="88" t="s">
        <v>2</v>
      </c>
      <c r="B11" s="89"/>
      <c r="C11" s="89"/>
      <c r="D11" s="89"/>
      <c r="E11" s="90"/>
      <c r="F11" s="67">
        <f>4543.91</f>
        <v>4543.91</v>
      </c>
      <c r="G11" s="68"/>
      <c r="H11" s="69"/>
    </row>
    <row r="12" spans="1:9" ht="15" customHeight="1" x14ac:dyDescent="0.2">
      <c r="A12" s="80" t="s">
        <v>113</v>
      </c>
      <c r="B12" s="80"/>
      <c r="C12" s="80"/>
      <c r="D12" s="80"/>
      <c r="E12" s="81"/>
      <c r="F12" s="82">
        <v>21767.72</v>
      </c>
      <c r="G12" s="83"/>
      <c r="H12" s="84"/>
    </row>
    <row r="13" spans="1:9" ht="15" customHeight="1" x14ac:dyDescent="0.2">
      <c r="A13" s="65" t="s">
        <v>3</v>
      </c>
      <c r="B13" s="66"/>
      <c r="C13" s="66"/>
      <c r="D13" s="66"/>
      <c r="E13" s="66"/>
      <c r="F13" s="67">
        <f>24210.69</f>
        <v>24210.69</v>
      </c>
      <c r="G13" s="68"/>
      <c r="H13" s="69"/>
    </row>
    <row r="14" spans="1:9" ht="15" customHeight="1" x14ac:dyDescent="0.2">
      <c r="A14" s="79" t="s">
        <v>114</v>
      </c>
      <c r="B14" s="80"/>
      <c r="C14" s="80"/>
      <c r="D14" s="80"/>
      <c r="E14" s="81"/>
      <c r="F14" s="82">
        <v>9597.92</v>
      </c>
      <c r="G14" s="83"/>
      <c r="H14" s="84"/>
    </row>
    <row r="15" spans="1:9" ht="15" customHeight="1" x14ac:dyDescent="0.2">
      <c r="A15" s="65" t="s">
        <v>4</v>
      </c>
      <c r="B15" s="66"/>
      <c r="C15" s="66"/>
      <c r="D15" s="66"/>
      <c r="E15" s="66"/>
      <c r="F15" s="67">
        <v>26410.73</v>
      </c>
      <c r="G15" s="68"/>
      <c r="H15" s="69"/>
    </row>
    <row r="16" spans="1:9" ht="15" customHeight="1" x14ac:dyDescent="0.2">
      <c r="A16" s="65" t="s">
        <v>5</v>
      </c>
      <c r="B16" s="66"/>
      <c r="C16" s="66"/>
      <c r="D16" s="66"/>
      <c r="E16" s="66"/>
      <c r="F16" s="67">
        <f>74581.39</f>
        <v>74581.39</v>
      </c>
      <c r="G16" s="68"/>
      <c r="H16" s="69"/>
    </row>
    <row r="17" spans="1:9" ht="15" customHeight="1" x14ac:dyDescent="0.2">
      <c r="A17" s="65" t="s">
        <v>6</v>
      </c>
      <c r="B17" s="66"/>
      <c r="C17" s="66"/>
      <c r="D17" s="66"/>
      <c r="E17" s="66"/>
      <c r="F17" s="67">
        <f>3728.88</f>
        <v>3728.88</v>
      </c>
      <c r="G17" s="68"/>
      <c r="H17" s="69"/>
    </row>
    <row r="18" spans="1:9" ht="15" customHeight="1" x14ac:dyDescent="0.2">
      <c r="A18" s="65" t="s">
        <v>7</v>
      </c>
      <c r="B18" s="66"/>
      <c r="C18" s="66"/>
      <c r="D18" s="66"/>
      <c r="E18" s="66"/>
      <c r="F18" s="67"/>
      <c r="G18" s="68"/>
      <c r="H18" s="69"/>
    </row>
    <row r="19" spans="1:9" ht="15" customHeight="1" x14ac:dyDescent="0.2">
      <c r="A19" s="65" t="s">
        <v>9</v>
      </c>
      <c r="B19" s="66"/>
      <c r="C19" s="66"/>
      <c r="D19" s="66"/>
      <c r="E19" s="66"/>
      <c r="F19" s="67">
        <f>5333.89</f>
        <v>5333.89</v>
      </c>
      <c r="G19" s="68"/>
      <c r="H19" s="69"/>
    </row>
    <row r="20" spans="1:9" ht="15" customHeight="1" x14ac:dyDescent="0.2">
      <c r="A20" s="65" t="s">
        <v>10</v>
      </c>
      <c r="B20" s="77"/>
      <c r="C20" s="77"/>
      <c r="D20" s="77"/>
      <c r="E20" s="78"/>
      <c r="F20" s="67">
        <f>32285.61</f>
        <v>32285.61</v>
      </c>
      <c r="G20" s="68"/>
      <c r="H20" s="69"/>
    </row>
    <row r="21" spans="1:9" ht="15" customHeight="1" x14ac:dyDescent="0.2">
      <c r="A21" s="65" t="s">
        <v>11</v>
      </c>
      <c r="B21" s="77"/>
      <c r="C21" s="77"/>
      <c r="D21" s="77"/>
      <c r="E21" s="78"/>
      <c r="F21" s="67"/>
      <c r="G21" s="68"/>
      <c r="H21" s="69"/>
    </row>
    <row r="22" spans="1:9" ht="15" customHeight="1" x14ac:dyDescent="0.2">
      <c r="A22" s="65" t="s">
        <v>8</v>
      </c>
      <c r="B22" s="66"/>
      <c r="C22" s="66"/>
      <c r="D22" s="66"/>
      <c r="E22" s="66"/>
      <c r="F22" s="67">
        <f>4546.06</f>
        <v>4546.0600000000004</v>
      </c>
      <c r="G22" s="68"/>
      <c r="H22" s="69"/>
      <c r="I22" s="7"/>
    </row>
    <row r="23" spans="1:9" ht="15" customHeight="1" x14ac:dyDescent="0.2">
      <c r="A23" s="70"/>
      <c r="B23" s="71"/>
      <c r="C23" s="71"/>
      <c r="D23" s="71"/>
      <c r="E23" s="71"/>
      <c r="F23" s="71"/>
      <c r="G23" s="71"/>
      <c r="H23" s="2"/>
      <c r="I23" s="7"/>
    </row>
    <row r="24" spans="1:9" ht="15" customHeight="1" x14ac:dyDescent="0.25">
      <c r="A24" s="53"/>
      <c r="B24" s="54"/>
      <c r="C24" s="54"/>
      <c r="D24" s="54"/>
      <c r="E24" s="54"/>
      <c r="F24" s="3"/>
      <c r="G24" s="3"/>
      <c r="H24" s="2"/>
    </row>
    <row r="25" spans="1:9" ht="15" customHeight="1" x14ac:dyDescent="0.2">
      <c r="A25" s="72"/>
      <c r="B25" s="73"/>
      <c r="C25" s="73"/>
      <c r="D25" s="73"/>
      <c r="E25" s="73"/>
      <c r="F25" s="73"/>
      <c r="G25" s="73"/>
      <c r="H25" s="2"/>
    </row>
    <row r="26" spans="1:9" ht="15" customHeight="1" x14ac:dyDescent="0.2">
      <c r="A26" s="74" t="s">
        <v>115</v>
      </c>
      <c r="B26" s="75"/>
      <c r="C26" s="75"/>
      <c r="D26" s="75"/>
      <c r="E26" s="75"/>
      <c r="F26" s="75"/>
      <c r="G26" s="75"/>
      <c r="H26" s="4">
        <f>793709.42-H7</f>
        <v>398892.60000000003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6" t="s">
        <v>22</v>
      </c>
      <c r="B28" s="76"/>
      <c r="C28" s="76"/>
      <c r="D28" s="76"/>
      <c r="E28" s="76"/>
      <c r="F28" s="76"/>
      <c r="G28" s="76"/>
      <c r="H28" s="76"/>
    </row>
    <row r="29" spans="1:9" ht="45.75" customHeight="1" x14ac:dyDescent="0.2">
      <c r="A29" s="76"/>
      <c r="B29" s="76"/>
      <c r="C29" s="76"/>
      <c r="D29" s="76"/>
      <c r="E29" s="76"/>
      <c r="F29" s="76"/>
      <c r="G29" s="76"/>
      <c r="H29" s="76"/>
    </row>
    <row r="30" spans="1:9" ht="21" customHeight="1" x14ac:dyDescent="0.2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">
      <c r="A31" s="64" t="s">
        <v>99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10:E10"/>
    <mergeCell ref="F10:H10"/>
    <mergeCell ref="A12:E12"/>
    <mergeCell ref="F12:H12"/>
    <mergeCell ref="A14:E14"/>
    <mergeCell ref="F14:H14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1:E11"/>
    <mergeCell ref="F11:H11"/>
    <mergeCell ref="A13:E13"/>
    <mergeCell ref="F13:H13"/>
    <mergeCell ref="A15:E15"/>
    <mergeCell ref="F15:H15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105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106</v>
      </c>
      <c r="B4" s="94"/>
      <c r="C4" s="94"/>
      <c r="D4" s="94"/>
      <c r="E4" s="94"/>
      <c r="F4" s="94"/>
      <c r="G4" s="94"/>
      <c r="H4" s="8">
        <f>'август 2018'!H23</f>
        <v>406297.54000000004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2">
      <c r="A7" s="72" t="s">
        <v>107</v>
      </c>
      <c r="B7" s="73"/>
      <c r="C7" s="73"/>
      <c r="D7" s="73"/>
      <c r="E7" s="73"/>
      <c r="F7" s="73"/>
      <c r="G7" s="73"/>
      <c r="H7" s="2">
        <v>378493.11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357634.6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152649.43+3.94+448.26+1187.81+726.15+10166.82</f>
        <v>165182.41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10190.17</f>
        <v>10190.17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23474.65+9897.21</f>
        <v>33371.86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27672.12</f>
        <v>27672.12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61099.7</f>
        <v>61099.7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3153.49</f>
        <v>3153.49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4356.23</f>
        <v>4356.2299999999996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27257.69</f>
        <v>27257.69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21651.25+3699.68</f>
        <v>25350.93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108</v>
      </c>
      <c r="B23" s="75"/>
      <c r="C23" s="75"/>
      <c r="D23" s="75"/>
      <c r="E23" s="75"/>
      <c r="F23" s="75"/>
      <c r="G23" s="75"/>
      <c r="H23" s="4">
        <f>806955.65-H7</f>
        <v>428462.54000000004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99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101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102</v>
      </c>
      <c r="B4" s="94"/>
      <c r="C4" s="94"/>
      <c r="D4" s="94"/>
      <c r="E4" s="94"/>
      <c r="F4" s="94"/>
      <c r="G4" s="94"/>
      <c r="H4" s="8">
        <f>'июль 2018'!H23</f>
        <v>395474.13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2">
      <c r="A7" s="72" t="s">
        <v>103</v>
      </c>
      <c r="B7" s="73"/>
      <c r="C7" s="73"/>
      <c r="D7" s="73"/>
      <c r="E7" s="73"/>
      <c r="F7" s="73"/>
      <c r="G7" s="73"/>
      <c r="H7" s="2">
        <v>379799.6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334089.90000000002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148577.73+2165.37+704.33+9603.68+1164.14</f>
        <v>162215.25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30254.4</f>
        <v>30254.400000000001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573.81+21514.74</f>
        <v>22088.550000000003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23686.41</f>
        <v>23686.41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54062.28</f>
        <v>54062.28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3102.74</f>
        <v>3102.74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4306.17</f>
        <v>4306.17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25910.4</f>
        <v>25910.400000000001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1109.5+7354.2</f>
        <v>8463.7000000000007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104</v>
      </c>
      <c r="B23" s="75"/>
      <c r="C23" s="75"/>
      <c r="D23" s="75"/>
      <c r="E23" s="75"/>
      <c r="F23" s="75"/>
      <c r="G23" s="75"/>
      <c r="H23" s="4">
        <f>786097.14-H7</f>
        <v>406297.54000000004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100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99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95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96</v>
      </c>
      <c r="B4" s="94"/>
      <c r="C4" s="94"/>
      <c r="D4" s="94"/>
      <c r="E4" s="94"/>
      <c r="F4" s="94"/>
      <c r="G4" s="94"/>
      <c r="H4" s="8">
        <f>'июнь 2018'!H23</f>
        <v>421286.26999999996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2">
      <c r="A7" s="72" t="s">
        <v>97</v>
      </c>
      <c r="B7" s="73"/>
      <c r="C7" s="73"/>
      <c r="D7" s="73"/>
      <c r="E7" s="73"/>
      <c r="F7" s="73"/>
      <c r="G7" s="73"/>
      <c r="H7" s="2">
        <v>345102.6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388017.31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4.39+2053.84+1232.04+160904.06+725.62+10104.65</f>
        <v>175024.59999999998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33627.21</f>
        <v>33627.21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21984.98+2868.89</f>
        <v>24853.87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27109.72</f>
        <v>27109.72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v>59207.59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3270.04</f>
        <v>3270.04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4577.26</f>
        <v>4577.26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28852.96</f>
        <v>28852.959999999999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/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6136.32+25357.74</f>
        <v>31494.06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98</v>
      </c>
      <c r="B23" s="75"/>
      <c r="C23" s="75"/>
      <c r="D23" s="75"/>
      <c r="E23" s="75"/>
      <c r="F23" s="75"/>
      <c r="G23" s="75"/>
      <c r="H23" s="4">
        <f>740576.73-H7</f>
        <v>395474.13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100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99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1" t="s">
        <v>91</v>
      </c>
      <c r="B2" s="91"/>
      <c r="C2" s="91"/>
      <c r="D2" s="91"/>
      <c r="E2" s="91"/>
      <c r="F2" s="91"/>
      <c r="G2" s="91"/>
      <c r="H2" s="91"/>
    </row>
    <row r="3" spans="1:9" ht="58.5" customHeight="1" x14ac:dyDescent="0.2">
      <c r="A3" s="92"/>
      <c r="B3" s="92"/>
      <c r="C3" s="92"/>
      <c r="D3" s="92"/>
      <c r="E3" s="92"/>
      <c r="F3" s="92"/>
      <c r="G3" s="92"/>
      <c r="H3" s="92"/>
    </row>
    <row r="4" spans="1:9" ht="27.75" customHeight="1" x14ac:dyDescent="0.2">
      <c r="A4" s="93" t="s">
        <v>92</v>
      </c>
      <c r="B4" s="94"/>
      <c r="C4" s="94"/>
      <c r="D4" s="94"/>
      <c r="E4" s="94"/>
      <c r="F4" s="94"/>
      <c r="G4" s="94"/>
      <c r="H4" s="8">
        <f>'май 2018'!H23</f>
        <v>562849.68000000005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2">
      <c r="A7" s="72" t="s">
        <v>93</v>
      </c>
      <c r="B7" s="73"/>
      <c r="C7" s="73"/>
      <c r="D7" s="73"/>
      <c r="E7" s="73"/>
      <c r="F7" s="73"/>
      <c r="G7" s="73"/>
      <c r="H7" s="2">
        <v>360949.44</v>
      </c>
    </row>
    <row r="8" spans="1:9" ht="39" customHeight="1" x14ac:dyDescent="0.2">
      <c r="A8" s="70" t="s">
        <v>0</v>
      </c>
      <c r="B8" s="71"/>
      <c r="C8" s="71"/>
      <c r="D8" s="71"/>
      <c r="E8" s="71"/>
      <c r="F8" s="71"/>
      <c r="G8" s="71"/>
      <c r="H8" s="2">
        <f>SUM(F9:H19)</f>
        <v>503722.88</v>
      </c>
    </row>
    <row r="9" spans="1:9" ht="15" customHeight="1" x14ac:dyDescent="0.2">
      <c r="A9" s="95" t="s">
        <v>1</v>
      </c>
      <c r="B9" s="89"/>
      <c r="C9" s="89"/>
      <c r="D9" s="89"/>
      <c r="E9" s="90"/>
      <c r="F9" s="67">
        <f>187339.27+0.59+1662.65+1451.77+834.97+11679.21</f>
        <v>202968.45999999996</v>
      </c>
      <c r="G9" s="68"/>
      <c r="H9" s="69"/>
      <c r="I9" s="7"/>
    </row>
    <row r="10" spans="1:9" ht="15" customHeight="1" x14ac:dyDescent="0.2">
      <c r="A10" s="88" t="s">
        <v>2</v>
      </c>
      <c r="B10" s="89"/>
      <c r="C10" s="89"/>
      <c r="D10" s="89"/>
      <c r="E10" s="90"/>
      <c r="F10" s="67">
        <f>28233.83</f>
        <v>28233.83</v>
      </c>
      <c r="G10" s="68"/>
      <c r="H10" s="69"/>
    </row>
    <row r="11" spans="1:9" ht="15" customHeight="1" x14ac:dyDescent="0.2">
      <c r="A11" s="65" t="s">
        <v>3</v>
      </c>
      <c r="B11" s="66"/>
      <c r="C11" s="66"/>
      <c r="D11" s="66"/>
      <c r="E11" s="66"/>
      <c r="F11" s="67">
        <f>6307.26+23601.69</f>
        <v>29908.949999999997</v>
      </c>
      <c r="G11" s="68"/>
      <c r="H11" s="69"/>
    </row>
    <row r="12" spans="1:9" ht="15" customHeight="1" x14ac:dyDescent="0.2">
      <c r="A12" s="65" t="s">
        <v>4</v>
      </c>
      <c r="B12" s="66"/>
      <c r="C12" s="66"/>
      <c r="D12" s="66"/>
      <c r="E12" s="66"/>
      <c r="F12" s="67">
        <f>29233.65</f>
        <v>29233.65</v>
      </c>
      <c r="G12" s="68"/>
      <c r="H12" s="69"/>
    </row>
    <row r="13" spans="1:9" ht="15" customHeight="1" x14ac:dyDescent="0.2">
      <c r="A13" s="65" t="s">
        <v>5</v>
      </c>
      <c r="B13" s="66"/>
      <c r="C13" s="66"/>
      <c r="D13" s="66"/>
      <c r="E13" s="66"/>
      <c r="F13" s="67">
        <f>73064.51</f>
        <v>73064.509999999995</v>
      </c>
      <c r="G13" s="68"/>
      <c r="H13" s="69"/>
    </row>
    <row r="14" spans="1:9" ht="15" customHeight="1" x14ac:dyDescent="0.2">
      <c r="A14" s="65" t="s">
        <v>6</v>
      </c>
      <c r="B14" s="66"/>
      <c r="C14" s="66"/>
      <c r="D14" s="66"/>
      <c r="E14" s="66"/>
      <c r="F14" s="67">
        <f>3952.81</f>
        <v>3952.81</v>
      </c>
      <c r="G14" s="68"/>
      <c r="H14" s="69"/>
    </row>
    <row r="15" spans="1:9" ht="15" customHeight="1" x14ac:dyDescent="0.2">
      <c r="A15" s="65" t="s">
        <v>7</v>
      </c>
      <c r="B15" s="66"/>
      <c r="C15" s="66"/>
      <c r="D15" s="66"/>
      <c r="E15" s="66"/>
      <c r="F15" s="67"/>
      <c r="G15" s="68"/>
      <c r="H15" s="69"/>
    </row>
    <row r="16" spans="1:9" ht="15" customHeight="1" x14ac:dyDescent="0.2">
      <c r="A16" s="65" t="s">
        <v>9</v>
      </c>
      <c r="B16" s="66"/>
      <c r="C16" s="66"/>
      <c r="D16" s="66"/>
      <c r="E16" s="66"/>
      <c r="F16" s="67">
        <f>5538.27</f>
        <v>5538.27</v>
      </c>
      <c r="G16" s="68"/>
      <c r="H16" s="69"/>
    </row>
    <row r="17" spans="1:9" ht="15" customHeight="1" x14ac:dyDescent="0.2">
      <c r="A17" s="65" t="s">
        <v>10</v>
      </c>
      <c r="B17" s="77"/>
      <c r="C17" s="77"/>
      <c r="D17" s="77"/>
      <c r="E17" s="78"/>
      <c r="F17" s="67">
        <f>33207.43</f>
        <v>33207.43</v>
      </c>
      <c r="G17" s="68"/>
      <c r="H17" s="69"/>
    </row>
    <row r="18" spans="1:9" ht="15" customHeight="1" x14ac:dyDescent="0.2">
      <c r="A18" s="65" t="s">
        <v>11</v>
      </c>
      <c r="B18" s="77"/>
      <c r="C18" s="77"/>
      <c r="D18" s="77"/>
      <c r="E18" s="78"/>
      <c r="F18" s="67">
        <f>0</f>
        <v>0</v>
      </c>
      <c r="G18" s="68"/>
      <c r="H18" s="69"/>
    </row>
    <row r="19" spans="1:9" ht="15" customHeight="1" x14ac:dyDescent="0.2">
      <c r="A19" s="65" t="s">
        <v>8</v>
      </c>
      <c r="B19" s="66"/>
      <c r="C19" s="66"/>
      <c r="D19" s="66"/>
      <c r="E19" s="66"/>
      <c r="F19" s="67">
        <f>12910.93+84704.04</f>
        <v>97614.97</v>
      </c>
      <c r="G19" s="68"/>
      <c r="H19" s="69"/>
      <c r="I19" s="7"/>
    </row>
    <row r="20" spans="1:9" ht="15" customHeight="1" x14ac:dyDescent="0.2">
      <c r="A20" s="70"/>
      <c r="B20" s="71"/>
      <c r="C20" s="71"/>
      <c r="D20" s="71"/>
      <c r="E20" s="71"/>
      <c r="F20" s="71"/>
      <c r="G20" s="71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72"/>
      <c r="B22" s="73"/>
      <c r="C22" s="73"/>
      <c r="D22" s="73"/>
      <c r="E22" s="73"/>
      <c r="F22" s="73"/>
      <c r="G22" s="73"/>
      <c r="H22" s="2"/>
    </row>
    <row r="23" spans="1:9" ht="15" customHeight="1" x14ac:dyDescent="0.2">
      <c r="A23" s="74" t="s">
        <v>94</v>
      </c>
      <c r="B23" s="75"/>
      <c r="C23" s="75"/>
      <c r="D23" s="75"/>
      <c r="E23" s="75"/>
      <c r="F23" s="75"/>
      <c r="G23" s="75"/>
      <c r="H23" s="4">
        <f>782235.71-H7</f>
        <v>421286.26999999996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6" t="s">
        <v>22</v>
      </c>
      <c r="B25" s="76"/>
      <c r="C25" s="76"/>
      <c r="D25" s="76"/>
      <c r="E25" s="76"/>
      <c r="F25" s="76"/>
      <c r="G25" s="76"/>
      <c r="H25" s="76"/>
    </row>
    <row r="26" spans="1:9" ht="45.75" customHeight="1" x14ac:dyDescent="0.2">
      <c r="A26" s="76"/>
      <c r="B26" s="76"/>
      <c r="C26" s="76"/>
      <c r="D26" s="76"/>
      <c r="E26" s="76"/>
      <c r="F26" s="76"/>
      <c r="G26" s="76"/>
      <c r="H26" s="76"/>
    </row>
    <row r="27" spans="1:9" ht="21" customHeight="1" x14ac:dyDescent="0.2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2018г.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ноябрь 2017</vt:lpstr>
      <vt:lpstr>окт.2017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2017-06-13T06:20:18Z</cp:lastPrinted>
  <dcterms:created xsi:type="dcterms:W3CDTF">2011-02-07T06:28:49Z</dcterms:created>
  <dcterms:modified xsi:type="dcterms:W3CDTF">2019-03-18T04:02:13Z</dcterms:modified>
</cp:coreProperties>
</file>